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3690" windowWidth="17760" windowHeight="3750" tabRatio="960" firstSheet="2" activeTab="5"/>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'5Environmental'!$X$4</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DDLs!$A$184:$A$189</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DDLs!$A$88:$B$94</definedName>
    <definedName name="C.VL_ControversyRating">DDLs!$A$78:$B$84</definedName>
    <definedName name="C.VL_CriticalityRating">DDLs!$A$109:$B$115</definedName>
    <definedName name="C.VL_EnvProblem">DDLs!$A$120:$B$126</definedName>
    <definedName name="C.VL_FiscaImpact">DDLs!$A$183:$B$188</definedName>
    <definedName name="C.VL_FiscalComplexityRating">DDLs!$A$154:$B$160</definedName>
    <definedName name="C.VL_InterestInRule">DDLs!$A$173:$B$180</definedName>
    <definedName name="C.VL_ScopeOfRule">DDLs!$A$164:$B$169</definedName>
    <definedName name="C.VL_SeverityRating">DDLs!$A$98:$B$104</definedName>
    <definedName name="DDL_TrueFalse">DDLs!$A$199:$A$200</definedName>
    <definedName name="DDL_YN">DDLs!$A$195:$A$196</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Summary!$C$2:$X$47</definedName>
    <definedName name="RMCaption">Summary!$D$4</definedName>
  </definedNames>
  <calcPr calcId="125725"/>
</workbook>
</file>

<file path=xl/calcChain.xml><?xml version="1.0" encoding="utf-8"?>
<calcChain xmlns="http://schemas.openxmlformats.org/spreadsheetml/2006/main">
  <c r="I342" i="107"/>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Z41" i="92"/>
  <c r="C61" i="106" l="1"/>
  <c r="C175"/>
  <c r="C172"/>
  <c r="C169"/>
  <c r="B168"/>
  <c r="X8" i="100"/>
  <c r="C163" i="106" s="1"/>
  <c r="X9" i="101"/>
  <c r="C168" i="106" s="1"/>
  <c r="C165"/>
  <c r="B164"/>
  <c r="B163"/>
  <c r="X12" i="100"/>
  <c r="C164" i="106" s="1"/>
  <c r="B2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B109" i="106" s="1"/>
  <c r="Z13" i="94"/>
  <c r="Z14"/>
  <c r="B108" i="106" s="1"/>
  <c r="Z12" i="94"/>
  <c r="Z11"/>
  <c r="B105" i="106" s="1"/>
  <c r="Y4" i="95"/>
  <c r="C96" i="106" s="1"/>
  <c r="B115"/>
  <c r="B119"/>
  <c r="B120"/>
  <c r="A115"/>
  <c r="A116"/>
  <c r="A117"/>
  <c r="A118"/>
  <c r="A119"/>
  <c r="A120"/>
  <c r="A114"/>
  <c r="AA13" i="94"/>
  <c r="AA12"/>
  <c r="Y15"/>
  <c r="C109" i="106" s="1"/>
  <c r="Y14" i="94"/>
  <c r="C108" i="106" s="1"/>
  <c r="Y13" i="94"/>
  <c r="AD13" s="1"/>
  <c r="J13" s="1"/>
  <c r="Y12"/>
  <c r="C105" i="106" s="1"/>
  <c r="Y11" i="94"/>
  <c r="C110" i="106"/>
  <c r="X19" i="95"/>
  <c r="B94" i="106" s="1"/>
  <c r="AE18" i="94"/>
  <c r="C103" i="106" s="1"/>
  <c r="Y20" i="94"/>
  <c r="B103" i="106" s="1"/>
  <c r="C100"/>
  <c r="B100"/>
  <c r="Z37" i="95"/>
  <c r="C99" i="106"/>
  <c r="AA16" i="92"/>
  <c r="C38" i="106" s="1"/>
  <c r="Y51" i="92"/>
  <c r="B4" i="106"/>
  <c r="B90"/>
  <c r="B92"/>
  <c r="B93"/>
  <c r="Z9" i="95"/>
  <c r="B89" i="106" s="1"/>
  <c r="Z10" i="95"/>
  <c r="Z11"/>
  <c r="B91" i="106" s="1"/>
  <c r="Z12" i="95"/>
  <c r="Z13"/>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Y7" i="93"/>
  <c r="C70" i="106" s="1"/>
  <c r="C66"/>
  <c r="C67"/>
  <c r="C65"/>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AA41" i="96"/>
  <c r="C142" i="106" s="1"/>
  <c r="B142" s="1"/>
  <c r="Y34" i="96"/>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B18" i="106" s="1"/>
  <c r="X16" i="90"/>
  <c r="B17" i="106" s="1"/>
  <c r="X15" i="90"/>
  <c r="B16" i="106" s="1"/>
  <c r="X14" i="90"/>
  <c r="B15" i="106" s="1"/>
  <c r="X13" i="90"/>
  <c r="B14" i="106" s="1"/>
  <c r="X12" i="90"/>
  <c r="B13" i="106" s="1"/>
  <c r="X11" i="90"/>
  <c r="B12" i="106" s="1"/>
  <c r="X10" i="90"/>
  <c r="C9" i="106"/>
  <c r="AA53" i="90"/>
  <c r="C34" i="106" s="1"/>
  <c r="AA52" i="90"/>
  <c r="C33" i="106" s="1"/>
  <c r="Y38" i="96"/>
  <c r="Y42" i="92"/>
  <c r="X5" i="95"/>
  <c r="Y36" i="92"/>
  <c r="X42"/>
  <c r="X41" s="1"/>
  <c r="B34" i="106" l="1"/>
  <c r="B33"/>
  <c r="L33" i="86"/>
  <c r="B104" i="106"/>
  <c r="AD12" i="94"/>
  <c r="C106" i="106" s="1"/>
  <c r="B106" s="1"/>
  <c r="C104"/>
  <c r="L34" i="86"/>
  <c r="M30"/>
  <c r="B11" i="106"/>
  <c r="C107"/>
  <c r="B107" s="1"/>
  <c r="AA39" i="92"/>
  <c r="AA40"/>
  <c r="AA38"/>
  <c r="AB40"/>
  <c r="AB39"/>
  <c r="AB37"/>
  <c r="AB38"/>
  <c r="I41" i="86"/>
  <c r="I42"/>
  <c r="I43"/>
  <c r="I44"/>
  <c r="I45"/>
  <c r="I46"/>
  <c r="F15" i="103"/>
  <c r="Z18" i="95"/>
  <c r="L39" i="86"/>
  <c r="H39"/>
  <c r="D39"/>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7" i="86"/>
  <c r="F16" i="102"/>
  <c r="J47"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H19" i="96" l="1"/>
  <c r="AB18"/>
  <c r="C138" i="106" s="1"/>
  <c r="J12" i="94"/>
  <c r="Z42" i="92"/>
  <c r="C60" i="106" s="1"/>
  <c r="C94"/>
  <c r="X16" i="95"/>
  <c r="B35" i="106"/>
  <c r="L31" i="86"/>
  <c r="Z36" i="92"/>
  <c r="L46" i="86"/>
  <c r="C45" i="106"/>
  <c r="K46" i="86"/>
  <c r="B45" i="106"/>
  <c r="L45" i="86"/>
  <c r="C44" i="106"/>
  <c r="K45" i="86"/>
  <c r="B44" i="106"/>
  <c r="K44" i="86"/>
  <c r="B43" i="106"/>
  <c r="L44" i="86"/>
  <c r="C43" i="106"/>
  <c r="K43" i="86"/>
  <c r="B42" i="106"/>
  <c r="K41" i="86"/>
  <c r="B40" i="106"/>
  <c r="L41" i="86"/>
  <c r="C40" i="106"/>
  <c r="M34" i="86"/>
  <c r="M33"/>
  <c r="AA68" i="90"/>
  <c r="C35" i="106" s="1"/>
  <c r="L43" i="86"/>
  <c r="L42"/>
  <c r="K42"/>
  <c r="X27" i="98"/>
  <c r="B145" i="106" s="1"/>
  <c r="X13" i="100"/>
  <c r="B162" i="106" s="1"/>
  <c r="Z6" i="92"/>
  <c r="AA6"/>
  <c r="AB6"/>
  <c r="D5" i="86"/>
  <c r="D7"/>
  <c r="H37"/>
  <c r="D37"/>
  <c r="AH15" l="1"/>
  <c r="M31"/>
  <c r="Z7" i="92"/>
  <c r="X7" s="1"/>
  <c r="X20" i="90"/>
  <c r="Y15" i="93"/>
  <c r="Y16"/>
  <c r="Y14"/>
  <c r="Y13"/>
  <c r="Y12"/>
  <c r="Y11"/>
  <c r="Y9"/>
  <c r="X7"/>
  <c r="B70" i="106" l="1"/>
  <c r="M10" i="86"/>
  <c r="X17" i="93"/>
  <c r="X7" i="103"/>
  <c r="X7" i="102"/>
  <c r="AH18" i="86" l="1"/>
  <c r="B174" i="106"/>
  <c r="AH17" i="86"/>
  <c r="B171" i="106"/>
  <c r="X35" i="95"/>
  <c r="C8" i="106"/>
  <c r="Y35" i="95" l="1"/>
  <c r="X10" i="101"/>
  <c r="X45" i="96"/>
  <c r="D45" s="1"/>
  <c r="X32"/>
  <c r="B132" i="106" s="1"/>
  <c r="X27" i="92"/>
  <c r="B54" i="106" s="1"/>
  <c r="X28" i="92"/>
  <c r="B55" i="106" s="1"/>
  <c r="AH16" i="86" l="1"/>
  <c r="B167" i="106"/>
  <c r="X30" i="92"/>
  <c r="B57" i="106" s="1"/>
  <c r="X29" i="92"/>
  <c r="B56" i="106" s="1"/>
  <c r="X26" i="92"/>
  <c r="B53" i="106" s="1"/>
  <c r="X25" i="92"/>
  <c r="B52" i="106" s="1"/>
  <c r="X24" i="92"/>
  <c r="B51" i="106" s="1"/>
  <c r="X23" i="92"/>
  <c r="B50" i="106" s="1"/>
  <c r="X22" i="92"/>
  <c r="B49" i="106" s="1"/>
  <c r="X21" i="92"/>
  <c r="B48" i="106" s="1"/>
  <c r="X20" i="92"/>
  <c r="B47" i="106" s="1"/>
  <c r="X49" i="96" l="1"/>
  <c r="X25"/>
  <c r="B125" i="106" s="1"/>
  <c r="Y20" i="96"/>
  <c r="Y21"/>
  <c r="Y19"/>
  <c r="Y14"/>
  <c r="Y13"/>
  <c r="Y15"/>
  <c r="Y16"/>
  <c r="Y12"/>
  <c r="Y11"/>
  <c r="Y10"/>
  <c r="X26"/>
  <c r="B126" i="106" s="1"/>
  <c r="X7" i="96"/>
  <c r="M13" i="86" s="1"/>
  <c r="Y12" i="95"/>
  <c r="Y13"/>
  <c r="Y11"/>
  <c r="Y10"/>
  <c r="Y9"/>
  <c r="Y8"/>
  <c r="Z22" i="98"/>
  <c r="Z21"/>
  <c r="Z19"/>
  <c r="Z18"/>
  <c r="Z17"/>
  <c r="X6" i="95"/>
  <c r="X14" i="98"/>
  <c r="B146" i="106" s="1"/>
  <c r="Z23" i="98"/>
  <c r="AH14" i="86" l="1"/>
  <c r="M14"/>
  <c r="AB20" i="96"/>
  <c r="C136" i="106" s="1"/>
  <c r="B136" s="1"/>
  <c r="AH13" i="86"/>
  <c r="B112" i="106"/>
  <c r="M11" i="86"/>
  <c r="B113" i="106"/>
  <c r="B87"/>
  <c r="X17" i="96"/>
  <c r="X7" i="95"/>
  <c r="Y14"/>
  <c r="C28" i="86"/>
  <c r="X24" i="98"/>
  <c r="X33" i="96"/>
  <c r="B133" i="106" s="1"/>
  <c r="M32" i="86" l="1"/>
  <c r="X28" i="95"/>
  <c r="Y28" s="1"/>
  <c r="X4" s="1"/>
  <c r="X34" i="96"/>
  <c r="B134" i="106" s="1"/>
  <c r="X31" i="96"/>
  <c r="B131" i="106" s="1"/>
  <c r="X30" i="96"/>
  <c r="B130" i="106" s="1"/>
  <c r="X29" i="96"/>
  <c r="B129" i="106" s="1"/>
  <c r="X28" i="96"/>
  <c r="B128" i="106" s="1"/>
  <c r="X27" i="96"/>
  <c r="B127" i="106" s="1"/>
  <c r="D29" i="86" l="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1" i="86" s="1"/>
  <c r="C40"/>
  <c r="G27"/>
  <c r="E27"/>
  <c r="D27"/>
  <c r="F27"/>
  <c r="D25"/>
  <c r="E25" s="1"/>
  <c r="F25" s="1"/>
  <c r="G25" s="1"/>
  <c r="H25" s="1"/>
  <c r="D26"/>
  <c r="E26" s="1"/>
  <c r="F26" s="1"/>
  <c r="G26" s="1"/>
  <c r="H26" s="1"/>
  <c r="I26" s="1"/>
  <c r="J26" s="1"/>
  <c r="K26" s="1"/>
  <c r="D24"/>
  <c r="E24" s="1"/>
  <c r="F24" s="1"/>
  <c r="G24" s="1"/>
  <c r="H24" l="1"/>
  <c r="I24" s="1"/>
  <c r="J24" s="1"/>
  <c r="K24" s="1"/>
  <c r="L24" s="1"/>
  <c r="M24" s="1"/>
  <c r="N24" s="1"/>
  <c r="R24" s="1"/>
  <c r="J27"/>
  <c r="I27"/>
  <c r="K27"/>
  <c r="L26"/>
  <c r="M26" s="1"/>
  <c r="I25"/>
  <c r="J25"/>
  <c r="K25" s="1"/>
  <c r="L25" s="1"/>
  <c r="M25" s="1"/>
  <c r="N25" s="1"/>
  <c r="R25" s="1"/>
  <c r="N27"/>
  <c r="L27"/>
  <c r="R27"/>
  <c r="M27"/>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<sst xmlns="http://schemas.openxmlformats.org/spreadsheetml/2006/main" count="3009" uniqueCount="1041">
  <si>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</si>
  <si>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</si>
  <si>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</si>
  <si>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</si>
  <si>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</si>
  <si>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</si>
  <si>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</si>
  <si>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</si>
  <si>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</si>
  <si>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</si>
  <si>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</si>
  <si>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</si>
  <si>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</si>
  <si>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</si>
  <si>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</si>
  <si>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</si>
  <si>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</si>
  <si>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</si>
  <si>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</si>
  <si>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</si>
  <si>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</si>
  <si>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</si>
  <si>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</si>
  <si>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</si>
  <si>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</si>
  <si>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</si>
  <si>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</si>
  <si>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</si>
  <si>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</si>
  <si>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</si>
  <si>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</si>
  <si>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</si>
  <si>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</si>
  <si>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</si>
  <si>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</si>
  <si>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</si>
  <si>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</si>
  <si>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</si>
  <si>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</si>
  <si>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</si>
  <si>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</si>
  <si>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</si>
  <si>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</si>
  <si>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</si>
  <si>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</si>
  <si>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</si>
  <si>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</si>
  <si>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</si>
  <si>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</si>
  <si>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</si>
  <si>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</si>
  <si>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</si>
  <si>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</si>
  <si>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</si>
  <si>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</si>
  <si>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</si>
  <si>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</si>
  <si>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</si>
  <si>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</si>
  <si>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</si>
  <si>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</si>
  <si>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</si>
  <si>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</si>
  <si>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</si>
  <si>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</si>
  <si>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</si>
  <si>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</si>
  <si>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</si>
  <si>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</si>
  <si>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</si>
  <si>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</si>
  <si>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</si>
  <si>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</si>
  <si>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</si>
  <si>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</si>
  <si>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</si>
  <si>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</si>
  <si>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</si>
  <si>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</si>
  <si>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</si>
  <si>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</si>
  <si>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</si>
  <si>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</si>
  <si>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</si>
  <si>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</si>
  <si>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</si>
  <si>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</si>
  <si>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</si>
  <si>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</si>
  <si>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</si>
  <si>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</si>
  <si>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</si>
  <si>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</si>
  <si>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</si>
  <si>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</si>
  <si>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</si>
  <si>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</si>
  <si>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</si>
  <si>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</si>
  <si>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</si>
  <si>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</si>
  <si>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</si>
  <si>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</si>
  <si>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</si>
  <si>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</si>
  <si>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</si>
  <si>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</si>
  <si>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</si>
  <si>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</si>
  <si>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</si>
  <si>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</si>
  <si>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</si>
  <si>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</si>
  <si>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</si>
  <si>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</si>
  <si>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</si>
  <si>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</si>
  <si>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</si>
  <si>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</si>
  <si>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</si>
  <si>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</si>
  <si>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</si>
  <si>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</si>
  <si>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</si>
  <si>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</si>
  <si>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</si>
  <si>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</si>
  <si>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</si>
  <si>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</si>
  <si>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</si>
  <si>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</si>
  <si>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</si>
  <si>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</si>
  <si>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</si>
  <si>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</si>
  <si>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</si>
  <si>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</si>
  <si>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</si>
  <si>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</si>
  <si>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</si>
  <si>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</si>
  <si>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</si>
  <si>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</si>
  <si>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</si>
  <si>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</si>
  <si>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</si>
  <si>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</si>
  <si>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</si>
  <si>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</si>
  <si>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</si>
  <si>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</si>
  <si>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</si>
  <si>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</si>
  <si>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</si>
  <si>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</si>
  <si>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</si>
  <si>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</si>
  <si>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</si>
  <si>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</si>
  <si>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</si>
  <si>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</si>
  <si>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</si>
  <si>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</si>
  <si>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</si>
  <si>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</si>
  <si>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</si>
  <si>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</si>
  <si>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</si>
  <si>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</si>
  <si>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</si>
  <si>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</si>
  <si>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</si>
  <si>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</si>
  <si>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</si>
  <si>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</si>
  <si>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</si>
  <si>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</si>
  <si>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</si>
  <si>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</si>
  <si>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</si>
  <si>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</si>
  <si>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</si>
  <si>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</si>
  <si>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</si>
  <si>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</si>
  <si>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</si>
  <si>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</si>
  <si>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</si>
  <si>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</si>
  <si>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</si>
  <si>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</si>
  <si>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</si>
  <si>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</si>
  <si>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</si>
  <si>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</si>
  <si>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</si>
  <si>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</si>
  <si>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</si>
  <si>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</si>
  <si>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</si>
  <si>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</si>
  <si>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</si>
  <si>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</si>
  <si>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</si>
  <si>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</si>
  <si>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</si>
  <si>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</si>
  <si>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</si>
  <si>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</si>
  <si>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</si>
  <si>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</si>
  <si>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</si>
  <si>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</si>
  <si>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</si>
  <si>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</si>
  <si>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</si>
  <si>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</si>
  <si>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</si>
  <si>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</si>
  <si>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</si>
  <si>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</si>
  <si>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</si>
  <si>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</si>
  <si>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</si>
  <si>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</si>
  <si>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</si>
  <si>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</si>
  <si>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</si>
  <si>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</si>
  <si>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</si>
  <si>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</si>
  <si>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</si>
  <si>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</si>
  <si>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</si>
  <si>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</si>
  <si>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</si>
  <si>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</si>
  <si>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</si>
  <si>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</si>
  <si>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</si>
  <si>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</si>
  <si>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</si>
  <si>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</si>
  <si>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</si>
  <si>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</si>
  <si>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</si>
  <si>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</si>
  <si>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</si>
  <si>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</si>
  <si>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</si>
  <si>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</si>
  <si>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</si>
  <si>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</si>
  <si>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</si>
  <si>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</si>
  <si>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</si>
  <si>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</si>
  <si>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</si>
  <si>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</si>
  <si>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</si>
  <si>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</si>
  <si>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</si>
  <si>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</si>
  <si>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</si>
  <si>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</si>
  <si>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</si>
  <si>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</si>
  <si>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</si>
  <si>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</si>
  <si>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</si>
  <si>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</si>
  <si>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</si>
  <si>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</si>
  <si>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</si>
  <si>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</si>
  <si>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</si>
  <si>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</si>
  <si>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</si>
  <si>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</si>
  <si>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</si>
  <si>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</si>
  <si>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</si>
  <si>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</si>
  <si>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</si>
  <si>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</si>
  <si>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</si>
  <si>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</si>
  <si>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</si>
  <si>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</si>
  <si>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</si>
  <si>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</si>
  <si>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</si>
  <si>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</si>
  <si>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</si>
  <si>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</si>
  <si>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</si>
  <si>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</si>
  <si>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</si>
  <si>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</si>
  <si>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</si>
  <si>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</si>
  <si>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</si>
  <si>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</si>
  <si>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</si>
  <si>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</si>
  <si>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</si>
  <si>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</si>
  <si>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</si>
  <si>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</si>
  <si>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</si>
  <si>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</si>
  <si>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</si>
  <si>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</si>
  <si>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</si>
  <si>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</si>
  <si>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</si>
  <si>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</si>
  <si>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</si>
  <si>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</si>
  <si>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</si>
  <si>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</si>
  <si>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</si>
  <si>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</si>
  <si>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</si>
  <si>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</si>
  <si>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</si>
  <si>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</si>
  <si>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</si>
  <si>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</si>
  <si>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</si>
  <si>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</si>
  <si>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</si>
  <si>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</si>
  <si>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Rational for developing proposal now - drivers</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</si>
  <si>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</si>
  <si>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</si>
  <si>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</si>
  <si>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</si>
  <si>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</si>
  <si>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</si>
  <si>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</si>
  <si>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</si>
  <si>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</si>
  <si>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</si>
  <si>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</si>
  <si>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</si>
  <si>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</si>
  <si>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</si>
  <si>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</si>
  <si>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</si>
  <si>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</si>
  <si>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</si>
  <si>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</si>
  <si>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</si>
  <si>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</si>
  <si>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</si>
  <si>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</si>
  <si>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</si>
  <si>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</si>
  <si>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</si>
  <si>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</si>
  <si>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</si>
  <si>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</si>
  <si>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</si>
  <si>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</si>
  <si>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</si>
  <si>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</si>
  <si>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</si>
  <si>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</si>
  <si>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</si>
  <si>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</si>
  <si>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</si>
  <si>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</si>
  <si>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</si>
  <si>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</si>
  <si>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</si>
  <si>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</si>
  <si>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</si>
  <si>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</si>
  <si>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</si>
  <si>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</si>
  <si>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</si>
  <si>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</si>
  <si>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</si>
  <si>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</si>
  <si>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</si>
  <si>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</si>
  <si>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</si>
  <si>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</si>
  <si>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</si>
  <si>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</si>
  <si>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</si>
  <si>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</si>
  <si>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</si>
  <si>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</si>
  <si>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</si>
  <si>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</si>
  <si>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</si>
  <si>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</si>
  <si>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</si>
  <si>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</si>
  <si>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</si>
  <si>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</si>
  <si>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</si>
  <si>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</si>
  <si>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Include policy consideraion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</si>
  <si>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</si>
  <si>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</si>
  <si>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</si>
  <si>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</si>
  <si>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</si>
  <si>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</si>
  <si>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</si>
  <si>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</si>
  <si>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</si>
  <si>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</si>
  <si>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</si>
  <si>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</si>
  <si>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</si>
  <si>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</si>
  <si>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</si>
  <si>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</si>
  <si>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</si>
  <si>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</si>
  <si>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</si>
  <si>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</si>
  <si>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</si>
  <si>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</si>
  <si>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</si>
  <si>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</si>
  <si>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</si>
  <si>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</si>
  <si>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</si>
  <si>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</si>
  <si>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</si>
  <si>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</si>
  <si>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</si>
  <si>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</si>
  <si>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</si>
  <si>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</si>
  <si>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</si>
  <si>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</si>
  <si>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</si>
  <si>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</si>
  <si>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</si>
  <si>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</si>
  <si>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</si>
  <si>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</si>
  <si>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</si>
  <si>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</si>
  <si>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</si>
  <si>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</si>
  <si>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</si>
  <si>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</si>
  <si>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</si>
  <si>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</si>
  <si>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</si>
  <si>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</si>
  <si>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</si>
  <si>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</si>
  <si>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</si>
  <si>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</si>
  <si>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</si>
  <si>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</si>
  <si>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</si>
  <si>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</si>
  <si>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</si>
  <si>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</si>
  <si>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</si>
  <si>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</si>
  <si>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</si>
  <si>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</si>
  <si>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</si>
  <si>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</si>
  <si>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</si>
  <si>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</si>
  <si>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</si>
  <si>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</si>
  <si>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</si>
  <si>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</si>
  <si>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</si>
  <si>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</si>
  <si>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</si>
  <si>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</si>
  <si>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</si>
  <si>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</si>
  <si>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</si>
  <si>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</si>
  <si>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</si>
  <si>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</si>
  <si>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</si>
  <si>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</si>
  <si>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</si>
  <si>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</si>
  <si>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</si>
  <si>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</si>
  <si>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</si>
  <si>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</si>
  <si>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</si>
  <si>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</si>
  <si>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</si>
  <si>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</si>
  <si>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</si>
  <si>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</si>
  <si>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</si>
  <si>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</si>
  <si>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</si>
  <si>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</si>
  <si>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</si>
  <si>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</si>
  <si>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</si>
  <si>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</si>
  <si>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</si>
  <si>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</si>
  <si>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</si>
  <si>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</si>
  <si>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</si>
  <si>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</si>
  <si>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</si>
  <si>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</si>
  <si>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</si>
  <si>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</si>
  <si>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</si>
  <si>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</si>
  <si>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</si>
  <si>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</si>
  <si>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</si>
  <si>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</si>
  <si>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</si>
  <si>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</si>
  <si>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</si>
  <si>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</si>
  <si>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</si>
  <si>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</si>
  <si>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</si>
  <si>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</si>
  <si>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</si>
  <si>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</si>
  <si>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</si>
  <si>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</si>
  <si>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</si>
  <si>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</si>
  <si>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</si>
  <si>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</si>
  <si>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</si>
  <si>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</si>
  <si>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</si>
  <si>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</si>
  <si>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</si>
  <si>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</si>
  <si>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</si>
  <si>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</si>
  <si>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</si>
  <si>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</si>
  <si>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</si>
  <si>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</si>
  <si>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</si>
  <si>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</si>
  <si>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</si>
  <si>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</si>
  <si>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</si>
  <si>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</si>
  <si>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</si>
  <si>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</si>
  <si>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</si>
  <si>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</si>
  <si>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</si>
  <si>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</si>
  <si>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</si>
  <si>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</si>
  <si>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</si>
  <si>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</si>
  <si>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</si>
  <si>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</si>
  <si>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</si>
  <si>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</si>
  <si>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</si>
  <si>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</si>
  <si>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</si>
  <si>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</si>
  <si>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</si>
  <si>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</si>
  <si>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</si>
  <si>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</si>
  <si>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</si>
  <si>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</si>
  <si>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</si>
  <si>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</si>
  <si>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</si>
  <si>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</si>
  <si>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</si>
  <si>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</si>
  <si>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</si>
  <si>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</si>
  <si>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</si>
  <si>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</si>
  <si>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</si>
  <si>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</si>
  <si>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</si>
  <si>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</si>
  <si>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</si>
  <si>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</si>
  <si>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</si>
  <si>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</si>
  <si>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</si>
  <si>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</si>
  <si>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</si>
  <si>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</si>
  <si>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</si>
  <si>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</si>
  <si>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</si>
  <si>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</si>
  <si>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</si>
  <si>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</si>
  <si>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</si>
  <si>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</si>
  <si>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</si>
  <si>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</si>
  <si>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</si>
  <si>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</si>
  <si>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</si>
  <si>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</si>
  <si>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</si>
  <si>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</si>
  <si>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</si>
  <si>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</si>
  <si>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</si>
  <si>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</si>
  <si>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</si>
  <si>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</si>
  <si>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</si>
  <si>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</si>
  <si>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</si>
  <si>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</si>
  <si>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</si>
  <si>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</si>
  <si>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</si>
  <si>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</si>
  <si>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</si>
  <si>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</si>
  <si>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</si>
  <si>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</si>
  <si>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</si>
  <si>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</si>
  <si>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</si>
  <si>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</si>
  <si>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</si>
  <si>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</si>
  <si>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</si>
  <si>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</si>
  <si>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</si>
  <si>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</si>
  <si>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</si>
  <si>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</si>
  <si>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</si>
  <si>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</si>
  <si>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</si>
  <si>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</si>
  <si>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</si>
  <si>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</si>
  <si>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</si>
  <si>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</si>
  <si>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</si>
  <si>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</si>
  <si>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</si>
  <si>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</si>
  <si>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</si>
  <si>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</si>
  <si>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</si>
  <si>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</si>
  <si>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</si>
  <si>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</si>
  <si>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</si>
  <si>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</si>
  <si>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</si>
  <si>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</si>
  <si>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</si>
  <si>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</si>
  <si>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</si>
  <si>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</si>
  <si>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</si>
  <si>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</si>
  <si>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</si>
  <si>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</si>
  <si>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</si>
  <si>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</si>
  <si>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</si>
  <si>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</si>
  <si>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</si>
  <si>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</si>
  <si>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</si>
  <si>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</si>
  <si>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</si>
  <si>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</si>
  <si>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</si>
  <si>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</si>
  <si>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</si>
  <si>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</si>
  <si>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</si>
  <si>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</si>
  <si>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</si>
  <si>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</si>
  <si>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</si>
  <si>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</si>
  <si>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</si>
  <si>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</si>
  <si>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</si>
  <si>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</si>
  <si>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</si>
  <si>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</si>
  <si>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</si>
  <si>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</si>
  <si>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</si>
  <si>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</si>
  <si>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</si>
  <si>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</si>
  <si>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</si>
  <si>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</si>
  <si>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</si>
  <si>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</si>
  <si>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</si>
  <si>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</si>
  <si>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</si>
  <si>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</si>
  <si>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</si>
  <si>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</si>
  <si>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</si>
  <si>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</si>
  <si>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</si>
  <si>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</si>
  <si>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</si>
  <si>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</si>
  <si>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</si>
  <si>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</si>
  <si>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</si>
  <si>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</si>
  <si>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</si>
  <si>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</si>
  <si>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</si>
  <si>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</si>
  <si>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</si>
  <si>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</si>
  <si>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</si>
  <si>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</si>
  <si>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</si>
  <si>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</si>
  <si>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</si>
  <si>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</si>
  <si>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</si>
  <si>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</si>
  <si>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</si>
  <si>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</si>
  <si>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</si>
  <si>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</si>
  <si>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</si>
  <si>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</si>
  <si>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</si>
  <si>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</si>
  <si>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</si>
  <si>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</si>
  <si>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</si>
  <si>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</si>
  <si>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</si>
  <si>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</si>
  <si>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</si>
  <si>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</si>
  <si>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</si>
  <si>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</si>
  <si>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</si>
  <si>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</si>
  <si>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</si>
  <si>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</si>
  <si>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</si>
  <si>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</si>
  <si>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</si>
  <si>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</si>
  <si>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</si>
  <si>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</si>
  <si>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</si>
  <si>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</si>
  <si>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</si>
  <si>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</si>
  <si>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</si>
  <si>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</si>
  <si>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</si>
  <si>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</si>
  <si>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</si>
  <si>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</si>
  <si>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</si>
  <si>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</si>
  <si>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</si>
  <si>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</si>
  <si>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</si>
  <si>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</si>
  <si>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</si>
  <si>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</si>
  <si>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</si>
  <si>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</si>
  <si>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</si>
  <si>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</si>
  <si>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</si>
  <si>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</si>
  <si>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</si>
  <si>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</si>
  <si>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</si>
  <si>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</si>
  <si>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</si>
  <si>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</si>
  <si>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</si>
  <si>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</si>
  <si>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</si>
  <si>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</si>
  <si>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</si>
  <si>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</si>
  <si>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</si>
  <si>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</si>
  <si>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</si>
  <si>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</si>
  <si>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</si>
  <si>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</si>
  <si>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</si>
  <si>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</si>
  <si>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</si>
  <si>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</si>
  <si>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</si>
  <si>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</si>
  <si>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</si>
  <si>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</si>
  <si>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</si>
  <si>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</si>
  <si>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</si>
  <si>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</si>
  <si>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</si>
  <si>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</si>
  <si>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</si>
  <si>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</si>
  <si>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</si>
  <si>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</si>
  <si>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</si>
  <si>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</si>
  <si>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</si>
  <si>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</si>
  <si>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</si>
  <si>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</si>
  <si>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</si>
  <si>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</si>
  <si>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</si>
  <si>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</si>
  <si>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</si>
  <si>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</si>
  <si>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</si>
  <si>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</si>
  <si>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</si>
  <si>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</si>
  <si>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</si>
  <si>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</si>
  <si>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</si>
  <si>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</si>
  <si>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</si>
  <si>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</si>
  <si>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</si>
  <si>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</si>
  <si>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</si>
  <si>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</si>
  <si>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</si>
  <si>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</si>
  <si>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</si>
  <si>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</si>
  <si>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</si>
  <si>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</si>
  <si>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</si>
  <si>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</si>
  <si>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</si>
  <si>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</si>
  <si>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</si>
  <si>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</si>
  <si>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</si>
  <si>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</si>
  <si>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</si>
  <si>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</si>
  <si>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</si>
  <si>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</si>
  <si>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</si>
  <si>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</si>
  <si>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</si>
  <si>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</si>
  <si>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</si>
  <si>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</si>
  <si>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</si>
  <si>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</si>
  <si>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</si>
  <si>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</si>
  <si>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</si>
  <si>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</si>
  <si>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</si>
  <si>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</si>
  <si>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</si>
  <si>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</si>
  <si>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</si>
  <si>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</si>
  <si>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</si>
  <si>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</si>
  <si>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</si>
  <si>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</si>
  <si>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</si>
  <si>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</si>
  <si>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</si>
  <si>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</si>
  <si>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</si>
  <si>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</si>
  <si>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</si>
  <si>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</si>
  <si>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</si>
  <si>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</si>
  <si>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</si>
  <si>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</si>
  <si>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</si>
  <si>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</si>
  <si>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</si>
  <si>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</si>
  <si>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</si>
  <si>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</si>
  <si>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</si>
  <si>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</si>
  <si>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</si>
  <si>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</si>
  <si>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</si>
  <si>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</si>
  <si>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</si>
  <si>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</si>
  <si>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</si>
  <si>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</si>
  <si>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</si>
  <si>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</si>
  <si>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</si>
  <si>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</si>
  <si>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</si>
  <si>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</si>
  <si>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</si>
  <si>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</si>
  <si>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</si>
  <si>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</si>
  <si>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</si>
  <si>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</si>
  <si>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</si>
  <si>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</si>
  <si>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</si>
  <si>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</si>
  <si>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</si>
  <si>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</si>
  <si>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</si>
  <si>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</si>
  <si>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</si>
  <si>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</si>
  <si>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</si>
  <si>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</si>
  <si>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</si>
  <si>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</si>
  <si>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</si>
  <si>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</si>
  <si>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</si>
  <si>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</si>
  <si>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</si>
  <si>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</si>
  <si>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</si>
  <si>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</si>
  <si>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</si>
  <si>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</si>
  <si>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</si>
  <si>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</si>
  <si>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</si>
  <si>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</si>
  <si>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</si>
  <si>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</si>
  <si>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</si>
  <si>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</si>
  <si>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</si>
  <si>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</si>
  <si>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</si>
  <si>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</si>
  <si>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</si>
  <si>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</si>
  <si>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</si>
  <si>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</si>
  <si>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</si>
  <si>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</si>
  <si>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</si>
  <si>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</si>
  <si>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</si>
  <si>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</si>
  <si>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</si>
  <si>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</si>
  <si>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</si>
  <si>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</si>
  <si>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</si>
  <si>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</si>
  <si>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</si>
  <si>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</si>
  <si>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</si>
  <si>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</si>
  <si>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</si>
  <si>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</si>
  <si>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</si>
  <si>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</si>
  <si>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</si>
  <si>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</si>
  <si>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</si>
  <si>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</si>
  <si>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</si>
  <si>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</si>
  <si>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</si>
  <si>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</si>
  <si>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</si>
  <si>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</si>
  <si>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</si>
  <si>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</si>
  <si>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</si>
  <si>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</si>
  <si>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</si>
  <si>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</si>
  <si>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200, 210, 216, 230, 238, 244</t>
  </si>
  <si>
    <t>Outreach to potential owner or operators of stationary internal combustion engines</t>
  </si>
  <si>
    <t xml:space="preserve">The Air Quality Regional Management Team does not want to implement the federal stationary internal combustion engine standards until they know how many engines there are in the Oregon and that we have developed a comprehensive implementation plan. </t>
  </si>
  <si>
    <t>The goal of this rulemaking is to addess the following problems that relate to changes in federal air quality regulations: management of DEQ workload; regulatory burden on businesses; changes to existing federal regulations; and adoption of new federal regulations.</t>
  </si>
  <si>
    <t>Addressing changes to federal air quality regulations and reducing DEQ's workload and the regulatory burden on businesses.</t>
  </si>
  <si>
    <t>Adopt new federal air quality regulations and reduce the number of permits.</t>
  </si>
  <si>
    <t xml:space="preserve">The proposed rules would adopt new and amended federal air quality regulations and related permit rules. </t>
  </si>
  <si>
    <t xml:space="preserve">This rulemking would adopt new national standards for sources such as boilers, solid waste incinerators, and stationary internal combustion engines. The rulemaking would also exempt some currently permitted gasoline dispensing facilities and metal fabrication and finishing operations from permitting and instead require them to register with DEQ. </t>
  </si>
  <si>
    <t>Emissions reductions and fuel savings will not happen.</t>
  </si>
  <si>
    <t xml:space="preserve">EPA is not in a position to implement the new federal regulations for boilers, solid waste incinerators, and stationary internal combustion engines. It is estimated that these regulations will reduce hazardous air pollutant emissions by over 18 million pounds per year and fuel usage by over 86 trillion Btus per year nationally. If DEQ does not implement the new federal regulations, it is unlikely that emission reductions and fuel savings will happen in Oregon.  </t>
  </si>
  <si>
    <t xml:space="preserve">Plan is to have one hearing in Portland, but allow teleconferencing into the hearing at DEQ's Bend and Medford offices. </t>
  </si>
  <si>
    <t xml:space="preserve">The adoption of new federal requirements will trigger a requirement that affected sources obtain a permit. To minimize the number of new permits, this rulemaking will maintain the current permitting threshold for boilers and slightly lower the permitting threshold for stationary internal combustion engines to align with the more significant requirements in the federal regulations. Raising the permitting threshold for gasoline dispensing facilities and metal fabrication and finishing operations will require the cancellation of several hundred permits.   </t>
  </si>
  <si>
    <t>Fee-funded</t>
  </si>
  <si>
    <t>EPA identified boilers, solid waste incinerators, and stationary internal combustion engines as emitters of one or more of the 33 hazardous air pollutants that pose the greatest risk to public health in urban areas. Many of the hazardous air pollutants are also of particular concern in Oregon. For instance, boilers, solid waste incinerators, and stationary internal combustion engines emit mercury, which can impair neurological development and cause neurological damage, and is a toxic of concern in Oregon.</t>
  </si>
  <si>
    <t>Program Operations</t>
  </si>
  <si>
    <t>X</t>
  </si>
  <si>
    <t>Existing databases will support implementation of this rulemaking.</t>
  </si>
  <si>
    <t xml:space="preserve"> ORS 468.020, 468A.025, 468A.035, 468A.040, 468A.050 and 468A.310</t>
  </si>
  <si>
    <t>http://www.deq.state.or.us/regulations/statutes.htm</t>
  </si>
  <si>
    <t>Compliance dates of new federal standards.</t>
  </si>
  <si>
    <t>Address federal air quality regulations in Oregon rules</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</si>
</sst>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36">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s>
  <fills count="31">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04">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 fontId="51" fillId="10" borderId="5" xfId="0" applyNumberFormat="1" applyFont="1" applyFill="1" applyBorder="1" applyAlignment="1" applyProtection="1">
      <alignment horizontal="center"/>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64" fontId="0" fillId="10" borderId="5" xfId="0" applyFill="1" applyBorder="1" applyAlignment="1"/>
    <xf numFmtId="164" fontId="0" fillId="10" borderId="5" xfId="0" applyFill="1" applyBorder="1" applyAlignment="1">
      <alignment horizontal="center"/>
    </xf>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64" fontId="4" fillId="10" borderId="17"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 fontId="51" fillId="10" borderId="57" xfId="0" applyNumberFormat="1" applyFont="1" applyFill="1" applyBorder="1" applyAlignment="1">
      <alignment horizontal="left" vertical="center"/>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51" fillId="10" borderId="2" xfId="0" applyNumberFormat="1" applyFont="1" applyFill="1" applyBorder="1" applyAlignment="1">
      <alignment vertical="center" wrapText="1"/>
    </xf>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 fontId="46" fillId="10" borderId="5" xfId="0" applyNumberFormat="1" applyFont="1" applyFill="1" applyBorder="1"/>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2" fillId="0" borderId="2" xfId="1" applyBorder="1" applyAlignment="1" applyProtection="1">
      <protection locked="0"/>
    </xf>
    <xf numFmtId="164" fontId="2" fillId="0" borderId="3" xfId="1" applyBorder="1" applyAlignment="1" applyProtection="1">
      <protection locked="0"/>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 fillId="2" borderId="0" xfId="1" applyNumberForma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 fillId="0" borderId="0" xfId="1" applyBorder="1" applyAlignment="1" applyProtection="1">
      <protection locked="0"/>
    </xf>
    <xf numFmtId="164" fontId="100" fillId="2" borderId="0" xfId="0" applyFont="1" applyFill="1" applyBorder="1" applyAlignment="1" applyProtection="1">
      <alignment horizontal="center"/>
    </xf>
    <xf numFmtId="164" fontId="2" fillId="0" borderId="2" xfId="1" applyBorder="1" applyAlignment="1" applyProtection="1">
      <alignment horizontal="left"/>
      <protection locked="0"/>
    </xf>
    <xf numFmtId="164" fontId="2" fillId="0" borderId="3" xfId="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51" fillId="10" borderId="5" xfId="0" applyFont="1" applyFill="1" applyBorder="1" applyAlignment="1">
      <alignment vertical="top" wrapText="1"/>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0" fontId="2" fillId="0" borderId="5" xfId="1" applyNumberFormat="1" applyBorder="1" applyAlignment="1" applyProtection="1">
      <alignmen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164" fontId="96" fillId="0" borderId="2" xfId="0" applyFont="1" applyBorder="1" applyAlignment="1" applyProtection="1">
      <alignment horizontal="left" vertical="top"/>
      <protection locked="0"/>
    </xf>
    <xf numFmtId="164" fontId="96" fillId="0" borderId="3" xfId="0" applyFont="1" applyBorder="1" applyAlignment="1" applyProtection="1">
      <alignment horizontal="left" vertical="top"/>
      <protection locked="0"/>
    </xf>
    <xf numFmtId="164" fontId="96" fillId="0" borderId="4" xfId="0" applyFont="1" applyBorder="1" applyAlignment="1" applyProtection="1">
      <alignment horizontal="left" vertical="top"/>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8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85"/>
    </tableStyle>
    <tableStyle name="Table Style 2" pivot="0" count="1">
      <tableStyleElement type="wholeTable" dxfId="384"/>
    </tableStyle>
    <tableStyle name="TableStyleMedium9 2" pivot="0" count="7">
      <tableStyleElement type="wholeTable" dxfId="383"/>
      <tableStyleElement type="headerRow" dxfId="382"/>
      <tableStyleElement type="totalRow" dxfId="381"/>
      <tableStyleElement type="firstColumn" dxfId="380"/>
      <tableStyleElement type="lastColumn" dxfId="379"/>
      <tableStyleElement type="firstRowStripe" dxfId="378"/>
      <tableStyleElement type="firstColumnStripe" dxfId="377"/>
    </tableStyle>
    <tableStyle name="TableStyleMedium9 3" pivot="0" count="7">
      <tableStyleElement type="wholeTable" dxfId="376"/>
      <tableStyleElement type="headerRow" dxfId="375"/>
      <tableStyleElement type="totalRow" dxfId="374"/>
      <tableStyleElement type="firstColumn" dxfId="373"/>
      <tableStyleElement type="lastColumn" dxfId="372"/>
      <tableStyleElement type="firstRowStripe" dxfId="371"/>
      <tableStyleElement type="firstColumnStripe" dxfId="370"/>
    </tableStyle>
    <tableStyle name="TimeTable" pivot="0" count="1">
      <tableStyleElement type="wholeTable" dxfId="36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215225</xdr:colOff>
      <xdr:row>5</xdr:row>
      <xdr:rowOff>741066</xdr:rowOff>
    </xdr:to>
    <xdr:sp macro="" textlink="">
      <xdr:nvSpPr>
        <xdr:cNvPr id="6" name="TextBox 5"/>
        <xdr:cNvSpPr txBox="1"/>
      </xdr:nvSpPr>
      <xdr:spPr>
        <a:xfrm>
          <a:off x="552449" y="3400424"/>
          <a:ext cx="1929726" cy="741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4811376"/>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2163425"/>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68">
  <autoFilter ref="A2:AH421"/>
  <tableColumns count="34">
    <tableColumn id="1" name="Version" dataDxfId="367"/>
    <tableColumn id="2" name="Error ID" dataDxfId="366"/>
    <tableColumn id="3" name="Date" dataDxfId="365"/>
    <tableColumn id="4" name="Staff"/>
    <tableColumn id="5" name="Worksheet"/>
    <tableColumn id="6" name="Cell" dataDxfId="364"/>
    <tableColumn id="7" name="Problem" dataDxfId="363"/>
    <tableColumn id="8" name="Solution" dataDxfId="362"/>
    <tableColumn id="9" name="Date2" dataDxfId="361"/>
    <tableColumn id="10" name="Base" dataDxfId="360"/>
    <tableColumn id="11" name="All" dataDxfId="35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58"/>
    <tableColumn id="32" name="21" dataDxfId="357"/>
    <tableColumn id="33" name="22" dataDxfId="356"/>
    <tableColumn id="34" name="23" dataDxfId="35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hyperlink" Target="http://www.deq.state.or.us/regulations/statutes.htm" TargetMode="External"/><Relationship Id="rId7" Type="http://schemas.openxmlformats.org/officeDocument/2006/relationships/comments" Target="../comments10.xml"/><Relationship Id="rId2" Type="http://schemas.openxmlformats.org/officeDocument/2006/relationships/hyperlink" Target="http://www.deq.state.or.us/regulations/statutes.htm" TargetMode="External"/><Relationship Id="rId1" Type="http://schemas.openxmlformats.org/officeDocument/2006/relationships/hyperlink" Target="http://www.deq.state.or.us/regulations/statutes.htm" TargetMode="External"/><Relationship Id="rId6" Type="http://schemas.openxmlformats.org/officeDocument/2006/relationships/vmlDrawing" Target="../drawings/vmlDrawing10.vm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88"/>
  <sheetViews>
    <sheetView topLeftCell="A111" workbookViewId="0">
      <selection activeCell="A120" sqref="A120:B126"/>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407</v>
      </c>
      <c r="C65" s="106" t="s">
        <v>126</v>
      </c>
      <c r="D65" s="106" t="s">
        <v>127</v>
      </c>
      <c r="E65" s="106" t="s">
        <v>128</v>
      </c>
      <c r="F65" s="106" t="s">
        <v>129</v>
      </c>
      <c r="G65" s="71"/>
      <c r="H65" s="71"/>
      <c r="I65" s="71"/>
      <c r="J65" s="71"/>
      <c r="K65" s="71"/>
      <c r="L65" s="71"/>
    </row>
    <row r="66" spans="1:12">
      <c r="A66" s="105" t="s">
        <v>407</v>
      </c>
      <c r="B66" s="107" t="s">
        <v>0</v>
      </c>
      <c r="C66" s="107" t="s">
        <v>171</v>
      </c>
      <c r="D66" s="107" t="s">
        <v>384</v>
      </c>
      <c r="E66" s="107" t="s">
        <v>179</v>
      </c>
      <c r="F66" s="107" t="s">
        <v>382</v>
      </c>
      <c r="G66" s="71"/>
      <c r="H66" s="71"/>
      <c r="I66" s="71"/>
      <c r="J66" s="71"/>
      <c r="K66" s="71"/>
      <c r="L66" s="71"/>
    </row>
    <row r="67" spans="1:12">
      <c r="A67" s="105" t="str">
        <f>C.PermitType1</f>
        <v>Air quality</v>
      </c>
      <c r="B67" s="107" t="s">
        <v>0</v>
      </c>
      <c r="C67" s="107" t="s">
        <v>170</v>
      </c>
      <c r="D67" s="107" t="s">
        <v>172</v>
      </c>
      <c r="E67" s="107" t="s">
        <v>380</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383</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381</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507</v>
      </c>
      <c r="B119" s="94" t="s">
        <v>506</v>
      </c>
      <c r="C119" s="71"/>
      <c r="D119" s="71"/>
      <c r="E119" s="71"/>
      <c r="F119" s="71"/>
      <c r="G119" s="71"/>
      <c r="H119" s="71"/>
      <c r="I119" s="71"/>
      <c r="J119" s="71"/>
      <c r="K119" s="71"/>
    </row>
    <row r="120" spans="1:11">
      <c r="A120" s="88" t="s">
        <v>426</v>
      </c>
      <c r="B120" s="1035" t="s">
        <v>499</v>
      </c>
      <c r="C120" s="71"/>
      <c r="D120" s="71"/>
      <c r="E120" s="71"/>
      <c r="F120" s="71"/>
      <c r="G120" s="71"/>
      <c r="H120" s="71"/>
      <c r="I120" s="71"/>
      <c r="J120" s="71"/>
      <c r="K120" s="71"/>
    </row>
    <row r="121" spans="1:11">
      <c r="A121" s="88" t="s">
        <v>427</v>
      </c>
      <c r="B121" s="1035" t="s">
        <v>500</v>
      </c>
      <c r="C121" s="71"/>
      <c r="D121" s="71"/>
      <c r="E121" s="71"/>
      <c r="F121" s="71"/>
      <c r="G121" s="71"/>
      <c r="H121" s="71"/>
      <c r="I121" s="71"/>
      <c r="J121" s="71"/>
      <c r="K121" s="71"/>
    </row>
    <row r="122" spans="1:11">
      <c r="A122" s="88" t="s">
        <v>428</v>
      </c>
      <c r="B122" s="1035" t="s">
        <v>501</v>
      </c>
      <c r="C122" s="71"/>
      <c r="D122" s="71"/>
      <c r="E122" s="71"/>
      <c r="F122" s="71"/>
      <c r="G122" s="71"/>
      <c r="H122" s="71"/>
      <c r="I122" s="71"/>
      <c r="J122" s="71"/>
      <c r="K122" s="71"/>
    </row>
    <row r="123" spans="1:11">
      <c r="A123" s="88" t="s">
        <v>429</v>
      </c>
      <c r="B123" s="1035" t="s">
        <v>502</v>
      </c>
      <c r="C123" s="71"/>
      <c r="D123" s="71"/>
      <c r="E123" s="71"/>
      <c r="F123" s="71"/>
      <c r="G123" s="71"/>
      <c r="H123" s="71"/>
      <c r="I123" s="71"/>
      <c r="J123" s="71"/>
      <c r="K123" s="71"/>
    </row>
    <row r="124" spans="1:11">
      <c r="A124" s="88" t="s">
        <v>430</v>
      </c>
      <c r="B124" s="1035" t="s">
        <v>503</v>
      </c>
      <c r="C124" s="71"/>
      <c r="D124" s="71"/>
      <c r="E124" s="71"/>
      <c r="F124" s="71"/>
      <c r="G124" s="71"/>
      <c r="H124" s="71"/>
      <c r="I124" s="71"/>
      <c r="J124" s="71"/>
      <c r="K124" s="71"/>
    </row>
    <row r="125" spans="1:11">
      <c r="A125" s="88" t="s">
        <v>431</v>
      </c>
      <c r="B125" s="1035" t="s">
        <v>504</v>
      </c>
      <c r="C125" s="71"/>
      <c r="D125" s="71"/>
      <c r="E125" s="71"/>
      <c r="F125" s="71"/>
      <c r="G125" s="71"/>
      <c r="H125" s="71"/>
      <c r="I125" s="71"/>
      <c r="J125" s="71"/>
      <c r="K125" s="71"/>
    </row>
    <row r="126" spans="1:11">
      <c r="A126" s="88" t="s">
        <v>432</v>
      </c>
      <c r="B126" s="1035" t="s">
        <v>505</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508</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509</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6" t="s">
        <v>158</v>
      </c>
      <c r="B151" s="606"/>
      <c r="C151" s="75"/>
      <c r="D151" s="75"/>
      <c r="E151" s="71"/>
      <c r="F151" s="71"/>
      <c r="G151" s="71"/>
      <c r="H151" s="71"/>
      <c r="I151" s="71"/>
      <c r="J151" s="71"/>
      <c r="K151" s="71"/>
    </row>
    <row r="152" spans="1:11">
      <c r="A152" s="606"/>
      <c r="B152" s="606"/>
      <c r="C152" s="75"/>
      <c r="D152" s="75"/>
      <c r="E152" s="71"/>
      <c r="F152" s="71"/>
      <c r="G152" s="71"/>
      <c r="H152" s="71"/>
      <c r="I152" s="71"/>
      <c r="J152" s="71"/>
      <c r="K152" s="71"/>
    </row>
    <row r="153" spans="1:11">
      <c r="A153" s="96" t="s">
        <v>510</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373</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205</v>
      </c>
      <c r="B187" s="78">
        <v>6</v>
      </c>
      <c r="C187" s="75"/>
      <c r="D187" s="75"/>
      <c r="E187" s="71"/>
      <c r="F187" s="71"/>
      <c r="G187" s="71"/>
      <c r="H187" s="71"/>
      <c r="I187" s="71"/>
      <c r="J187" s="71"/>
      <c r="K187" s="71"/>
    </row>
    <row r="188" spans="1:11">
      <c r="A188" s="88" t="s">
        <v>14</v>
      </c>
      <c r="B188" s="78">
        <v>8</v>
      </c>
      <c r="C188" s="75"/>
      <c r="D188" s="75"/>
      <c r="E188" s="71"/>
      <c r="F188" s="71"/>
      <c r="G188" s="71"/>
      <c r="H188" s="71"/>
      <c r="I188" s="71"/>
      <c r="J188" s="71"/>
      <c r="K188" s="71"/>
    </row>
    <row r="189" spans="1:11">
      <c r="A189" s="88" t="s">
        <v>15</v>
      </c>
      <c r="B189" s="78">
        <v>10</v>
      </c>
      <c r="C189" s="71"/>
      <c r="D189" s="71"/>
      <c r="E189" s="71"/>
      <c r="F189" s="71"/>
      <c r="G189" s="71"/>
      <c r="H189" s="71"/>
      <c r="I189" s="71"/>
      <c r="J189" s="71"/>
      <c r="K189" s="71"/>
    </row>
    <row r="190" spans="1:11">
      <c r="A190" s="83" t="s">
        <v>157</v>
      </c>
      <c r="B190" s="84"/>
      <c r="C190" s="71"/>
      <c r="D190" s="71"/>
      <c r="E190" s="71"/>
      <c r="F190" s="71"/>
      <c r="G190" s="71"/>
      <c r="H190" s="71"/>
      <c r="I190" s="71"/>
      <c r="J190" s="71"/>
      <c r="K190" s="71"/>
    </row>
    <row r="191" spans="1:11">
      <c r="A191" s="84"/>
      <c r="B191" s="84"/>
      <c r="C191" s="71"/>
      <c r="D191" s="71"/>
      <c r="E191" s="71"/>
      <c r="F191" s="71"/>
      <c r="G191" s="71"/>
      <c r="H191" s="71"/>
      <c r="I191" s="71"/>
      <c r="J191" s="71"/>
      <c r="K191" s="71"/>
    </row>
    <row r="192" spans="1:11" ht="22.5">
      <c r="A192" s="91" t="s">
        <v>159</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c r="A194" s="82" t="s">
        <v>134</v>
      </c>
      <c r="B194" s="84"/>
      <c r="C194" s="71"/>
      <c r="D194" s="71"/>
      <c r="E194" s="71"/>
      <c r="F194" s="71"/>
      <c r="G194" s="71"/>
      <c r="H194" s="71"/>
      <c r="I194" s="71"/>
      <c r="J194" s="71"/>
      <c r="K194" s="71"/>
    </row>
    <row r="195" spans="1:11">
      <c r="A195" s="102" t="s">
        <v>0</v>
      </c>
      <c r="B195" s="84"/>
      <c r="C195" s="71"/>
      <c r="D195" s="71"/>
      <c r="E195" s="71"/>
      <c r="F195" s="71"/>
      <c r="G195" s="71"/>
      <c r="H195" s="71"/>
      <c r="I195" s="71"/>
      <c r="J195" s="71"/>
      <c r="K195" s="71"/>
    </row>
    <row r="196" spans="1:11">
      <c r="A196" s="102" t="s">
        <v>124</v>
      </c>
      <c r="B196" s="84"/>
      <c r="C196" s="71"/>
      <c r="D196" s="71"/>
      <c r="E196" s="75"/>
      <c r="F196" s="71"/>
      <c r="G196" s="71"/>
      <c r="H196" s="71"/>
      <c r="I196" s="71"/>
      <c r="J196" s="71"/>
      <c r="K196" s="71"/>
    </row>
    <row r="197" spans="1:11">
      <c r="A197" s="84"/>
      <c r="B197" s="84"/>
      <c r="C197" s="71"/>
      <c r="D197" s="71"/>
      <c r="E197" s="75"/>
      <c r="F197" s="71"/>
      <c r="G197" s="71"/>
      <c r="H197" s="71"/>
      <c r="I197" s="71"/>
      <c r="J197" s="71"/>
      <c r="K197" s="71"/>
    </row>
    <row r="198" spans="1:11">
      <c r="A198" s="82" t="s">
        <v>135</v>
      </c>
      <c r="B198" s="84"/>
      <c r="C198" s="71"/>
      <c r="D198" s="71"/>
      <c r="E198" s="75"/>
      <c r="F198" s="71"/>
      <c r="G198" s="71"/>
      <c r="H198" s="71"/>
      <c r="I198" s="71"/>
      <c r="J198" s="71"/>
      <c r="K198" s="71"/>
    </row>
    <row r="199" spans="1:11" ht="24.75" customHeight="1">
      <c r="A199" s="102" t="s">
        <v>0</v>
      </c>
      <c r="B199" s="84"/>
      <c r="C199" s="71"/>
      <c r="D199" s="71"/>
      <c r="E199" s="75"/>
      <c r="F199" s="71"/>
      <c r="G199" s="71"/>
      <c r="H199" s="71"/>
      <c r="I199" s="71"/>
      <c r="J199" s="71"/>
      <c r="K199" s="71"/>
    </row>
    <row r="200" spans="1:11">
      <c r="A200" s="102" t="b">
        <v>1</v>
      </c>
      <c r="B200" s="84"/>
      <c r="C200" s="71"/>
      <c r="D200" s="71"/>
      <c r="E200" s="71"/>
      <c r="F200" s="71"/>
      <c r="G200" s="71"/>
      <c r="H200" s="71"/>
      <c r="I200" s="71"/>
      <c r="J200" s="71"/>
      <c r="K200" s="71"/>
    </row>
    <row r="201" spans="1:11">
      <c r="A201" s="84"/>
      <c r="B201" s="84"/>
      <c r="C201" s="71"/>
      <c r="D201" s="71"/>
      <c r="E201" s="71"/>
      <c r="F201" s="71"/>
      <c r="G201" s="71"/>
      <c r="H201" s="71"/>
      <c r="I201" s="71"/>
      <c r="J201" s="71"/>
      <c r="K201" s="71"/>
    </row>
    <row r="202" spans="1:11">
      <c r="A202" s="84"/>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row>
    <row r="1822" spans="1:11">
      <c r="A1822" s="84"/>
      <c r="B1822" s="84"/>
      <c r="C1822" s="71"/>
      <c r="D1822" s="71"/>
      <c r="E1822" s="71"/>
      <c r="F1822" s="71"/>
      <c r="G1822" s="71"/>
      <c r="H1822" s="71"/>
      <c r="I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5">
      <c r="A1969" s="84"/>
      <c r="B1969" s="84"/>
      <c r="C1969" s="71"/>
      <c r="D1969" s="71"/>
      <c r="E1969" s="71"/>
    </row>
    <row r="1970" spans="1:5">
      <c r="A1970" s="84"/>
      <c r="B1970" s="84"/>
      <c r="C1970" s="71"/>
      <c r="D1970" s="71"/>
      <c r="E1970" s="71"/>
    </row>
    <row r="1971" spans="1:5">
      <c r="A1971" s="84"/>
      <c r="B1971" s="84"/>
      <c r="C1971" s="71"/>
      <c r="D1971" s="71"/>
      <c r="E1971" s="71"/>
    </row>
    <row r="1972" spans="1:5">
      <c r="A1972" s="84"/>
      <c r="B1972" s="84"/>
      <c r="C1972" s="71"/>
      <c r="D1972" s="71"/>
      <c r="E1972" s="71"/>
    </row>
    <row r="1973" spans="1:5">
      <c r="A1973" s="84"/>
      <c r="B1973" s="84"/>
      <c r="C1973" s="71"/>
      <c r="D1973" s="71"/>
      <c r="E1973" s="71"/>
    </row>
    <row r="1974" spans="1:5">
      <c r="A1974" s="84"/>
      <c r="B1974" s="84"/>
      <c r="C1974" s="71"/>
      <c r="D1974" s="71"/>
      <c r="E1974" s="71"/>
    </row>
    <row r="1975" spans="1:5">
      <c r="A1975" s="84"/>
      <c r="B1975" s="84"/>
      <c r="C1975" s="71"/>
      <c r="D1975" s="71"/>
      <c r="E1975" s="71"/>
    </row>
    <row r="1976" spans="1:5">
      <c r="A1976" s="84"/>
      <c r="B1976" s="84"/>
      <c r="C1976" s="71"/>
      <c r="D1976" s="71"/>
      <c r="E1976" s="71"/>
    </row>
    <row r="1977" spans="1:5">
      <c r="A1977" s="84"/>
      <c r="B1977" s="84"/>
      <c r="C1977" s="71"/>
      <c r="D1977" s="71"/>
      <c r="E1977" s="71"/>
    </row>
    <row r="1978" spans="1:5">
      <c r="A1978" s="84"/>
      <c r="B1978" s="84"/>
      <c r="C1978" s="71"/>
      <c r="D1978" s="71"/>
      <c r="E1978" s="71"/>
    </row>
    <row r="1979" spans="1:5">
      <c r="A1979" s="84"/>
      <c r="B1979" s="84"/>
      <c r="C1979" s="71"/>
      <c r="D1979" s="71"/>
      <c r="E1979" s="71"/>
    </row>
    <row r="1980" spans="1:5">
      <c r="A1980" s="84"/>
      <c r="B1980" s="84"/>
      <c r="C1980" s="71"/>
      <c r="D1980" s="71"/>
      <c r="E1980" s="71"/>
    </row>
    <row r="1981" spans="1:5">
      <c r="A1981" s="84"/>
      <c r="B1981" s="84"/>
      <c r="C1981" s="71"/>
      <c r="D1981" s="71"/>
      <c r="E1981" s="71"/>
    </row>
    <row r="1982" spans="1:5">
      <c r="A1982" s="84"/>
      <c r="B1982" s="84"/>
      <c r="C1982" s="71"/>
      <c r="D1982" s="71"/>
      <c r="E1982" s="71"/>
    </row>
    <row r="1983" spans="1:5">
      <c r="A1983" s="84"/>
      <c r="B1983" s="84"/>
      <c r="C1983" s="71"/>
      <c r="D1983" s="71"/>
      <c r="E1983" s="71"/>
    </row>
    <row r="1984" spans="1:5">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row>
  </sheetData>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workbookViewId="0">
      <selection activeCell="F17" sqref="F17:H17"/>
    </sheetView>
  </sheetViews>
  <sheetFormatPr defaultRowHeight="15.75" outlineLevelCol="1"/>
  <cols>
    <col min="1" max="1" width="13.75" style="604"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33" hidden="1" customWidth="1" outlineLevel="1"/>
    <col min="27" max="27" width="9" style="178" hidden="1" customWidth="1" outlineLevel="1"/>
    <col min="28" max="29" width="4.25" style="1033" hidden="1" customWidth="1" outlineLevel="1"/>
    <col min="30" max="30" width="23.875" style="881" hidden="1" customWidth="1" outlineLevel="1"/>
    <col min="31" max="31" width="13.75" style="178" hidden="1" customWidth="1" outlineLevel="1"/>
    <col min="32" max="32" width="9" style="178" collapsed="1"/>
    <col min="33" max="16384" width="9" style="178"/>
  </cols>
  <sheetData>
    <row r="1" spans="1:31" ht="21.75" customHeight="1">
      <c r="A1" s="1088" t="s">
        <v>420</v>
      </c>
      <c r="B1" s="566"/>
      <c r="C1" s="566"/>
      <c r="D1" s="566"/>
      <c r="E1" s="566"/>
      <c r="F1" s="566"/>
      <c r="G1" s="566"/>
      <c r="H1" s="566"/>
      <c r="I1" s="566"/>
      <c r="J1" s="566"/>
      <c r="K1" s="566"/>
      <c r="L1" s="566"/>
      <c r="M1" s="566"/>
      <c r="N1" s="566"/>
      <c r="O1" s="566"/>
      <c r="P1" s="566"/>
      <c r="Q1" s="566"/>
      <c r="R1" s="566"/>
      <c r="S1" s="566"/>
      <c r="T1" s="566"/>
      <c r="U1" s="566"/>
      <c r="V1" s="566"/>
    </row>
    <row r="2" spans="1:31" s="74" customFormat="1" ht="30" customHeight="1" thickBot="1">
      <c r="A2" s="604"/>
      <c r="B2" s="566"/>
      <c r="C2" s="1112">
        <v>6</v>
      </c>
      <c r="D2" s="1379" t="s">
        <v>101</v>
      </c>
      <c r="E2" s="1379"/>
      <c r="F2" s="1379"/>
      <c r="G2" s="1365" t="str">
        <f>C.2Name</f>
        <v>Address federal air quality regulations in Oregon rules</v>
      </c>
      <c r="H2" s="1365"/>
      <c r="I2" s="1365"/>
      <c r="J2" s="1365"/>
      <c r="K2" s="1365"/>
      <c r="L2" s="1365"/>
      <c r="M2" s="1365"/>
      <c r="N2" s="1365"/>
      <c r="O2" s="1365"/>
      <c r="P2" s="1365"/>
      <c r="Q2" s="1365"/>
      <c r="R2" s="1365"/>
      <c r="S2" s="1365"/>
      <c r="T2" s="1365"/>
      <c r="U2" s="1114"/>
      <c r="V2" s="566"/>
      <c r="W2" s="180" t="s">
        <v>0</v>
      </c>
      <c r="X2" s="159"/>
      <c r="Y2" s="68"/>
      <c r="Z2" s="68"/>
      <c r="AA2" s="147"/>
      <c r="AB2" s="850"/>
      <c r="AC2" s="850"/>
      <c r="AD2" s="850"/>
      <c r="AE2" s="147"/>
    </row>
    <row r="3" spans="1:31" s="66" customFormat="1" ht="12.75" customHeight="1" thickTop="1">
      <c r="A3" s="604"/>
      <c r="B3" s="566"/>
      <c r="C3" s="1366"/>
      <c r="D3" s="1367"/>
      <c r="E3" s="1367"/>
      <c r="F3" s="1367"/>
      <c r="G3" s="230"/>
      <c r="H3" s="183"/>
      <c r="I3" s="183"/>
      <c r="J3" s="183"/>
      <c r="K3" s="183"/>
      <c r="L3" s="183"/>
      <c r="M3" s="183"/>
      <c r="N3" s="183"/>
      <c r="O3" s="183"/>
      <c r="P3" s="183"/>
      <c r="Q3" s="183"/>
      <c r="R3" s="183"/>
      <c r="S3" s="183"/>
      <c r="T3" s="183"/>
      <c r="U3" s="201"/>
      <c r="V3" s="566"/>
      <c r="W3" s="180"/>
      <c r="X3" s="161"/>
      <c r="Y3" s="179"/>
      <c r="Z3" s="851"/>
      <c r="AA3" s="147"/>
      <c r="AB3" s="850"/>
      <c r="AC3" s="850"/>
      <c r="AD3" s="850"/>
      <c r="AE3" s="147"/>
    </row>
    <row r="4" spans="1:31" s="66" customFormat="1" ht="27" customHeight="1">
      <c r="A4" s="604"/>
      <c r="B4" s="566"/>
      <c r="C4" s="202"/>
      <c r="D4" s="1397" t="s">
        <v>333</v>
      </c>
      <c r="E4" s="1397"/>
      <c r="F4" s="1397"/>
      <c r="G4" s="1397"/>
      <c r="H4" s="1397"/>
      <c r="I4" s="1397"/>
      <c r="J4" s="1397"/>
      <c r="K4" s="1397"/>
      <c r="L4" s="1397"/>
      <c r="M4" s="1397"/>
      <c r="N4" s="1397"/>
      <c r="O4" s="1397"/>
      <c r="P4" s="1397"/>
      <c r="Q4" s="1397"/>
      <c r="R4" s="1397"/>
      <c r="S4" s="1397"/>
      <c r="T4" s="1397"/>
      <c r="U4" s="206"/>
      <c r="V4" s="566"/>
      <c r="W4" s="161"/>
      <c r="X4" s="161"/>
      <c r="Y4" s="146"/>
      <c r="Z4" s="146"/>
      <c r="AA4" s="146"/>
      <c r="AB4" s="146"/>
      <c r="AC4" s="146"/>
      <c r="AD4" s="146"/>
      <c r="AE4" s="146"/>
    </row>
    <row r="5" spans="1:31" s="66" customFormat="1" ht="15.75" customHeight="1">
      <c r="A5" s="604"/>
      <c r="B5" s="566"/>
      <c r="C5" s="202"/>
      <c r="D5" s="1398" t="s">
        <v>1039</v>
      </c>
      <c r="E5" s="1399"/>
      <c r="F5" s="1399"/>
      <c r="G5" s="1399"/>
      <c r="H5" s="1399"/>
      <c r="I5" s="1399"/>
      <c r="J5" s="1399"/>
      <c r="K5" s="1399"/>
      <c r="L5" s="1399"/>
      <c r="M5" s="1399"/>
      <c r="N5" s="1399"/>
      <c r="O5" s="1399"/>
      <c r="P5" s="1399"/>
      <c r="Q5" s="1399"/>
      <c r="R5" s="1399"/>
      <c r="S5" s="1399"/>
      <c r="T5" s="1400"/>
      <c r="U5" s="207"/>
      <c r="V5" s="566"/>
      <c r="W5" s="180" t="s">
        <v>0</v>
      </c>
      <c r="X5" s="161"/>
      <c r="Y5" s="38"/>
      <c r="Z5" s="38"/>
      <c r="AA5" s="38"/>
      <c r="AB5" s="38"/>
      <c r="AC5" s="38"/>
      <c r="AD5" s="38"/>
      <c r="AE5" s="181"/>
    </row>
    <row r="6" spans="1:31" s="849" customFormat="1" ht="15.75" customHeight="1">
      <c r="A6" s="858"/>
      <c r="B6" s="857"/>
      <c r="C6" s="202"/>
      <c r="D6" s="1124"/>
      <c r="E6" s="1124"/>
      <c r="F6" s="1124"/>
      <c r="G6" s="1124"/>
      <c r="H6" s="1124"/>
      <c r="I6" s="1124"/>
      <c r="J6" s="1124"/>
      <c r="K6" s="1124"/>
      <c r="L6" s="1124"/>
      <c r="M6" s="1124"/>
      <c r="N6" s="1124"/>
      <c r="O6" s="1124"/>
      <c r="P6" s="1124"/>
      <c r="Q6" s="1124"/>
      <c r="R6" s="1124"/>
      <c r="S6" s="1124"/>
      <c r="T6" s="1124"/>
      <c r="U6" s="206"/>
      <c r="V6" s="857"/>
      <c r="W6" s="1026"/>
      <c r="X6" s="852"/>
      <c r="Y6" s="38"/>
      <c r="Z6" s="38"/>
      <c r="AA6" s="38"/>
      <c r="AB6" s="38"/>
      <c r="AC6" s="38"/>
      <c r="AD6" s="38"/>
      <c r="AE6" s="226"/>
    </row>
    <row r="7" spans="1:31" s="849" customFormat="1" ht="15.75" customHeight="1">
      <c r="A7" s="858"/>
      <c r="B7" s="857"/>
      <c r="C7" s="202"/>
      <c r="D7" s="1125"/>
      <c r="E7" s="1043"/>
      <c r="F7" s="1403" t="s">
        <v>543</v>
      </c>
      <c r="G7" s="1403"/>
      <c r="H7" s="1403"/>
      <c r="I7" s="1403"/>
      <c r="J7" s="1403"/>
      <c r="K7" s="1403"/>
      <c r="L7" s="1403"/>
      <c r="M7" s="1403"/>
      <c r="N7" s="1403"/>
      <c r="O7" s="1403"/>
      <c r="P7" s="1403"/>
      <c r="Q7" s="1403"/>
      <c r="R7" s="1403"/>
      <c r="S7" s="1403"/>
      <c r="T7" s="1403"/>
      <c r="U7" s="206"/>
      <c r="V7" s="857"/>
      <c r="W7" s="1026"/>
      <c r="X7" s="852"/>
      <c r="Y7" s="38"/>
      <c r="Z7" s="38"/>
      <c r="AA7" s="38"/>
      <c r="AB7" s="38"/>
      <c r="AC7" s="38"/>
      <c r="AD7" s="38"/>
      <c r="AE7" s="226"/>
    </row>
    <row r="8" spans="1:31" s="849" customFormat="1" ht="33.75" customHeight="1">
      <c r="A8" s="858"/>
      <c r="B8" s="857"/>
      <c r="C8" s="202"/>
      <c r="D8" s="662"/>
      <c r="E8" s="1126"/>
      <c r="F8" s="1403"/>
      <c r="G8" s="1403"/>
      <c r="H8" s="1403"/>
      <c r="I8" s="1403"/>
      <c r="J8" s="1403"/>
      <c r="K8" s="1403"/>
      <c r="L8" s="1403"/>
      <c r="M8" s="1403"/>
      <c r="N8" s="1403"/>
      <c r="O8" s="1403"/>
      <c r="P8" s="1403"/>
      <c r="Q8" s="1403"/>
      <c r="R8" s="1403"/>
      <c r="S8" s="1403"/>
      <c r="T8" s="1403"/>
      <c r="U8" s="206"/>
      <c r="V8" s="857"/>
      <c r="W8" s="1026"/>
      <c r="X8" s="852"/>
      <c r="Y8" s="38"/>
      <c r="Z8" s="38"/>
      <c r="AA8" s="38"/>
      <c r="AB8" s="38"/>
      <c r="AC8" s="38"/>
      <c r="AD8" s="38"/>
      <c r="AE8" s="226"/>
    </row>
    <row r="9" spans="1:31" s="66" customFormat="1" ht="24" customHeight="1">
      <c r="A9" s="604"/>
      <c r="B9" s="566"/>
      <c r="C9" s="202"/>
      <c r="D9" s="120"/>
      <c r="E9" s="114"/>
      <c r="F9" s="1405" t="s">
        <v>249</v>
      </c>
      <c r="G9" s="1405"/>
      <c r="H9" s="1405" t="s">
        <v>250</v>
      </c>
      <c r="I9" s="1405"/>
      <c r="J9" s="114"/>
      <c r="K9" s="114"/>
      <c r="L9" s="114"/>
      <c r="M9" s="114"/>
      <c r="N9" s="114"/>
      <c r="O9" s="114"/>
      <c r="P9" s="114"/>
      <c r="Q9" s="114"/>
      <c r="R9" s="114"/>
      <c r="S9" s="114"/>
      <c r="T9" s="114"/>
      <c r="U9" s="206"/>
      <c r="V9" s="566"/>
      <c r="W9" s="227"/>
      <c r="X9" s="161"/>
      <c r="Y9" s="38"/>
      <c r="Z9" s="38"/>
      <c r="AA9" s="38"/>
      <c r="AB9" s="38"/>
      <c r="AC9" s="38"/>
      <c r="AD9" s="38"/>
      <c r="AE9" s="226"/>
    </row>
    <row r="10" spans="1:31" s="66" customFormat="1" ht="12" customHeight="1">
      <c r="A10" s="604"/>
      <c r="B10" s="566"/>
      <c r="C10" s="202"/>
      <c r="D10" s="120"/>
      <c r="E10" s="114"/>
      <c r="F10" s="1042" t="s">
        <v>18</v>
      </c>
      <c r="G10" s="1042" t="s">
        <v>212</v>
      </c>
      <c r="H10" s="239" t="s">
        <v>18</v>
      </c>
      <c r="I10" s="240" t="s">
        <v>212</v>
      </c>
      <c r="J10" s="114"/>
      <c r="K10" s="114"/>
      <c r="L10" s="114"/>
      <c r="M10" s="114"/>
      <c r="N10" s="114"/>
      <c r="O10" s="114"/>
      <c r="P10" s="114"/>
      <c r="Q10" s="114"/>
      <c r="R10" s="114"/>
      <c r="S10" s="114"/>
      <c r="T10" s="114"/>
      <c r="U10" s="206"/>
      <c r="V10" s="566"/>
      <c r="W10" s="1102"/>
      <c r="X10" s="161"/>
      <c r="Y10" s="38"/>
      <c r="Z10" s="38"/>
      <c r="AA10" s="38"/>
      <c r="AB10" s="38"/>
      <c r="AC10" s="38"/>
      <c r="AD10" s="38"/>
      <c r="AE10" s="226"/>
    </row>
    <row r="11" spans="1:31" s="66" customFormat="1" ht="15.75" customHeight="1">
      <c r="A11" s="604"/>
      <c r="B11" s="566"/>
      <c r="C11" s="202"/>
      <c r="D11" s="1393" t="s">
        <v>54</v>
      </c>
      <c r="E11" s="1393"/>
      <c r="F11" s="242">
        <v>2013</v>
      </c>
      <c r="G11" s="243">
        <v>2</v>
      </c>
      <c r="H11" s="236"/>
      <c r="I11" s="236"/>
      <c r="K11" s="374"/>
      <c r="L11" s="374"/>
      <c r="M11" s="374"/>
      <c r="N11" s="374"/>
      <c r="O11" s="374"/>
      <c r="P11" s="374"/>
      <c r="Q11" s="374"/>
      <c r="R11" s="374"/>
      <c r="S11" s="374"/>
      <c r="T11" s="374"/>
      <c r="U11" s="206"/>
      <c r="V11" s="566"/>
      <c r="W11" s="1102" t="s">
        <v>791</v>
      </c>
      <c r="X11" s="161"/>
      <c r="Y11" s="1024" t="str">
        <f>C.6SStartYr &amp;"-Q"&amp;C.6SStartQtr</f>
        <v>2013-Q2</v>
      </c>
      <c r="Z11" s="1039">
        <f>IF(AND(ISODD(C.6SStartYr),C.6SStartQtr&lt;3),7,IF(AND(ISEVEN(C.6SStartYr),C.6SStartQtr=1),7,0))</f>
        <v>7</v>
      </c>
      <c r="AA11" s="235" t="s">
        <v>0</v>
      </c>
      <c r="AB11" s="235"/>
      <c r="AC11" s="235"/>
      <c r="AD11" s="235"/>
      <c r="AE11" s="127"/>
    </row>
    <row r="12" spans="1:31" s="66" customFormat="1" ht="15.75" customHeight="1">
      <c r="A12" s="604"/>
      <c r="B12" s="566"/>
      <c r="C12" s="202"/>
      <c r="D12" s="1393" t="s">
        <v>211</v>
      </c>
      <c r="E12" s="1393"/>
      <c r="F12" s="242">
        <v>2013</v>
      </c>
      <c r="G12" s="243">
        <v>1</v>
      </c>
      <c r="H12" s="1041">
        <v>2013</v>
      </c>
      <c r="I12" s="243">
        <v>1</v>
      </c>
      <c r="J12" s="1388" t="str">
        <f>IF(AD12="not involved",AD12,"")</f>
        <v>not involved</v>
      </c>
      <c r="K12" s="1389"/>
      <c r="L12" s="1389"/>
      <c r="M12" s="1389"/>
      <c r="N12" s="1389"/>
      <c r="O12" s="1389"/>
      <c r="P12" s="1389"/>
      <c r="Q12" s="1389"/>
      <c r="R12" s="1389"/>
      <c r="S12" s="1389"/>
      <c r="T12" s="1389"/>
      <c r="U12" s="882"/>
      <c r="V12" s="566"/>
      <c r="W12" s="1102" t="s">
        <v>791</v>
      </c>
      <c r="X12" s="161"/>
      <c r="Y12" s="1036" t="str">
        <f>C.6SACStartYr&amp;"-Q"&amp;C.6SACStartQtr</f>
        <v>2013-Q1</v>
      </c>
      <c r="Z12" s="1039">
        <f>IF(AND(ISODD(C.6SACStartYr),C.6SACStartQtr&lt;3),7,IF(AND(ISEVEN(C.6SACStartYr),C.6SACStartQtr=1),7,0))</f>
        <v>7</v>
      </c>
      <c r="AA12" s="1037" t="str">
        <f>C.6SACEndYr&amp;"-Q"&amp;C.7SACEndQtr</f>
        <v>2013-Q1</v>
      </c>
      <c r="AB12" s="1039">
        <f>IF(AND(ISODD(C.6SACEndYr),C.7SACEndQtr&lt;3),7,IF(AND(ISEVEN(C.6SACEndYr),C.7SACEndQtr=1),7,0))</f>
        <v>7</v>
      </c>
      <c r="AC12" s="1039">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4"/>
      <c r="B13" s="566"/>
      <c r="C13" s="202"/>
      <c r="D13" s="1393" t="s">
        <v>514</v>
      </c>
      <c r="E13" s="1393"/>
      <c r="F13" s="242">
        <v>2013</v>
      </c>
      <c r="G13" s="243">
        <v>3</v>
      </c>
      <c r="H13" s="1041">
        <v>2013</v>
      </c>
      <c r="I13" s="243">
        <v>3</v>
      </c>
      <c r="J13" s="1388" t="str">
        <f>IF(AD13="not involved",AD13,"")</f>
        <v/>
      </c>
      <c r="K13" s="1389"/>
      <c r="L13" s="1389"/>
      <c r="M13" s="1389"/>
      <c r="N13" s="1389"/>
      <c r="O13" s="1389"/>
      <c r="P13" s="1389"/>
      <c r="Q13" s="1389"/>
      <c r="R13" s="1389"/>
      <c r="S13" s="1389"/>
      <c r="T13" s="1389"/>
      <c r="U13" s="882"/>
      <c r="V13" s="566"/>
      <c r="W13" s="1102" t="s">
        <v>791</v>
      </c>
      <c r="X13" s="161"/>
      <c r="Y13" s="1036" t="str">
        <f>C.6SNoticeStartYr&amp;"-Q"&amp;C.6SNoticeStartQtr</f>
        <v>2013-Q3</v>
      </c>
      <c r="Z13" s="1039">
        <f>IF(AND(ISODD(C.6SNoticeStartYr),C.6SNoticeStartQtr&lt;3),7,IF(AND(ISEVEN(C.6SNoticeStartYr),C.6SNoticeStartQtr=1),7,0))</f>
        <v>0</v>
      </c>
      <c r="AA13" s="1038" t="str">
        <f>C.6SNoticeEndYr&amp;"-Q"&amp;C.6SNoticeEndQtr</f>
        <v>2013-Q3</v>
      </c>
      <c r="AB13" s="1039">
        <f>IF(AND(ISODD(C.6SNoticeEndYr),C.6SNoticeEndQtr&lt;3),7,IF(AND(ISEVEN(C.6SNoticeEndYr),C.6SNoticeEndQtr=1),7,0))</f>
        <v>0</v>
      </c>
      <c r="AC13" s="1039">
        <f>IF(C.6SNoticeEndYr-C.6SNoticeStartYr&gt;0,7,0)</f>
        <v>0</v>
      </c>
      <c r="AD13" s="234" t="str">
        <f>IF('3Stakeholders'!Z50=1,"not involved", C.6SNoticeStart.YrQtr&amp;" to "&amp;C.6SNoticeEnd.YrQtr)</f>
        <v>2013-Q3 to 2013-Q3</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4"/>
      <c r="B14" s="566"/>
      <c r="C14" s="202"/>
      <c r="D14" s="1393" t="s">
        <v>515</v>
      </c>
      <c r="E14" s="1393"/>
      <c r="F14" s="242">
        <v>2013</v>
      </c>
      <c r="G14" s="243">
        <v>4</v>
      </c>
      <c r="H14" s="237"/>
      <c r="I14" s="237"/>
      <c r="J14" s="1391" t="str">
        <f t="shared" ref="J14:J15" si="0">AE14</f>
        <v/>
      </c>
      <c r="K14" s="1391"/>
      <c r="L14" s="1391"/>
      <c r="M14" s="1391"/>
      <c r="N14" s="1391"/>
      <c r="O14" s="1391"/>
      <c r="P14" s="1391"/>
      <c r="Q14" s="1391"/>
      <c r="R14" s="1391"/>
      <c r="S14" s="1391"/>
      <c r="T14" s="1391"/>
      <c r="U14" s="1392"/>
      <c r="V14" s="566"/>
      <c r="W14" s="1102" t="s">
        <v>791</v>
      </c>
      <c r="X14" s="161"/>
      <c r="Y14" s="1036" t="str">
        <f>C.6SEQCYr&amp;"-Q"&amp;C.6SEQCQtr</f>
        <v>2013-Q4</v>
      </c>
      <c r="Z14" s="1039">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4"/>
      <c r="B15" s="566"/>
      <c r="C15" s="202"/>
      <c r="D15" s="1393" t="s">
        <v>55</v>
      </c>
      <c r="E15" s="1393"/>
      <c r="F15" s="242">
        <v>2013</v>
      </c>
      <c r="G15" s="243">
        <v>4</v>
      </c>
      <c r="H15" s="237"/>
      <c r="I15" s="237"/>
      <c r="J15" s="1391" t="str">
        <f t="shared" si="0"/>
        <v/>
      </c>
      <c r="K15" s="1391"/>
      <c r="L15" s="1391"/>
      <c r="M15" s="1391"/>
      <c r="N15" s="1391"/>
      <c r="O15" s="1391"/>
      <c r="P15" s="1391"/>
      <c r="Q15" s="1391"/>
      <c r="R15" s="1391"/>
      <c r="S15" s="1391"/>
      <c r="T15" s="1391"/>
      <c r="U15" s="1392"/>
      <c r="V15" s="566"/>
      <c r="W15" s="1102" t="s">
        <v>791</v>
      </c>
      <c r="X15" s="161"/>
      <c r="Y15" s="123" t="str">
        <f>C.6SEffectiveYr&amp;"-Q"&amp;C.6SEffectiveQtr</f>
        <v>2013-Q4</v>
      </c>
      <c r="Z15" s="1039">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4"/>
      <c r="B16" s="566" t="s">
        <v>0</v>
      </c>
      <c r="C16" s="208"/>
      <c r="D16" s="1401" t="s">
        <v>242</v>
      </c>
      <c r="E16" s="1401"/>
      <c r="F16" s="1401"/>
      <c r="G16" s="231"/>
      <c r="H16" s="183"/>
      <c r="I16" s="183"/>
      <c r="J16" s="183"/>
      <c r="K16" s="183"/>
      <c r="L16" s="198"/>
      <c r="M16" s="194"/>
      <c r="N16" s="194"/>
      <c r="O16" s="194"/>
      <c r="P16" s="194"/>
      <c r="Q16" s="194"/>
      <c r="R16" s="194"/>
      <c r="S16" s="194"/>
      <c r="T16" s="194"/>
      <c r="U16" s="209"/>
      <c r="V16" s="566"/>
      <c r="W16" s="162" t="s">
        <v>0</v>
      </c>
      <c r="X16" s="159"/>
      <c r="Y16" s="1011"/>
      <c r="Z16" s="1011"/>
      <c r="AA16" s="147"/>
      <c r="AB16" s="850"/>
      <c r="AC16" s="850"/>
      <c r="AD16" s="850"/>
      <c r="AE16" s="147"/>
    </row>
    <row r="17" spans="1:31" s="2" customFormat="1" ht="60" customHeight="1">
      <c r="A17" s="604"/>
      <c r="B17" s="566"/>
      <c r="C17" s="208"/>
      <c r="D17" s="244" t="s">
        <v>218</v>
      </c>
      <c r="E17" s="245"/>
      <c r="F17" s="1404" t="s">
        <v>219</v>
      </c>
      <c r="G17" s="1404"/>
      <c r="H17" s="1404"/>
      <c r="I17" s="246"/>
      <c r="J17" s="215"/>
      <c r="K17" s="1402" t="s">
        <v>244</v>
      </c>
      <c r="L17" s="1402"/>
      <c r="M17" s="1402"/>
      <c r="N17" s="1402"/>
      <c r="O17" s="1402"/>
      <c r="P17" s="1402"/>
      <c r="Q17" s="1402"/>
      <c r="R17" s="1402"/>
      <c r="S17" s="1402"/>
      <c r="T17" s="1402"/>
      <c r="U17" s="209"/>
      <c r="V17" s="566"/>
      <c r="W17" s="162" t="s">
        <v>0</v>
      </c>
      <c r="X17" s="174"/>
      <c r="Y17" s="115" t="s">
        <v>0</v>
      </c>
      <c r="Z17" s="115"/>
      <c r="AA17" s="115"/>
      <c r="AB17" s="115"/>
      <c r="AC17" s="115"/>
      <c r="AD17" s="115"/>
      <c r="AE17" s="115" t="s">
        <v>0</v>
      </c>
    </row>
    <row r="18" spans="1:31" s="2" customFormat="1" ht="29.25" customHeight="1">
      <c r="A18" s="604"/>
      <c r="B18" s="566"/>
      <c r="C18" s="211"/>
      <c r="D18" s="1360" t="s">
        <v>217</v>
      </c>
      <c r="E18" s="1361"/>
      <c r="F18" s="1361"/>
      <c r="G18" s="1396"/>
      <c r="H18" s="1396"/>
      <c r="I18" s="1396"/>
      <c r="J18" s="1396"/>
      <c r="K18" s="1347"/>
      <c r="L18" s="1347"/>
      <c r="M18" s="1347"/>
      <c r="N18" s="1347"/>
      <c r="O18" s="1347"/>
      <c r="P18" s="1347"/>
      <c r="Q18" s="1347"/>
      <c r="R18" s="1347"/>
      <c r="S18" s="1347"/>
      <c r="T18" s="1347"/>
      <c r="U18" s="212"/>
      <c r="V18" s="566"/>
      <c r="W18" s="173"/>
      <c r="X18" s="159"/>
      <c r="Y18" s="144">
        <v>1</v>
      </c>
      <c r="Z18" s="147" t="s">
        <v>230</v>
      </c>
      <c r="AA18" s="56"/>
      <c r="AB18" s="56"/>
      <c r="AC18" s="56"/>
      <c r="AD18" s="850"/>
      <c r="AE18" s="1002" t="str">
        <f>IF(Y18=1,"low",IF(Y18=2,"low/medium",IF(Y18=3,"medium",IF(Y18=4,"medium/high",IF(Y18=5,"high")))))</f>
        <v>low</v>
      </c>
    </row>
    <row r="19" spans="1:31" s="2" customFormat="1" ht="9" customHeight="1">
      <c r="A19" s="858"/>
      <c r="B19" s="857"/>
      <c r="C19" s="211"/>
      <c r="D19" s="1110"/>
      <c r="E19" s="1110"/>
      <c r="F19" s="1110"/>
      <c r="G19" s="1110"/>
      <c r="H19" s="1110"/>
      <c r="I19" s="1110"/>
      <c r="J19" s="1110"/>
      <c r="K19" s="1111"/>
      <c r="L19" s="1111"/>
      <c r="M19" s="1111"/>
      <c r="N19" s="1111"/>
      <c r="O19" s="1111"/>
      <c r="P19" s="1111"/>
      <c r="Q19" s="1111"/>
      <c r="R19" s="1111"/>
      <c r="S19" s="1111"/>
      <c r="T19" s="1111"/>
      <c r="U19" s="212"/>
      <c r="V19" s="857"/>
      <c r="W19" s="173"/>
      <c r="X19" s="159"/>
      <c r="Y19" s="144"/>
      <c r="Z19" s="850"/>
      <c r="AA19" s="56"/>
      <c r="AB19" s="56"/>
      <c r="AC19" s="56"/>
      <c r="AD19" s="850"/>
      <c r="AE19" s="923"/>
    </row>
    <row r="20" spans="1:31" s="66" customFormat="1" ht="46.5" customHeight="1">
      <c r="A20" s="604"/>
      <c r="B20" s="566"/>
      <c r="C20" s="229"/>
      <c r="D20" s="1326" t="s">
        <v>418</v>
      </c>
      <c r="E20" s="1326"/>
      <c r="F20" s="230"/>
      <c r="G20" s="230"/>
      <c r="H20" s="1394" t="s">
        <v>0</v>
      </c>
      <c r="I20" s="1395"/>
      <c r="J20" s="1395"/>
      <c r="K20" s="1320" t="s">
        <v>32</v>
      </c>
      <c r="L20" s="1321"/>
      <c r="M20" s="1321"/>
      <c r="N20" s="1321"/>
      <c r="O20" s="1321"/>
      <c r="P20" s="1321"/>
      <c r="Q20" s="1321"/>
      <c r="R20" s="1321"/>
      <c r="S20" s="1321"/>
      <c r="T20" s="1322"/>
      <c r="U20" s="201"/>
      <c r="V20" s="566"/>
      <c r="W20" s="314" t="s">
        <v>761</v>
      </c>
      <c r="X20" s="161"/>
      <c r="Y20" s="642">
        <f>IF(Y18=1,1,IF(Y18=2,3,IF(Y18=3,5,IF(Y18=4,7,IF(Y18=5,9,IF(Y18=6,10,X21))))))</f>
        <v>1</v>
      </c>
      <c r="Z20" s="1040"/>
      <c r="AA20" s="147"/>
      <c r="AB20" s="850"/>
      <c r="AC20" s="850"/>
      <c r="AD20" s="850"/>
      <c r="AE20" s="147"/>
    </row>
    <row r="21" spans="1:31" s="66" customFormat="1" ht="15.75" customHeight="1">
      <c r="A21" s="604"/>
      <c r="B21" s="566"/>
      <c r="C21" s="202"/>
      <c r="D21" s="238" t="s">
        <v>117</v>
      </c>
      <c r="E21" s="241" t="s">
        <v>0</v>
      </c>
      <c r="F21" s="683"/>
      <c r="G21" s="715"/>
      <c r="H21" s="1390" t="s">
        <v>247</v>
      </c>
      <c r="I21" s="1390"/>
      <c r="J21" s="1390"/>
      <c r="K21" s="199">
        <v>1</v>
      </c>
      <c r="L21" s="184">
        <v>2</v>
      </c>
      <c r="M21" s="185">
        <v>3</v>
      </c>
      <c r="N21" s="186">
        <v>4</v>
      </c>
      <c r="O21" s="187">
        <v>5</v>
      </c>
      <c r="P21" s="188">
        <v>6</v>
      </c>
      <c r="Q21" s="189">
        <v>7</v>
      </c>
      <c r="R21" s="190">
        <v>8</v>
      </c>
      <c r="S21" s="191">
        <v>9</v>
      </c>
      <c r="T21" s="192">
        <v>10</v>
      </c>
      <c r="U21" s="205"/>
      <c r="V21" s="566"/>
      <c r="W21" s="314" t="s">
        <v>762</v>
      </c>
      <c r="X21" s="167"/>
      <c r="Y21" s="417">
        <f>VLOOKUP($K20,C.VL_ComplexityRating,2,FALSE)</f>
        <v>3</v>
      </c>
      <c r="Z21" s="34"/>
      <c r="AA21" s="880" t="str">
        <f>K20</f>
        <v>potential for minor complexity</v>
      </c>
      <c r="AB21" s="32"/>
      <c r="AC21" s="32"/>
      <c r="AD21" s="850"/>
      <c r="AE21" s="147"/>
    </row>
    <row r="22" spans="1:31" s="9" customFormat="1" ht="15.75" customHeight="1">
      <c r="A22" s="604"/>
      <c r="B22" s="566"/>
      <c r="C22" s="203"/>
      <c r="D22" s="238" t="s">
        <v>241</v>
      </c>
      <c r="E22" s="241" t="s">
        <v>0</v>
      </c>
      <c r="F22" s="659"/>
      <c r="G22" s="659"/>
      <c r="H22" s="659"/>
      <c r="I22" s="659"/>
      <c r="J22" s="659"/>
      <c r="K22" s="659"/>
      <c r="L22" s="659"/>
      <c r="M22" s="659"/>
      <c r="N22" s="659"/>
      <c r="O22" s="659"/>
      <c r="P22" s="659"/>
      <c r="Q22" s="659"/>
      <c r="R22" s="659"/>
      <c r="S22" s="659"/>
      <c r="T22" s="659"/>
      <c r="U22" s="688"/>
      <c r="V22" s="566"/>
      <c r="Y22" s="58"/>
      <c r="Z22" s="58"/>
      <c r="AA22" s="58"/>
      <c r="AB22" s="58"/>
      <c r="AC22" s="58"/>
      <c r="AD22" s="58"/>
      <c r="AE22" s="147"/>
    </row>
    <row r="23" spans="1:31" s="9" customFormat="1" ht="15.75" customHeight="1">
      <c r="A23" s="604"/>
      <c r="B23" s="566"/>
      <c r="C23" s="203"/>
      <c r="D23" s="238" t="s">
        <v>99</v>
      </c>
      <c r="E23" s="241" t="s">
        <v>0</v>
      </c>
      <c r="F23" s="659"/>
      <c r="G23" s="659"/>
      <c r="H23" s="659"/>
      <c r="I23" s="659"/>
      <c r="J23" s="659"/>
      <c r="K23" s="659"/>
      <c r="L23" s="659"/>
      <c r="M23" s="659"/>
      <c r="N23" s="659"/>
      <c r="O23" s="659"/>
      <c r="P23" s="659"/>
      <c r="Q23" s="659"/>
      <c r="R23" s="659"/>
      <c r="S23" s="659"/>
      <c r="T23" s="659"/>
      <c r="U23" s="688"/>
      <c r="V23" s="566"/>
      <c r="Y23" s="58"/>
      <c r="Z23" s="58"/>
      <c r="AA23" s="58"/>
      <c r="AB23" s="58"/>
      <c r="AC23" s="58"/>
      <c r="AD23" s="58"/>
      <c r="AE23" s="147"/>
    </row>
    <row r="24" spans="1:31" s="66" customFormat="1" ht="30" customHeight="1">
      <c r="A24" s="604"/>
      <c r="B24" s="566"/>
      <c r="C24" s="202"/>
      <c r="D24" s="488" t="s">
        <v>198</v>
      </c>
      <c r="E24" s="196"/>
      <c r="F24" s="196"/>
      <c r="G24" s="196"/>
      <c r="H24" s="196"/>
      <c r="I24" s="196"/>
      <c r="J24" s="196"/>
      <c r="K24" s="196"/>
      <c r="L24" s="196"/>
      <c r="M24" s="196"/>
      <c r="N24" s="196"/>
      <c r="O24" s="196"/>
      <c r="P24" s="196"/>
      <c r="Q24" s="196"/>
      <c r="R24" s="196"/>
      <c r="S24" s="196"/>
      <c r="T24" s="196"/>
      <c r="U24" s="201"/>
      <c r="V24" s="566"/>
      <c r="W24" s="161"/>
      <c r="X24" s="161"/>
      <c r="Y24" s="32"/>
      <c r="Z24" s="32"/>
      <c r="AA24" s="32"/>
      <c r="AB24" s="32"/>
      <c r="AC24" s="32"/>
      <c r="AD24" s="32"/>
      <c r="AE24" s="146"/>
    </row>
    <row r="25" spans="1:31" s="66" customFormat="1" ht="15.75" customHeight="1">
      <c r="A25" s="604"/>
      <c r="B25" s="566"/>
      <c r="C25" s="202"/>
      <c r="D25" s="1235" t="s">
        <v>0</v>
      </c>
      <c r="E25" s="1236"/>
      <c r="F25" s="1236"/>
      <c r="G25" s="1236"/>
      <c r="H25" s="1236"/>
      <c r="I25" s="1236"/>
      <c r="J25" s="1236"/>
      <c r="K25" s="1236"/>
      <c r="L25" s="1236"/>
      <c r="M25" s="1236"/>
      <c r="N25" s="1236"/>
      <c r="O25" s="1236"/>
      <c r="P25" s="1236"/>
      <c r="Q25" s="1236"/>
      <c r="R25" s="1236"/>
      <c r="S25" s="1236"/>
      <c r="T25" s="1237"/>
      <c r="U25" s="201"/>
      <c r="V25" s="566"/>
      <c r="X25" s="161"/>
      <c r="Y25" s="122"/>
      <c r="Z25" s="122"/>
      <c r="AA25" s="147"/>
      <c r="AB25" s="850"/>
      <c r="AC25" s="850"/>
      <c r="AD25" s="850"/>
      <c r="AE25" s="147"/>
    </row>
    <row r="26" spans="1:31" s="66" customFormat="1" ht="22.5" customHeight="1">
      <c r="A26" s="604"/>
      <c r="B26" s="566"/>
      <c r="C26" s="202"/>
      <c r="D26" s="716" t="s">
        <v>266</v>
      </c>
      <c r="E26" s="717"/>
      <c r="F26" s="717"/>
      <c r="G26" s="717"/>
      <c r="H26" s="717"/>
      <c r="I26" s="717"/>
      <c r="J26" s="717"/>
      <c r="K26" s="717"/>
      <c r="L26" s="717"/>
      <c r="M26" s="717"/>
      <c r="N26" s="717"/>
      <c r="O26" s="717"/>
      <c r="P26" s="717"/>
      <c r="Q26" s="717"/>
      <c r="R26" s="717"/>
      <c r="S26" s="717"/>
      <c r="T26" s="717"/>
      <c r="U26" s="295"/>
      <c r="V26" s="566"/>
      <c r="X26" s="161"/>
      <c r="Y26" s="122"/>
      <c r="Z26" s="122"/>
      <c r="AA26" s="147"/>
      <c r="AB26" s="850"/>
      <c r="AC26" s="850"/>
      <c r="AD26" s="850"/>
      <c r="AE26" s="147"/>
    </row>
    <row r="27" spans="1:31" s="66" customFormat="1" ht="15.75" customHeight="1">
      <c r="A27" s="1088" t="s">
        <v>251</v>
      </c>
      <c r="B27" s="566"/>
      <c r="C27" s="202"/>
      <c r="D27" s="1317"/>
      <c r="E27" s="1318"/>
      <c r="F27" s="1318"/>
      <c r="G27" s="1318"/>
      <c r="H27" s="1318"/>
      <c r="I27" s="1318"/>
      <c r="J27" s="1318"/>
      <c r="K27" s="1318"/>
      <c r="L27" s="1318"/>
      <c r="M27" s="1318"/>
      <c r="N27" s="1318"/>
      <c r="O27" s="1318"/>
      <c r="P27" s="1318"/>
      <c r="Q27" s="1318"/>
      <c r="R27" s="1318"/>
      <c r="S27" s="1318"/>
      <c r="T27" s="1319"/>
      <c r="U27" s="201"/>
      <c r="V27" s="566"/>
      <c r="X27" s="161"/>
      <c r="Y27" s="122"/>
      <c r="Z27" s="122"/>
      <c r="AA27" s="147"/>
      <c r="AB27" s="850"/>
      <c r="AC27" s="850"/>
      <c r="AD27" s="850"/>
      <c r="AE27" s="147"/>
    </row>
    <row r="28" spans="1:31">
      <c r="B28" s="566"/>
      <c r="C28" s="213"/>
      <c r="D28" s="214"/>
      <c r="E28" s="214"/>
      <c r="F28" s="214"/>
      <c r="G28" s="214"/>
      <c r="H28" s="1209">
        <f ca="1">TODAY()</f>
        <v>41163</v>
      </c>
      <c r="I28" s="1209"/>
      <c r="J28" s="1209"/>
      <c r="K28" s="1209"/>
      <c r="L28" s="1209"/>
      <c r="M28" s="1209"/>
      <c r="N28" s="1209"/>
      <c r="O28" s="1209"/>
      <c r="P28" s="1209"/>
      <c r="Q28" s="1209"/>
      <c r="R28" s="1209"/>
      <c r="S28" s="1209"/>
      <c r="T28" s="1209"/>
      <c r="U28" s="1210"/>
      <c r="V28" s="566"/>
    </row>
    <row r="29" spans="1:31">
      <c r="B29" s="566"/>
      <c r="C29" s="566"/>
      <c r="D29" s="566"/>
      <c r="E29" s="566"/>
      <c r="F29" s="566"/>
      <c r="G29" s="566"/>
      <c r="H29" s="566"/>
      <c r="I29" s="566"/>
      <c r="J29" s="566"/>
      <c r="K29" s="566"/>
      <c r="L29" s="566"/>
      <c r="M29" s="566"/>
      <c r="N29" s="566"/>
      <c r="O29" s="566"/>
      <c r="P29" s="566"/>
      <c r="Q29" s="566"/>
      <c r="R29" s="566"/>
      <c r="S29" s="566"/>
      <c r="T29" s="566"/>
      <c r="U29" s="566"/>
      <c r="V29" s="566"/>
    </row>
  </sheetData>
  <sheetProtection formatCells="0" formatRows="0" inser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827" yWindow="393" count="11">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F11:F15 H12:H13">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A29" workbookViewId="0">
      <selection activeCell="J49" sqref="J49:S49"/>
    </sheetView>
  </sheetViews>
  <sheetFormatPr defaultRowHeight="15.75" outlineLevelCol="1"/>
  <cols>
    <col min="1" max="1" width="13.75" style="605"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4" customWidth="1"/>
    <col min="23" max="23" width="9" style="160"/>
    <col min="24" max="25" width="9" style="178" hidden="1" customWidth="1" outlineLevel="1"/>
    <col min="26" max="26" width="16.625" style="178" hidden="1" customWidth="1" outlineLevel="1"/>
    <col min="27" max="27" width="8.875" style="380" hidden="1" customWidth="1" outlineLevel="1"/>
    <col min="28" max="28" width="25.75" style="178" hidden="1" customWidth="1" outlineLevel="1"/>
    <col min="29" max="29" width="19.875" customWidth="1" collapsed="1"/>
    <col min="58" max="16384" width="9" style="178"/>
  </cols>
  <sheetData>
    <row r="1" spans="1:59" ht="21" customHeight="1">
      <c r="A1" s="1088" t="s">
        <v>420</v>
      </c>
      <c r="B1" s="566"/>
      <c r="C1" s="566"/>
      <c r="D1" s="566"/>
      <c r="E1" s="566"/>
      <c r="F1" s="566"/>
      <c r="G1" s="566"/>
      <c r="H1" s="566"/>
      <c r="I1" s="566"/>
      <c r="J1" s="566"/>
      <c r="K1" s="566"/>
      <c r="L1" s="566"/>
      <c r="M1" s="566"/>
      <c r="N1" s="566"/>
      <c r="O1" s="566"/>
      <c r="P1" s="566"/>
      <c r="Q1" s="566"/>
      <c r="R1" s="566"/>
      <c r="S1" s="566"/>
      <c r="T1" s="566"/>
      <c r="U1" s="566"/>
      <c r="X1" s="1436" t="s">
        <v>306</v>
      </c>
      <c r="Y1" s="1436"/>
      <c r="Z1" s="1436"/>
      <c r="AA1" s="629"/>
      <c r="AB1" s="147"/>
    </row>
    <row r="2" spans="1:59" s="74" customFormat="1" ht="30" customHeight="1" thickBot="1">
      <c r="A2" s="605"/>
      <c r="B2" s="566"/>
      <c r="C2" s="1112">
        <v>7</v>
      </c>
      <c r="D2" s="1379" t="s">
        <v>298</v>
      </c>
      <c r="E2" s="1379"/>
      <c r="F2" s="1379"/>
      <c r="G2" s="1365" t="str">
        <f>C.2Name</f>
        <v>Address federal air quality regulations in Oregon rules</v>
      </c>
      <c r="H2" s="1365"/>
      <c r="I2" s="1365"/>
      <c r="J2" s="1365"/>
      <c r="K2" s="1365"/>
      <c r="L2" s="1365"/>
      <c r="M2" s="1365"/>
      <c r="N2" s="1365"/>
      <c r="O2" s="1365"/>
      <c r="P2" s="1365"/>
      <c r="Q2" s="1365"/>
      <c r="R2" s="1365"/>
      <c r="S2" s="1365"/>
      <c r="T2" s="1115"/>
      <c r="U2" s="566"/>
      <c r="V2" s="575" t="s">
        <v>0</v>
      </c>
      <c r="W2" s="159"/>
      <c r="X2" s="330" t="s">
        <v>307</v>
      </c>
      <c r="Y2" s="331"/>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4"/>
      <c r="B3" s="566"/>
      <c r="C3" s="346"/>
      <c r="D3" s="746" t="s">
        <v>0</v>
      </c>
      <c r="E3" s="772"/>
      <c r="F3" s="769"/>
      <c r="G3" s="770" t="s">
        <v>0</v>
      </c>
      <c r="U3" s="566"/>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5"/>
      <c r="B4" s="566"/>
      <c r="C4" s="202"/>
      <c r="D4" s="807" t="s">
        <v>345</v>
      </c>
      <c r="E4"/>
      <c r="F4"/>
      <c r="G4" s="114"/>
      <c r="H4" s="662"/>
      <c r="I4" s="683"/>
      <c r="J4" s="683"/>
      <c r="K4" s="683"/>
      <c r="L4" s="683"/>
      <c r="M4" s="683"/>
      <c r="N4" s="683"/>
      <c r="O4" s="683"/>
      <c r="P4" s="683"/>
      <c r="Q4" s="683"/>
      <c r="R4" s="683"/>
      <c r="S4" s="683"/>
      <c r="T4" s="662"/>
      <c r="U4" s="566"/>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5"/>
      <c r="B5" s="566"/>
      <c r="C5" s="202"/>
      <c r="D5" s="405" t="s">
        <v>346</v>
      </c>
      <c r="E5" s="1398" t="s">
        <v>1032</v>
      </c>
      <c r="F5" s="1440"/>
      <c r="G5" s="1441"/>
      <c r="H5" s="718"/>
      <c r="I5" s="718"/>
      <c r="J5" s="721"/>
      <c r="K5" s="722"/>
      <c r="L5" s="723"/>
      <c r="M5" s="724"/>
      <c r="N5" s="725"/>
      <c r="O5" s="726"/>
      <c r="P5" s="727"/>
      <c r="Q5" s="728"/>
      <c r="R5" s="729"/>
      <c r="S5" s="730"/>
      <c r="T5" s="690"/>
      <c r="U5" s="566"/>
      <c r="V5" s="586"/>
      <c r="W5" s="167"/>
      <c r="X5" s="55"/>
      <c r="Y5" s="147"/>
      <c r="Z5" s="147"/>
      <c r="AA5" s="147"/>
      <c r="AB5" s="55"/>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0"/>
      <c r="BA5" s="380"/>
      <c r="BB5" s="380"/>
      <c r="BC5" s="380"/>
      <c r="BD5" s="380"/>
      <c r="BE5" s="380"/>
    </row>
    <row r="6" spans="1:59" s="66" customFormat="1" ht="15.75" customHeight="1">
      <c r="A6" s="605"/>
      <c r="B6" s="566"/>
      <c r="C6" s="202"/>
      <c r="D6" s="1103" t="s">
        <v>329</v>
      </c>
      <c r="E6" s="1398" t="s">
        <v>1032</v>
      </c>
      <c r="F6" s="1440"/>
      <c r="G6" s="1441"/>
      <c r="H6" s="718"/>
      <c r="I6" s="718"/>
      <c r="J6" s="664"/>
      <c r="K6" s="664"/>
      <c r="L6" s="664"/>
      <c r="M6" s="664"/>
      <c r="N6" s="664"/>
      <c r="O6" s="664"/>
      <c r="P6" s="664"/>
      <c r="Q6" s="664"/>
      <c r="R6" s="664"/>
      <c r="S6" s="664"/>
      <c r="T6" s="690"/>
      <c r="U6" s="566"/>
      <c r="V6" s="586"/>
      <c r="W6" s="167"/>
      <c r="X6" s="55"/>
      <c r="Y6" s="147"/>
      <c r="Z6" s="147"/>
      <c r="AA6" s="147"/>
      <c r="AB6" s="55"/>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0"/>
      <c r="BA6" s="380"/>
      <c r="BB6" s="380"/>
      <c r="BC6" s="380"/>
      <c r="BD6" s="380"/>
      <c r="BE6" s="380"/>
    </row>
    <row r="7" spans="1:59" s="66" customFormat="1" ht="21.75" customHeight="1">
      <c r="A7" s="605"/>
      <c r="B7" s="566"/>
      <c r="C7" s="290"/>
      <c r="D7" s="1304" t="s">
        <v>296</v>
      </c>
      <c r="E7" s="1304"/>
      <c r="F7" s="1304"/>
      <c r="G7" s="1304"/>
      <c r="H7" s="719"/>
      <c r="I7" s="720"/>
      <c r="J7" s="1370" t="s">
        <v>282</v>
      </c>
      <c r="K7" s="1371"/>
      <c r="L7" s="1371"/>
      <c r="M7" s="1371"/>
      <c r="N7" s="1371"/>
      <c r="O7" s="1371"/>
      <c r="P7" s="1371"/>
      <c r="Q7" s="1371"/>
      <c r="R7" s="1371"/>
      <c r="S7" s="1372"/>
      <c r="T7" s="201"/>
      <c r="U7" s="566"/>
      <c r="V7" s="576" t="s">
        <v>768</v>
      </c>
      <c r="W7" s="161"/>
      <c r="X7" s="33">
        <f>VLOOKUP(J7,C.VL_SeverityRating,2,FALSE)</f>
        <v>1</v>
      </c>
      <c r="Y7" s="879" t="str">
        <f>J7</f>
        <v>low</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5"/>
      <c r="B8" s="566"/>
      <c r="C8" s="279"/>
      <c r="D8" s="1304"/>
      <c r="E8" s="1304"/>
      <c r="F8" s="1304"/>
      <c r="G8" s="1304"/>
      <c r="H8" s="1442" t="s">
        <v>280</v>
      </c>
      <c r="I8" s="1443"/>
      <c r="J8" s="199">
        <v>1</v>
      </c>
      <c r="K8" s="184">
        <v>2</v>
      </c>
      <c r="L8" s="185">
        <v>3</v>
      </c>
      <c r="M8" s="186">
        <v>4</v>
      </c>
      <c r="N8" s="187">
        <v>5</v>
      </c>
      <c r="O8" s="188">
        <v>6</v>
      </c>
      <c r="P8" s="189">
        <v>7</v>
      </c>
      <c r="Q8" s="190">
        <v>8</v>
      </c>
      <c r="R8" s="191">
        <v>9</v>
      </c>
      <c r="S8" s="192">
        <v>10</v>
      </c>
      <c r="T8" s="310"/>
      <c r="U8" s="566"/>
      <c r="V8" s="585"/>
      <c r="W8" s="288"/>
      <c r="X8" s="306"/>
      <c r="Y8" s="306"/>
      <c r="Z8" s="306"/>
      <c r="AA8" s="306"/>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5"/>
      <c r="B9" s="566"/>
      <c r="C9" s="279"/>
      <c r="D9" s="114"/>
      <c r="E9" s="114"/>
      <c r="F9" s="114"/>
      <c r="G9" s="114"/>
      <c r="H9" s="385" t="s">
        <v>300</v>
      </c>
      <c r="I9" s="114"/>
      <c r="J9" s="114"/>
      <c r="K9" s="114"/>
      <c r="L9" s="114"/>
      <c r="M9" s="114"/>
      <c r="N9" s="114"/>
      <c r="O9" s="114"/>
      <c r="P9" s="114"/>
      <c r="Q9" s="114"/>
      <c r="R9" s="114"/>
      <c r="S9" s="114"/>
      <c r="T9" s="310"/>
      <c r="U9" s="566"/>
      <c r="V9" s="583"/>
      <c r="W9" s="288"/>
      <c r="X9" s="306"/>
      <c r="Y9" s="306"/>
      <c r="Z9" s="306"/>
      <c r="AA9" s="306"/>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5"/>
      <c r="B10" s="566"/>
      <c r="C10" s="202"/>
      <c r="D10" s="1337" t="s">
        <v>141</v>
      </c>
      <c r="E10" s="1337"/>
      <c r="F10" s="1337"/>
      <c r="G10" s="1337"/>
      <c r="H10" s="1424"/>
      <c r="I10" s="1425"/>
      <c r="J10" s="1425"/>
      <c r="K10" s="1425"/>
      <c r="L10" s="1425"/>
      <c r="M10" s="1425"/>
      <c r="N10" s="1425"/>
      <c r="O10" s="1425"/>
      <c r="P10" s="1425"/>
      <c r="Q10" s="1425"/>
      <c r="R10" s="1425"/>
      <c r="S10" s="1426"/>
      <c r="T10" s="206"/>
      <c r="U10" s="566"/>
      <c r="V10" s="578"/>
      <c r="W10" s="285"/>
      <c r="X10" s="284" t="b">
        <v>0</v>
      </c>
      <c r="Y10" s="1407" t="str">
        <f>IF($X10=FALSE,"",IF(COUNTIF($X$11:$X16,TRUE)=0,LOWER($D10),IF(COUNTIF($X$11:$X16,TRUE)=1,LOWER($D10)&amp;" and ",LOWER($D10)&amp;", ")))</f>
        <v/>
      </c>
      <c r="Z10" s="1407"/>
      <c r="AA10" s="895">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5"/>
      <c r="B11" s="566"/>
      <c r="C11" s="202"/>
      <c r="D11" s="1337" t="s">
        <v>297</v>
      </c>
      <c r="E11" s="1337"/>
      <c r="F11" s="1337"/>
      <c r="G11" s="1337"/>
      <c r="H11" s="1445"/>
      <c r="I11" s="1446"/>
      <c r="J11" s="1446"/>
      <c r="K11" s="1446"/>
      <c r="L11" s="1446"/>
      <c r="M11" s="1446"/>
      <c r="N11" s="1446"/>
      <c r="O11" s="1446"/>
      <c r="P11" s="1446"/>
      <c r="Q11" s="1446"/>
      <c r="R11" s="1446"/>
      <c r="S11" s="1447"/>
      <c r="T11" s="206"/>
      <c r="U11" s="566"/>
      <c r="V11" s="578"/>
      <c r="W11" s="285"/>
      <c r="X11" s="284" t="b">
        <v>0</v>
      </c>
      <c r="Y11" s="1407" t="str">
        <f>IF($X11=FALSE,"",IF(COUNTIF($X$12:$X16,TRUE)=0,LOWER($D11),IF(COUNTIF($X$12:$X16,TRUE)=1,LOWER($D11)&amp;" and ",LOWER($D11)&amp;", ")))</f>
        <v/>
      </c>
      <c r="Z11" s="1407"/>
      <c r="AA11" s="895">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5"/>
      <c r="B12" s="566"/>
      <c r="C12" s="202"/>
      <c r="D12" s="1340" t="s">
        <v>142</v>
      </c>
      <c r="E12" s="1340"/>
      <c r="F12" s="1340"/>
      <c r="G12" s="1340"/>
      <c r="H12" s="1450"/>
      <c r="I12" s="1450"/>
      <c r="J12" s="1450"/>
      <c r="K12" s="1450"/>
      <c r="L12" s="1450"/>
      <c r="M12" s="1450"/>
      <c r="N12" s="1450"/>
      <c r="O12" s="1450"/>
      <c r="P12" s="1450"/>
      <c r="Q12" s="1450"/>
      <c r="R12" s="1450"/>
      <c r="S12" s="1450"/>
      <c r="T12" s="206"/>
      <c r="U12" s="566"/>
      <c r="V12" s="578"/>
      <c r="W12" s="285"/>
      <c r="X12" s="284" t="b">
        <v>0</v>
      </c>
      <c r="Y12" s="1407" t="str">
        <f>IF($X12=FALSE,"",IF(COUNTIF($X$13:$X16,TRUE)=0,LOWER($D12),IF(COUNTIF($X$13:$X16,TRUE)=1,LOWER($D12)&amp;" and ",LOWER($D12)&amp;", ")))</f>
        <v/>
      </c>
      <c r="Z12" s="1407"/>
      <c r="AA12" s="895">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5"/>
      <c r="B13" s="566"/>
      <c r="C13" s="202"/>
      <c r="D13" s="1340" t="s">
        <v>301</v>
      </c>
      <c r="E13" s="1340"/>
      <c r="F13" s="1340"/>
      <c r="G13" s="1340"/>
      <c r="H13" s="1424"/>
      <c r="I13" s="1425"/>
      <c r="J13" s="1425"/>
      <c r="K13" s="1425"/>
      <c r="L13" s="1425"/>
      <c r="M13" s="1425"/>
      <c r="N13" s="1425"/>
      <c r="O13" s="1425"/>
      <c r="P13" s="1425"/>
      <c r="Q13" s="1425"/>
      <c r="R13" s="1425"/>
      <c r="S13" s="1426"/>
      <c r="T13" s="206"/>
      <c r="U13" s="566"/>
      <c r="V13" s="578"/>
      <c r="W13" s="285"/>
      <c r="X13" s="284" t="b">
        <v>0</v>
      </c>
      <c r="Y13" s="1407" t="str">
        <f>IF($X13=FALSE,"",IF(COUNTIF($X$14:$X16,TRUE)=0,LOWER($D13),IF(COUNTIF($X$14:$X16,TRUE)=1,LOWER($D13)&amp;" and ",LOWER($D13)&amp;", ")))</f>
        <v/>
      </c>
      <c r="Z13" s="1407"/>
      <c r="AA13" s="895">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5"/>
      <c r="B14" s="566"/>
      <c r="C14" s="202"/>
      <c r="D14" s="1340" t="s">
        <v>433</v>
      </c>
      <c r="E14" s="1340"/>
      <c r="F14" s="1340"/>
      <c r="G14" s="1340"/>
      <c r="H14" s="1424"/>
      <c r="I14" s="1425"/>
      <c r="J14" s="1425"/>
      <c r="K14" s="1425"/>
      <c r="L14" s="1425"/>
      <c r="M14" s="1425"/>
      <c r="N14" s="1425"/>
      <c r="O14" s="1425"/>
      <c r="P14" s="1425"/>
      <c r="Q14" s="1425"/>
      <c r="R14" s="1425"/>
      <c r="S14" s="1426"/>
      <c r="T14" s="206"/>
      <c r="U14" s="566"/>
      <c r="V14" s="578"/>
      <c r="W14" s="285"/>
      <c r="X14" s="284" t="b">
        <v>0</v>
      </c>
      <c r="Y14" s="1407" t="str">
        <f>IF($X14=FALSE,"",IF(COUNTIF($X$15:$X16,TRUE)=0,LOWER($D14),IF(COUNTIF($X$15:$X16,TRUE)=1,LOWER($D14)&amp;" and ",LOWER($D14)&amp;", ")))</f>
        <v/>
      </c>
      <c r="Z14" s="1407"/>
      <c r="AA14" s="895">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5"/>
      <c r="B15" s="566"/>
      <c r="C15" s="202"/>
      <c r="D15" s="1448" t="s">
        <v>299</v>
      </c>
      <c r="E15" s="1448"/>
      <c r="F15" s="1448"/>
      <c r="G15" s="1449"/>
      <c r="H15" s="1424" t="s">
        <v>0</v>
      </c>
      <c r="I15" s="1425"/>
      <c r="J15" s="1425"/>
      <c r="K15" s="1425"/>
      <c r="L15" s="1425"/>
      <c r="M15" s="1425"/>
      <c r="N15" s="1425"/>
      <c r="O15" s="1425"/>
      <c r="P15" s="1425"/>
      <c r="Q15" s="1425"/>
      <c r="R15" s="1425"/>
      <c r="S15" s="1426"/>
      <c r="T15" s="206"/>
      <c r="U15" s="566"/>
      <c r="V15" s="578"/>
      <c r="W15" s="285"/>
      <c r="X15" s="284" t="b">
        <v>0</v>
      </c>
      <c r="Y15" s="1407" t="str">
        <f>IF($X15=FALSE,"",IF($X$16=FALSE,LOWER($D15),LOWER($D15)&amp;" and "))</f>
        <v/>
      </c>
      <c r="Z15" s="1407"/>
      <c r="AA15" s="895">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5"/>
      <c r="B16" s="566"/>
      <c r="C16" s="202"/>
      <c r="D16" s="1352" t="s">
        <v>299</v>
      </c>
      <c r="E16" s="1352"/>
      <c r="F16" s="1352"/>
      <c r="G16" s="1352"/>
      <c r="H16" s="1424"/>
      <c r="I16" s="1425"/>
      <c r="J16" s="1425"/>
      <c r="K16" s="1425"/>
      <c r="L16" s="1425"/>
      <c r="M16" s="1425"/>
      <c r="N16" s="1425"/>
      <c r="O16" s="1425"/>
      <c r="P16" s="1425"/>
      <c r="Q16" s="1425"/>
      <c r="R16" s="1425"/>
      <c r="S16" s="1426"/>
      <c r="T16" s="206"/>
      <c r="U16" s="566"/>
      <c r="V16" s="578"/>
      <c r="W16" s="285"/>
      <c r="X16" s="284" t="b">
        <v>0</v>
      </c>
      <c r="Y16" s="1407" t="str">
        <f>IF($X16=FALSE,"",LOWER($D16))</f>
        <v/>
      </c>
      <c r="Z16" s="1407"/>
      <c r="AA16" s="895">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5"/>
      <c r="B17" s="566"/>
      <c r="C17" s="202"/>
      <c r="D17" s="345" t="s">
        <v>227</v>
      </c>
      <c r="E17" s="326"/>
      <c r="F17" s="326"/>
      <c r="G17" s="193"/>
      <c r="H17" s="193"/>
      <c r="I17" s="193"/>
      <c r="J17" s="193"/>
      <c r="K17" s="193"/>
      <c r="L17" s="193"/>
      <c r="M17" s="193"/>
      <c r="N17" s="193"/>
      <c r="O17" s="193"/>
      <c r="P17" s="193"/>
      <c r="Q17" s="193"/>
      <c r="R17" s="193"/>
      <c r="S17" s="291"/>
      <c r="T17" s="206"/>
      <c r="U17" s="566"/>
      <c r="V17" s="579"/>
      <c r="W17" s="161"/>
      <c r="X17" s="1437" t="str">
        <f>IF(COUNTIF(X10:X16,TRUE),Y10&amp;Y11&amp;Y12&amp;Y13&amp;Y14&amp;Y15&amp;Y16&amp;".","")</f>
        <v/>
      </c>
      <c r="Y17" s="1438"/>
      <c r="Z17" s="1439"/>
      <c r="AA17" s="638"/>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101" t="s">
        <v>412</v>
      </c>
      <c r="B18" s="566"/>
      <c r="C18" s="348" t="s">
        <v>0</v>
      </c>
      <c r="D18" s="1444" t="s">
        <v>305</v>
      </c>
      <c r="E18" s="1444"/>
      <c r="F18" s="1444"/>
      <c r="G18" s="349"/>
      <c r="H18" s="1423" t="s">
        <v>302</v>
      </c>
      <c r="I18" s="1423"/>
      <c r="J18" s="1423"/>
      <c r="K18" s="1423"/>
      <c r="L18" s="1423"/>
      <c r="M18" s="1423"/>
      <c r="N18" s="1423"/>
      <c r="O18" s="1423"/>
      <c r="P18" s="1423"/>
      <c r="Q18" s="1423"/>
      <c r="R18" s="1423"/>
      <c r="S18" s="1423"/>
      <c r="T18" s="350"/>
      <c r="U18" s="566"/>
      <c r="V18" s="587"/>
      <c r="W18" s="286"/>
      <c r="X18" s="1406" t="str">
        <f>IF(COUNTIF(X19:X21,FALSE)=3,"Does not apply","Required")</f>
        <v>Does not apply</v>
      </c>
      <c r="Y18" s="1406"/>
      <c r="Z18" s="1406"/>
      <c r="AA18" s="639"/>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4"/>
      <c r="B19" s="566"/>
      <c r="C19" s="348"/>
      <c r="D19" s="608" t="s">
        <v>409</v>
      </c>
      <c r="E19" s="13"/>
      <c r="F19" s="329"/>
      <c r="G19" s="327"/>
      <c r="H19" s="1422" t="str">
        <f>X18</f>
        <v>Does not apply</v>
      </c>
      <c r="I19" s="1422"/>
      <c r="J19" s="1422"/>
      <c r="K19" s="1422"/>
      <c r="L19" s="1422"/>
      <c r="M19" s="1422"/>
      <c r="N19" s="1422"/>
      <c r="O19" s="1422"/>
      <c r="P19" s="1422"/>
      <c r="Q19" s="1422"/>
      <c r="R19" s="1422"/>
      <c r="S19" s="1422"/>
      <c r="T19" s="350"/>
      <c r="U19" s="566"/>
      <c r="W19" s="286"/>
      <c r="X19" s="284" t="b">
        <v>0</v>
      </c>
      <c r="Y19" s="1407" t="str">
        <f>IF($X19=FALSE,"",IF(COUNTIF($X$20:$X21,TRUE)=0,LOWER($D19),IF(COUNTIF($X$20:$X21,TRUE)=1,LOWER($D19)&amp;" and ",LOWER($D19)&amp;", ")))</f>
        <v/>
      </c>
      <c r="Z19" s="1407"/>
      <c r="AA19" s="643">
        <f>IF($X19=TRUE,5,IF($X20=TRUE,4,IF(X21=TRUE,2,0)))</f>
        <v>0</v>
      </c>
      <c r="AB19" s="322">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4"/>
      <c r="B20" s="566"/>
      <c r="C20" s="348"/>
      <c r="D20" s="608" t="s">
        <v>410</v>
      </c>
      <c r="E20" s="114"/>
      <c r="F20" s="329"/>
      <c r="G20" s="327"/>
      <c r="H20" s="1409" t="s">
        <v>303</v>
      </c>
      <c r="I20" s="1409"/>
      <c r="J20" s="1409"/>
      <c r="K20" s="1409"/>
      <c r="L20" s="1409"/>
      <c r="M20" s="1409"/>
      <c r="N20" s="1409"/>
      <c r="O20" s="1409"/>
      <c r="P20" s="1409"/>
      <c r="Q20" s="1409"/>
      <c r="R20" s="1409"/>
      <c r="S20" s="1409"/>
      <c r="T20" s="350"/>
      <c r="U20" s="566"/>
      <c r="V20" s="587"/>
      <c r="W20" s="286"/>
      <c r="X20" s="284" t="b">
        <v>0</v>
      </c>
      <c r="Y20" s="1407" t="str">
        <f>IF($X20=FALSE,"",IF($X$21=FALSE,LOWER($D20),LOWER($D20)&amp;" and "))</f>
        <v/>
      </c>
      <c r="Z20" s="1408"/>
      <c r="AA20" s="32"/>
      <c r="AB20" s="628"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4"/>
      <c r="B21" s="566"/>
      <c r="C21" s="348"/>
      <c r="D21" s="608" t="s">
        <v>411</v>
      </c>
      <c r="E21" s="114"/>
      <c r="F21" s="329"/>
      <c r="G21" s="327"/>
      <c r="H21" s="1409" t="s">
        <v>304</v>
      </c>
      <c r="I21" s="1409"/>
      <c r="J21" s="1409"/>
      <c r="K21" s="1409"/>
      <c r="L21" s="1409"/>
      <c r="M21" s="1409"/>
      <c r="N21" s="1409"/>
      <c r="O21" s="1409"/>
      <c r="P21" s="1409"/>
      <c r="Q21" s="1409"/>
      <c r="R21" s="1409"/>
      <c r="S21" s="1409"/>
      <c r="T21" s="350"/>
      <c r="U21" s="566"/>
      <c r="V21" s="587"/>
      <c r="W21" s="286"/>
      <c r="X21" s="284" t="b">
        <v>0</v>
      </c>
      <c r="Y21" s="1407" t="str">
        <f>IF($X21=FALSE,"",LOWER($D21))</f>
        <v/>
      </c>
      <c r="Z21" s="1408"/>
      <c r="AA21" s="32"/>
      <c r="AB21" s="625"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4"/>
      <c r="B22" s="566"/>
      <c r="C22" s="348"/>
      <c r="D22" s="383"/>
      <c r="E22" s="114"/>
      <c r="F22" s="329"/>
      <c r="G22" s="327"/>
      <c r="H22" s="384"/>
      <c r="I22" s="384"/>
      <c r="J22" s="384"/>
      <c r="K22" s="384"/>
      <c r="L22" s="384"/>
      <c r="M22" s="384"/>
      <c r="N22" s="384"/>
      <c r="O22" s="384"/>
      <c r="P22" s="384"/>
      <c r="Q22" s="384"/>
      <c r="R22" s="384"/>
      <c r="S22" s="384"/>
      <c r="T22" s="350"/>
      <c r="U22" s="566"/>
      <c r="V22" s="587"/>
      <c r="W22" s="286"/>
      <c r="X22" s="624"/>
      <c r="Y22" s="32"/>
      <c r="Z22" s="32"/>
      <c r="AA22" s="32"/>
      <c r="AB22" s="147"/>
      <c r="AC22" s="380"/>
      <c r="AD22" s="380"/>
      <c r="AE22" s="380"/>
      <c r="AF22" s="380"/>
      <c r="AG22" s="380"/>
      <c r="AH22" s="380"/>
      <c r="AI22" s="380"/>
      <c r="AJ22" s="380"/>
      <c r="AK22" s="380"/>
      <c r="AL22" s="380"/>
      <c r="AM22" s="380"/>
      <c r="AN22" s="380"/>
      <c r="AO22" s="380"/>
      <c r="AP22" s="380"/>
      <c r="AQ22" s="380"/>
      <c r="AR22" s="380"/>
      <c r="AS22" s="380"/>
      <c r="AT22" s="380"/>
      <c r="AU22" s="380"/>
      <c r="AV22" s="380"/>
      <c r="AW22" s="380"/>
      <c r="AX22" s="380"/>
      <c r="AY22" s="380"/>
      <c r="AZ22" s="380"/>
      <c r="BA22" s="380"/>
      <c r="BB22" s="380"/>
      <c r="BC22" s="380"/>
      <c r="BD22" s="380"/>
      <c r="BE22" s="380"/>
    </row>
    <row r="23" spans="1:57" s="11" customFormat="1" ht="21.6" customHeight="1">
      <c r="A23" s="604"/>
      <c r="B23" s="566"/>
      <c r="C23" s="348"/>
      <c r="D23" s="409" t="s">
        <v>354</v>
      </c>
      <c r="E23" s="114"/>
      <c r="F23" s="329"/>
      <c r="G23" s="1413" t="s">
        <v>517</v>
      </c>
      <c r="H23" s="1414"/>
      <c r="I23" s="1414"/>
      <c r="J23" s="1414"/>
      <c r="K23" s="1414"/>
      <c r="L23" s="1414"/>
      <c r="M23" s="1414"/>
      <c r="N23" s="1414"/>
      <c r="O23" s="1414"/>
      <c r="P23" s="1414"/>
      <c r="Q23" s="1414"/>
      <c r="R23" s="1414"/>
      <c r="S23" s="1415"/>
      <c r="T23" s="350"/>
      <c r="U23" s="566"/>
      <c r="V23" s="587"/>
      <c r="W23" s="286"/>
      <c r="X23" s="147"/>
      <c r="Y23" s="32"/>
      <c r="Z23" s="32"/>
      <c r="AA23" s="32"/>
      <c r="AB23" s="147"/>
      <c r="AC23" s="380"/>
      <c r="AD23" s="380"/>
      <c r="AE23" s="380"/>
      <c r="AF23" s="380"/>
      <c r="AG23" s="380"/>
      <c r="AH23" s="380"/>
      <c r="AI23" s="380"/>
      <c r="AJ23" s="380"/>
      <c r="AK23" s="380"/>
      <c r="AL23" s="380"/>
      <c r="AM23" s="380"/>
      <c r="AN23" s="380"/>
      <c r="AO23" s="380"/>
      <c r="AP23" s="380"/>
      <c r="AQ23" s="380"/>
      <c r="AR23" s="380"/>
      <c r="AS23" s="380"/>
      <c r="AT23" s="380"/>
      <c r="AU23" s="380"/>
      <c r="AV23" s="380"/>
      <c r="AW23" s="380"/>
      <c r="AX23" s="380"/>
      <c r="AY23" s="380"/>
      <c r="AZ23" s="380"/>
      <c r="BA23" s="380"/>
      <c r="BB23" s="380"/>
      <c r="BC23" s="380"/>
      <c r="BD23" s="380"/>
      <c r="BE23" s="380"/>
    </row>
    <row r="24" spans="1:57" s="66" customFormat="1" ht="30" customHeight="1">
      <c r="A24" s="605"/>
      <c r="B24" s="566"/>
      <c r="C24" s="202"/>
      <c r="D24" s="1419" t="s">
        <v>113</v>
      </c>
      <c r="E24" s="1419"/>
      <c r="F24" s="765"/>
      <c r="G24" s="766" t="s">
        <v>114</v>
      </c>
      <c r="H24" s="767"/>
      <c r="I24" s="767"/>
      <c r="J24" s="1451" t="s">
        <v>7</v>
      </c>
      <c r="K24" s="1451"/>
      <c r="L24" s="1451"/>
      <c r="M24" s="1451"/>
      <c r="N24" s="1451"/>
      <c r="O24" s="1451"/>
      <c r="P24" s="1451"/>
      <c r="Q24" s="1451"/>
      <c r="R24" s="1451"/>
      <c r="S24" s="1451"/>
      <c r="T24" s="304"/>
      <c r="U24" s="566"/>
      <c r="V24" s="575"/>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5"/>
      <c r="B25" s="566"/>
      <c r="C25" s="202"/>
      <c r="D25" s="1421" t="s">
        <v>335</v>
      </c>
      <c r="E25" s="1421"/>
      <c r="F25" s="1421"/>
      <c r="G25" s="1416" t="s">
        <v>13</v>
      </c>
      <c r="H25" s="1416"/>
      <c r="I25" s="710"/>
      <c r="J25" s="731">
        <v>1</v>
      </c>
      <c r="K25" s="732">
        <v>2</v>
      </c>
      <c r="L25" s="733">
        <v>3</v>
      </c>
      <c r="M25" s="734">
        <v>4</v>
      </c>
      <c r="N25" s="735">
        <v>5</v>
      </c>
      <c r="O25" s="736">
        <v>6</v>
      </c>
      <c r="P25" s="737">
        <v>7</v>
      </c>
      <c r="Q25" s="738">
        <v>8</v>
      </c>
      <c r="R25" s="739">
        <v>9</v>
      </c>
      <c r="S25" s="740">
        <v>10</v>
      </c>
      <c r="T25" s="304"/>
      <c r="U25" s="566"/>
      <c r="V25" s="583" t="s">
        <v>822</v>
      </c>
      <c r="W25" s="161"/>
      <c r="X25" s="52">
        <f t="shared" ref="X25:X34" si="1">VLOOKUP($G25,C.VL_FiscaImpact,2,FALSE)</f>
        <v>3</v>
      </c>
      <c r="Y25" s="891" t="str">
        <f>G25</f>
        <v>moderate cost decrease</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5"/>
      <c r="B26" s="566"/>
      <c r="C26" s="202"/>
      <c r="D26" s="1421" t="s">
        <v>347</v>
      </c>
      <c r="E26" s="1421"/>
      <c r="F26" s="1421"/>
      <c r="G26" s="1416" t="s">
        <v>13</v>
      </c>
      <c r="H26" s="1416"/>
      <c r="I26" s="710"/>
      <c r="J26" s="731">
        <v>1</v>
      </c>
      <c r="K26" s="732">
        <v>2</v>
      </c>
      <c r="L26" s="733">
        <v>3</v>
      </c>
      <c r="M26" s="734">
        <v>4</v>
      </c>
      <c r="N26" s="735">
        <v>5</v>
      </c>
      <c r="O26" s="736">
        <v>6</v>
      </c>
      <c r="P26" s="737">
        <v>7</v>
      </c>
      <c r="Q26" s="738">
        <v>8</v>
      </c>
      <c r="R26" s="739">
        <v>9</v>
      </c>
      <c r="S26" s="740">
        <v>10</v>
      </c>
      <c r="T26" s="304"/>
      <c r="U26" s="566"/>
      <c r="V26" s="583" t="s">
        <v>822</v>
      </c>
      <c r="W26" s="161"/>
      <c r="X26" s="52">
        <f t="shared" si="1"/>
        <v>3</v>
      </c>
      <c r="Y26" s="891" t="str">
        <f t="shared" ref="Y26:Y34" si="2">G26</f>
        <v>moderate cost decrease</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5"/>
      <c r="B27" s="566"/>
      <c r="C27" s="202"/>
      <c r="D27" s="1421" t="s">
        <v>336</v>
      </c>
      <c r="E27" s="1421"/>
      <c r="F27" s="1421"/>
      <c r="G27" s="1416" t="s">
        <v>13</v>
      </c>
      <c r="H27" s="1416"/>
      <c r="I27" s="710"/>
      <c r="J27" s="731">
        <v>1</v>
      </c>
      <c r="K27" s="732">
        <v>2</v>
      </c>
      <c r="L27" s="733">
        <v>3</v>
      </c>
      <c r="M27" s="734">
        <v>4</v>
      </c>
      <c r="N27" s="735">
        <v>5</v>
      </c>
      <c r="O27" s="736">
        <v>6</v>
      </c>
      <c r="P27" s="737">
        <v>7</v>
      </c>
      <c r="Q27" s="738">
        <v>8</v>
      </c>
      <c r="R27" s="739">
        <v>9</v>
      </c>
      <c r="S27" s="740">
        <v>10</v>
      </c>
      <c r="T27" s="304"/>
      <c r="U27" s="566"/>
      <c r="V27" s="583" t="s">
        <v>822</v>
      </c>
      <c r="W27" s="161"/>
      <c r="X27" s="52">
        <f t="shared" si="1"/>
        <v>3</v>
      </c>
      <c r="Y27" s="891" t="str">
        <f t="shared" si="2"/>
        <v>moderate cost decrease</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5"/>
      <c r="B28" s="566"/>
      <c r="C28" s="202"/>
      <c r="D28" s="1421" t="s">
        <v>342</v>
      </c>
      <c r="E28" s="1421"/>
      <c r="F28" s="1421"/>
      <c r="G28" s="1416" t="s">
        <v>13</v>
      </c>
      <c r="H28" s="1416"/>
      <c r="I28" s="710"/>
      <c r="J28" s="731">
        <v>1</v>
      </c>
      <c r="K28" s="732">
        <v>2</v>
      </c>
      <c r="L28" s="733">
        <v>3</v>
      </c>
      <c r="M28" s="734">
        <v>4</v>
      </c>
      <c r="N28" s="735">
        <v>5</v>
      </c>
      <c r="O28" s="736">
        <v>6</v>
      </c>
      <c r="P28" s="737">
        <v>7</v>
      </c>
      <c r="Q28" s="738">
        <v>8</v>
      </c>
      <c r="R28" s="739">
        <v>9</v>
      </c>
      <c r="S28" s="740">
        <v>10</v>
      </c>
      <c r="T28" s="304"/>
      <c r="U28" s="566"/>
      <c r="V28" s="583" t="s">
        <v>822</v>
      </c>
      <c r="W28" s="161"/>
      <c r="X28" s="52">
        <f t="shared" si="1"/>
        <v>3</v>
      </c>
      <c r="Y28" s="891" t="str">
        <f t="shared" si="2"/>
        <v>moderate cost decrease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5"/>
      <c r="B29" s="566"/>
      <c r="C29" s="202"/>
      <c r="D29" s="1421" t="s">
        <v>348</v>
      </c>
      <c r="E29" s="1421"/>
      <c r="F29" s="1421"/>
      <c r="G29" s="1416" t="s">
        <v>13</v>
      </c>
      <c r="H29" s="1416"/>
      <c r="I29" s="710"/>
      <c r="J29" s="731">
        <v>1</v>
      </c>
      <c r="K29" s="732">
        <v>2</v>
      </c>
      <c r="L29" s="733">
        <v>3</v>
      </c>
      <c r="M29" s="734">
        <v>4</v>
      </c>
      <c r="N29" s="735">
        <v>5</v>
      </c>
      <c r="O29" s="736">
        <v>6</v>
      </c>
      <c r="P29" s="737">
        <v>7</v>
      </c>
      <c r="Q29" s="738">
        <v>8</v>
      </c>
      <c r="R29" s="739">
        <v>9</v>
      </c>
      <c r="S29" s="740">
        <v>10</v>
      </c>
      <c r="T29" s="304"/>
      <c r="U29" s="566"/>
      <c r="V29" s="583" t="s">
        <v>822</v>
      </c>
      <c r="W29" s="161"/>
      <c r="X29" s="52">
        <f t="shared" si="1"/>
        <v>3</v>
      </c>
      <c r="Y29" s="891" t="str">
        <f t="shared" si="2"/>
        <v>moderate cost decrease</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5"/>
      <c r="B30" s="566"/>
      <c r="C30" s="202"/>
      <c r="D30" s="1421" t="s">
        <v>349</v>
      </c>
      <c r="E30" s="1421"/>
      <c r="F30" s="1421"/>
      <c r="G30" s="1416" t="s">
        <v>13</v>
      </c>
      <c r="H30" s="1416"/>
      <c r="I30" s="710"/>
      <c r="J30" s="731">
        <v>1</v>
      </c>
      <c r="K30" s="732">
        <v>2</v>
      </c>
      <c r="L30" s="733">
        <v>3</v>
      </c>
      <c r="M30" s="734">
        <v>4</v>
      </c>
      <c r="N30" s="735">
        <v>5</v>
      </c>
      <c r="O30" s="736">
        <v>6</v>
      </c>
      <c r="P30" s="737">
        <v>7</v>
      </c>
      <c r="Q30" s="738">
        <v>8</v>
      </c>
      <c r="R30" s="739">
        <v>9</v>
      </c>
      <c r="S30" s="740">
        <v>10</v>
      </c>
      <c r="T30" s="304"/>
      <c r="U30" s="566"/>
      <c r="V30" s="583" t="s">
        <v>822</v>
      </c>
      <c r="W30" s="161"/>
      <c r="X30" s="52">
        <f t="shared" si="1"/>
        <v>3</v>
      </c>
      <c r="Y30" s="891" t="str">
        <f t="shared" si="2"/>
        <v>moderate cost decrease</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5"/>
      <c r="B31" s="566"/>
      <c r="C31" s="202"/>
      <c r="D31" s="1421" t="s">
        <v>1</v>
      </c>
      <c r="E31" s="1421"/>
      <c r="F31" s="1421"/>
      <c r="G31" s="1416" t="s">
        <v>14</v>
      </c>
      <c r="H31" s="1416"/>
      <c r="I31" s="710"/>
      <c r="J31" s="731">
        <v>1</v>
      </c>
      <c r="K31" s="732">
        <v>2</v>
      </c>
      <c r="L31" s="733">
        <v>3</v>
      </c>
      <c r="M31" s="734">
        <v>4</v>
      </c>
      <c r="N31" s="735">
        <v>5</v>
      </c>
      <c r="O31" s="736">
        <v>6</v>
      </c>
      <c r="P31" s="737">
        <v>7</v>
      </c>
      <c r="Q31" s="738">
        <v>8</v>
      </c>
      <c r="R31" s="739">
        <v>9</v>
      </c>
      <c r="S31" s="740">
        <v>10</v>
      </c>
      <c r="T31" s="304"/>
      <c r="U31" s="566"/>
      <c r="V31" s="583" t="s">
        <v>822</v>
      </c>
      <c r="W31" s="161"/>
      <c r="X31" s="52">
        <f t="shared" si="1"/>
        <v>8</v>
      </c>
      <c r="Y31" s="891" t="str">
        <f t="shared" si="2"/>
        <v xml:space="preserve">moderate cost increase </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5"/>
      <c r="B32" s="566"/>
      <c r="C32" s="202"/>
      <c r="D32" s="1421" t="s">
        <v>449</v>
      </c>
      <c r="E32" s="1421"/>
      <c r="F32" s="1421"/>
      <c r="G32" s="1416" t="s">
        <v>14</v>
      </c>
      <c r="H32" s="1416"/>
      <c r="I32" s="710"/>
      <c r="J32" s="731">
        <v>1</v>
      </c>
      <c r="K32" s="732">
        <v>2</v>
      </c>
      <c r="L32" s="733">
        <v>3</v>
      </c>
      <c r="M32" s="734">
        <v>4</v>
      </c>
      <c r="N32" s="735">
        <v>5</v>
      </c>
      <c r="O32" s="736">
        <v>6</v>
      </c>
      <c r="P32" s="737">
        <v>7</v>
      </c>
      <c r="Q32" s="738">
        <v>8</v>
      </c>
      <c r="R32" s="739">
        <v>9</v>
      </c>
      <c r="S32" s="740">
        <v>10</v>
      </c>
      <c r="T32" s="304"/>
      <c r="U32" s="566"/>
      <c r="V32" s="583" t="s">
        <v>822</v>
      </c>
      <c r="W32" s="161"/>
      <c r="X32" s="52">
        <f t="shared" si="1"/>
        <v>8</v>
      </c>
      <c r="Y32" s="891" t="str">
        <f t="shared" si="2"/>
        <v xml:space="preserve">moderate cost increase </v>
      </c>
      <c r="Z32" s="226"/>
      <c r="AA32" s="226"/>
      <c r="AB32" s="55"/>
      <c r="AC32" s="380"/>
      <c r="AD32" s="380"/>
      <c r="AE32" s="380"/>
      <c r="AF32" s="380"/>
      <c r="AG32" s="380"/>
      <c r="AH32" s="380"/>
      <c r="AI32" s="380"/>
      <c r="AJ32" s="380"/>
      <c r="AK32" s="380"/>
      <c r="AL32" s="380"/>
      <c r="AM32" s="380"/>
      <c r="AN32" s="380"/>
      <c r="AO32" s="380"/>
      <c r="AP32" s="380"/>
      <c r="AQ32" s="380"/>
      <c r="AR32" s="380"/>
      <c r="AS32" s="380"/>
      <c r="AT32" s="380"/>
      <c r="AU32" s="380"/>
      <c r="AV32" s="380"/>
      <c r="AW32" s="380"/>
      <c r="AX32" s="380"/>
      <c r="AY32" s="380"/>
      <c r="AZ32" s="380"/>
      <c r="BA32" s="380"/>
      <c r="BB32" s="380"/>
      <c r="BC32" s="380"/>
      <c r="BD32" s="380"/>
      <c r="BE32" s="380"/>
    </row>
    <row r="33" spans="1:57" s="66" customFormat="1" ht="15.75" customHeight="1">
      <c r="A33" s="605"/>
      <c r="B33" s="566"/>
      <c r="C33" s="202"/>
      <c r="D33" s="1430" t="s">
        <v>213</v>
      </c>
      <c r="E33" s="1430"/>
      <c r="F33" s="1430"/>
      <c r="G33" s="1416" t="s">
        <v>6</v>
      </c>
      <c r="H33" s="1416"/>
      <c r="I33" s="710"/>
      <c r="J33" s="731">
        <v>1</v>
      </c>
      <c r="K33" s="732">
        <v>2</v>
      </c>
      <c r="L33" s="733">
        <v>3</v>
      </c>
      <c r="M33" s="734">
        <v>4</v>
      </c>
      <c r="N33" s="735">
        <v>5</v>
      </c>
      <c r="O33" s="736">
        <v>6</v>
      </c>
      <c r="P33" s="737">
        <v>7</v>
      </c>
      <c r="Q33" s="738">
        <v>8</v>
      </c>
      <c r="R33" s="739">
        <v>9</v>
      </c>
      <c r="S33" s="740">
        <v>10</v>
      </c>
      <c r="T33" s="304"/>
      <c r="U33" s="566"/>
      <c r="V33" s="583" t="s">
        <v>822</v>
      </c>
      <c r="W33" s="161"/>
      <c r="X33" s="52">
        <f t="shared" si="1"/>
        <v>0</v>
      </c>
      <c r="Y33" s="891"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5"/>
      <c r="B34" s="566"/>
      <c r="C34" s="202"/>
      <c r="D34" s="1430" t="s">
        <v>213</v>
      </c>
      <c r="E34" s="1430"/>
      <c r="F34" s="1430"/>
      <c r="G34" s="1416" t="s">
        <v>6</v>
      </c>
      <c r="H34" s="1416"/>
      <c r="I34" s="710"/>
      <c r="J34" s="731">
        <v>1</v>
      </c>
      <c r="K34" s="732">
        <v>2</v>
      </c>
      <c r="L34" s="733">
        <v>3</v>
      </c>
      <c r="M34" s="734">
        <v>4</v>
      </c>
      <c r="N34" s="735">
        <v>5</v>
      </c>
      <c r="O34" s="736">
        <v>6</v>
      </c>
      <c r="P34" s="737">
        <v>7</v>
      </c>
      <c r="Q34" s="738">
        <v>8</v>
      </c>
      <c r="R34" s="739">
        <v>9</v>
      </c>
      <c r="S34" s="740">
        <v>10</v>
      </c>
      <c r="T34" s="304"/>
      <c r="U34" s="566"/>
      <c r="V34" s="583" t="s">
        <v>822</v>
      </c>
      <c r="W34" s="161"/>
      <c r="X34" s="52">
        <f t="shared" si="1"/>
        <v>0</v>
      </c>
      <c r="Y34" s="891"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5"/>
      <c r="B35" s="566"/>
      <c r="C35" s="202"/>
      <c r="D35" s="710"/>
      <c r="E35" s="710"/>
      <c r="F35" s="710"/>
      <c r="G35" s="743"/>
      <c r="H35" s="710"/>
      <c r="I35" s="710"/>
      <c r="J35" s="741"/>
      <c r="K35" s="741"/>
      <c r="L35" s="741"/>
      <c r="M35" s="741"/>
      <c r="N35" s="741"/>
      <c r="O35" s="741"/>
      <c r="P35" s="741"/>
      <c r="Q35" s="741"/>
      <c r="R35" s="741"/>
      <c r="S35" s="741"/>
      <c r="T35" s="304"/>
      <c r="U35" s="566"/>
      <c r="V35" s="575"/>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5"/>
      <c r="B36" s="566"/>
      <c r="C36" s="202"/>
      <c r="D36" s="710"/>
      <c r="E36" s="710"/>
      <c r="F36" s="710"/>
      <c r="G36" s="743"/>
      <c r="H36" s="710"/>
      <c r="I36" s="710"/>
      <c r="J36" s="742"/>
      <c r="K36" s="742"/>
      <c r="L36" s="742"/>
      <c r="M36" s="742"/>
      <c r="N36" s="742"/>
      <c r="O36" s="742"/>
      <c r="P36" s="742"/>
      <c r="Q36" s="742"/>
      <c r="R36" s="742"/>
      <c r="S36" s="742"/>
      <c r="T36" s="304"/>
      <c r="U36" s="566"/>
      <c r="V36" s="575"/>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5"/>
      <c r="B37" s="566"/>
      <c r="C37" s="202"/>
      <c r="D37" s="710"/>
      <c r="E37" s="710"/>
      <c r="F37" s="710"/>
      <c r="G37" s="1417" t="s">
        <v>116</v>
      </c>
      <c r="H37" s="1417"/>
      <c r="I37" s="710"/>
      <c r="J37" s="731">
        <v>1</v>
      </c>
      <c r="K37" s="732">
        <v>2</v>
      </c>
      <c r="L37" s="733">
        <v>3</v>
      </c>
      <c r="M37" s="734">
        <v>4</v>
      </c>
      <c r="N37" s="735">
        <v>5</v>
      </c>
      <c r="O37" s="736">
        <v>6</v>
      </c>
      <c r="P37" s="737">
        <v>7</v>
      </c>
      <c r="Q37" s="738">
        <v>8</v>
      </c>
      <c r="R37" s="739">
        <v>9</v>
      </c>
      <c r="S37" s="740">
        <v>10</v>
      </c>
      <c r="T37" s="304"/>
      <c r="U37" s="566"/>
      <c r="V37" s="575"/>
      <c r="W37" s="161"/>
      <c r="X37" s="48">
        <f>IF(AVERAGE(X25:X34)=0,0,AVERAGEIF(X25:X34,"&gt;0",X25:X34))</f>
        <v>4.25</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5"/>
      <c r="B38" s="566"/>
      <c r="C38" s="202"/>
      <c r="D38" s="1418" t="s">
        <v>445</v>
      </c>
      <c r="E38" s="1418"/>
      <c r="F38" s="1418"/>
      <c r="G38" s="1418"/>
      <c r="H38" s="1418"/>
      <c r="I38" s="1418"/>
      <c r="J38" s="1418"/>
      <c r="K38" s="1418"/>
      <c r="L38" s="1418"/>
      <c r="M38" s="1418"/>
      <c r="N38" s="1418"/>
      <c r="O38" s="1418"/>
      <c r="P38" s="1418"/>
      <c r="Q38" s="1418"/>
      <c r="R38" s="1418"/>
      <c r="S38" s="1418"/>
      <c r="T38" s="206"/>
      <c r="U38" s="566"/>
      <c r="V38" s="579"/>
      <c r="W38" s="161"/>
      <c r="X38" s="146"/>
      <c r="Y38" s="328" t="b">
        <f>IF(COUNTIF($X$19:$X$21,TRUE)&gt;0,TRUE,FALSE)</f>
        <v>0</v>
      </c>
      <c r="Z38" s="146"/>
      <c r="AA38" s="146"/>
      <c r="AB38" s="55"/>
      <c r="AC38" s="786"/>
      <c r="AD38" s="786"/>
      <c r="AE38" s="786"/>
      <c r="AF38" s="786"/>
      <c r="AG38" s="786"/>
      <c r="AH38" s="786"/>
      <c r="AI38" s="786"/>
      <c r="AJ38" s="786"/>
      <c r="AK38" s="786"/>
      <c r="AL38" s="786"/>
      <c r="AM38" s="786"/>
      <c r="AN38" s="786"/>
      <c r="AO38" s="786"/>
      <c r="AP38" s="786"/>
      <c r="AQ38" s="786"/>
      <c r="AR38" s="786"/>
      <c r="AS38" s="786"/>
      <c r="AT38" s="786"/>
      <c r="AU38" s="786"/>
      <c r="AV38" s="786"/>
      <c r="AW38" s="786"/>
      <c r="AX38" s="786"/>
      <c r="AY38" s="786"/>
      <c r="AZ38" s="786"/>
      <c r="BA38" s="786"/>
      <c r="BB38" s="786"/>
      <c r="BC38" s="786"/>
      <c r="BD38" s="786"/>
      <c r="BE38" s="786"/>
    </row>
    <row r="39" spans="1:57" s="66" customFormat="1" ht="15.75" customHeight="1">
      <c r="A39" s="605"/>
      <c r="B39" s="566"/>
      <c r="C39" s="202"/>
      <c r="D39" s="1223"/>
      <c r="E39" s="1224"/>
      <c r="F39" s="1224"/>
      <c r="G39" s="1224"/>
      <c r="H39" s="1224"/>
      <c r="I39" s="1224"/>
      <c r="J39" s="1224"/>
      <c r="K39" s="1224"/>
      <c r="L39" s="1224"/>
      <c r="M39" s="1224"/>
      <c r="N39" s="1224"/>
      <c r="O39" s="1224"/>
      <c r="P39" s="1224"/>
      <c r="Q39" s="1224"/>
      <c r="R39" s="1224"/>
      <c r="S39" s="1224"/>
      <c r="T39" s="207"/>
      <c r="U39" s="566"/>
      <c r="V39" s="575" t="s">
        <v>0</v>
      </c>
      <c r="W39" s="161"/>
      <c r="X39" s="38"/>
      <c r="Y39" s="38"/>
      <c r="Z39" s="226"/>
      <c r="AA39" s="226"/>
      <c r="AB39" s="55"/>
      <c r="AC39" s="786"/>
      <c r="AD39" s="786"/>
      <c r="AE39" s="786"/>
      <c r="AF39" s="786"/>
      <c r="AG39" s="786"/>
      <c r="AH39" s="786"/>
      <c r="AI39" s="786"/>
      <c r="AJ39" s="786"/>
      <c r="AK39" s="786"/>
      <c r="AL39" s="786"/>
      <c r="AM39" s="786"/>
      <c r="AN39" s="786"/>
      <c r="AO39" s="786"/>
      <c r="AP39" s="786"/>
      <c r="AQ39" s="786"/>
      <c r="AR39" s="786"/>
      <c r="AS39" s="786"/>
      <c r="AT39" s="786"/>
      <c r="AU39" s="786"/>
      <c r="AV39" s="786"/>
      <c r="AW39" s="786"/>
      <c r="AX39" s="786"/>
      <c r="AY39" s="786"/>
      <c r="AZ39" s="786"/>
      <c r="BA39" s="786"/>
      <c r="BB39" s="786"/>
      <c r="BC39" s="786"/>
      <c r="BD39" s="786"/>
      <c r="BE39" s="786"/>
    </row>
    <row r="40" spans="1:57" s="66" customFormat="1" ht="33" customHeight="1">
      <c r="A40" s="605"/>
      <c r="B40" s="566"/>
      <c r="C40" s="202"/>
      <c r="D40" s="746" t="s">
        <v>351</v>
      </c>
      <c r="E40" s="710"/>
      <c r="F40" s="710"/>
      <c r="G40" s="747"/>
      <c r="H40" s="747"/>
      <c r="I40" s="748"/>
      <c r="J40" s="749"/>
      <c r="K40" s="750"/>
      <c r="L40" s="751"/>
      <c r="M40" s="752"/>
      <c r="N40" s="753"/>
      <c r="O40" s="754"/>
      <c r="P40" s="755"/>
      <c r="Q40" s="756"/>
      <c r="R40" s="757"/>
      <c r="S40" s="758"/>
      <c r="T40" s="304"/>
      <c r="U40" s="566"/>
      <c r="V40" s="575"/>
      <c r="W40" s="161"/>
      <c r="X40" s="44"/>
      <c r="Y40" s="38"/>
      <c r="Z40" s="226"/>
      <c r="AA40" s="226"/>
      <c r="AB40" s="55"/>
      <c r="AC40" s="380"/>
      <c r="AD40" s="380"/>
      <c r="AE40" s="380"/>
      <c r="AF40" s="380"/>
      <c r="AG40" s="380"/>
      <c r="AH40" s="380"/>
      <c r="AI40" s="380"/>
      <c r="AJ40" s="380"/>
      <c r="AK40" s="380"/>
      <c r="AL40" s="380"/>
      <c r="AM40" s="380"/>
      <c r="AN40" s="380"/>
      <c r="AO40" s="380"/>
      <c r="AP40" s="380"/>
      <c r="AQ40" s="380"/>
      <c r="AR40" s="380"/>
      <c r="AS40" s="380"/>
      <c r="AT40" s="380"/>
      <c r="AU40" s="380"/>
      <c r="AV40" s="380"/>
      <c r="AW40" s="380"/>
      <c r="AX40" s="380"/>
      <c r="AY40" s="380"/>
      <c r="AZ40" s="380"/>
      <c r="BA40" s="380"/>
      <c r="BB40" s="380"/>
      <c r="BC40" s="380"/>
      <c r="BD40" s="380"/>
      <c r="BE40" s="380"/>
    </row>
    <row r="41" spans="1:57" s="66" customFormat="1" ht="15.75" customHeight="1">
      <c r="A41" s="605"/>
      <c r="B41" s="566"/>
      <c r="C41" s="202"/>
      <c r="D41" s="759" t="s">
        <v>147</v>
      </c>
      <c r="E41" s="692"/>
      <c r="F41" s="692"/>
      <c r="G41" s="760" t="s">
        <v>150</v>
      </c>
      <c r="H41" s="761"/>
      <c r="I41" s="762"/>
      <c r="J41" s="763" t="s">
        <v>153</v>
      </c>
      <c r="K41" s="764"/>
      <c r="L41" s="764"/>
      <c r="M41" s="764"/>
      <c r="N41" s="764"/>
      <c r="O41" s="764"/>
      <c r="P41" s="764"/>
      <c r="Q41" s="764"/>
      <c r="R41" s="764"/>
      <c r="S41" s="764"/>
      <c r="T41" s="304"/>
      <c r="U41" s="566"/>
      <c r="V41" s="575"/>
      <c r="W41" s="161"/>
      <c r="X41" s="768" t="b">
        <v>0</v>
      </c>
      <c r="Y41" s="768" t="b">
        <v>0</v>
      </c>
      <c r="Z41" s="768" t="b">
        <v>1</v>
      </c>
      <c r="AA41" s="892" t="str">
        <f>IF(COUNTIF(X41:Z44,TRUE)&gt;0,"involved","not involved")</f>
        <v>involved</v>
      </c>
      <c r="AB41" s="55"/>
      <c r="AC41"/>
      <c r="AD41"/>
      <c r="AE41"/>
      <c r="AF41"/>
      <c r="AG41"/>
      <c r="AH41" s="59"/>
      <c r="AI41" s="161"/>
      <c r="AJ41" s="380"/>
      <c r="AK41" s="380"/>
      <c r="AL41" s="380"/>
      <c r="AM41" s="380"/>
      <c r="AN41" s="380"/>
      <c r="AO41" s="380"/>
      <c r="AP41" s="380"/>
      <c r="AQ41" s="380"/>
      <c r="AR41" s="380"/>
      <c r="AS41" s="380"/>
      <c r="AT41" s="380"/>
      <c r="AU41" s="380"/>
      <c r="AV41" s="380"/>
      <c r="AW41" s="380"/>
      <c r="AX41" s="380"/>
      <c r="AY41" s="380"/>
      <c r="AZ41" s="380"/>
      <c r="BA41" s="380"/>
      <c r="BB41" s="380"/>
      <c r="BC41" s="380"/>
      <c r="BD41" s="380"/>
      <c r="BE41" s="380"/>
    </row>
    <row r="42" spans="1:57" s="66" customFormat="1" ht="15.75" customHeight="1">
      <c r="A42" s="605"/>
      <c r="B42" s="566"/>
      <c r="C42" s="202"/>
      <c r="D42" s="759" t="s">
        <v>148</v>
      </c>
      <c r="E42" s="692"/>
      <c r="F42" s="692"/>
      <c r="G42" s="671" t="s">
        <v>151</v>
      </c>
      <c r="H42" s="761"/>
      <c r="I42" s="762"/>
      <c r="J42" s="763" t="s">
        <v>154</v>
      </c>
      <c r="K42" s="764"/>
      <c r="L42" s="764"/>
      <c r="M42" s="764"/>
      <c r="N42" s="764"/>
      <c r="O42" s="764"/>
      <c r="P42" s="764"/>
      <c r="Q42" s="764"/>
      <c r="R42" s="764"/>
      <c r="S42" s="764"/>
      <c r="T42" s="304"/>
      <c r="U42" s="566"/>
      <c r="V42" s="585"/>
      <c r="W42" s="161"/>
      <c r="X42" s="768" t="b">
        <v>0</v>
      </c>
      <c r="Y42" s="768" t="b">
        <v>0</v>
      </c>
      <c r="Z42" s="768" t="b">
        <v>0</v>
      </c>
      <c r="AA42" s="893"/>
      <c r="AB42" s="55"/>
      <c r="AC42"/>
      <c r="AD42"/>
      <c r="AE42"/>
      <c r="AF42"/>
      <c r="AG42"/>
      <c r="AH42" s="60"/>
      <c r="AI42" s="161"/>
      <c r="AJ42" s="380"/>
      <c r="AK42" s="380"/>
      <c r="AL42" s="380"/>
      <c r="AM42" s="380"/>
      <c r="AN42" s="380"/>
      <c r="AO42" s="380"/>
      <c r="AP42" s="380"/>
      <c r="AQ42" s="380"/>
      <c r="AR42" s="380"/>
      <c r="AS42" s="380"/>
      <c r="AT42" s="380"/>
      <c r="AU42" s="380"/>
      <c r="AV42" s="380"/>
      <c r="AW42" s="380"/>
      <c r="AX42" s="380"/>
      <c r="AY42" s="380"/>
      <c r="AZ42" s="380"/>
      <c r="BA42" s="380"/>
      <c r="BB42" s="380"/>
      <c r="BC42" s="380"/>
      <c r="BD42" s="380"/>
      <c r="BE42" s="380"/>
    </row>
    <row r="43" spans="1:57" s="66" customFormat="1" ht="15.75" customHeight="1">
      <c r="A43" s="605"/>
      <c r="B43" s="566"/>
      <c r="C43" s="202"/>
      <c r="D43" s="759" t="s">
        <v>149</v>
      </c>
      <c r="E43" s="692"/>
      <c r="F43" s="692"/>
      <c r="G43" s="671" t="s">
        <v>152</v>
      </c>
      <c r="H43" s="761"/>
      <c r="I43" s="762"/>
      <c r="J43" s="763" t="s">
        <v>105</v>
      </c>
      <c r="K43" s="764"/>
      <c r="L43" s="764"/>
      <c r="M43" s="764"/>
      <c r="N43" s="764"/>
      <c r="O43" s="764"/>
      <c r="P43" s="764"/>
      <c r="Q43" s="764"/>
      <c r="R43" s="764"/>
      <c r="S43" s="764"/>
      <c r="T43" s="304"/>
      <c r="U43" s="566"/>
      <c r="V43" s="575"/>
      <c r="W43" s="161"/>
      <c r="X43" s="768" t="b">
        <v>0</v>
      </c>
      <c r="Y43" s="768" t="b">
        <v>0</v>
      </c>
      <c r="Z43" s="768" t="b">
        <v>0</v>
      </c>
      <c r="AA43" s="893"/>
      <c r="AB43" s="55"/>
      <c r="AC43"/>
      <c r="AD43"/>
      <c r="AE43"/>
      <c r="AF43"/>
      <c r="AG43"/>
      <c r="AH43" s="60"/>
      <c r="AJ43" s="380"/>
      <c r="AK43" s="380"/>
      <c r="AL43" s="380"/>
      <c r="AM43" s="380"/>
      <c r="AN43" s="380"/>
      <c r="AO43" s="380"/>
      <c r="AP43" s="380"/>
      <c r="AQ43" s="380"/>
      <c r="AR43" s="380"/>
      <c r="AS43" s="380"/>
      <c r="AT43" s="380"/>
      <c r="AU43" s="380"/>
      <c r="AV43" s="380"/>
      <c r="AW43" s="380"/>
      <c r="AX43" s="380"/>
      <c r="AY43" s="380"/>
      <c r="AZ43" s="380"/>
      <c r="BA43" s="380"/>
      <c r="BB43" s="380"/>
      <c r="BC43" s="380"/>
      <c r="BD43" s="380"/>
      <c r="BE43" s="380"/>
    </row>
    <row r="44" spans="1:57" s="66" customFormat="1" ht="15.75" customHeight="1">
      <c r="A44" s="605"/>
      <c r="B44" s="566"/>
      <c r="C44" s="202"/>
      <c r="D44" s="744" t="s">
        <v>213</v>
      </c>
      <c r="E44" s="692"/>
      <c r="F44" s="692"/>
      <c r="G44" s="745" t="s">
        <v>213</v>
      </c>
      <c r="H44" s="761"/>
      <c r="I44" s="762"/>
      <c r="J44" s="1420" t="s">
        <v>213</v>
      </c>
      <c r="K44" s="1420"/>
      <c r="L44" s="1420"/>
      <c r="M44" s="1420"/>
      <c r="N44" s="1420"/>
      <c r="O44" s="1420"/>
      <c r="P44" s="1420"/>
      <c r="Q44" s="1420"/>
      <c r="R44" s="1420"/>
      <c r="S44" s="1420"/>
      <c r="T44" s="304"/>
      <c r="U44" s="566"/>
      <c r="V44" s="575"/>
      <c r="W44" s="161"/>
      <c r="X44" s="768" t="b">
        <v>0</v>
      </c>
      <c r="Y44" s="768" t="b">
        <v>0</v>
      </c>
      <c r="Z44" s="768" t="b">
        <v>0</v>
      </c>
      <c r="AA44" s="893"/>
      <c r="AB44" s="55"/>
      <c r="AC44"/>
      <c r="AD44"/>
      <c r="AE44"/>
      <c r="AF44"/>
      <c r="AG44"/>
      <c r="AH44" s="60"/>
      <c r="AI44" s="161"/>
      <c r="AJ44" s="380"/>
      <c r="AK44" s="380"/>
      <c r="AL44" s="380"/>
      <c r="AM44" s="380"/>
      <c r="AN44" s="380"/>
      <c r="AO44" s="380"/>
      <c r="AP44" s="380"/>
      <c r="AQ44" s="380"/>
      <c r="AR44" s="380"/>
      <c r="AS44" s="380"/>
      <c r="AT44" s="380"/>
      <c r="AU44" s="380"/>
      <c r="AV44" s="380"/>
      <c r="AW44" s="380"/>
      <c r="AX44" s="380"/>
      <c r="AY44" s="380"/>
      <c r="AZ44" s="380"/>
      <c r="BA44" s="380"/>
      <c r="BB44" s="380"/>
      <c r="BC44" s="380"/>
      <c r="BD44" s="380"/>
      <c r="BE44" s="380"/>
    </row>
    <row r="45" spans="1:57" s="66" customFormat="1" ht="33" customHeight="1">
      <c r="A45" s="605"/>
      <c r="B45" s="566"/>
      <c r="C45" s="202"/>
      <c r="D45" s="1412" t="str">
        <f>C.7Invoicing</f>
        <v>Since an invoicing system is involved with this rulemaking, please consult with resource system owner early in the rulemaking process.</v>
      </c>
      <c r="E45" s="1412"/>
      <c r="F45" s="1412"/>
      <c r="G45" s="1412"/>
      <c r="H45" s="1412"/>
      <c r="I45" s="1412"/>
      <c r="J45" s="1412"/>
      <c r="K45" s="1412"/>
      <c r="L45" s="1412"/>
      <c r="M45" s="1412"/>
      <c r="N45" s="1412"/>
      <c r="O45" s="1412"/>
      <c r="P45" s="1412"/>
      <c r="Q45" s="1412"/>
      <c r="R45" s="1412"/>
      <c r="S45" s="1412"/>
      <c r="T45" s="304"/>
      <c r="U45" s="566"/>
      <c r="V45" s="575"/>
      <c r="W45" s="161"/>
      <c r="X45" s="1410" t="str">
        <f>IF(COUNTIF(X41:Z44,TRUE)&gt;0,"Since an invoicing system is involved with this rulemaking, please consult with resource system owner early in the rulemaking process.","")</f>
        <v>Since an invoicing system is involved with this rulemaking, please consult with resource system owner early in the rulemaking process.</v>
      </c>
      <c r="Y45" s="1411"/>
      <c r="Z45" s="1411"/>
      <c r="AA45" s="894"/>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5"/>
      <c r="B46" s="566"/>
      <c r="C46" s="202"/>
      <c r="D46" s="1397" t="s">
        <v>243</v>
      </c>
      <c r="E46" s="1397"/>
      <c r="F46" s="1397"/>
      <c r="G46" s="1397"/>
      <c r="H46" s="1397"/>
      <c r="I46" s="1397"/>
      <c r="J46" s="1397"/>
      <c r="K46" s="1397"/>
      <c r="L46" s="1397"/>
      <c r="M46" s="1397"/>
      <c r="N46" s="1397"/>
      <c r="O46" s="1397"/>
      <c r="P46" s="1397"/>
      <c r="Q46" s="1397"/>
      <c r="R46" s="1397"/>
      <c r="S46" s="1397"/>
      <c r="T46" s="206"/>
      <c r="U46" s="566"/>
      <c r="V46" s="579"/>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5"/>
      <c r="B47" s="566"/>
      <c r="C47" s="202"/>
      <c r="D47" s="1223" t="s">
        <v>0</v>
      </c>
      <c r="E47" s="1224"/>
      <c r="F47" s="1224"/>
      <c r="G47" s="1224"/>
      <c r="H47" s="1224"/>
      <c r="I47" s="1224"/>
      <c r="J47" s="1224"/>
      <c r="K47" s="1224"/>
      <c r="L47" s="1224"/>
      <c r="M47" s="1224"/>
      <c r="N47" s="1224"/>
      <c r="O47" s="1224"/>
      <c r="P47" s="1224"/>
      <c r="Q47" s="1224"/>
      <c r="R47" s="1224"/>
      <c r="S47" s="1224"/>
      <c r="T47" s="207"/>
      <c r="U47" s="566"/>
      <c r="V47" s="575"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4"/>
      <c r="B48" s="566"/>
      <c r="C48" s="346"/>
      <c r="D48" s="342" t="s">
        <v>254</v>
      </c>
      <c r="E48" s="343"/>
      <c r="F48" s="769"/>
      <c r="G48" s="770" t="s">
        <v>0</v>
      </c>
      <c r="H48" s="659"/>
      <c r="I48" s="659"/>
      <c r="J48" s="1127"/>
      <c r="K48" s="1128"/>
      <c r="L48" s="1128"/>
      <c r="M48" s="1128"/>
      <c r="N48" s="1128"/>
      <c r="O48" s="1128"/>
      <c r="P48" s="1128"/>
      <c r="Q48" s="1128"/>
      <c r="R48" s="1128"/>
      <c r="S48" s="1128"/>
      <c r="T48" s="347"/>
      <c r="U48" s="566"/>
      <c r="V48" s="586"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5"/>
      <c r="B49" s="566"/>
      <c r="C49" s="202"/>
      <c r="D49" s="238" t="s">
        <v>117</v>
      </c>
      <c r="E49" s="197" t="s">
        <v>0</v>
      </c>
      <c r="F49" s="685" t="s">
        <v>0</v>
      </c>
      <c r="G49" s="771"/>
      <c r="H49" s="1323" t="s">
        <v>0</v>
      </c>
      <c r="I49" s="1368"/>
      <c r="J49" s="1320" t="s">
        <v>32</v>
      </c>
      <c r="K49" s="1321"/>
      <c r="L49" s="1321"/>
      <c r="M49" s="1321"/>
      <c r="N49" s="1321"/>
      <c r="O49" s="1321"/>
      <c r="P49" s="1321"/>
      <c r="Q49" s="1321"/>
      <c r="R49" s="1321"/>
      <c r="S49" s="1322"/>
      <c r="T49" s="347"/>
      <c r="U49" s="566"/>
      <c r="V49" s="576" t="s">
        <v>839</v>
      </c>
      <c r="W49" s="167"/>
      <c r="X49" s="33">
        <f>VLOOKUP($J49,C.VL_ComplexityRating,2,FALSE)</f>
        <v>3</v>
      </c>
      <c r="Y49" s="889" t="str">
        <f>J49</f>
        <v>potential for minor complexity</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4"/>
      <c r="B50" s="566"/>
      <c r="C50" s="203"/>
      <c r="D50" s="238" t="s">
        <v>241</v>
      </c>
      <c r="E50" s="197" t="s">
        <v>0</v>
      </c>
      <c r="F50" s="686"/>
      <c r="G50" s="686"/>
      <c r="H50" s="1434" t="s">
        <v>247</v>
      </c>
      <c r="I50" s="1435"/>
      <c r="J50" s="199">
        <v>1</v>
      </c>
      <c r="K50" s="184">
        <v>2</v>
      </c>
      <c r="L50" s="185">
        <v>3</v>
      </c>
      <c r="M50" s="186">
        <v>4</v>
      </c>
      <c r="N50" s="187">
        <v>5</v>
      </c>
      <c r="O50" s="188">
        <v>6</v>
      </c>
      <c r="P50" s="189">
        <v>7</v>
      </c>
      <c r="Q50" s="190">
        <v>8</v>
      </c>
      <c r="R50" s="191">
        <v>9</v>
      </c>
      <c r="S50" s="192">
        <v>10</v>
      </c>
      <c r="T50" s="205"/>
      <c r="U50" s="566"/>
      <c r="V50" s="586"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4"/>
      <c r="B51" s="566"/>
      <c r="C51" s="203"/>
      <c r="D51" s="238" t="s">
        <v>99</v>
      </c>
      <c r="E51" s="197" t="s">
        <v>0</v>
      </c>
      <c r="F51" s="686"/>
      <c r="G51" s="686"/>
      <c r="H51" s="695"/>
      <c r="I51" s="695"/>
      <c r="J51" s="695"/>
      <c r="K51" s="695"/>
      <c r="L51" s="695"/>
      <c r="M51" s="695"/>
      <c r="N51" s="695"/>
      <c r="O51" s="695"/>
      <c r="P51" s="695"/>
      <c r="Q51" s="695"/>
      <c r="R51" s="695"/>
      <c r="S51" s="695"/>
      <c r="T51" s="688"/>
      <c r="U51" s="566"/>
      <c r="V51" s="584"/>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5"/>
      <c r="B52" s="566"/>
      <c r="C52" s="202"/>
      <c r="D52" s="344" t="s">
        <v>198</v>
      </c>
      <c r="E52" s="196"/>
      <c r="F52" s="691"/>
      <c r="G52" s="691"/>
      <c r="H52" s="691"/>
      <c r="I52" s="691"/>
      <c r="J52" s="691"/>
      <c r="K52" s="691"/>
      <c r="L52" s="691"/>
      <c r="M52" s="691"/>
      <c r="N52" s="691"/>
      <c r="O52" s="691"/>
      <c r="P52" s="691"/>
      <c r="Q52" s="691"/>
      <c r="R52" s="691"/>
      <c r="S52" s="691"/>
      <c r="T52" s="295"/>
      <c r="U52" s="566"/>
      <c r="V52" s="579"/>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5"/>
      <c r="B53" s="566"/>
      <c r="C53" s="202"/>
      <c r="D53" s="1431" t="s">
        <v>0</v>
      </c>
      <c r="E53" s="1432"/>
      <c r="F53" s="1432"/>
      <c r="G53" s="1432"/>
      <c r="H53" s="1432"/>
      <c r="I53" s="1432"/>
      <c r="J53" s="1432"/>
      <c r="K53" s="1432"/>
      <c r="L53" s="1432"/>
      <c r="M53" s="1432"/>
      <c r="N53" s="1432"/>
      <c r="O53" s="1432"/>
      <c r="P53" s="1432"/>
      <c r="Q53" s="1432"/>
      <c r="R53" s="1432"/>
      <c r="S53" s="1433"/>
      <c r="T53" s="201"/>
      <c r="U53" s="566"/>
      <c r="V53" s="585"/>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5"/>
      <c r="B54" s="566"/>
      <c r="C54" s="202"/>
      <c r="D54" s="344" t="s">
        <v>22</v>
      </c>
      <c r="E54" s="114"/>
      <c r="F54" s="114"/>
      <c r="G54" s="114"/>
      <c r="H54" s="114"/>
      <c r="I54" s="114"/>
      <c r="J54" s="114"/>
      <c r="K54" s="114"/>
      <c r="L54" s="114"/>
      <c r="M54" s="114"/>
      <c r="N54" s="114"/>
      <c r="O54" s="114"/>
      <c r="P54" s="114"/>
      <c r="Q54" s="114"/>
      <c r="R54" s="114"/>
      <c r="S54" s="114"/>
      <c r="T54" s="201"/>
      <c r="U54" s="566"/>
      <c r="V54" s="585"/>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88" t="s">
        <v>251</v>
      </c>
      <c r="B55" s="566"/>
      <c r="C55" s="202"/>
      <c r="D55" s="1427" t="s">
        <v>0</v>
      </c>
      <c r="E55" s="1428"/>
      <c r="F55" s="1428"/>
      <c r="G55" s="1428"/>
      <c r="H55" s="1428"/>
      <c r="I55" s="1428"/>
      <c r="J55" s="1428"/>
      <c r="K55" s="1428"/>
      <c r="L55" s="1428"/>
      <c r="M55" s="1428"/>
      <c r="N55" s="1428"/>
      <c r="O55" s="1428"/>
      <c r="P55" s="1428"/>
      <c r="Q55" s="1428"/>
      <c r="R55" s="1428"/>
      <c r="S55" s="1429"/>
      <c r="T55" s="201"/>
      <c r="U55" s="566"/>
      <c r="V55" s="585"/>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6"/>
      <c r="C56" s="293"/>
      <c r="D56" s="294"/>
      <c r="E56" s="294"/>
      <c r="F56" s="294"/>
      <c r="G56" s="1209">
        <f ca="1">TODAY()</f>
        <v>41163</v>
      </c>
      <c r="H56" s="1209"/>
      <c r="I56" s="1209"/>
      <c r="J56" s="1209"/>
      <c r="K56" s="1209"/>
      <c r="L56" s="1209"/>
      <c r="M56" s="1209"/>
      <c r="N56" s="1209"/>
      <c r="O56" s="1209"/>
      <c r="P56" s="1209"/>
      <c r="Q56" s="1209"/>
      <c r="R56" s="1209"/>
      <c r="S56" s="1209"/>
      <c r="T56" s="1210"/>
      <c r="U56" s="566"/>
      <c r="X56" s="147"/>
      <c r="Y56" s="147"/>
      <c r="Z56" s="147"/>
      <c r="AA56" s="147"/>
      <c r="AB56" s="147"/>
    </row>
    <row r="57" spans="1:57">
      <c r="B57" s="566"/>
      <c r="C57" s="566"/>
      <c r="D57" s="566" t="s">
        <v>0</v>
      </c>
      <c r="E57" s="566"/>
      <c r="F57" s="566"/>
      <c r="G57" s="566"/>
      <c r="H57" s="566"/>
      <c r="I57" s="566"/>
      <c r="J57" s="566"/>
      <c r="K57" s="566"/>
      <c r="L57" s="566"/>
      <c r="M57" s="566"/>
      <c r="N57" s="566"/>
      <c r="O57" s="566"/>
      <c r="P57" s="566"/>
      <c r="Q57" s="566"/>
      <c r="R57" s="566"/>
      <c r="S57" s="566"/>
      <c r="T57" s="566"/>
      <c r="U57" s="566"/>
    </row>
  </sheetData>
  <sheetProtection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37" yWindow="444"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12" workbookViewId="0">
      <selection activeCell="G31" sqref="G31"/>
    </sheetView>
  </sheetViews>
  <sheetFormatPr defaultRowHeight="15.75" outlineLevelCol="1"/>
  <cols>
    <col min="1" max="1" width="13.625" style="604"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88" t="s">
        <v>420</v>
      </c>
      <c r="B1" s="566"/>
      <c r="C1" s="566"/>
      <c r="D1" s="566"/>
      <c r="E1" s="566"/>
      <c r="F1" s="566"/>
      <c r="G1" s="566"/>
      <c r="H1" s="566"/>
      <c r="I1" s="566"/>
      <c r="J1" s="566"/>
      <c r="K1" s="566"/>
      <c r="L1" s="566"/>
      <c r="M1" s="566"/>
      <c r="N1" s="566"/>
      <c r="O1" s="566"/>
      <c r="P1" s="566"/>
      <c r="Q1" s="566"/>
      <c r="R1" s="566"/>
      <c r="S1" s="566"/>
      <c r="T1" s="566"/>
      <c r="U1" s="566"/>
    </row>
    <row r="2" spans="1:59" s="74" customFormat="1" ht="30" customHeight="1" thickBot="1">
      <c r="A2" s="604"/>
      <c r="B2" s="566"/>
      <c r="C2" s="218">
        <v>8</v>
      </c>
      <c r="D2" s="1092" t="s">
        <v>102</v>
      </c>
      <c r="E2" s="607"/>
      <c r="F2" s="1454" t="str">
        <f>C.2Name</f>
        <v>Address federal air quality regulations in Oregon rules</v>
      </c>
      <c r="G2" s="1454"/>
      <c r="H2" s="1454"/>
      <c r="I2" s="1454"/>
      <c r="J2" s="1454"/>
      <c r="K2" s="1454"/>
      <c r="L2" s="1454"/>
      <c r="M2" s="1454"/>
      <c r="N2" s="1454"/>
      <c r="O2" s="1454"/>
      <c r="P2" s="1454"/>
      <c r="Q2" s="1454"/>
      <c r="R2" s="1454"/>
      <c r="S2" s="1454"/>
      <c r="T2" s="1116"/>
      <c r="U2" s="566"/>
      <c r="V2" s="272" t="s">
        <v>0</v>
      </c>
      <c r="W2" s="159"/>
      <c r="X2" s="68"/>
      <c r="Y2" s="68"/>
      <c r="Z2" s="147"/>
      <c r="AA2" s="147"/>
    </row>
    <row r="3" spans="1:59" s="66" customFormat="1" ht="12.75" customHeight="1" thickTop="1">
      <c r="A3" s="604"/>
      <c r="B3" s="566"/>
      <c r="C3" s="1466"/>
      <c r="D3" s="1467"/>
      <c r="E3" s="1467"/>
      <c r="F3" s="1467"/>
      <c r="G3" s="308"/>
      <c r="H3" s="308"/>
      <c r="I3" s="308"/>
      <c r="J3" s="308"/>
      <c r="K3" s="308"/>
      <c r="L3" s="308"/>
      <c r="M3" s="308"/>
      <c r="N3" s="308"/>
      <c r="O3" s="308"/>
      <c r="P3" s="308"/>
      <c r="Q3" s="308"/>
      <c r="R3" s="308"/>
      <c r="S3" s="308"/>
      <c r="T3" s="309"/>
      <c r="U3" s="566"/>
      <c r="V3" s="272"/>
      <c r="W3" s="161"/>
      <c r="X3" s="271"/>
      <c r="Y3" s="289"/>
      <c r="Z3" s="147"/>
      <c r="AA3" s="147"/>
    </row>
    <row r="4" spans="1:59" s="66" customFormat="1" ht="19.5" customHeight="1">
      <c r="A4" s="1088" t="s">
        <v>271</v>
      </c>
      <c r="B4" s="857"/>
      <c r="C4" s="274"/>
      <c r="D4" s="344" t="s">
        <v>272</v>
      </c>
      <c r="G4" s="1459" t="s">
        <v>274</v>
      </c>
      <c r="H4" s="1459"/>
      <c r="I4" s="1458" t="s">
        <v>274</v>
      </c>
      <c r="J4" s="1458"/>
      <c r="K4" s="1458"/>
      <c r="L4" s="1458"/>
      <c r="M4" s="1458"/>
      <c r="N4" s="1458"/>
      <c r="O4" s="1458"/>
      <c r="P4" s="1458"/>
      <c r="Q4" s="1458"/>
      <c r="R4" s="1458"/>
      <c r="S4" s="1458"/>
      <c r="T4" s="201"/>
      <c r="U4" s="566"/>
      <c r="V4" s="272"/>
      <c r="W4" s="161"/>
      <c r="X4" s="271"/>
      <c r="Y4" s="289"/>
      <c r="Z4" s="147"/>
      <c r="AA4" s="147"/>
    </row>
    <row r="5" spans="1:59" s="66" customFormat="1" ht="30.75" customHeight="1">
      <c r="A5" s="604"/>
      <c r="B5" s="566"/>
      <c r="C5" s="274"/>
      <c r="D5" s="1453" t="s">
        <v>1037</v>
      </c>
      <c r="E5" s="1453"/>
      <c r="F5" s="1453"/>
      <c r="G5" s="1460" t="s">
        <v>1038</v>
      </c>
      <c r="H5" s="1455"/>
      <c r="I5" s="1463"/>
      <c r="J5" s="1464"/>
      <c r="K5" s="1464"/>
      <c r="L5" s="1464"/>
      <c r="M5" s="1464"/>
      <c r="N5" s="1464"/>
      <c r="O5" s="1464"/>
      <c r="P5" s="1464"/>
      <c r="Q5" s="1464"/>
      <c r="R5" s="1464"/>
      <c r="S5" s="1465"/>
      <c r="T5" s="201"/>
      <c r="U5" s="566"/>
      <c r="V5" s="272"/>
      <c r="W5" s="161"/>
      <c r="X5" s="271"/>
      <c r="Y5" s="289"/>
      <c r="Z5" s="147"/>
      <c r="AA5" s="147"/>
    </row>
    <row r="6" spans="1:59" s="849" customFormat="1" ht="18" customHeight="1">
      <c r="A6" s="858"/>
      <c r="B6" s="857"/>
      <c r="C6" s="855"/>
      <c r="D6" s="1453" t="s">
        <v>0</v>
      </c>
      <c r="E6" s="1453"/>
      <c r="F6" s="1453"/>
      <c r="G6" s="1456" t="s">
        <v>0</v>
      </c>
      <c r="H6" s="1457"/>
      <c r="I6" s="1461"/>
      <c r="J6" s="1461"/>
      <c r="K6" s="1461"/>
      <c r="L6" s="1461"/>
      <c r="M6" s="1461"/>
      <c r="N6" s="1461"/>
      <c r="O6" s="1461"/>
      <c r="P6" s="1461"/>
      <c r="Q6" s="1461"/>
      <c r="R6" s="1461"/>
      <c r="S6" s="1462"/>
      <c r="T6" s="854"/>
      <c r="U6" s="857"/>
      <c r="V6" s="853"/>
      <c r="W6" s="852"/>
      <c r="X6" s="851"/>
      <c r="Y6" s="851"/>
      <c r="Z6" s="850"/>
      <c r="AA6" s="850"/>
    </row>
    <row r="7" spans="1:59" s="66" customFormat="1" ht="25.5" customHeight="1">
      <c r="A7" s="604"/>
      <c r="B7" s="566"/>
      <c r="C7" s="274"/>
      <c r="D7" s="344" t="s">
        <v>273</v>
      </c>
      <c r="E7" s="312"/>
      <c r="F7" s="312"/>
      <c r="G7" s="312"/>
      <c r="H7" s="312"/>
      <c r="I7" s="1452"/>
      <c r="J7" s="1452"/>
      <c r="K7" s="1452"/>
      <c r="L7" s="1452"/>
      <c r="M7" s="1452"/>
      <c r="N7" s="1452"/>
      <c r="O7" s="1452"/>
      <c r="P7" s="1452"/>
      <c r="Q7" s="1452"/>
      <c r="R7" s="1452"/>
      <c r="S7" s="1452"/>
      <c r="T7" s="201"/>
      <c r="U7" s="566"/>
      <c r="V7" s="272"/>
      <c r="W7" s="161"/>
      <c r="X7" s="271"/>
      <c r="Y7" s="289"/>
      <c r="Z7" s="147"/>
      <c r="AA7" s="147"/>
    </row>
    <row r="8" spans="1:59" s="849" customFormat="1" ht="30.75" customHeight="1">
      <c r="A8" s="858"/>
      <c r="B8" s="857"/>
      <c r="C8" s="1030"/>
      <c r="D8" s="1453" t="s">
        <v>1037</v>
      </c>
      <c r="E8" s="1453"/>
      <c r="F8" s="1453"/>
      <c r="G8" s="1460" t="s">
        <v>1038</v>
      </c>
      <c r="H8" s="1455"/>
      <c r="I8" s="1463"/>
      <c r="J8" s="1464"/>
      <c r="K8" s="1464"/>
      <c r="L8" s="1464"/>
      <c r="M8" s="1464"/>
      <c r="N8" s="1464"/>
      <c r="O8" s="1464"/>
      <c r="P8" s="1464"/>
      <c r="Q8" s="1464"/>
      <c r="R8" s="1464"/>
      <c r="S8" s="1465"/>
      <c r="T8" s="854"/>
      <c r="U8" s="857"/>
      <c r="V8" s="1026"/>
      <c r="W8" s="852"/>
      <c r="X8" s="851"/>
      <c r="Y8" s="851"/>
      <c r="Z8" s="850"/>
      <c r="AA8" s="850"/>
    </row>
    <row r="9" spans="1:59" s="849" customFormat="1" ht="18" customHeight="1">
      <c r="A9" s="858"/>
      <c r="B9" s="857"/>
      <c r="C9" s="1030"/>
      <c r="D9" s="1453" t="s">
        <v>0</v>
      </c>
      <c r="E9" s="1453"/>
      <c r="F9" s="1453"/>
      <c r="G9" s="1456" t="s">
        <v>0</v>
      </c>
      <c r="H9" s="1457"/>
      <c r="I9" s="1461"/>
      <c r="J9" s="1461"/>
      <c r="K9" s="1461"/>
      <c r="L9" s="1461"/>
      <c r="M9" s="1461"/>
      <c r="N9" s="1461"/>
      <c r="O9" s="1461"/>
      <c r="P9" s="1461"/>
      <c r="Q9" s="1461"/>
      <c r="R9" s="1461"/>
      <c r="S9" s="1462"/>
      <c r="T9" s="854"/>
      <c r="U9" s="857"/>
      <c r="V9" s="1026"/>
      <c r="W9" s="852"/>
      <c r="X9" s="851"/>
      <c r="Y9" s="851"/>
      <c r="Z9" s="850"/>
      <c r="AA9" s="850"/>
    </row>
    <row r="10" spans="1:59" s="66" customFormat="1" ht="25.5" customHeight="1">
      <c r="A10" s="604"/>
      <c r="B10" s="566"/>
      <c r="C10" s="274"/>
      <c r="D10" s="1031" t="s">
        <v>192</v>
      </c>
      <c r="E10" s="312"/>
      <c r="F10" s="312"/>
      <c r="G10" s="312"/>
      <c r="H10" s="312"/>
      <c r="I10" s="1481"/>
      <c r="J10" s="1481"/>
      <c r="K10" s="1481"/>
      <c r="L10" s="1481"/>
      <c r="M10" s="1481"/>
      <c r="N10" s="1481"/>
      <c r="O10" s="1481"/>
      <c r="P10" s="1481"/>
      <c r="Q10" s="1481"/>
      <c r="R10" s="1481"/>
      <c r="S10" s="1481"/>
      <c r="T10" s="201"/>
      <c r="U10" s="566"/>
      <c r="V10" s="272"/>
      <c r="W10" s="161"/>
      <c r="X10" s="271"/>
      <c r="Y10" s="289"/>
      <c r="Z10" s="147"/>
      <c r="AA10" s="147"/>
    </row>
    <row r="11" spans="1:59" s="849" customFormat="1" ht="18" customHeight="1">
      <c r="A11" s="858"/>
      <c r="B11" s="857"/>
      <c r="C11" s="1030"/>
      <c r="D11" s="1453" t="s">
        <v>0</v>
      </c>
      <c r="E11" s="1453"/>
      <c r="F11" s="1453"/>
      <c r="G11" s="1455"/>
      <c r="H11" s="1455"/>
      <c r="I11" s="1463"/>
      <c r="J11" s="1464"/>
      <c r="K11" s="1464"/>
      <c r="L11" s="1464"/>
      <c r="M11" s="1464"/>
      <c r="N11" s="1464"/>
      <c r="O11" s="1464"/>
      <c r="P11" s="1464"/>
      <c r="Q11" s="1464"/>
      <c r="R11" s="1464"/>
      <c r="S11" s="1465"/>
      <c r="T11" s="854"/>
      <c r="U11" s="857"/>
      <c r="V11" s="1026"/>
      <c r="W11" s="852"/>
      <c r="X11" s="851"/>
      <c r="Y11" s="851"/>
      <c r="Z11" s="850"/>
      <c r="AA11" s="850"/>
    </row>
    <row r="12" spans="1:59" s="849" customFormat="1" ht="18" customHeight="1">
      <c r="A12" s="858"/>
      <c r="B12" s="857"/>
      <c r="C12" s="1030"/>
      <c r="D12" s="1453" t="s">
        <v>0</v>
      </c>
      <c r="E12" s="1453"/>
      <c r="F12" s="1453"/>
      <c r="G12" s="1456" t="s">
        <v>0</v>
      </c>
      <c r="H12" s="1457"/>
      <c r="I12" s="1456"/>
      <c r="J12" s="1482"/>
      <c r="K12" s="1482"/>
      <c r="L12" s="1482"/>
      <c r="M12" s="1482"/>
      <c r="N12" s="1482"/>
      <c r="O12" s="1482"/>
      <c r="P12" s="1482"/>
      <c r="Q12" s="1482"/>
      <c r="R12" s="1482"/>
      <c r="S12" s="1457"/>
      <c r="T12" s="854"/>
      <c r="U12" s="857"/>
      <c r="V12" s="1026"/>
      <c r="W12" s="852"/>
      <c r="X12" s="851"/>
      <c r="Y12" s="851"/>
      <c r="Z12" s="850"/>
      <c r="AA12" s="850"/>
    </row>
    <row r="13" spans="1:59" s="849" customFormat="1" ht="9" customHeight="1">
      <c r="A13" s="858"/>
      <c r="B13" s="857"/>
      <c r="C13" s="1096"/>
      <c r="D13" s="1129"/>
      <c r="E13" s="1129"/>
      <c r="F13" s="1129"/>
      <c r="G13" s="1130"/>
      <c r="H13" s="1130"/>
      <c r="I13" s="1131"/>
      <c r="J13" s="1131"/>
      <c r="K13" s="1131"/>
      <c r="L13" s="1131"/>
      <c r="M13" s="1131"/>
      <c r="N13" s="1131"/>
      <c r="O13" s="1131"/>
      <c r="P13" s="1131"/>
      <c r="Q13" s="1131"/>
      <c r="R13" s="1131"/>
      <c r="S13" s="1130"/>
      <c r="T13" s="295"/>
      <c r="U13" s="857"/>
      <c r="V13" s="1093"/>
      <c r="W13" s="852"/>
      <c r="X13" s="851"/>
      <c r="Y13" s="851"/>
      <c r="Z13" s="850"/>
      <c r="AA13" s="850"/>
    </row>
    <row r="14" spans="1:59" s="66" customFormat="1" ht="30" customHeight="1">
      <c r="A14" s="604"/>
      <c r="B14" s="566"/>
      <c r="C14" s="274"/>
      <c r="D14" s="344" t="s">
        <v>263</v>
      </c>
      <c r="E14" s="275"/>
      <c r="F14" s="275"/>
      <c r="G14" s="183"/>
      <c r="H14" s="311" t="s">
        <v>0</v>
      </c>
      <c r="I14" s="1370" t="s">
        <v>284</v>
      </c>
      <c r="J14" s="1371"/>
      <c r="K14" s="1371"/>
      <c r="L14" s="1371"/>
      <c r="M14" s="1371"/>
      <c r="N14" s="1371"/>
      <c r="O14" s="1371"/>
      <c r="P14" s="1371"/>
      <c r="Q14" s="1371"/>
      <c r="R14" s="1372"/>
      <c r="S14" s="183"/>
      <c r="T14" s="201"/>
      <c r="U14" s="566"/>
      <c r="V14" s="386" t="s">
        <v>845</v>
      </c>
      <c r="W14" s="161"/>
      <c r="X14" s="33">
        <f>VLOOKUP(I14,C.VL_SeverityRating,2,FALSE)</f>
        <v>5</v>
      </c>
      <c r="Y14" s="641" t="str">
        <f>I14</f>
        <v>medium</v>
      </c>
      <c r="Z14" s="55"/>
      <c r="AA14" s="55"/>
    </row>
    <row r="15" spans="1:59" s="66" customFormat="1" ht="17.25" customHeight="1">
      <c r="A15" s="604"/>
      <c r="B15" s="566"/>
      <c r="C15" s="279"/>
      <c r="D15"/>
      <c r="E15"/>
      <c r="F15"/>
      <c r="G15" s="1479" t="s">
        <v>280</v>
      </c>
      <c r="H15" s="1480"/>
      <c r="I15" s="199">
        <v>1</v>
      </c>
      <c r="J15" s="184">
        <v>2</v>
      </c>
      <c r="K15" s="185">
        <v>3</v>
      </c>
      <c r="L15" s="186">
        <v>4</v>
      </c>
      <c r="M15" s="187">
        <v>5</v>
      </c>
      <c r="N15" s="188">
        <v>6</v>
      </c>
      <c r="O15" s="189">
        <v>7</v>
      </c>
      <c r="P15" s="190">
        <v>8</v>
      </c>
      <c r="Q15" s="191">
        <v>9</v>
      </c>
      <c r="R15" s="192">
        <v>10</v>
      </c>
      <c r="T15" s="310"/>
      <c r="U15" s="566"/>
      <c r="W15" s="270"/>
      <c r="X15" s="306"/>
      <c r="Y15" s="306"/>
      <c r="Z15" s="306"/>
      <c r="AA15" s="307"/>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4"/>
      <c r="B16" s="566"/>
      <c r="C16" s="279"/>
      <c r="D16"/>
      <c r="E16"/>
      <c r="F16"/>
      <c r="G16" s="773"/>
      <c r="H16" s="1474" t="s">
        <v>300</v>
      </c>
      <c r="I16" s="1474"/>
      <c r="J16" s="1474"/>
      <c r="K16" s="1474"/>
      <c r="L16" s="724"/>
      <c r="M16" s="725"/>
      <c r="N16" s="726"/>
      <c r="O16" s="727"/>
      <c r="P16" s="728"/>
      <c r="Q16" s="729"/>
      <c r="R16" s="730"/>
      <c r="S16" s="171"/>
      <c r="T16" s="774"/>
      <c r="U16" s="566"/>
      <c r="W16" s="288"/>
      <c r="X16" s="306"/>
      <c r="Y16" s="306"/>
      <c r="Z16" s="306"/>
      <c r="AA16" s="307"/>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4"/>
      <c r="B17" s="566"/>
      <c r="C17" s="202"/>
      <c r="D17" s="1337" t="s">
        <v>277</v>
      </c>
      <c r="E17" s="1337"/>
      <c r="F17" s="1337"/>
      <c r="G17" s="1337"/>
      <c r="H17" s="1468" t="s">
        <v>0</v>
      </c>
      <c r="I17" s="1469"/>
      <c r="J17" s="1469"/>
      <c r="K17" s="1469"/>
      <c r="L17" s="1469"/>
      <c r="M17" s="1469"/>
      <c r="N17" s="1469"/>
      <c r="O17" s="1469"/>
      <c r="P17" s="1469"/>
      <c r="Q17" s="1469"/>
      <c r="R17" s="1469"/>
      <c r="S17" s="1470"/>
      <c r="T17" s="206"/>
      <c r="U17" s="566"/>
      <c r="V17" s="1091"/>
      <c r="W17" s="273"/>
      <c r="X17" s="284" t="b">
        <v>1</v>
      </c>
      <c r="Y17" s="284"/>
      <c r="Z17" s="1407" t="str">
        <f>IF($X17=FALSE,"",IF(COUNTIF($X18:$X$23,TRUE)=0,LOWER($D17),IF(COUNTIF($X18:$X$23,TRUE)=1,LOWER($D17)&amp;" and ",LOWER($D17)&amp;", ")))</f>
        <v xml:space="preserve">rules will not align with the law and </v>
      </c>
      <c r="AA17" s="1407"/>
      <c r="AC17" s="273"/>
      <c r="AD17" s="273"/>
    </row>
    <row r="18" spans="1:30" s="66" customFormat="1" ht="21" customHeight="1">
      <c r="A18" s="604"/>
      <c r="B18" s="566"/>
      <c r="C18" s="202"/>
      <c r="D18" s="1337" t="s">
        <v>279</v>
      </c>
      <c r="E18" s="1337"/>
      <c r="F18" s="1337"/>
      <c r="G18" s="1337"/>
      <c r="H18" s="1468"/>
      <c r="I18" s="1469"/>
      <c r="J18" s="1469"/>
      <c r="K18" s="1469"/>
      <c r="L18" s="1469"/>
      <c r="M18" s="1469"/>
      <c r="N18" s="1469"/>
      <c r="O18" s="1469"/>
      <c r="P18" s="1469"/>
      <c r="Q18" s="1469"/>
      <c r="R18" s="1469"/>
      <c r="S18" s="1470"/>
      <c r="T18" s="206"/>
      <c r="U18" s="566"/>
      <c r="V18" s="273"/>
      <c r="W18" s="273"/>
      <c r="X18" s="284" t="b">
        <v>1</v>
      </c>
      <c r="Y18" s="284"/>
      <c r="Z18" s="1407" t="str">
        <f>IF($X18=FALSE,"",IF(COUNTIF($X19:$X$23,TRUE)=0,LOWER($D18),IF(COUNTIF($X19:$X$23,TRUE)=1,LOWER($D18)&amp;" and ",LOWER($D18)&amp;", ")))</f>
        <v>risks noncompliance</v>
      </c>
      <c r="AA18" s="1407"/>
      <c r="AC18" s="273"/>
      <c r="AD18" s="273"/>
    </row>
    <row r="19" spans="1:30" s="66" customFormat="1" ht="21" customHeight="1">
      <c r="A19" s="604"/>
      <c r="B19" s="566"/>
      <c r="C19" s="202"/>
      <c r="D19" s="1340" t="s">
        <v>275</v>
      </c>
      <c r="E19" s="1340"/>
      <c r="F19" s="1340"/>
      <c r="G19" s="1340"/>
      <c r="H19" s="1468"/>
      <c r="I19" s="1469"/>
      <c r="J19" s="1469"/>
      <c r="K19" s="1469"/>
      <c r="L19" s="1469"/>
      <c r="M19" s="1469"/>
      <c r="N19" s="1469"/>
      <c r="O19" s="1469"/>
      <c r="P19" s="1469"/>
      <c r="Q19" s="1469"/>
      <c r="R19" s="1469"/>
      <c r="S19" s="1470"/>
      <c r="T19" s="206"/>
      <c r="U19" s="566"/>
      <c r="V19" s="273"/>
      <c r="W19" s="273"/>
      <c r="X19" s="284" t="b">
        <v>0</v>
      </c>
      <c r="Y19" s="284"/>
      <c r="Z19" s="1407" t="str">
        <f>IF($X19=FALSE,"",IF(COUNTIF($X21:$X$23,TRUE)=0,LOWER($D19),IF(COUNTIF($X21:$X$23,TRUE)=1,LOWER($D19)&amp;" and ",LOWER($D19)&amp;", ")))</f>
        <v/>
      </c>
      <c r="AA19" s="1407"/>
      <c r="AC19" s="273"/>
      <c r="AD19" s="273"/>
    </row>
    <row r="20" spans="1:30" s="849" customFormat="1" ht="21" customHeight="1">
      <c r="A20" s="858"/>
      <c r="B20" s="857"/>
      <c r="C20" s="202"/>
      <c r="D20" s="1340" t="s">
        <v>278</v>
      </c>
      <c r="E20" s="1340"/>
      <c r="F20" s="1340"/>
      <c r="G20" s="1340"/>
      <c r="H20" s="1468"/>
      <c r="I20" s="1469"/>
      <c r="J20" s="1469"/>
      <c r="K20" s="1469"/>
      <c r="L20" s="1469"/>
      <c r="M20" s="1469"/>
      <c r="N20" s="1469"/>
      <c r="O20" s="1469"/>
      <c r="P20" s="1469"/>
      <c r="Q20" s="1469"/>
      <c r="R20" s="1469"/>
      <c r="S20" s="1470"/>
      <c r="T20" s="206"/>
      <c r="U20" s="857"/>
      <c r="V20" s="1098"/>
      <c r="W20" s="1098"/>
      <c r="X20" s="284"/>
      <c r="Y20" s="284"/>
      <c r="Z20" s="1097"/>
      <c r="AA20" s="1097"/>
      <c r="AC20" s="1098"/>
      <c r="AD20" s="1098"/>
    </row>
    <row r="21" spans="1:30" s="66" customFormat="1" ht="42" customHeight="1">
      <c r="A21" s="604"/>
      <c r="B21" s="566"/>
      <c r="C21" s="202"/>
      <c r="D21" s="1340" t="s">
        <v>861</v>
      </c>
      <c r="E21" s="1340"/>
      <c r="F21" s="1340"/>
      <c r="G21" s="1340"/>
      <c r="H21" s="1468"/>
      <c r="I21" s="1469"/>
      <c r="J21" s="1469"/>
      <c r="K21" s="1469"/>
      <c r="L21" s="1469"/>
      <c r="M21" s="1469"/>
      <c r="N21" s="1469"/>
      <c r="O21" s="1469"/>
      <c r="P21" s="1469"/>
      <c r="Q21" s="1469"/>
      <c r="R21" s="1469"/>
      <c r="S21" s="1470"/>
      <c r="T21" s="206"/>
      <c r="U21" s="566"/>
      <c r="V21" s="273"/>
      <c r="W21" s="273"/>
      <c r="X21" s="284" t="b">
        <v>0</v>
      </c>
      <c r="Y21" s="284"/>
      <c r="Z21" s="1407" t="str">
        <f>IF($X21=FALSE,"",IF(COUNTIF($X22:$X$23,TRUE)=0,LOWER($D20),IF(COUNTIF($X22:$X$23,TRUE)=1,LOWER($D20)&amp;" and ",LOWER($D20)&amp;", ")))</f>
        <v/>
      </c>
      <c r="AA21" s="1407"/>
      <c r="AC21" s="273"/>
      <c r="AD21" s="273"/>
    </row>
    <row r="22" spans="1:30" s="66" customFormat="1" ht="21" customHeight="1">
      <c r="A22" s="604"/>
      <c r="B22" s="566"/>
      <c r="C22" s="202"/>
      <c r="D22" s="1352" t="s">
        <v>276</v>
      </c>
      <c r="E22" s="1352"/>
      <c r="F22" s="1352"/>
      <c r="G22" s="1352"/>
      <c r="H22" s="1471" t="s">
        <v>0</v>
      </c>
      <c r="I22" s="1472"/>
      <c r="J22" s="1472"/>
      <c r="K22" s="1472"/>
      <c r="L22" s="1472"/>
      <c r="M22" s="1472"/>
      <c r="N22" s="1472"/>
      <c r="O22" s="1472"/>
      <c r="P22" s="1472"/>
      <c r="Q22" s="1472"/>
      <c r="R22" s="1472"/>
      <c r="S22" s="1473"/>
      <c r="T22" s="206"/>
      <c r="U22" s="566"/>
      <c r="V22" s="273"/>
      <c r="W22" s="273"/>
      <c r="X22" s="284" t="b">
        <v>0</v>
      </c>
      <c r="Y22" s="284"/>
      <c r="Z22" s="1407" t="str">
        <f>IF($X22=FALSE,"",IF($X23:$X$23=FALSE,LOWER($E22),LOWER($E22)&amp;" and "))</f>
        <v/>
      </c>
      <c r="AA22" s="1407"/>
      <c r="AC22" s="273" t="s">
        <v>0</v>
      </c>
      <c r="AD22" s="273"/>
    </row>
    <row r="23" spans="1:30" s="66" customFormat="1" ht="21" customHeight="1">
      <c r="A23" s="604"/>
      <c r="B23" s="566"/>
      <c r="C23" s="202"/>
      <c r="D23" s="1352" t="s">
        <v>276</v>
      </c>
      <c r="E23" s="1352"/>
      <c r="F23" s="1352"/>
      <c r="G23" s="1352"/>
      <c r="H23" s="1468"/>
      <c r="I23" s="1469"/>
      <c r="J23" s="1469"/>
      <c r="K23" s="1469"/>
      <c r="L23" s="1469"/>
      <c r="M23" s="1469"/>
      <c r="N23" s="1469"/>
      <c r="O23" s="1469"/>
      <c r="P23" s="1469"/>
      <c r="Q23" s="1469"/>
      <c r="R23" s="1469"/>
      <c r="S23" s="1470"/>
      <c r="T23" s="206"/>
      <c r="U23" s="566"/>
      <c r="V23" s="273"/>
      <c r="W23" s="273"/>
      <c r="X23" s="284" t="b">
        <v>0</v>
      </c>
      <c r="Y23" s="284"/>
      <c r="Z23" s="1407" t="str">
        <f>IF($X23=FALSE,"",LOWER($E23))</f>
        <v/>
      </c>
      <c r="AA23" s="1407"/>
      <c r="AC23" s="285" t="s">
        <v>0</v>
      </c>
      <c r="AD23" s="273"/>
    </row>
    <row r="24" spans="1:30" s="66" customFormat="1" ht="30" customHeight="1">
      <c r="A24" s="604"/>
      <c r="B24" s="566"/>
      <c r="C24" s="202"/>
      <c r="D24" s="1397" t="s">
        <v>267</v>
      </c>
      <c r="E24" s="1397"/>
      <c r="F24" s="1397"/>
      <c r="G24" s="1397"/>
      <c r="H24" s="193"/>
      <c r="I24" s="193"/>
      <c r="J24" s="193"/>
      <c r="K24" s="193"/>
      <c r="L24" s="193"/>
      <c r="M24" s="193"/>
      <c r="N24" s="193"/>
      <c r="O24" s="193"/>
      <c r="P24" s="193"/>
      <c r="Q24" s="193"/>
      <c r="R24" s="193"/>
      <c r="S24" s="275"/>
      <c r="T24" s="206"/>
      <c r="U24" s="566"/>
      <c r="V24" s="161"/>
      <c r="W24" s="161"/>
      <c r="X24" s="1357" t="str">
        <f>IF(COUNTIF(X17:X23,TRUE),"LEGAL: "&amp;Z17&amp;Z18&amp;Z19&amp;Z21&amp;Z22&amp;Z23&amp;".","")</f>
        <v>LEGAL: rules will not align with the law and risks noncompliance.</v>
      </c>
      <c r="Y24" s="1478"/>
      <c r="Z24" s="1478"/>
      <c r="AA24" s="1358"/>
    </row>
    <row r="25" spans="1:30" s="66" customFormat="1" ht="15.75" customHeight="1">
      <c r="A25" s="604"/>
      <c r="B25" s="566"/>
      <c r="C25" s="202"/>
      <c r="D25" s="1235" t="s">
        <v>0</v>
      </c>
      <c r="E25" s="1236"/>
      <c r="F25" s="1236"/>
      <c r="G25" s="1236"/>
      <c r="H25" s="1236"/>
      <c r="I25" s="1236"/>
      <c r="J25" s="1236"/>
      <c r="K25" s="1236"/>
      <c r="L25" s="1236"/>
      <c r="M25" s="1236"/>
      <c r="N25" s="1236"/>
      <c r="O25" s="1236"/>
      <c r="P25" s="1236"/>
      <c r="Q25" s="1236"/>
      <c r="R25" s="1236"/>
      <c r="S25" s="1236"/>
      <c r="T25" s="207"/>
      <c r="U25" s="566"/>
      <c r="W25" s="161"/>
      <c r="X25" s="38"/>
      <c r="Y25" s="38"/>
      <c r="Z25" s="38"/>
      <c r="AA25" s="226"/>
    </row>
    <row r="26" spans="1:30" s="66" customFormat="1" ht="12.75" customHeight="1">
      <c r="A26" s="604"/>
      <c r="B26" s="566"/>
      <c r="C26" s="202"/>
      <c r="D26" s="710"/>
      <c r="E26" s="710"/>
      <c r="F26" s="710"/>
      <c r="G26" s="710"/>
      <c r="H26" s="710"/>
      <c r="I26" s="710"/>
      <c r="J26" s="710"/>
      <c r="K26" s="710"/>
      <c r="L26" s="710"/>
      <c r="M26" s="710"/>
      <c r="N26" s="710"/>
      <c r="O26" s="710"/>
      <c r="P26" s="710"/>
      <c r="Q26" s="710"/>
      <c r="R26" s="710"/>
      <c r="S26" s="710"/>
      <c r="T26" s="304"/>
      <c r="U26" s="566"/>
      <c r="V26" s="314"/>
      <c r="W26" s="161"/>
      <c r="X26" s="38"/>
      <c r="Y26" s="38"/>
      <c r="Z26" s="38"/>
      <c r="AA26" s="226"/>
    </row>
    <row r="27" spans="1:30" s="9" customFormat="1" ht="30.75" customHeight="1">
      <c r="A27" s="604"/>
      <c r="B27" s="566"/>
      <c r="C27" s="203"/>
      <c r="D27" s="746" t="s">
        <v>254</v>
      </c>
      <c r="E27" s="772"/>
      <c r="F27" s="769"/>
      <c r="G27" s="296"/>
      <c r="H27" s="775" t="s">
        <v>0</v>
      </c>
      <c r="I27" s="1320" t="s">
        <v>5</v>
      </c>
      <c r="J27" s="1321"/>
      <c r="K27" s="1321"/>
      <c r="L27" s="1321"/>
      <c r="M27" s="1321"/>
      <c r="N27" s="1321"/>
      <c r="O27" s="1321"/>
      <c r="P27" s="1321"/>
      <c r="Q27" s="1321"/>
      <c r="R27" s="1322"/>
      <c r="S27" s="183"/>
      <c r="T27" s="201"/>
      <c r="U27" s="566"/>
      <c r="V27" s="314" t="s">
        <v>839</v>
      </c>
      <c r="W27" s="161"/>
      <c r="X27" s="39">
        <f>VLOOKUP(I27,C.VL_ComplexityRating,2,FALSE)</f>
        <v>5</v>
      </c>
      <c r="Y27" s="889" t="str">
        <f>I27</f>
        <v>unknown</v>
      </c>
      <c r="Z27" s="147"/>
      <c r="AA27" s="55"/>
      <c r="AB27" s="66"/>
      <c r="AC27" s="66"/>
    </row>
    <row r="28" spans="1:30" s="9" customFormat="1" ht="15.75" customHeight="1">
      <c r="A28" s="604"/>
      <c r="B28" s="566"/>
      <c r="C28" s="203"/>
      <c r="D28" s="204" t="s">
        <v>117</v>
      </c>
      <c r="E28" s="856" t="s">
        <v>0</v>
      </c>
      <c r="F28" s="685" t="s">
        <v>0</v>
      </c>
      <c r="G28" s="1479" t="s">
        <v>239</v>
      </c>
      <c r="H28" s="1480"/>
      <c r="I28" s="199">
        <v>1</v>
      </c>
      <c r="J28" s="184">
        <v>2</v>
      </c>
      <c r="K28" s="185">
        <v>3</v>
      </c>
      <c r="L28" s="186">
        <v>4</v>
      </c>
      <c r="M28" s="187">
        <v>5</v>
      </c>
      <c r="N28" s="188">
        <v>6</v>
      </c>
      <c r="O28" s="189">
        <v>7</v>
      </c>
      <c r="P28" s="190">
        <v>8</v>
      </c>
      <c r="Q28" s="191">
        <v>9</v>
      </c>
      <c r="R28" s="192">
        <v>10</v>
      </c>
      <c r="S28" s="66"/>
      <c r="T28" s="310"/>
      <c r="U28" s="566"/>
      <c r="V28" s="66"/>
      <c r="W28" s="428"/>
      <c r="X28" s="306"/>
      <c r="Y28" s="306"/>
      <c r="Z28" s="306"/>
      <c r="AA28" s="307"/>
      <c r="AB28" s="161"/>
      <c r="AC28" s="161"/>
    </row>
    <row r="29" spans="1:30" s="9" customFormat="1" ht="15.75" customHeight="1">
      <c r="A29" s="604"/>
      <c r="B29" s="566"/>
      <c r="C29" s="203"/>
      <c r="D29" s="204" t="s">
        <v>241</v>
      </c>
      <c r="E29" s="856" t="s">
        <v>0</v>
      </c>
      <c r="F29" s="659"/>
      <c r="G29" s="659"/>
      <c r="H29" s="659"/>
      <c r="I29" s="659"/>
      <c r="J29" s="659"/>
      <c r="K29" s="659"/>
      <c r="L29" s="659"/>
      <c r="M29" s="659"/>
      <c r="N29" s="659"/>
      <c r="O29" s="659"/>
      <c r="P29" s="659"/>
      <c r="Q29" s="659"/>
      <c r="R29" s="659"/>
      <c r="S29" s="659"/>
      <c r="T29" s="154"/>
      <c r="U29" s="566"/>
      <c r="V29" s="314" t="s">
        <v>762</v>
      </c>
      <c r="X29" s="58"/>
      <c r="Y29" s="58"/>
      <c r="Z29" s="58"/>
      <c r="AA29" s="147"/>
    </row>
    <row r="30" spans="1:30" s="9" customFormat="1" ht="15.75" customHeight="1">
      <c r="A30" s="604"/>
      <c r="B30" s="566"/>
      <c r="C30" s="203"/>
      <c r="D30" s="204" t="s">
        <v>99</v>
      </c>
      <c r="E30" s="856" t="s">
        <v>0</v>
      </c>
      <c r="F30" s="659"/>
      <c r="G30" s="659"/>
      <c r="H30" s="659"/>
      <c r="I30" s="659"/>
      <c r="J30" s="659"/>
      <c r="K30" s="659"/>
      <c r="L30" s="659"/>
      <c r="M30" s="659"/>
      <c r="N30" s="659"/>
      <c r="O30" s="659"/>
      <c r="P30" s="659"/>
      <c r="Q30" s="659"/>
      <c r="R30" s="659"/>
      <c r="S30" s="659"/>
      <c r="T30" s="205"/>
      <c r="U30" s="566"/>
      <c r="V30" s="167"/>
      <c r="W30" s="167"/>
      <c r="X30" s="147" t="s">
        <v>0</v>
      </c>
      <c r="Y30" s="147"/>
      <c r="Z30" s="147"/>
      <c r="AA30" s="147"/>
    </row>
    <row r="31" spans="1:30" s="66" customFormat="1" ht="30" customHeight="1">
      <c r="A31" s="604"/>
      <c r="B31" s="566"/>
      <c r="C31" s="202"/>
      <c r="D31" s="344" t="s">
        <v>198</v>
      </c>
      <c r="E31" s="196"/>
      <c r="F31" s="196"/>
      <c r="G31" s="196"/>
      <c r="H31" s="196"/>
      <c r="I31" s="196"/>
      <c r="J31" s="196"/>
      <c r="K31" s="196"/>
      <c r="L31" s="196"/>
      <c r="M31" s="196"/>
      <c r="N31" s="196"/>
      <c r="O31" s="196"/>
      <c r="P31" s="196"/>
      <c r="Q31" s="196"/>
      <c r="R31" s="196"/>
      <c r="S31" s="196"/>
      <c r="T31" s="201"/>
      <c r="U31" s="566"/>
      <c r="V31" s="161"/>
      <c r="W31" s="161"/>
      <c r="X31" s="32"/>
      <c r="Y31" s="32"/>
      <c r="Z31" s="32"/>
      <c r="AA31" s="146"/>
    </row>
    <row r="32" spans="1:30" s="66" customFormat="1" ht="15.75" customHeight="1">
      <c r="A32" s="604"/>
      <c r="B32" s="566"/>
      <c r="C32" s="202"/>
      <c r="D32" s="1475" t="s">
        <v>0</v>
      </c>
      <c r="E32" s="1476"/>
      <c r="F32" s="1476"/>
      <c r="G32" s="1476"/>
      <c r="H32" s="1476"/>
      <c r="I32" s="1476"/>
      <c r="J32" s="1476"/>
      <c r="K32" s="1476"/>
      <c r="L32" s="1476"/>
      <c r="M32" s="1476"/>
      <c r="N32" s="1476"/>
      <c r="O32" s="1476"/>
      <c r="P32" s="1476"/>
      <c r="Q32" s="1476"/>
      <c r="R32" s="1476"/>
      <c r="S32" s="1477"/>
      <c r="T32" s="201"/>
      <c r="U32" s="566"/>
      <c r="W32" s="161"/>
      <c r="X32" s="122"/>
      <c r="Y32" s="122"/>
      <c r="Z32" s="147"/>
      <c r="AA32" s="147"/>
    </row>
    <row r="33" spans="1:27" s="66" customFormat="1" ht="25.5" customHeight="1">
      <c r="A33" s="604"/>
      <c r="B33" s="566"/>
      <c r="C33" s="202"/>
      <c r="D33" s="646" t="s">
        <v>22</v>
      </c>
      <c r="E33" s="717"/>
      <c r="F33" s="717"/>
      <c r="G33" s="717"/>
      <c r="H33" s="717"/>
      <c r="I33" s="717"/>
      <c r="J33" s="717"/>
      <c r="K33" s="717"/>
      <c r="L33" s="717"/>
      <c r="M33" s="717"/>
      <c r="N33" s="717"/>
      <c r="O33" s="717"/>
      <c r="P33" s="717"/>
      <c r="Q33" s="717"/>
      <c r="R33" s="717"/>
      <c r="S33" s="717"/>
      <c r="T33" s="295"/>
      <c r="U33" s="566"/>
      <c r="W33" s="161"/>
      <c r="X33" s="122"/>
      <c r="Y33" s="122"/>
      <c r="Z33" s="147"/>
      <c r="AA33" s="147"/>
    </row>
    <row r="34" spans="1:27" s="66" customFormat="1" ht="15.75" customHeight="1">
      <c r="A34" s="1088" t="s">
        <v>251</v>
      </c>
      <c r="B34" s="566"/>
      <c r="C34" s="202"/>
      <c r="D34" s="1427" t="s">
        <v>0</v>
      </c>
      <c r="E34" s="1428"/>
      <c r="F34" s="1428"/>
      <c r="G34" s="1428"/>
      <c r="H34" s="1428"/>
      <c r="I34" s="1428"/>
      <c r="J34" s="1428"/>
      <c r="K34" s="1428"/>
      <c r="L34" s="1428"/>
      <c r="M34" s="1428"/>
      <c r="N34" s="1428"/>
      <c r="O34" s="1428"/>
      <c r="P34" s="1428"/>
      <c r="Q34" s="1428"/>
      <c r="R34" s="1428"/>
      <c r="S34" s="1429"/>
      <c r="T34" s="201"/>
      <c r="U34" s="566"/>
      <c r="W34" s="161"/>
      <c r="X34" s="122"/>
      <c r="Y34" s="122"/>
      <c r="Z34" s="147"/>
      <c r="AA34" s="147"/>
    </row>
    <row r="35" spans="1:27">
      <c r="B35" s="566"/>
      <c r="C35" s="276"/>
      <c r="D35" s="277"/>
      <c r="E35" s="277"/>
      <c r="F35" s="277"/>
      <c r="G35" s="1209">
        <f ca="1">TODAY()</f>
        <v>41163</v>
      </c>
      <c r="H35" s="1209"/>
      <c r="I35" s="1209"/>
      <c r="J35" s="1209"/>
      <c r="K35" s="1209"/>
      <c r="L35" s="1209"/>
      <c r="M35" s="1209"/>
      <c r="N35" s="1209"/>
      <c r="O35" s="1209"/>
      <c r="P35" s="1209"/>
      <c r="Q35" s="1209"/>
      <c r="R35" s="1209"/>
      <c r="S35" s="1209"/>
      <c r="T35" s="1210"/>
      <c r="U35" s="566"/>
    </row>
    <row r="36" spans="1:27" ht="18.75" customHeight="1">
      <c r="B36" s="566"/>
      <c r="C36" s="566"/>
      <c r="D36" s="566"/>
      <c r="E36" s="566"/>
      <c r="F36" s="566"/>
      <c r="G36" s="566"/>
      <c r="H36" s="566"/>
      <c r="I36" s="566"/>
      <c r="J36" s="566"/>
      <c r="K36" s="566"/>
      <c r="L36" s="566"/>
      <c r="M36" s="566"/>
      <c r="N36" s="566"/>
      <c r="O36" s="566"/>
      <c r="P36" s="566"/>
      <c r="Q36" s="566"/>
      <c r="R36" s="566"/>
      <c r="S36" s="566"/>
      <c r="T36" s="566"/>
      <c r="U36" s="566"/>
    </row>
  </sheetData>
  <sheetProtection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 ref="G5" r:id="rId2"/>
    <hyperlink ref="G8" r:id="rId3"/>
  </hyperlinks>
  <pageMargins left="0.7" right="0.7" top="0.75" bottom="0.75" header="0.3" footer="0.3"/>
  <pageSetup orientation="portrait" horizontalDpi="4294967293" verticalDpi="4294967293" r:id="rId4"/>
  <drawing r:id="rId5"/>
  <legacyDrawing r:id="rId6"/>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G16" sqref="G16"/>
    </sheetView>
  </sheetViews>
  <sheetFormatPr defaultRowHeight="15.75" outlineLevelCol="1"/>
  <cols>
    <col min="1" max="1" width="14" style="604"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80" customWidth="1"/>
    <col min="24" max="24" width="9" hidden="1" customWidth="1" outlineLevel="1"/>
    <col min="25" max="25" width="23.75" hidden="1" customWidth="1" outlineLevel="1"/>
    <col min="26" max="26" width="9" collapsed="1"/>
  </cols>
  <sheetData>
    <row r="1" spans="1:31" ht="21" customHeight="1">
      <c r="A1" s="1088" t="s">
        <v>420</v>
      </c>
      <c r="B1" s="566"/>
      <c r="C1" s="566"/>
      <c r="D1" s="566"/>
      <c r="E1" s="566"/>
      <c r="F1" s="566"/>
      <c r="G1" s="566"/>
      <c r="H1" s="566"/>
      <c r="I1" s="566"/>
      <c r="J1" s="566"/>
      <c r="K1" s="566"/>
      <c r="L1" s="566"/>
      <c r="M1" s="566"/>
      <c r="N1" s="566"/>
      <c r="O1" s="566"/>
      <c r="P1" s="566"/>
      <c r="Q1" s="566"/>
      <c r="R1" s="566"/>
      <c r="S1" s="566"/>
      <c r="T1" s="566"/>
      <c r="U1" s="160"/>
      <c r="V1" s="160"/>
      <c r="W1" s="160"/>
      <c r="X1" s="147"/>
      <c r="Y1" s="147"/>
      <c r="Z1" s="160"/>
    </row>
    <row r="2" spans="1:31" ht="30" customHeight="1" thickBot="1">
      <c r="B2" s="566"/>
      <c r="C2" s="218">
        <v>9</v>
      </c>
      <c r="D2" s="1092" t="s">
        <v>327</v>
      </c>
      <c r="E2" s="607"/>
      <c r="F2" s="1454" t="str">
        <f>C.2Name</f>
        <v>Address federal air quality regulations in Oregon rules</v>
      </c>
      <c r="G2" s="1454"/>
      <c r="H2" s="1454"/>
      <c r="I2" s="1454"/>
      <c r="J2" s="1454"/>
      <c r="K2" s="1454"/>
      <c r="L2" s="1454"/>
      <c r="M2" s="1454"/>
      <c r="N2" s="1454"/>
      <c r="O2" s="1454"/>
      <c r="P2" s="1454"/>
      <c r="Q2" s="1454"/>
      <c r="R2" s="1454"/>
      <c r="S2" s="1116"/>
      <c r="T2" s="566"/>
      <c r="U2" s="379" t="s">
        <v>0</v>
      </c>
      <c r="V2" s="379"/>
      <c r="W2" s="379"/>
      <c r="X2" s="68" t="s">
        <v>0</v>
      </c>
      <c r="Y2" s="68"/>
      <c r="Z2" s="176"/>
    </row>
    <row r="3" spans="1:31" ht="37.5" customHeight="1" thickTop="1">
      <c r="B3" s="566"/>
      <c r="C3" s="202"/>
      <c r="D3" s="344" t="s">
        <v>334</v>
      </c>
      <c r="E3" s="344"/>
      <c r="F3" s="646"/>
      <c r="G3" s="646"/>
      <c r="H3" s="646"/>
      <c r="I3" s="646"/>
      <c r="J3" s="646"/>
      <c r="K3" s="646"/>
      <c r="L3" s="646"/>
      <c r="M3" s="646"/>
      <c r="N3" s="646"/>
      <c r="O3" s="646"/>
      <c r="P3" s="646"/>
      <c r="Q3" s="646"/>
      <c r="R3" s="646"/>
      <c r="S3" s="776"/>
      <c r="T3" s="566"/>
      <c r="U3" s="114"/>
      <c r="V3" s="114"/>
      <c r="W3" s="161"/>
      <c r="X3" s="55"/>
      <c r="Y3" s="146"/>
      <c r="Z3" s="66"/>
    </row>
    <row r="4" spans="1:31" ht="15.75" customHeight="1">
      <c r="B4" s="566"/>
      <c r="C4" s="202"/>
      <c r="D4" s="1486" t="s">
        <v>1036</v>
      </c>
      <c r="E4" s="1487"/>
      <c r="F4" s="1487"/>
      <c r="G4" s="1487"/>
      <c r="H4" s="1487"/>
      <c r="I4" s="1487"/>
      <c r="J4" s="1487"/>
      <c r="K4" s="1487"/>
      <c r="L4" s="1487"/>
      <c r="M4" s="1487"/>
      <c r="N4" s="1487"/>
      <c r="O4" s="1487"/>
      <c r="P4" s="1487"/>
      <c r="Q4" s="1487"/>
      <c r="R4" s="1488"/>
      <c r="S4" s="292"/>
      <c r="T4" s="566"/>
      <c r="U4" s="114"/>
      <c r="V4" s="114"/>
      <c r="W4" s="161"/>
      <c r="X4" s="55"/>
      <c r="Y4" s="38"/>
      <c r="Z4" s="66"/>
    </row>
    <row r="5" spans="1:31" ht="30.75" customHeight="1">
      <c r="B5" s="566"/>
      <c r="C5" s="399"/>
      <c r="D5" s="1283" t="s">
        <v>193</v>
      </c>
      <c r="E5" s="1283"/>
      <c r="F5" s="1283"/>
      <c r="G5" s="114"/>
      <c r="H5" s="114"/>
      <c r="I5" s="114"/>
      <c r="J5" s="114"/>
      <c r="K5" s="114"/>
      <c r="L5" s="114"/>
      <c r="M5" s="114"/>
      <c r="N5" s="114"/>
      <c r="O5" s="114"/>
      <c r="P5" s="114"/>
      <c r="Q5" s="114"/>
      <c r="R5" s="114"/>
      <c r="S5" s="292"/>
      <c r="T5" s="566"/>
      <c r="X5" s="147"/>
      <c r="Y5" s="147"/>
    </row>
    <row r="6" spans="1:31" ht="71.25" customHeight="1">
      <c r="B6" s="566"/>
      <c r="C6" s="367"/>
      <c r="D6" s="261"/>
      <c r="E6" s="261"/>
      <c r="F6" s="353"/>
      <c r="G6" s="353"/>
      <c r="H6" s="368"/>
      <c r="I6" s="354"/>
      <c r="J6" s="354"/>
      <c r="K6" s="354"/>
      <c r="L6" s="354"/>
      <c r="M6" s="354"/>
      <c r="N6" s="354"/>
      <c r="O6" s="354"/>
      <c r="P6" s="354"/>
      <c r="Q6" s="354"/>
      <c r="R6" s="354"/>
      <c r="S6" s="212"/>
      <c r="T6" s="566"/>
      <c r="U6" s="173"/>
      <c r="V6" s="173"/>
      <c r="W6" s="173"/>
      <c r="X6" s="131"/>
      <c r="Y6" s="131"/>
      <c r="Z6" s="164"/>
    </row>
    <row r="7" spans="1:31" ht="27" customHeight="1">
      <c r="B7" s="566"/>
      <c r="C7" s="367"/>
      <c r="D7" s="1305" t="s">
        <v>217</v>
      </c>
      <c r="E7" s="1306"/>
      <c r="F7" s="1307"/>
      <c r="G7" s="1307"/>
      <c r="H7" s="1279"/>
      <c r="I7" s="1279"/>
      <c r="J7" s="1279"/>
      <c r="K7" s="1279"/>
      <c r="L7" s="1279"/>
      <c r="M7" s="1279"/>
      <c r="N7" s="1279"/>
      <c r="O7" s="1279"/>
      <c r="P7" s="1279"/>
      <c r="Q7" s="1279"/>
      <c r="R7" s="1279"/>
      <c r="S7" s="212"/>
      <c r="T7" s="566"/>
      <c r="U7" s="2"/>
      <c r="V7" s="2"/>
      <c r="W7" s="2"/>
      <c r="X7" s="144">
        <v>1</v>
      </c>
      <c r="Y7" s="147" t="s">
        <v>230</v>
      </c>
      <c r="Z7" s="164"/>
    </row>
    <row r="8" spans="1:31" ht="39" customHeight="1">
      <c r="B8" s="566"/>
      <c r="C8" s="366" t="s">
        <v>0</v>
      </c>
      <c r="D8" s="1283" t="s">
        <v>216</v>
      </c>
      <c r="E8" s="1283"/>
      <c r="F8" s="1283"/>
      <c r="G8" s="114"/>
      <c r="H8" s="114"/>
      <c r="I8" s="114"/>
      <c r="J8" s="114"/>
      <c r="K8" s="114"/>
      <c r="L8" s="114"/>
      <c r="M8" s="114"/>
      <c r="N8" s="114"/>
      <c r="O8" s="114"/>
      <c r="P8" s="114"/>
      <c r="Q8" s="114"/>
      <c r="R8" s="114"/>
      <c r="S8" s="292"/>
      <c r="T8" s="566"/>
      <c r="U8" s="171"/>
      <c r="V8" s="171"/>
      <c r="W8" s="171"/>
      <c r="X8" s="1032" t="str">
        <f>IF(C.9Infrastructure=1,"low",IF(C.9Infrastructure=2,"low/medium",IF(C.9Innovation=3,"medium",IF(C.9Innovation=4,"medium/high","high"))))</f>
        <v>low</v>
      </c>
      <c r="Y8" s="147"/>
      <c r="Z8" s="163"/>
    </row>
    <row r="9" spans="1:31" ht="66" customHeight="1">
      <c r="B9" s="566"/>
      <c r="C9" s="367"/>
      <c r="D9" s="261"/>
      <c r="E9" s="261"/>
      <c r="F9" s="353"/>
      <c r="G9" s="353"/>
      <c r="H9" s="368"/>
      <c r="I9" s="354"/>
      <c r="J9" s="354"/>
      <c r="K9" s="354"/>
      <c r="L9" s="354"/>
      <c r="M9" s="354"/>
      <c r="N9" s="354"/>
      <c r="O9" s="354"/>
      <c r="P9" s="354"/>
      <c r="Q9" s="354"/>
      <c r="R9" s="354"/>
      <c r="S9" s="212"/>
      <c r="T9" s="566"/>
      <c r="U9" s="173"/>
      <c r="V9" s="173"/>
      <c r="W9" s="173"/>
      <c r="X9" s="131"/>
      <c r="Y9" s="131"/>
      <c r="Z9" s="164"/>
    </row>
    <row r="10" spans="1:31" ht="27" customHeight="1">
      <c r="B10" s="566"/>
      <c r="C10" s="367"/>
      <c r="D10" s="1305" t="s">
        <v>217</v>
      </c>
      <c r="E10" s="1306"/>
      <c r="F10" s="1307"/>
      <c r="G10" s="1307"/>
      <c r="H10" s="1279"/>
      <c r="I10" s="1279"/>
      <c r="J10" s="1279"/>
      <c r="K10" s="1279"/>
      <c r="L10" s="1279"/>
      <c r="M10" s="1279"/>
      <c r="N10" s="1279"/>
      <c r="O10" s="1279"/>
      <c r="P10" s="1279"/>
      <c r="Q10" s="1279"/>
      <c r="R10" s="1279"/>
      <c r="S10" s="212"/>
      <c r="T10" s="566"/>
      <c r="U10" s="2"/>
      <c r="V10" s="2"/>
      <c r="W10" s="2"/>
      <c r="X10" s="144">
        <v>1</v>
      </c>
      <c r="Y10" s="147" t="s">
        <v>230</v>
      </c>
      <c r="Z10" s="164"/>
    </row>
    <row r="11" spans="1:31" s="1098" customFormat="1" ht="9" customHeight="1">
      <c r="A11" s="858"/>
      <c r="B11" s="857"/>
      <c r="C11" s="367"/>
      <c r="D11" s="1105"/>
      <c r="E11" s="1105"/>
      <c r="F11" s="1105"/>
      <c r="G11" s="1105"/>
      <c r="H11" s="1105"/>
      <c r="I11" s="1105"/>
      <c r="J11" s="1105"/>
      <c r="K11" s="1105"/>
      <c r="L11" s="1105"/>
      <c r="M11" s="1105"/>
      <c r="N11" s="1105"/>
      <c r="O11" s="1105"/>
      <c r="P11" s="1105"/>
      <c r="Q11" s="1105"/>
      <c r="R11" s="1105"/>
      <c r="S11" s="212"/>
      <c r="T11" s="857"/>
      <c r="U11" s="2"/>
      <c r="V11" s="2"/>
      <c r="W11" s="2"/>
      <c r="X11" s="144"/>
      <c r="Y11" s="850"/>
      <c r="Z11" s="164"/>
    </row>
    <row r="12" spans="1:31" ht="37.5" customHeight="1">
      <c r="B12" s="566"/>
      <c r="C12" s="381"/>
      <c r="D12" s="1401" t="s">
        <v>434</v>
      </c>
      <c r="E12" s="1401"/>
      <c r="F12" s="1401"/>
      <c r="G12" s="1401"/>
      <c r="H12" s="1401"/>
      <c r="I12" s="1320" t="s">
        <v>33</v>
      </c>
      <c r="J12" s="1321"/>
      <c r="K12" s="1321"/>
      <c r="L12" s="1321"/>
      <c r="M12" s="1321"/>
      <c r="N12" s="1321"/>
      <c r="O12" s="1321"/>
      <c r="P12" s="1321"/>
      <c r="Q12" s="1321"/>
      <c r="R12" s="1322"/>
      <c r="S12" s="201"/>
      <c r="T12" s="566"/>
      <c r="U12" s="314" t="s">
        <v>761</v>
      </c>
      <c r="V12" s="314"/>
      <c r="W12" s="161"/>
      <c r="X12" s="1028" t="str">
        <f>IF(C.9Infrastructure=1,"low",IF(C.9Infrastructure=2,"low/medium",IF(C.9Infrastructure=3,"medium",IF(C.9Infrastructure=4,"medium/high","high"))))</f>
        <v>low</v>
      </c>
      <c r="Y12" s="147"/>
    </row>
    <row r="13" spans="1:31" ht="16.5">
      <c r="B13" s="566"/>
      <c r="C13" s="202"/>
      <c r="D13" s="238" t="s">
        <v>117</v>
      </c>
      <c r="E13" s="856" t="s">
        <v>0</v>
      </c>
      <c r="F13" s="1483" t="s">
        <v>247</v>
      </c>
      <c r="G13" s="1484"/>
      <c r="H13" s="1485"/>
      <c r="I13" s="199">
        <v>1</v>
      </c>
      <c r="J13" s="184">
        <v>2</v>
      </c>
      <c r="K13" s="185">
        <v>3</v>
      </c>
      <c r="L13" s="186">
        <v>4</v>
      </c>
      <c r="M13" s="187">
        <v>5</v>
      </c>
      <c r="N13" s="188">
        <v>6</v>
      </c>
      <c r="O13" s="189">
        <v>7</v>
      </c>
      <c r="P13" s="190">
        <v>8</v>
      </c>
      <c r="Q13" s="191">
        <v>9</v>
      </c>
      <c r="R13" s="192">
        <v>10</v>
      </c>
      <c r="S13" s="205"/>
      <c r="T13" s="566"/>
      <c r="U13" s="314" t="s">
        <v>762</v>
      </c>
      <c r="V13" s="314"/>
      <c r="W13" s="167"/>
      <c r="X13" s="39">
        <f>VLOOKUP(I12,C.VL_ComplexityRating,2,FALSE)</f>
        <v>6</v>
      </c>
      <c r="Y13" s="889" t="str">
        <f>I12</f>
        <v>potential for moderate complexity</v>
      </c>
    </row>
    <row r="14" spans="1:31">
      <c r="B14" s="566"/>
      <c r="C14" s="203"/>
      <c r="D14" s="238" t="s">
        <v>241</v>
      </c>
      <c r="E14" s="856" t="s">
        <v>0</v>
      </c>
      <c r="F14" s="686"/>
      <c r="G14" s="695"/>
      <c r="H14" s="695"/>
      <c r="I14" s="695"/>
      <c r="J14" s="695"/>
      <c r="K14" s="695"/>
      <c r="L14" s="695"/>
      <c r="M14" s="695"/>
      <c r="N14" s="695"/>
      <c r="O14" s="695"/>
      <c r="P14" s="695"/>
      <c r="Q14" s="695"/>
      <c r="R14" s="695"/>
      <c r="S14" s="688"/>
      <c r="T14" s="566"/>
      <c r="U14" s="9"/>
      <c r="V14" s="9"/>
      <c r="W14" s="9"/>
      <c r="X14" s="58"/>
      <c r="Y14" s="147"/>
    </row>
    <row r="15" spans="1:31">
      <c r="B15" s="566"/>
      <c r="C15" s="203"/>
      <c r="D15" s="238" t="s">
        <v>99</v>
      </c>
      <c r="E15" s="856" t="s">
        <v>0</v>
      </c>
      <c r="F15" s="686"/>
      <c r="G15" s="695"/>
      <c r="H15" s="695"/>
      <c r="I15" s="695"/>
      <c r="J15" s="695"/>
      <c r="K15" s="695"/>
      <c r="L15" s="695"/>
      <c r="M15" s="695"/>
      <c r="N15" s="695"/>
      <c r="O15" s="695"/>
      <c r="P15" s="695"/>
      <c r="Q15" s="695"/>
      <c r="R15" s="695"/>
      <c r="S15" s="688"/>
      <c r="T15" s="566"/>
      <c r="U15" s="9"/>
      <c r="V15" s="9"/>
      <c r="W15" s="9"/>
      <c r="X15" s="58"/>
      <c r="Y15" s="147"/>
    </row>
    <row r="16" spans="1:31" ht="30.75" customHeight="1">
      <c r="B16" s="566"/>
      <c r="C16" s="361"/>
      <c r="D16" s="341" t="s">
        <v>198</v>
      </c>
      <c r="E16" s="120"/>
      <c r="F16" s="4"/>
      <c r="G16" s="4"/>
      <c r="H16" s="4"/>
      <c r="I16" s="4"/>
      <c r="J16" s="4"/>
      <c r="K16" s="4"/>
      <c r="L16" s="4"/>
      <c r="M16" s="4"/>
      <c r="N16" s="4"/>
      <c r="O16" s="4"/>
      <c r="P16" s="4"/>
      <c r="Q16" s="4"/>
      <c r="R16" s="4"/>
      <c r="S16" s="47"/>
      <c r="T16" s="566"/>
      <c r="U16" s="161"/>
      <c r="V16" s="161"/>
      <c r="W16" s="161"/>
      <c r="X16" s="147"/>
      <c r="Y16" s="147"/>
      <c r="Z16" s="163"/>
      <c r="AA16" s="380"/>
      <c r="AB16" s="380"/>
      <c r="AC16" s="380"/>
      <c r="AD16" s="380"/>
      <c r="AE16" s="380"/>
    </row>
    <row r="17" spans="1:26" ht="15.75" customHeight="1">
      <c r="B17" s="566"/>
      <c r="C17" s="361"/>
      <c r="D17" s="1235" t="s">
        <v>0</v>
      </c>
      <c r="E17" s="1236"/>
      <c r="F17" s="1236"/>
      <c r="G17" s="1236"/>
      <c r="H17" s="1236"/>
      <c r="I17" s="1236"/>
      <c r="J17" s="1236"/>
      <c r="K17" s="1236"/>
      <c r="L17" s="1236"/>
      <c r="M17" s="1236"/>
      <c r="N17" s="1236"/>
      <c r="O17" s="1236"/>
      <c r="P17" s="1236"/>
      <c r="Q17" s="1236"/>
      <c r="R17" s="1236"/>
      <c r="S17" s="1237"/>
      <c r="T17" s="566"/>
      <c r="U17" s="380"/>
      <c r="W17" s="380"/>
      <c r="X17" s="55"/>
      <c r="Y17" s="55"/>
      <c r="Z17" s="163"/>
    </row>
    <row r="18" spans="1:26" ht="30" customHeight="1">
      <c r="B18" s="566"/>
      <c r="C18" s="361"/>
      <c r="D18" s="341" t="s">
        <v>22</v>
      </c>
      <c r="E18" s="36"/>
      <c r="F18" s="1"/>
      <c r="G18" s="1"/>
      <c r="H18" s="1"/>
      <c r="I18" s="1"/>
      <c r="J18" s="1"/>
      <c r="K18" s="1"/>
      <c r="L18" s="1"/>
      <c r="M18" s="1"/>
      <c r="N18" s="1"/>
      <c r="O18" s="1"/>
      <c r="P18" s="1"/>
      <c r="Q18" s="1"/>
      <c r="R18" s="1"/>
      <c r="S18" s="201"/>
      <c r="T18" s="566"/>
      <c r="U18" s="161"/>
      <c r="V18" s="161"/>
      <c r="W18" s="161"/>
      <c r="X18" s="146"/>
      <c r="Y18" s="146"/>
      <c r="Z18" s="163"/>
    </row>
    <row r="19" spans="1:26" ht="15.75" customHeight="1">
      <c r="A19" s="1088" t="s">
        <v>251</v>
      </c>
      <c r="B19" s="566"/>
      <c r="C19" s="361"/>
      <c r="D19" s="1202" t="s">
        <v>0</v>
      </c>
      <c r="E19" s="1203"/>
      <c r="F19" s="1203"/>
      <c r="G19" s="1203"/>
      <c r="H19" s="1203"/>
      <c r="I19" s="1203"/>
      <c r="J19" s="1203"/>
      <c r="K19" s="1203"/>
      <c r="L19" s="1203"/>
      <c r="M19" s="1203"/>
      <c r="N19" s="1203"/>
      <c r="O19" s="1203"/>
      <c r="P19" s="1203"/>
      <c r="Q19" s="1203"/>
      <c r="R19" s="1204"/>
      <c r="S19" s="201"/>
      <c r="T19" s="566"/>
      <c r="U19" s="161"/>
      <c r="V19" s="161"/>
      <c r="W19" s="161"/>
      <c r="X19" s="50"/>
      <c r="Y19" s="50"/>
      <c r="Z19" s="163"/>
    </row>
    <row r="20" spans="1:26" ht="18.75">
      <c r="B20" s="566"/>
      <c r="C20" s="372"/>
      <c r="D20" s="373"/>
      <c r="E20" s="373"/>
      <c r="F20" s="1209">
        <f ca="1">TODAY()</f>
        <v>41163</v>
      </c>
      <c r="G20" s="1209"/>
      <c r="H20" s="1209"/>
      <c r="I20" s="1209"/>
      <c r="J20" s="1209"/>
      <c r="K20" s="1209"/>
      <c r="L20" s="1209"/>
      <c r="M20" s="1209"/>
      <c r="N20" s="1209"/>
      <c r="O20" s="1209"/>
      <c r="P20" s="1209"/>
      <c r="Q20" s="1209"/>
      <c r="R20" s="1209"/>
      <c r="S20" s="1210"/>
      <c r="T20" s="566"/>
      <c r="U20" s="161"/>
      <c r="V20" s="161"/>
      <c r="W20" s="161"/>
      <c r="X20" s="147"/>
      <c r="Y20" s="147"/>
      <c r="Z20" s="163"/>
    </row>
    <row r="21" spans="1:26">
      <c r="B21" s="566"/>
      <c r="C21" s="566"/>
      <c r="D21" s="566"/>
      <c r="E21" s="566"/>
      <c r="F21" s="566"/>
      <c r="G21" s="566"/>
      <c r="H21" s="566"/>
      <c r="I21" s="566"/>
      <c r="J21" s="566"/>
      <c r="K21" s="566"/>
      <c r="L21" s="566"/>
      <c r="M21" s="566"/>
      <c r="N21" s="566"/>
      <c r="O21" s="566"/>
      <c r="P21" s="566"/>
      <c r="Q21" s="566"/>
      <c r="R21" s="566"/>
      <c r="S21" s="566"/>
      <c r="T21" s="566"/>
      <c r="U21" s="160"/>
      <c r="V21" s="160"/>
      <c r="W21" s="160"/>
      <c r="X21" s="380"/>
      <c r="Y21" s="380"/>
      <c r="Z21" s="160"/>
    </row>
    <row r="22" spans="1:26">
      <c r="B22" s="160"/>
      <c r="C22" s="380"/>
      <c r="D22" s="380"/>
      <c r="E22" s="380"/>
      <c r="F22" s="380"/>
      <c r="G22" s="380"/>
      <c r="H22" s="380"/>
      <c r="I22" s="380"/>
      <c r="J22" s="380"/>
      <c r="K22" s="380"/>
      <c r="L22" s="380"/>
      <c r="M22" s="380"/>
      <c r="N22" s="380"/>
      <c r="O22" s="380"/>
      <c r="P22" s="380"/>
      <c r="Q22" s="380"/>
      <c r="R22" s="380"/>
      <c r="S22" s="380"/>
      <c r="T22" s="160"/>
      <c r="U22" s="160"/>
      <c r="V22" s="160"/>
      <c r="W22" s="160"/>
      <c r="X22" s="380"/>
      <c r="Y22" s="380"/>
      <c r="Z22" s="160"/>
    </row>
    <row r="23" spans="1:26">
      <c r="B23" s="160"/>
      <c r="C23" s="380"/>
      <c r="D23" s="380"/>
      <c r="E23" s="380"/>
      <c r="F23" s="380"/>
      <c r="G23" s="380"/>
      <c r="H23" s="380"/>
      <c r="I23" s="380"/>
      <c r="J23" s="380"/>
      <c r="K23" s="380"/>
      <c r="L23" s="380"/>
      <c r="M23" s="380"/>
      <c r="N23" s="380"/>
      <c r="O23" s="380"/>
      <c r="P23" s="380"/>
      <c r="Q23" s="380"/>
      <c r="R23" s="380"/>
      <c r="S23" s="380"/>
      <c r="T23" s="160"/>
      <c r="U23" s="160"/>
      <c r="V23" s="160"/>
      <c r="W23" s="160"/>
      <c r="X23" s="380"/>
      <c r="Y23" s="380"/>
      <c r="Z23" s="160"/>
    </row>
    <row r="24" spans="1:26">
      <c r="B24" s="160"/>
      <c r="C24" s="380"/>
      <c r="D24" s="380"/>
      <c r="E24" s="380"/>
      <c r="F24" s="380"/>
      <c r="G24" s="380"/>
      <c r="H24" s="380"/>
      <c r="I24" s="380"/>
      <c r="J24" s="380"/>
      <c r="K24" s="380"/>
      <c r="L24" s="380"/>
      <c r="M24" s="380"/>
      <c r="N24" s="380"/>
      <c r="O24" s="380"/>
      <c r="P24" s="380"/>
      <c r="Q24" s="380"/>
      <c r="R24" s="380"/>
      <c r="S24" s="380"/>
      <c r="T24" s="160"/>
      <c r="U24" s="160"/>
      <c r="V24" s="160"/>
      <c r="W24" s="160"/>
      <c r="X24" s="380"/>
      <c r="Y24" s="380"/>
      <c r="Z24" s="160"/>
    </row>
  </sheetData>
  <sheetProtection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917" yWindow="677"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I9" sqref="I9:R9"/>
    </sheetView>
  </sheetViews>
  <sheetFormatPr defaultRowHeight="15.75" outlineLevelCol="1"/>
  <cols>
    <col min="1" max="1" width="13.875" style="604" customWidth="1"/>
    <col min="2" max="2" width="2.5" style="248" customWidth="1"/>
    <col min="3" max="3" width="4.25" style="380" customWidth="1"/>
    <col min="4" max="4" width="19.375" style="380" customWidth="1"/>
    <col min="5" max="5" width="2.625" style="380" customWidth="1"/>
    <col min="6" max="7" width="19.25" style="380" customWidth="1"/>
    <col min="8" max="8" width="1.625" style="380" customWidth="1"/>
    <col min="9" max="18" width="1.875" style="380" customWidth="1"/>
    <col min="19" max="19" width="2.5" style="380" customWidth="1"/>
    <col min="20" max="20" width="2.625" style="380" customWidth="1"/>
    <col min="21" max="21" width="33.625" style="380" customWidth="1"/>
    <col min="22" max="22" width="8.25" style="380" customWidth="1"/>
    <col min="23" max="23" width="9" style="380"/>
    <col min="24" max="24" width="9" style="380" hidden="1" customWidth="1" outlineLevel="1"/>
    <col min="25" max="25" width="23.75" style="380" hidden="1" customWidth="1" outlineLevel="1"/>
    <col min="26" max="26" width="9" style="380" collapsed="1"/>
    <col min="27" max="16384" width="9" style="380"/>
  </cols>
  <sheetData>
    <row r="1" spans="1:43" ht="21" customHeight="1">
      <c r="A1" s="1088" t="s">
        <v>420</v>
      </c>
      <c r="B1" s="566"/>
      <c r="C1" s="566"/>
      <c r="D1" s="566"/>
      <c r="E1" s="566"/>
      <c r="F1" s="566"/>
      <c r="G1" s="566"/>
      <c r="H1" s="566"/>
      <c r="I1" s="566"/>
      <c r="J1" s="566"/>
      <c r="K1" s="566"/>
      <c r="L1" s="566"/>
      <c r="M1" s="566"/>
      <c r="N1" s="566"/>
      <c r="O1" s="566"/>
      <c r="P1" s="566"/>
      <c r="Q1" s="566"/>
      <c r="R1" s="566"/>
      <c r="S1" s="566"/>
      <c r="T1" s="566"/>
      <c r="U1" s="160"/>
      <c r="V1" s="160"/>
      <c r="W1" s="160"/>
      <c r="X1" s="147"/>
      <c r="Y1" s="147"/>
      <c r="Z1" s="160"/>
    </row>
    <row r="2" spans="1:43" ht="30" customHeight="1" thickBot="1">
      <c r="B2" s="566"/>
      <c r="C2" s="218">
        <v>10</v>
      </c>
      <c r="D2" s="1117" t="s">
        <v>326</v>
      </c>
      <c r="E2" s="1117"/>
      <c r="F2" s="1454" t="str">
        <f>C.2Name</f>
        <v>Address federal air quality regulations in Oregon rules</v>
      </c>
      <c r="G2" s="1454"/>
      <c r="H2" s="1454"/>
      <c r="I2" s="1454"/>
      <c r="J2" s="1454"/>
      <c r="K2" s="1454"/>
      <c r="L2" s="1454"/>
      <c r="M2" s="1454"/>
      <c r="N2" s="1454"/>
      <c r="O2" s="1454"/>
      <c r="P2" s="1454"/>
      <c r="Q2" s="1454"/>
      <c r="R2" s="1454"/>
      <c r="S2" s="200"/>
      <c r="T2" s="566"/>
      <c r="U2" s="379" t="s">
        <v>0</v>
      </c>
      <c r="V2" s="379"/>
      <c r="W2" s="379"/>
      <c r="X2" s="68" t="s">
        <v>0</v>
      </c>
      <c r="Y2" s="68"/>
      <c r="Z2" s="176"/>
    </row>
    <row r="3" spans="1:43" ht="37.5" customHeight="1" thickTop="1">
      <c r="B3" s="566"/>
      <c r="C3" s="202"/>
      <c r="D3" s="344" t="s">
        <v>352</v>
      </c>
      <c r="E3" s="344"/>
      <c r="F3" s="646"/>
      <c r="G3" s="646"/>
      <c r="H3" s="646"/>
      <c r="I3" s="646"/>
      <c r="J3" s="646"/>
      <c r="K3" s="646"/>
      <c r="L3" s="646"/>
      <c r="M3" s="646"/>
      <c r="N3" s="646"/>
      <c r="O3" s="646"/>
      <c r="P3" s="646"/>
      <c r="Q3" s="646"/>
      <c r="R3" s="646"/>
      <c r="S3" s="776"/>
      <c r="T3" s="566"/>
      <c r="U3" s="1489" t="s">
        <v>0</v>
      </c>
      <c r="V3" s="1489"/>
      <c r="W3" s="1489"/>
      <c r="X3" s="407"/>
      <c r="Y3" s="408" t="s">
        <v>0</v>
      </c>
      <c r="Z3" s="406"/>
      <c r="AA3" s="406"/>
      <c r="AB3" s="406"/>
      <c r="AC3" s="406"/>
      <c r="AD3" s="143"/>
      <c r="AE3" s="143"/>
      <c r="AF3" s="1490" t="s">
        <v>0</v>
      </c>
      <c r="AG3" s="1490"/>
      <c r="AH3" s="1490"/>
      <c r="AI3" s="1490"/>
      <c r="AJ3" s="1490"/>
      <c r="AK3" s="1490"/>
      <c r="AL3" s="1490"/>
      <c r="AM3" s="1490"/>
      <c r="AN3" s="1490"/>
      <c r="AO3" s="1490"/>
      <c r="AP3" s="1490"/>
      <c r="AQ3" s="1490"/>
    </row>
    <row r="4" spans="1:43" ht="16.5" customHeight="1">
      <c r="B4" s="566"/>
      <c r="C4" s="202"/>
      <c r="D4" s="1491"/>
      <c r="E4" s="1492"/>
      <c r="F4" s="1492"/>
      <c r="G4" s="1492"/>
      <c r="H4" s="1492"/>
      <c r="I4" s="1492"/>
      <c r="J4" s="1492"/>
      <c r="K4" s="1492"/>
      <c r="L4" s="1492"/>
      <c r="M4" s="1492"/>
      <c r="N4" s="1492"/>
      <c r="O4" s="1492"/>
      <c r="P4" s="1492"/>
      <c r="Q4" s="1492"/>
      <c r="R4" s="1493"/>
      <c r="S4" s="292"/>
      <c r="T4" s="566"/>
      <c r="U4" s="114"/>
      <c r="V4" s="114"/>
      <c r="W4" s="161"/>
      <c r="X4" s="55"/>
      <c r="Y4" s="38"/>
      <c r="Z4" s="66"/>
    </row>
    <row r="5" spans="1:43" ht="30.75" customHeight="1">
      <c r="B5" s="566"/>
      <c r="C5" s="399"/>
      <c r="D5" s="1283" t="s">
        <v>353</v>
      </c>
      <c r="E5" s="1283"/>
      <c r="F5" s="1283"/>
      <c r="G5" s="664"/>
      <c r="H5" s="664"/>
      <c r="I5" s="664"/>
      <c r="J5" s="664"/>
      <c r="K5" s="664"/>
      <c r="L5" s="664"/>
      <c r="M5" s="664"/>
      <c r="N5" s="664"/>
      <c r="O5" s="664"/>
      <c r="P5" s="664"/>
      <c r="Q5" s="664"/>
      <c r="R5" s="664"/>
      <c r="S5" s="779"/>
      <c r="T5" s="566"/>
      <c r="X5" s="147"/>
      <c r="Y5" s="147"/>
    </row>
    <row r="6" spans="1:43" ht="62.25" customHeight="1">
      <c r="B6" s="566"/>
      <c r="C6" s="367"/>
      <c r="D6" s="261"/>
      <c r="E6" s="261"/>
      <c r="F6" s="353"/>
      <c r="G6" s="353"/>
      <c r="H6" s="368"/>
      <c r="I6" s="354"/>
      <c r="J6" s="354"/>
      <c r="K6" s="354"/>
      <c r="L6" s="354"/>
      <c r="M6" s="354"/>
      <c r="N6" s="354"/>
      <c r="O6" s="354"/>
      <c r="P6" s="354"/>
      <c r="Q6" s="354"/>
      <c r="R6" s="354"/>
      <c r="S6" s="212"/>
      <c r="T6" s="566"/>
      <c r="U6" s="173" t="s">
        <v>0</v>
      </c>
      <c r="V6" s="173"/>
      <c r="W6" s="173"/>
      <c r="X6" s="131"/>
      <c r="Y6" s="131"/>
      <c r="Z6" s="164"/>
    </row>
    <row r="7" spans="1:43" ht="27" customHeight="1" thickBot="1">
      <c r="B7" s="566"/>
      <c r="C7" s="367"/>
      <c r="D7" s="1305" t="s">
        <v>217</v>
      </c>
      <c r="E7" s="1306"/>
      <c r="F7" s="1307"/>
      <c r="G7" s="1307"/>
      <c r="H7" s="1279"/>
      <c r="I7" s="1279"/>
      <c r="J7" s="1279"/>
      <c r="K7" s="1279"/>
      <c r="L7" s="1279"/>
      <c r="M7" s="1279"/>
      <c r="N7" s="1279"/>
      <c r="O7" s="1279"/>
      <c r="P7" s="1279"/>
      <c r="Q7" s="1279"/>
      <c r="R7" s="1279"/>
      <c r="S7" s="212"/>
      <c r="T7" s="566"/>
      <c r="U7" s="2"/>
      <c r="V7" s="2"/>
      <c r="W7" s="2"/>
      <c r="X7" s="144">
        <v>1</v>
      </c>
      <c r="Y7" s="147" t="s">
        <v>230</v>
      </c>
      <c r="Z7" s="164"/>
    </row>
    <row r="8" spans="1:43" s="1098" customFormat="1" ht="9" customHeight="1" thickTop="1">
      <c r="A8" s="858"/>
      <c r="B8" s="857"/>
      <c r="C8" s="367"/>
      <c r="D8" s="1106"/>
      <c r="E8" s="1106"/>
      <c r="F8" s="1106"/>
      <c r="G8" s="1106"/>
      <c r="H8" s="1106"/>
      <c r="I8" s="1106"/>
      <c r="J8" s="1106"/>
      <c r="K8" s="1106"/>
      <c r="L8" s="1106"/>
      <c r="M8" s="1106"/>
      <c r="N8" s="1106"/>
      <c r="O8" s="1106"/>
      <c r="P8" s="1106"/>
      <c r="Q8" s="1106"/>
      <c r="R8" s="1106"/>
      <c r="S8" s="212"/>
      <c r="T8" s="857"/>
      <c r="U8" s="2"/>
      <c r="V8" s="2"/>
      <c r="W8" s="2"/>
      <c r="X8" s="144"/>
      <c r="Y8" s="850"/>
      <c r="Z8" s="164"/>
    </row>
    <row r="9" spans="1:43" ht="36.75" customHeight="1">
      <c r="B9" s="566"/>
      <c r="C9" s="381"/>
      <c r="D9" s="1497" t="s">
        <v>405</v>
      </c>
      <c r="E9" s="1497"/>
      <c r="F9" s="1497"/>
      <c r="G9" s="1094"/>
      <c r="H9" s="1094"/>
      <c r="I9" s="1320" t="s">
        <v>32</v>
      </c>
      <c r="J9" s="1321"/>
      <c r="K9" s="1321"/>
      <c r="L9" s="1321"/>
      <c r="M9" s="1321"/>
      <c r="N9" s="1321"/>
      <c r="O9" s="1321"/>
      <c r="P9" s="1321"/>
      <c r="Q9" s="1321"/>
      <c r="R9" s="1322"/>
      <c r="S9" s="201"/>
      <c r="T9" s="566"/>
      <c r="U9" s="386" t="s">
        <v>761</v>
      </c>
      <c r="V9" s="314"/>
      <c r="W9" s="161"/>
      <c r="X9" s="1028" t="str">
        <f>IF(C.10PolicyRisk=1,"low",IF(C.10PolicyRisk=2,"low/medium",IF(C.10PolicyRisk=3,"medium",IF(C.10PolicyRisk=4,"medium/high","high"))))</f>
        <v>low</v>
      </c>
      <c r="Y9" s="147"/>
    </row>
    <row r="10" spans="1:43" ht="16.5">
      <c r="B10" s="566"/>
      <c r="C10" s="202"/>
      <c r="D10" s="238" t="s">
        <v>117</v>
      </c>
      <c r="E10" s="241" t="s">
        <v>0</v>
      </c>
      <c r="F10" s="686"/>
      <c r="G10" s="777" t="s">
        <v>247</v>
      </c>
      <c r="H10" s="778"/>
      <c r="I10" s="199">
        <v>1</v>
      </c>
      <c r="J10" s="184">
        <v>2</v>
      </c>
      <c r="K10" s="185">
        <v>3</v>
      </c>
      <c r="L10" s="186">
        <v>4</v>
      </c>
      <c r="M10" s="187">
        <v>5</v>
      </c>
      <c r="N10" s="188">
        <v>6</v>
      </c>
      <c r="O10" s="189">
        <v>7</v>
      </c>
      <c r="P10" s="190">
        <v>8</v>
      </c>
      <c r="Q10" s="191">
        <v>9</v>
      </c>
      <c r="R10" s="192">
        <v>10</v>
      </c>
      <c r="S10" s="205"/>
      <c r="T10" s="566"/>
      <c r="V10" s="314"/>
      <c r="W10" s="167"/>
      <c r="X10" s="39">
        <f>VLOOKUP(I9,C.VL_ComplexityRating,2,FALSE)</f>
        <v>3</v>
      </c>
      <c r="Y10" s="889" t="str">
        <f>I9</f>
        <v>potential for minor complexity</v>
      </c>
    </row>
    <row r="11" spans="1:43" ht="18.75" customHeight="1">
      <c r="B11" s="566"/>
      <c r="C11" s="203"/>
      <c r="D11" s="238" t="s">
        <v>241</v>
      </c>
      <c r="E11" s="241" t="s">
        <v>0</v>
      </c>
      <c r="F11" s="686"/>
      <c r="G11" s="695"/>
      <c r="H11" s="695"/>
      <c r="I11" s="695"/>
      <c r="J11" s="695"/>
      <c r="K11" s="695"/>
      <c r="L11" s="695"/>
      <c r="M11" s="695"/>
      <c r="N11" s="695"/>
      <c r="O11" s="695"/>
      <c r="P11" s="695"/>
      <c r="Q11" s="695"/>
      <c r="R11" s="695"/>
      <c r="S11" s="688"/>
      <c r="T11" s="566"/>
      <c r="U11" s="314" t="s">
        <v>762</v>
      </c>
      <c r="V11" s="9"/>
      <c r="W11" s="9"/>
      <c r="X11" s="58"/>
      <c r="Y11" s="147"/>
    </row>
    <row r="12" spans="1:43">
      <c r="B12" s="566"/>
      <c r="C12" s="203"/>
      <c r="D12" s="238" t="s">
        <v>99</v>
      </c>
      <c r="E12" s="241" t="s">
        <v>0</v>
      </c>
      <c r="F12" s="686"/>
      <c r="G12" s="695"/>
      <c r="H12" s="695"/>
      <c r="I12" s="695"/>
      <c r="J12" s="695"/>
      <c r="K12" s="695"/>
      <c r="L12" s="695"/>
      <c r="M12" s="695"/>
      <c r="N12" s="695"/>
      <c r="O12" s="695"/>
      <c r="P12" s="695"/>
      <c r="Q12" s="695"/>
      <c r="R12" s="695"/>
      <c r="S12" s="688"/>
      <c r="T12" s="566"/>
      <c r="U12" s="9"/>
      <c r="V12" s="9"/>
      <c r="W12" s="9"/>
      <c r="X12" s="58"/>
      <c r="Y12" s="147"/>
    </row>
    <row r="13" spans="1:43" ht="30" customHeight="1">
      <c r="B13" s="566"/>
      <c r="C13" s="361"/>
      <c r="D13" s="627" t="s">
        <v>198</v>
      </c>
      <c r="E13" s="36"/>
      <c r="F13" s="1"/>
      <c r="G13" s="1"/>
      <c r="H13" s="1"/>
      <c r="I13" s="1"/>
      <c r="J13" s="1"/>
      <c r="K13" s="1"/>
      <c r="L13" s="1"/>
      <c r="M13" s="1"/>
      <c r="N13" s="1"/>
      <c r="O13" s="1"/>
      <c r="P13" s="1"/>
      <c r="Q13" s="1"/>
      <c r="R13" s="1"/>
      <c r="S13" s="201"/>
      <c r="T13" s="566"/>
      <c r="U13" s="161"/>
      <c r="V13" s="161"/>
      <c r="W13" s="161"/>
      <c r="X13" s="146"/>
      <c r="Y13" s="146"/>
      <c r="Z13" s="163"/>
    </row>
    <row r="14" spans="1:43" ht="15.75" customHeight="1">
      <c r="A14" s="595"/>
      <c r="B14" s="566"/>
      <c r="C14" s="361"/>
      <c r="D14" s="1235" t="s">
        <v>0</v>
      </c>
      <c r="E14" s="1236"/>
      <c r="F14" s="1236"/>
      <c r="G14" s="1236"/>
      <c r="H14" s="1236"/>
      <c r="I14" s="1236"/>
      <c r="J14" s="1236"/>
      <c r="K14" s="1236"/>
      <c r="L14" s="1236"/>
      <c r="M14" s="1236"/>
      <c r="N14" s="1236"/>
      <c r="O14" s="1236"/>
      <c r="P14" s="1236"/>
      <c r="Q14" s="1236"/>
      <c r="R14" s="1236"/>
      <c r="S14" s="1237"/>
      <c r="T14" s="566"/>
      <c r="U14" s="161"/>
      <c r="V14" s="161"/>
      <c r="W14" s="161"/>
      <c r="X14" s="50"/>
      <c r="Y14" s="50"/>
      <c r="Z14" s="163"/>
    </row>
    <row r="15" spans="1:43" ht="30" customHeight="1">
      <c r="B15" s="566"/>
      <c r="C15" s="361"/>
      <c r="D15" s="341" t="s">
        <v>22</v>
      </c>
      <c r="E15" s="36"/>
      <c r="F15" s="1"/>
      <c r="G15" s="1"/>
      <c r="H15" s="1"/>
      <c r="I15" s="1"/>
      <c r="J15" s="1"/>
      <c r="K15" s="1"/>
      <c r="L15" s="1"/>
      <c r="M15" s="1"/>
      <c r="N15" s="1"/>
      <c r="O15" s="1"/>
      <c r="P15" s="1"/>
      <c r="Q15" s="1"/>
      <c r="R15" s="1"/>
      <c r="S15" s="201"/>
      <c r="T15" s="566"/>
      <c r="U15" s="161"/>
      <c r="V15" s="161"/>
      <c r="W15" s="161"/>
      <c r="X15" s="146"/>
      <c r="Y15" s="146"/>
      <c r="Z15" s="163"/>
    </row>
    <row r="16" spans="1:43" ht="15.75" customHeight="1">
      <c r="A16" s="1088" t="s">
        <v>251</v>
      </c>
      <c r="B16" s="566"/>
      <c r="C16" s="361"/>
      <c r="D16" s="1494" t="s">
        <v>0</v>
      </c>
      <c r="E16" s="1495"/>
      <c r="F16" s="1495"/>
      <c r="G16" s="1495"/>
      <c r="H16" s="1495"/>
      <c r="I16" s="1495"/>
      <c r="J16" s="1495"/>
      <c r="K16" s="1495"/>
      <c r="L16" s="1495"/>
      <c r="M16" s="1495"/>
      <c r="N16" s="1495"/>
      <c r="O16" s="1495"/>
      <c r="P16" s="1495"/>
      <c r="Q16" s="1495"/>
      <c r="R16" s="1496"/>
      <c r="S16" s="201"/>
      <c r="T16" s="566"/>
      <c r="U16" s="161"/>
      <c r="V16" s="161"/>
      <c r="W16" s="161"/>
      <c r="X16" s="50"/>
      <c r="Y16" s="50"/>
      <c r="Z16" s="163"/>
    </row>
    <row r="17" spans="1:26" ht="18.75">
      <c r="B17" s="566"/>
      <c r="C17" s="372"/>
      <c r="D17" s="373"/>
      <c r="E17" s="373"/>
      <c r="F17" s="1209">
        <f ca="1">TODAY()</f>
        <v>41163</v>
      </c>
      <c r="G17" s="1209"/>
      <c r="H17" s="1209"/>
      <c r="I17" s="1209"/>
      <c r="J17" s="1209"/>
      <c r="K17" s="1209"/>
      <c r="L17" s="1209"/>
      <c r="M17" s="1209"/>
      <c r="N17" s="1209"/>
      <c r="O17" s="1209"/>
      <c r="P17" s="1209"/>
      <c r="Q17" s="1209"/>
      <c r="R17" s="1209"/>
      <c r="S17" s="1210"/>
      <c r="T17" s="566"/>
      <c r="U17" s="161"/>
      <c r="V17" s="161"/>
      <c r="W17" s="161"/>
      <c r="X17" s="147"/>
      <c r="Y17" s="147"/>
      <c r="Z17" s="163"/>
    </row>
    <row r="18" spans="1:26" ht="16.5" customHeight="1">
      <c r="B18" s="588"/>
      <c r="C18" s="588"/>
      <c r="D18" s="588"/>
      <c r="E18" s="588"/>
      <c r="F18" s="588"/>
      <c r="G18" s="588"/>
      <c r="H18" s="588"/>
      <c r="I18" s="588"/>
      <c r="J18" s="588"/>
      <c r="K18" s="588"/>
      <c r="L18" s="588"/>
      <c r="M18" s="588"/>
      <c r="N18" s="588"/>
      <c r="O18" s="588"/>
      <c r="P18" s="588"/>
      <c r="Q18" s="588"/>
      <c r="R18" s="588"/>
      <c r="S18" s="588"/>
      <c r="T18" s="588"/>
      <c r="U18" s="160"/>
      <c r="V18" s="160"/>
      <c r="W18" s="160"/>
      <c r="Z18" s="160"/>
    </row>
    <row r="19" spans="1:26" customFormat="1" ht="15.75" customHeight="1"/>
    <row r="20" spans="1:26" ht="15.75" customHeight="1">
      <c r="A20" s="380"/>
      <c r="B20" s="380"/>
    </row>
    <row r="21" spans="1:26" ht="15.75" customHeight="1">
      <c r="A21" s="380"/>
      <c r="B21" s="380"/>
    </row>
    <row r="22" spans="1:26" ht="15.75" customHeight="1">
      <c r="A22" s="380"/>
      <c r="B22" s="380"/>
    </row>
    <row r="23" spans="1:26" ht="15.75" customHeight="1">
      <c r="A23" s="380"/>
      <c r="B23" s="380"/>
    </row>
    <row r="24" spans="1:26" ht="15.75" customHeight="1">
      <c r="A24" s="380"/>
      <c r="B24" s="380"/>
    </row>
    <row r="25" spans="1:26" ht="15.75" customHeight="1">
      <c r="A25" s="380"/>
      <c r="B25" s="380"/>
    </row>
    <row r="26" spans="1:26" ht="15.75" customHeight="1">
      <c r="A26" s="380"/>
      <c r="B26" s="380"/>
    </row>
    <row r="27" spans="1:26" ht="15.75" customHeight="1">
      <c r="A27" s="380"/>
      <c r="B27" s="380"/>
    </row>
    <row r="28" spans="1:26" ht="15.75" customHeight="1">
      <c r="A28" s="380"/>
      <c r="B28" s="380"/>
    </row>
    <row r="29" spans="1:26" ht="15.75" customHeight="1">
      <c r="A29" s="380"/>
      <c r="B29" s="380"/>
    </row>
    <row r="30" spans="1:26" ht="15.75" customHeight="1">
      <c r="A30" s="380"/>
      <c r="B30" s="380"/>
    </row>
    <row r="31" spans="1:26" ht="15.75" customHeight="1">
      <c r="A31" s="380"/>
      <c r="B31" s="380"/>
    </row>
    <row r="32" spans="1:26" ht="15.75" customHeight="1">
      <c r="A32" s="380"/>
      <c r="B32" s="380"/>
    </row>
    <row r="33" spans="1:2" ht="15.75" customHeight="1">
      <c r="A33" s="380"/>
      <c r="B33" s="380"/>
    </row>
    <row r="34" spans="1:2" ht="15.75" customHeight="1">
      <c r="A34" s="380"/>
      <c r="B34" s="380"/>
    </row>
    <row r="35" spans="1:2" ht="15.75" customHeight="1">
      <c r="A35" s="380"/>
      <c r="B35" s="380"/>
    </row>
    <row r="36" spans="1:2" ht="15.75" customHeight="1">
      <c r="A36" s="380"/>
      <c r="B36" s="380"/>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formatCells="0" formatRows="0" inser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A29" sqref="A29"/>
    </sheetView>
  </sheetViews>
  <sheetFormatPr defaultRowHeight="15.75" outlineLevelCol="1"/>
  <cols>
    <col min="1" max="1" width="13.75" style="604" customWidth="1"/>
    <col min="2" max="2" width="2.75" style="380" customWidth="1"/>
    <col min="3" max="3" width="4.25" style="380" customWidth="1"/>
    <col min="4" max="4" width="19.375" style="380" customWidth="1"/>
    <col min="5" max="5" width="2.625" style="380" customWidth="1"/>
    <col min="6" max="6" width="6.125" style="380" customWidth="1"/>
    <col min="7" max="7" width="21.375" style="380" customWidth="1"/>
    <col min="8" max="8" width="1.625" style="380" customWidth="1"/>
    <col min="9" max="18" width="1.875" style="380" customWidth="1"/>
    <col min="19" max="19" width="2.5" style="380" customWidth="1"/>
    <col min="20" max="20" width="2.625" style="380" customWidth="1"/>
    <col min="21" max="21" width="30.75" style="380" customWidth="1"/>
    <col min="22" max="22" width="8.25" style="380" customWidth="1"/>
    <col min="23" max="23" width="9" style="380"/>
    <col min="24" max="24" width="9" style="380" hidden="1" customWidth="1" outlineLevel="1"/>
    <col min="25" max="25" width="23.75" style="380" hidden="1" customWidth="1" outlineLevel="1"/>
    <col min="26" max="26" width="9" style="380" collapsed="1"/>
    <col min="27" max="16384" width="9" style="380"/>
  </cols>
  <sheetData>
    <row r="1" spans="1:43" ht="21" customHeight="1">
      <c r="A1" s="1088" t="s">
        <v>420</v>
      </c>
      <c r="B1" s="566"/>
      <c r="C1" s="566"/>
      <c r="D1" s="566"/>
      <c r="E1" s="566"/>
      <c r="F1" s="566"/>
      <c r="G1" s="566"/>
      <c r="H1" s="566"/>
      <c r="I1" s="566"/>
      <c r="J1" s="566"/>
      <c r="K1" s="566"/>
      <c r="L1" s="566"/>
      <c r="M1" s="566"/>
      <c r="N1" s="566"/>
      <c r="O1" s="566"/>
      <c r="P1" s="566"/>
      <c r="Q1" s="566"/>
      <c r="R1" s="566"/>
      <c r="S1" s="566"/>
      <c r="T1" s="566"/>
      <c r="U1" s="160"/>
      <c r="V1" s="160"/>
      <c r="W1" s="160"/>
      <c r="X1" s="147"/>
      <c r="Y1" s="147"/>
      <c r="Z1" s="160"/>
    </row>
    <row r="2" spans="1:43" ht="30" customHeight="1" thickBot="1">
      <c r="B2" s="566"/>
      <c r="C2" s="218">
        <v>11</v>
      </c>
      <c r="D2" s="1117" t="s">
        <v>370</v>
      </c>
      <c r="E2" s="1117"/>
      <c r="F2" s="1454" t="str">
        <f>C.2Name</f>
        <v>Address federal air quality regulations in Oregon rules</v>
      </c>
      <c r="G2" s="1454"/>
      <c r="H2" s="1454"/>
      <c r="I2" s="1454"/>
      <c r="J2" s="1454"/>
      <c r="K2" s="1454"/>
      <c r="L2" s="1454"/>
      <c r="M2" s="1454"/>
      <c r="N2" s="1454"/>
      <c r="O2" s="1454"/>
      <c r="P2" s="1454"/>
      <c r="Q2" s="1454"/>
      <c r="R2" s="1454"/>
      <c r="S2" s="200"/>
      <c r="T2" s="566"/>
      <c r="U2" s="427" t="s">
        <v>0</v>
      </c>
      <c r="V2" s="427"/>
      <c r="W2" s="427"/>
      <c r="X2" s="68" t="s">
        <v>0</v>
      </c>
      <c r="Y2" s="68"/>
      <c r="Z2" s="176"/>
    </row>
    <row r="3" spans="1:43" ht="37.5" customHeight="1" thickTop="1">
      <c r="B3" s="566"/>
      <c r="C3" s="202"/>
      <c r="D3" s="1502" t="s">
        <v>399</v>
      </c>
      <c r="E3" s="1502"/>
      <c r="F3" s="1502"/>
      <c r="G3" s="1502"/>
      <c r="H3" s="646"/>
      <c r="I3" s="646"/>
      <c r="J3" s="646"/>
      <c r="K3" s="646"/>
      <c r="L3" s="646"/>
      <c r="M3" s="646"/>
      <c r="N3" s="646"/>
      <c r="O3" s="646"/>
      <c r="P3" s="646"/>
      <c r="Q3" s="646"/>
      <c r="R3" s="646"/>
      <c r="S3" s="776"/>
      <c r="T3" s="566"/>
      <c r="U3" s="1489" t="s">
        <v>0</v>
      </c>
      <c r="V3" s="1489"/>
      <c r="W3" s="1489"/>
      <c r="X3" s="407"/>
      <c r="Y3" s="408" t="s">
        <v>0</v>
      </c>
      <c r="Z3" s="406"/>
      <c r="AA3" s="406"/>
      <c r="AB3" s="406"/>
      <c r="AC3" s="406"/>
      <c r="AD3" s="143"/>
      <c r="AE3" s="143"/>
      <c r="AF3" s="1490" t="s">
        <v>0</v>
      </c>
      <c r="AG3" s="1490"/>
      <c r="AH3" s="1490"/>
      <c r="AI3" s="1490"/>
      <c r="AJ3" s="1490"/>
      <c r="AK3" s="1490"/>
      <c r="AL3" s="1490"/>
      <c r="AM3" s="1490"/>
      <c r="AN3" s="1490"/>
      <c r="AO3" s="1490"/>
      <c r="AP3" s="1490"/>
      <c r="AQ3" s="1490"/>
    </row>
    <row r="4" spans="1:43" ht="15.75" customHeight="1">
      <c r="A4" s="380"/>
      <c r="B4" s="566"/>
      <c r="C4" s="202"/>
      <c r="D4" s="1498" t="s">
        <v>0</v>
      </c>
      <c r="E4" s="1499"/>
      <c r="F4" s="1499"/>
      <c r="G4" s="1499"/>
      <c r="H4" s="1499"/>
      <c r="I4" s="1499"/>
      <c r="J4" s="1499"/>
      <c r="K4" s="1499"/>
      <c r="L4" s="1499"/>
      <c r="M4" s="1499"/>
      <c r="N4" s="1499"/>
      <c r="O4" s="1499"/>
      <c r="P4" s="1499"/>
      <c r="Q4" s="1499"/>
      <c r="R4" s="1500"/>
      <c r="S4" s="292"/>
      <c r="T4" s="566"/>
      <c r="U4" s="114"/>
      <c r="V4" s="114"/>
      <c r="W4" s="161"/>
      <c r="X4" s="55"/>
      <c r="Y4" s="38"/>
      <c r="Z4" s="66"/>
    </row>
    <row r="5" spans="1:43" s="1098" customFormat="1" ht="9" customHeight="1">
      <c r="B5" s="857"/>
      <c r="C5" s="202"/>
      <c r="D5" s="782"/>
      <c r="E5" s="782"/>
      <c r="F5" s="782"/>
      <c r="G5" s="782"/>
      <c r="H5" s="782"/>
      <c r="I5" s="1132"/>
      <c r="J5" s="1132"/>
      <c r="K5" s="1132"/>
      <c r="L5" s="1132"/>
      <c r="M5" s="1132"/>
      <c r="N5" s="1132"/>
      <c r="O5" s="1132"/>
      <c r="P5" s="1132"/>
      <c r="Q5" s="1132"/>
      <c r="R5" s="1132"/>
      <c r="S5" s="779"/>
      <c r="T5" s="857"/>
      <c r="U5" s="114"/>
      <c r="V5" s="114"/>
      <c r="W5" s="852"/>
      <c r="X5" s="55"/>
      <c r="Y5" s="38"/>
      <c r="Z5" s="849"/>
    </row>
    <row r="6" spans="1:43" ht="36.75" customHeight="1">
      <c r="B6" s="566"/>
      <c r="C6" s="431"/>
      <c r="D6" s="1501" t="s">
        <v>404</v>
      </c>
      <c r="E6" s="1501"/>
      <c r="F6" s="1501"/>
      <c r="G6" s="1027"/>
      <c r="H6" s="1029"/>
      <c r="I6" s="1320" t="s">
        <v>32</v>
      </c>
      <c r="J6" s="1321"/>
      <c r="K6" s="1321"/>
      <c r="L6" s="1321"/>
      <c r="M6" s="1321"/>
      <c r="N6" s="1321"/>
      <c r="O6" s="1321"/>
      <c r="P6" s="1321"/>
      <c r="Q6" s="1321"/>
      <c r="R6" s="1322"/>
      <c r="S6" s="201"/>
      <c r="T6" s="566"/>
      <c r="U6" s="386" t="s">
        <v>761</v>
      </c>
      <c r="V6" s="314"/>
      <c r="W6" s="161"/>
      <c r="X6" s="147"/>
      <c r="Y6" s="147"/>
    </row>
    <row r="7" spans="1:43" ht="16.5">
      <c r="B7" s="566"/>
      <c r="C7" s="202"/>
      <c r="D7" s="1501"/>
      <c r="E7" s="1501"/>
      <c r="F7" s="1501"/>
      <c r="G7" s="777" t="s">
        <v>247</v>
      </c>
      <c r="H7" s="778"/>
      <c r="I7" s="199">
        <v>1</v>
      </c>
      <c r="J7" s="184">
        <v>2</v>
      </c>
      <c r="K7" s="185">
        <v>3</v>
      </c>
      <c r="L7" s="186">
        <v>4</v>
      </c>
      <c r="M7" s="187">
        <v>5</v>
      </c>
      <c r="N7" s="188">
        <v>6</v>
      </c>
      <c r="O7" s="189">
        <v>7</v>
      </c>
      <c r="P7" s="190">
        <v>8</v>
      </c>
      <c r="Q7" s="191">
        <v>9</v>
      </c>
      <c r="R7" s="192">
        <v>10</v>
      </c>
      <c r="S7" s="205"/>
      <c r="T7" s="566"/>
      <c r="V7" s="314"/>
      <c r="W7" s="167"/>
      <c r="X7" s="39">
        <f>VLOOKUP(I6,C.VL_ComplexityRating,2,FALSE)</f>
        <v>3</v>
      </c>
      <c r="Y7" s="889" t="str">
        <f>I6</f>
        <v>potential for minor complexity</v>
      </c>
    </row>
    <row r="8" spans="1:43" ht="18.75" customHeight="1">
      <c r="B8" s="566"/>
      <c r="C8" s="203"/>
      <c r="D8" s="1501"/>
      <c r="E8" s="1501"/>
      <c r="F8" s="1501"/>
      <c r="G8" s="695"/>
      <c r="H8" s="216"/>
      <c r="I8" s="216"/>
      <c r="J8" s="216"/>
      <c r="K8" s="216"/>
      <c r="L8" s="216"/>
      <c r="M8" s="216"/>
      <c r="N8" s="216"/>
      <c r="O8" s="216"/>
      <c r="P8" s="216"/>
      <c r="Q8" s="216"/>
      <c r="R8" s="216"/>
      <c r="S8" s="154"/>
      <c r="T8" s="566"/>
      <c r="U8" s="314" t="s">
        <v>762</v>
      </c>
      <c r="V8" s="9"/>
      <c r="W8" s="9"/>
      <c r="X8" s="58"/>
      <c r="Y8" s="147"/>
    </row>
    <row r="9" spans="1:43">
      <c r="B9" s="566"/>
      <c r="C9" s="203"/>
      <c r="D9" s="238" t="s">
        <v>117</v>
      </c>
      <c r="E9" s="241" t="s">
        <v>0</v>
      </c>
      <c r="F9" s="686"/>
      <c r="G9" s="695"/>
      <c r="H9" s="695"/>
      <c r="I9" s="695"/>
      <c r="J9" s="695"/>
      <c r="K9" s="695"/>
      <c r="L9" s="695"/>
      <c r="M9" s="695"/>
      <c r="N9" s="695"/>
      <c r="O9" s="695"/>
      <c r="P9" s="695"/>
      <c r="Q9" s="695"/>
      <c r="R9" s="695"/>
      <c r="S9" s="688"/>
      <c r="T9" s="566"/>
      <c r="U9" s="9"/>
      <c r="V9" s="9"/>
      <c r="W9" s="9"/>
      <c r="X9" s="58"/>
      <c r="Y9" s="147"/>
    </row>
    <row r="10" spans="1:43">
      <c r="B10" s="566"/>
      <c r="C10" s="203"/>
      <c r="D10" s="238" t="s">
        <v>241</v>
      </c>
      <c r="E10" s="241" t="s">
        <v>0</v>
      </c>
      <c r="F10" s="686"/>
      <c r="G10" s="695"/>
      <c r="H10" s="695"/>
      <c r="I10" s="695"/>
      <c r="J10" s="695"/>
      <c r="K10" s="695"/>
      <c r="L10" s="695"/>
      <c r="M10" s="695"/>
      <c r="N10" s="695"/>
      <c r="O10" s="695"/>
      <c r="P10" s="695"/>
      <c r="Q10" s="695"/>
      <c r="R10" s="695"/>
      <c r="S10" s="688"/>
      <c r="T10" s="566"/>
      <c r="V10" s="9"/>
      <c r="W10" s="9"/>
      <c r="X10" s="58"/>
      <c r="Y10" s="147"/>
    </row>
    <row r="11" spans="1:43">
      <c r="B11" s="566"/>
      <c r="C11" s="203"/>
      <c r="D11" s="238" t="s">
        <v>99</v>
      </c>
      <c r="E11" s="241" t="s">
        <v>0</v>
      </c>
      <c r="F11" s="686"/>
      <c r="G11" s="695"/>
      <c r="H11" s="695"/>
      <c r="I11" s="695"/>
      <c r="J11" s="695"/>
      <c r="K11" s="695"/>
      <c r="L11" s="695"/>
      <c r="M11" s="695"/>
      <c r="N11" s="695"/>
      <c r="O11" s="695"/>
      <c r="P11" s="695"/>
      <c r="Q11" s="695"/>
      <c r="R11" s="695"/>
      <c r="S11" s="688"/>
      <c r="T11" s="566"/>
      <c r="U11" s="9"/>
      <c r="V11" s="9"/>
      <c r="W11" s="9"/>
      <c r="X11" s="58"/>
      <c r="Y11" s="147"/>
    </row>
    <row r="12" spans="1:43" ht="30" customHeight="1">
      <c r="B12" s="566"/>
      <c r="C12" s="361"/>
      <c r="D12" s="627" t="s">
        <v>198</v>
      </c>
      <c r="E12" s="36"/>
      <c r="F12" s="1"/>
      <c r="G12" s="1"/>
      <c r="H12" s="1"/>
      <c r="I12" s="1"/>
      <c r="J12" s="1"/>
      <c r="K12" s="1"/>
      <c r="L12" s="1"/>
      <c r="M12" s="1"/>
      <c r="N12" s="1"/>
      <c r="O12" s="1"/>
      <c r="P12" s="1"/>
      <c r="Q12" s="1"/>
      <c r="R12" s="1"/>
      <c r="S12" s="201"/>
      <c r="T12" s="566"/>
      <c r="U12" s="161"/>
      <c r="V12" s="161"/>
      <c r="W12" s="161"/>
      <c r="X12" s="146"/>
      <c r="Y12" s="146"/>
      <c r="Z12" s="163"/>
    </row>
    <row r="13" spans="1:43" ht="15.75" customHeight="1">
      <c r="A13" s="595"/>
      <c r="B13" s="566"/>
      <c r="C13" s="361"/>
      <c r="D13" s="1431" t="s">
        <v>0</v>
      </c>
      <c r="E13" s="1432"/>
      <c r="F13" s="1432"/>
      <c r="G13" s="1432"/>
      <c r="H13" s="1432"/>
      <c r="I13" s="1432"/>
      <c r="J13" s="1432"/>
      <c r="K13" s="1432"/>
      <c r="L13" s="1432"/>
      <c r="M13" s="1432"/>
      <c r="N13" s="1432"/>
      <c r="O13" s="1432"/>
      <c r="P13" s="1432"/>
      <c r="Q13" s="1432"/>
      <c r="R13" s="1433"/>
      <c r="S13" s="1133"/>
      <c r="T13" s="566"/>
      <c r="U13" s="161"/>
      <c r="V13" s="161"/>
      <c r="W13" s="161"/>
      <c r="X13" s="50"/>
      <c r="Y13" s="50"/>
      <c r="Z13" s="163"/>
    </row>
    <row r="14" spans="1:43" ht="30" customHeight="1">
      <c r="B14" s="566"/>
      <c r="C14" s="361"/>
      <c r="D14" s="627" t="s">
        <v>22</v>
      </c>
      <c r="E14" s="36"/>
      <c r="F14" s="1"/>
      <c r="G14" s="1"/>
      <c r="H14" s="1"/>
      <c r="I14" s="1"/>
      <c r="J14" s="1"/>
      <c r="K14" s="1"/>
      <c r="L14" s="1"/>
      <c r="M14" s="1"/>
      <c r="N14" s="1"/>
      <c r="O14" s="1"/>
      <c r="P14" s="1"/>
      <c r="Q14" s="1"/>
      <c r="R14" s="1"/>
      <c r="S14" s="201"/>
      <c r="T14" s="566"/>
      <c r="U14" s="161"/>
      <c r="V14" s="161"/>
      <c r="W14" s="161"/>
      <c r="X14" s="146"/>
      <c r="Y14" s="146"/>
      <c r="Z14" s="163"/>
    </row>
    <row r="15" spans="1:43" ht="15.75" customHeight="1">
      <c r="A15" s="1088" t="s">
        <v>251</v>
      </c>
      <c r="B15" s="566"/>
      <c r="C15" s="361"/>
      <c r="D15" s="1317" t="s">
        <v>0</v>
      </c>
      <c r="E15" s="1318"/>
      <c r="F15" s="1318"/>
      <c r="G15" s="1318"/>
      <c r="H15" s="1318"/>
      <c r="I15" s="1318"/>
      <c r="J15" s="1318"/>
      <c r="K15" s="1318"/>
      <c r="L15" s="1318"/>
      <c r="M15" s="1318"/>
      <c r="N15" s="1318"/>
      <c r="O15" s="1318"/>
      <c r="P15" s="1318"/>
      <c r="Q15" s="1318"/>
      <c r="R15" s="1319"/>
      <c r="S15" s="201"/>
      <c r="T15" s="566"/>
      <c r="U15" s="161"/>
      <c r="V15" s="161"/>
      <c r="W15" s="161"/>
      <c r="X15" s="50"/>
      <c r="Y15" s="50"/>
      <c r="Z15" s="163"/>
    </row>
    <row r="16" spans="1:43" ht="18.75">
      <c r="B16" s="566"/>
      <c r="C16" s="372"/>
      <c r="D16" s="373"/>
      <c r="E16" s="373"/>
      <c r="F16" s="1209">
        <f ca="1">TODAY()</f>
        <v>41163</v>
      </c>
      <c r="G16" s="1209"/>
      <c r="H16" s="1209"/>
      <c r="I16" s="1209"/>
      <c r="J16" s="1209"/>
      <c r="K16" s="1209"/>
      <c r="L16" s="1209"/>
      <c r="M16" s="1209"/>
      <c r="N16" s="1209"/>
      <c r="O16" s="1209"/>
      <c r="P16" s="1209"/>
      <c r="Q16" s="1209"/>
      <c r="R16" s="1209"/>
      <c r="S16" s="1210"/>
      <c r="T16" s="566"/>
      <c r="U16" s="161"/>
      <c r="V16" s="161"/>
      <c r="W16" s="161"/>
      <c r="X16" s="147"/>
      <c r="Y16" s="147"/>
      <c r="Z16" s="163"/>
    </row>
    <row r="17" spans="1:26" ht="16.5" customHeight="1">
      <c r="B17" s="588"/>
      <c r="C17" s="588"/>
      <c r="D17" s="588"/>
      <c r="E17" s="588"/>
      <c r="F17" s="588"/>
      <c r="G17" s="588"/>
      <c r="H17" s="588"/>
      <c r="I17" s="588"/>
      <c r="J17" s="588"/>
      <c r="K17" s="588"/>
      <c r="L17" s="588"/>
      <c r="M17" s="588"/>
      <c r="N17" s="588"/>
      <c r="O17" s="588"/>
      <c r="P17" s="588"/>
      <c r="Q17" s="588"/>
      <c r="R17" s="588"/>
      <c r="S17" s="588"/>
      <c r="T17" s="588"/>
      <c r="U17" s="160"/>
      <c r="V17" s="160"/>
      <c r="W17" s="160"/>
      <c r="Z17" s="160"/>
    </row>
    <row r="18" spans="1:26" ht="15.75" customHeight="1">
      <c r="A18" s="380"/>
    </row>
    <row r="19" spans="1:26" ht="15.75" customHeight="1">
      <c r="A19" s="380"/>
    </row>
    <row r="20" spans="1:26" ht="15.75" customHeight="1">
      <c r="A20" s="380"/>
    </row>
    <row r="21" spans="1:26" ht="15.75" customHeight="1">
      <c r="A21" s="380"/>
    </row>
    <row r="22" spans="1:26" ht="15.75" customHeight="1">
      <c r="A22" s="380"/>
    </row>
    <row r="23" spans="1:26" ht="15.75" customHeight="1">
      <c r="A23" s="380"/>
    </row>
    <row r="24" spans="1:26" ht="15.75" customHeight="1">
      <c r="A24" s="380"/>
    </row>
    <row r="25" spans="1:26" ht="15.75" customHeight="1">
      <c r="A25" s="380"/>
    </row>
    <row r="26" spans="1:26" ht="15.75" customHeight="1">
      <c r="A26" s="380"/>
    </row>
    <row r="27" spans="1:26" ht="15.75" customHeight="1">
      <c r="A27" s="380"/>
    </row>
    <row r="28" spans="1:26" ht="15.75" customHeight="1">
      <c r="A28" s="380"/>
    </row>
    <row r="29" spans="1:26" ht="15.75" customHeight="1">
      <c r="A29" s="380"/>
    </row>
    <row r="30" spans="1:26" ht="15.75" customHeight="1">
      <c r="A30" s="380"/>
    </row>
    <row r="31" spans="1:26" ht="15.75" customHeight="1">
      <c r="A31" s="380"/>
    </row>
    <row r="32" spans="1:26" ht="15.75" customHeight="1">
      <c r="A32" s="380"/>
    </row>
    <row r="33" spans="1:26" ht="15.75" customHeight="1">
      <c r="A33" s="380"/>
    </row>
    <row r="34" spans="1:26" ht="15.75" customHeight="1">
      <c r="A34" s="380"/>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D4" sqref="D4:R4"/>
    </sheetView>
  </sheetViews>
  <sheetFormatPr defaultRowHeight="15.75" outlineLevelCol="1"/>
  <cols>
    <col min="1" max="1" width="13.875" style="604" customWidth="1"/>
    <col min="2" max="2" width="2.625" style="380" customWidth="1"/>
    <col min="3" max="3" width="4.25" style="380" customWidth="1"/>
    <col min="4" max="4" width="19.375" style="380" customWidth="1"/>
    <col min="5" max="5" width="2.625" style="380" customWidth="1"/>
    <col min="6" max="7" width="21.625" style="380" customWidth="1"/>
    <col min="8" max="8" width="1.625" style="380" customWidth="1"/>
    <col min="9" max="18" width="1.875" style="380" customWidth="1"/>
    <col min="19" max="19" width="2.5" style="380" customWidth="1"/>
    <col min="20" max="20" width="2.625" style="380" customWidth="1"/>
    <col min="21" max="21" width="31.5" style="380" customWidth="1"/>
    <col min="22" max="22" width="8.25" style="380" customWidth="1"/>
    <col min="23" max="23" width="9" style="380"/>
    <col min="24" max="24" width="9" style="380" hidden="1" customWidth="1" outlineLevel="1"/>
    <col min="25" max="25" width="23.75" style="380" hidden="1" customWidth="1" outlineLevel="1"/>
    <col min="26" max="26" width="9" style="380" collapsed="1"/>
    <col min="27" max="16384" width="9" style="380"/>
  </cols>
  <sheetData>
    <row r="1" spans="1:43" ht="21" customHeight="1">
      <c r="A1" s="1089" t="s">
        <v>420</v>
      </c>
      <c r="B1" s="566"/>
      <c r="C1" s="566"/>
      <c r="D1" s="566"/>
      <c r="E1" s="566"/>
      <c r="F1" s="566"/>
      <c r="G1" s="566"/>
      <c r="H1" s="566"/>
      <c r="I1" s="566"/>
      <c r="J1" s="566"/>
      <c r="K1" s="566"/>
      <c r="L1" s="566"/>
      <c r="M1" s="566"/>
      <c r="N1" s="566"/>
      <c r="O1" s="566"/>
      <c r="P1" s="566"/>
      <c r="Q1" s="566"/>
      <c r="R1" s="566"/>
      <c r="S1" s="566"/>
      <c r="T1" s="566"/>
      <c r="U1" s="160"/>
      <c r="V1" s="160"/>
      <c r="W1" s="160"/>
      <c r="X1" s="147"/>
      <c r="Y1" s="147"/>
      <c r="Z1" s="160"/>
    </row>
    <row r="2" spans="1:43" ht="30" customHeight="1" thickBot="1">
      <c r="B2" s="566"/>
      <c r="C2" s="218">
        <v>12</v>
      </c>
      <c r="D2" s="1503" t="s">
        <v>329</v>
      </c>
      <c r="E2" s="1503"/>
      <c r="F2" s="1454" t="str">
        <f>C.2Name</f>
        <v>Address federal air quality regulations in Oregon rules</v>
      </c>
      <c r="G2" s="1454"/>
      <c r="H2" s="1454"/>
      <c r="I2" s="1454"/>
      <c r="J2" s="1454"/>
      <c r="K2" s="1454"/>
      <c r="L2" s="1454"/>
      <c r="M2" s="1454"/>
      <c r="N2" s="1454"/>
      <c r="O2" s="1454"/>
      <c r="P2" s="1454"/>
      <c r="Q2" s="1454"/>
      <c r="R2" s="1454"/>
      <c r="S2" s="200"/>
      <c r="T2" s="566"/>
      <c r="U2" s="427" t="s">
        <v>0</v>
      </c>
      <c r="V2" s="427"/>
      <c r="W2" s="427"/>
      <c r="X2" s="68" t="s">
        <v>0</v>
      </c>
      <c r="Y2" s="68"/>
      <c r="Z2" s="176"/>
    </row>
    <row r="3" spans="1:43" ht="33" customHeight="1" thickTop="1">
      <c r="B3" s="566"/>
      <c r="C3" s="593"/>
      <c r="D3" s="646" t="s">
        <v>396</v>
      </c>
      <c r="E3" s="646"/>
      <c r="F3" s="646"/>
      <c r="G3" s="659"/>
      <c r="H3" s="659"/>
      <c r="I3" s="659"/>
      <c r="J3" s="659"/>
      <c r="K3" s="659"/>
      <c r="L3" s="659"/>
      <c r="M3" s="659"/>
      <c r="N3" s="659"/>
      <c r="O3" s="659"/>
      <c r="P3" s="659"/>
      <c r="Q3" s="659"/>
      <c r="R3" s="695"/>
      <c r="S3" s="688"/>
      <c r="T3" s="566"/>
      <c r="U3"/>
      <c r="V3" s="9"/>
      <c r="W3" s="9"/>
      <c r="X3" s="58"/>
      <c r="Y3" s="147"/>
    </row>
    <row r="4" spans="1:43" ht="95.25" customHeight="1">
      <c r="B4" s="566"/>
      <c r="C4" s="202"/>
      <c r="D4" s="1235" t="s">
        <v>1031</v>
      </c>
      <c r="E4" s="1236"/>
      <c r="F4" s="1236"/>
      <c r="G4" s="1236"/>
      <c r="H4" s="1236"/>
      <c r="I4" s="1236"/>
      <c r="J4" s="1236"/>
      <c r="K4" s="1236"/>
      <c r="L4" s="1236"/>
      <c r="M4" s="1236"/>
      <c r="N4" s="1236"/>
      <c r="O4" s="1236"/>
      <c r="P4" s="1236"/>
      <c r="Q4" s="1236"/>
      <c r="R4" s="1236"/>
      <c r="S4" s="776"/>
      <c r="T4" s="566"/>
      <c r="U4" s="1489" t="s">
        <v>0</v>
      </c>
      <c r="V4" s="1489"/>
      <c r="W4" s="1489"/>
      <c r="X4" s="407"/>
      <c r="Y4" s="408" t="s">
        <v>0</v>
      </c>
      <c r="Z4" s="406"/>
      <c r="AA4" s="406"/>
      <c r="AB4" s="406"/>
      <c r="AC4" s="406"/>
      <c r="AD4" s="143"/>
      <c r="AE4" s="143"/>
      <c r="AF4" s="1490" t="s">
        <v>0</v>
      </c>
      <c r="AG4" s="1490"/>
      <c r="AH4" s="1490"/>
      <c r="AI4" s="1490"/>
      <c r="AJ4" s="1490"/>
      <c r="AK4" s="1490"/>
      <c r="AL4" s="1490"/>
      <c r="AM4" s="1490"/>
      <c r="AN4" s="1490"/>
      <c r="AO4" s="1490"/>
      <c r="AP4" s="1490"/>
      <c r="AQ4" s="1490"/>
    </row>
    <row r="5" spans="1:43" s="1098" customFormat="1" ht="9" customHeight="1">
      <c r="A5" s="858"/>
      <c r="B5" s="857"/>
      <c r="C5" s="202"/>
      <c r="D5" s="782"/>
      <c r="E5" s="782"/>
      <c r="F5" s="782"/>
      <c r="G5" s="782"/>
      <c r="H5" s="782"/>
      <c r="I5" s="1134"/>
      <c r="J5" s="1134"/>
      <c r="K5" s="1134"/>
      <c r="L5" s="1134"/>
      <c r="M5" s="1134"/>
      <c r="N5" s="1134"/>
      <c r="O5" s="1134"/>
      <c r="P5" s="1134"/>
      <c r="Q5" s="1134"/>
      <c r="R5" s="1134"/>
      <c r="S5" s="776"/>
      <c r="T5" s="857"/>
      <c r="U5" s="1099"/>
      <c r="V5" s="1099"/>
      <c r="W5" s="1099"/>
      <c r="X5" s="407"/>
      <c r="Y5" s="408"/>
      <c r="Z5" s="406"/>
      <c r="AA5" s="406"/>
      <c r="AB5" s="406"/>
      <c r="AC5" s="406"/>
      <c r="AD5" s="143"/>
      <c r="AE5" s="143"/>
      <c r="AF5" s="1100"/>
      <c r="AG5" s="1100"/>
      <c r="AH5" s="1100"/>
      <c r="AI5" s="1100"/>
      <c r="AJ5" s="1100"/>
      <c r="AK5" s="1100"/>
      <c r="AL5" s="1100"/>
      <c r="AM5" s="1100"/>
      <c r="AN5" s="1100"/>
      <c r="AO5" s="1100"/>
      <c r="AP5" s="1100"/>
      <c r="AQ5" s="1100"/>
    </row>
    <row r="6" spans="1:43" ht="36" customHeight="1">
      <c r="B6" s="566"/>
      <c r="C6" s="431"/>
      <c r="F6" s="1003"/>
      <c r="G6" s="1003"/>
      <c r="H6" s="1003"/>
      <c r="I6" s="1320" t="s">
        <v>5</v>
      </c>
      <c r="J6" s="1321"/>
      <c r="K6" s="1321"/>
      <c r="L6" s="1321"/>
      <c r="M6" s="1321"/>
      <c r="N6" s="1321"/>
      <c r="O6" s="1321"/>
      <c r="P6" s="1321"/>
      <c r="Q6" s="1321"/>
      <c r="R6" s="1322"/>
      <c r="S6" s="201"/>
      <c r="T6" s="566"/>
      <c r="U6" s="386" t="s">
        <v>761</v>
      </c>
      <c r="V6" s="314"/>
      <c r="W6" s="161"/>
      <c r="X6" s="147"/>
      <c r="Y6" s="147"/>
    </row>
    <row r="7" spans="1:43" ht="18.75">
      <c r="B7" s="566"/>
      <c r="C7" s="203"/>
      <c r="D7" s="429" t="s">
        <v>245</v>
      </c>
      <c r="E7" s="429"/>
      <c r="F7" s="686"/>
      <c r="G7" s="777" t="s">
        <v>247</v>
      </c>
      <c r="H7" s="778"/>
      <c r="I7" s="199">
        <v>1</v>
      </c>
      <c r="J7" s="184">
        <v>2</v>
      </c>
      <c r="K7" s="185">
        <v>3</v>
      </c>
      <c r="L7" s="186">
        <v>4</v>
      </c>
      <c r="M7" s="187">
        <v>5</v>
      </c>
      <c r="N7" s="188">
        <v>6</v>
      </c>
      <c r="O7" s="189">
        <v>7</v>
      </c>
      <c r="P7" s="190">
        <v>8</v>
      </c>
      <c r="Q7" s="191">
        <v>9</v>
      </c>
      <c r="R7" s="192">
        <v>10</v>
      </c>
      <c r="S7" s="205"/>
      <c r="T7" s="566"/>
      <c r="V7" s="314"/>
      <c r="W7" s="167"/>
      <c r="X7" s="39">
        <f>VLOOKUP(I6,C.VL_ComplexityRating,2,FALSE)</f>
        <v>5</v>
      </c>
      <c r="Y7" s="889" t="str">
        <f>I6</f>
        <v>unknown</v>
      </c>
    </row>
    <row r="8" spans="1:43" ht="15.75" customHeight="1">
      <c r="B8" s="566"/>
      <c r="C8" s="203"/>
      <c r="D8" s="238" t="s">
        <v>117</v>
      </c>
      <c r="E8" s="856" t="s">
        <v>0</v>
      </c>
      <c r="F8" s="686"/>
      <c r="G8" s="695"/>
      <c r="H8" s="695"/>
      <c r="I8" s="695"/>
      <c r="J8" s="695"/>
      <c r="K8" s="695"/>
      <c r="L8" s="695"/>
      <c r="M8" s="695"/>
      <c r="N8" s="695"/>
      <c r="O8" s="695"/>
      <c r="P8" s="695"/>
      <c r="Q8" s="695"/>
      <c r="R8" s="695"/>
      <c r="S8" s="688"/>
      <c r="T8" s="566"/>
      <c r="U8" s="314" t="s">
        <v>762</v>
      </c>
      <c r="V8" s="9"/>
      <c r="W8" s="9"/>
      <c r="X8" s="58"/>
      <c r="Y8" s="147"/>
    </row>
    <row r="9" spans="1:43" ht="15.75" customHeight="1">
      <c r="B9" s="566"/>
      <c r="C9" s="203"/>
      <c r="D9" s="238" t="s">
        <v>241</v>
      </c>
      <c r="E9" s="856" t="s">
        <v>0</v>
      </c>
      <c r="F9" s="686"/>
      <c r="G9" s="659"/>
      <c r="H9" s="659"/>
      <c r="I9" s="659"/>
      <c r="J9" s="659"/>
      <c r="K9" s="659"/>
      <c r="L9" s="659"/>
      <c r="M9" s="659"/>
      <c r="N9" s="659"/>
      <c r="O9" s="659"/>
      <c r="P9" s="659"/>
      <c r="Q9" s="659"/>
      <c r="R9" s="695"/>
      <c r="S9" s="688"/>
      <c r="T9" s="566"/>
      <c r="U9" s="9"/>
      <c r="V9" s="9"/>
      <c r="W9" s="9"/>
      <c r="X9" s="58"/>
      <c r="Y9" s="147"/>
    </row>
    <row r="10" spans="1:43" ht="15.75" customHeight="1">
      <c r="B10" s="566"/>
      <c r="C10" s="203"/>
      <c r="D10" s="238" t="s">
        <v>99</v>
      </c>
      <c r="E10" s="856" t="s">
        <v>0</v>
      </c>
      <c r="F10" s="686"/>
      <c r="G10" s="659"/>
      <c r="H10" s="659"/>
      <c r="I10" s="659"/>
      <c r="J10" s="659"/>
      <c r="K10" s="659"/>
      <c r="L10" s="659"/>
      <c r="M10" s="659"/>
      <c r="N10" s="659"/>
      <c r="O10" s="659"/>
      <c r="P10" s="659"/>
      <c r="Q10" s="659"/>
      <c r="R10" s="695"/>
      <c r="S10" s="688"/>
      <c r="T10" s="566"/>
      <c r="U10"/>
      <c r="V10" s="9"/>
      <c r="W10" s="9"/>
      <c r="X10" s="58"/>
      <c r="Y10" s="147"/>
    </row>
    <row r="11" spans="1:43" ht="31.5" customHeight="1">
      <c r="A11" s="380"/>
      <c r="B11" s="566"/>
      <c r="C11" s="369"/>
      <c r="D11" s="647" t="s">
        <v>198</v>
      </c>
      <c r="E11" s="780"/>
      <c r="F11" s="781"/>
      <c r="G11" s="782"/>
      <c r="H11" s="782"/>
      <c r="I11" s="782"/>
      <c r="J11" s="782"/>
      <c r="K11" s="782"/>
      <c r="L11" s="782"/>
      <c r="M11" s="782"/>
      <c r="N11" s="782"/>
      <c r="O11" s="782"/>
      <c r="P11" s="782"/>
      <c r="Q11" s="782"/>
      <c r="R11" s="782"/>
      <c r="S11" s="779"/>
      <c r="T11" s="566"/>
      <c r="U11" s="114"/>
      <c r="V11" s="114"/>
      <c r="W11" s="161"/>
      <c r="X11" s="55"/>
      <c r="Y11" s="38"/>
      <c r="Z11" s="66"/>
    </row>
    <row r="12" spans="1:43" ht="15.75" customHeight="1">
      <c r="B12" s="566"/>
      <c r="C12" s="361"/>
      <c r="D12" s="1235" t="s">
        <v>0</v>
      </c>
      <c r="E12" s="1236"/>
      <c r="F12" s="1236"/>
      <c r="G12" s="1236"/>
      <c r="H12" s="1236"/>
      <c r="I12" s="1236"/>
      <c r="J12" s="1236"/>
      <c r="K12" s="1236"/>
      <c r="L12" s="1236"/>
      <c r="M12" s="1236"/>
      <c r="N12" s="1236"/>
      <c r="O12" s="1236"/>
      <c r="P12" s="1236"/>
      <c r="Q12" s="1236"/>
      <c r="R12" s="1237"/>
      <c r="S12" s="201"/>
      <c r="T12" s="566"/>
      <c r="U12" s="161"/>
      <c r="V12" s="161"/>
      <c r="W12" s="161"/>
      <c r="X12" s="146"/>
      <c r="Y12" s="146"/>
      <c r="Z12" s="163"/>
    </row>
    <row r="13" spans="1:43" ht="31.5" customHeight="1">
      <c r="A13" s="595"/>
      <c r="B13" s="566"/>
      <c r="C13" s="361"/>
      <c r="D13" s="645" t="s">
        <v>22</v>
      </c>
      <c r="E13" s="36"/>
      <c r="F13" s="781"/>
      <c r="G13" s="783"/>
      <c r="H13" s="783"/>
      <c r="I13" s="783"/>
      <c r="J13" s="783"/>
      <c r="K13" s="783"/>
      <c r="L13" s="783"/>
      <c r="M13" s="783"/>
      <c r="N13" s="783"/>
      <c r="O13" s="783"/>
      <c r="P13" s="783"/>
      <c r="Q13" s="783"/>
      <c r="R13" s="784"/>
      <c r="S13" s="785"/>
      <c r="T13" s="566"/>
      <c r="U13" s="161"/>
      <c r="V13" s="161"/>
      <c r="W13" s="161"/>
      <c r="X13" s="50"/>
      <c r="Y13" s="50"/>
      <c r="Z13" s="163"/>
    </row>
    <row r="14" spans="1:43" ht="15.75" customHeight="1">
      <c r="B14" s="566"/>
      <c r="C14" s="361"/>
      <c r="D14" s="1317" t="s">
        <v>0</v>
      </c>
      <c r="E14" s="1318"/>
      <c r="F14" s="1318"/>
      <c r="G14" s="1318"/>
      <c r="H14" s="1318"/>
      <c r="I14" s="1318"/>
      <c r="J14" s="1318"/>
      <c r="K14" s="1318"/>
      <c r="L14" s="1318"/>
      <c r="M14" s="1318"/>
      <c r="N14" s="1318"/>
      <c r="O14" s="1318"/>
      <c r="P14" s="1318"/>
      <c r="Q14" s="1318"/>
      <c r="R14" s="1319"/>
      <c r="S14" s="201"/>
      <c r="T14" s="566"/>
      <c r="U14" s="161"/>
      <c r="V14" s="161"/>
      <c r="W14" s="161"/>
      <c r="X14" s="146"/>
      <c r="Y14" s="146"/>
      <c r="Z14" s="163"/>
    </row>
    <row r="15" spans="1:43" ht="31.5" customHeight="1">
      <c r="A15" s="1089" t="s">
        <v>251</v>
      </c>
      <c r="B15" s="566"/>
      <c r="C15" s="372"/>
      <c r="D15" s="373"/>
      <c r="E15" s="373"/>
      <c r="F15" s="1209">
        <f ca="1">TODAY()</f>
        <v>41163</v>
      </c>
      <c r="G15" s="1209"/>
      <c r="H15" s="1209"/>
      <c r="I15" s="1209"/>
      <c r="J15" s="1209"/>
      <c r="K15" s="1209"/>
      <c r="L15" s="1209"/>
      <c r="M15" s="1209"/>
      <c r="N15" s="1209"/>
      <c r="O15" s="1209"/>
      <c r="P15" s="1209"/>
      <c r="Q15" s="1209"/>
      <c r="R15" s="1209"/>
      <c r="S15" s="1210"/>
      <c r="T15" s="566"/>
      <c r="U15" s="161"/>
      <c r="V15" s="161"/>
      <c r="W15" s="161"/>
      <c r="X15" s="50"/>
      <c r="Y15" s="50"/>
      <c r="Z15" s="163"/>
    </row>
    <row r="16" spans="1:43">
      <c r="B16" s="566"/>
      <c r="C16" s="566"/>
      <c r="D16" s="566"/>
      <c r="E16" s="566"/>
      <c r="F16" s="566"/>
      <c r="G16" s="566"/>
      <c r="H16" s="566"/>
      <c r="I16" s="566"/>
      <c r="J16" s="566"/>
      <c r="K16" s="566"/>
      <c r="L16" s="566"/>
      <c r="M16" s="566"/>
      <c r="N16" s="566"/>
      <c r="O16" s="566"/>
      <c r="P16" s="566"/>
      <c r="Q16" s="566"/>
      <c r="R16" s="566"/>
      <c r="S16" s="566"/>
      <c r="T16" s="566"/>
      <c r="U16" s="161"/>
      <c r="V16" s="161"/>
      <c r="W16" s="161"/>
      <c r="X16" s="147"/>
      <c r="Y16" s="147"/>
      <c r="Z16" s="163"/>
    </row>
    <row r="17" spans="1:19" customFormat="1" ht="15.75" customHeight="1">
      <c r="C17" s="380"/>
      <c r="D17" s="380"/>
      <c r="E17" s="380"/>
      <c r="F17" s="380"/>
      <c r="G17" s="380"/>
      <c r="H17" s="380"/>
      <c r="I17" s="380"/>
      <c r="J17" s="380"/>
      <c r="K17" s="380"/>
      <c r="L17" s="380"/>
      <c r="M17" s="380"/>
      <c r="N17" s="380"/>
      <c r="O17" s="380"/>
      <c r="P17" s="380"/>
      <c r="Q17" s="380"/>
      <c r="R17" s="380"/>
      <c r="S17" s="380"/>
    </row>
    <row r="18" spans="1:19" ht="15.75" customHeight="1">
      <c r="A18" s="380"/>
    </row>
    <row r="19" spans="1:19" ht="15.75" customHeight="1">
      <c r="A19" s="380"/>
    </row>
    <row r="20" spans="1:19" ht="15.75" customHeight="1">
      <c r="A20" s="380"/>
    </row>
    <row r="21" spans="1:19" ht="15.75" customHeight="1">
      <c r="A21" s="380"/>
    </row>
    <row r="22" spans="1:19" ht="15.75" customHeight="1">
      <c r="A22" s="380"/>
    </row>
    <row r="23" spans="1:19" ht="15.75" customHeight="1">
      <c r="A23" s="380"/>
    </row>
    <row r="24" spans="1:19" ht="15.75" customHeight="1">
      <c r="A24" s="380"/>
    </row>
    <row r="25" spans="1:19" ht="15.75" customHeight="1">
      <c r="A25" s="380"/>
    </row>
    <row r="26" spans="1:19" ht="15.75" customHeight="1">
      <c r="A26" s="380"/>
    </row>
    <row r="27" spans="1:19" ht="15.75" customHeight="1">
      <c r="A27" s="380"/>
    </row>
    <row r="28" spans="1:19" ht="15.75" customHeight="1">
      <c r="A28" s="380"/>
    </row>
    <row r="29" spans="1:19" ht="15.75" customHeight="1">
      <c r="A29" s="380"/>
    </row>
    <row r="30" spans="1:19" ht="15.75" customHeight="1">
      <c r="A30" s="380"/>
    </row>
    <row r="31" spans="1:19" ht="15.75" customHeight="1">
      <c r="A31" s="380"/>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80"/>
      <c r="D39" s="380"/>
      <c r="E39" s="380"/>
      <c r="F39" s="380"/>
      <c r="G39" s="380"/>
      <c r="H39" s="380"/>
      <c r="I39" s="380"/>
      <c r="J39" s="380"/>
      <c r="K39" s="380"/>
      <c r="L39" s="380"/>
      <c r="M39" s="380"/>
      <c r="N39" s="380"/>
      <c r="O39" s="380"/>
      <c r="P39" s="380"/>
      <c r="Q39" s="380"/>
      <c r="R39" s="380"/>
      <c r="S39" s="380"/>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38" workbookViewId="0">
      <selection activeCell="F347" sqref="F347"/>
    </sheetView>
  </sheetViews>
  <sheetFormatPr defaultRowHeight="14.25"/>
  <cols>
    <col min="1" max="1" width="8.75" style="1077" customWidth="1"/>
    <col min="2" max="2" width="9.375" style="1078" customWidth="1"/>
    <col min="3" max="3" width="9" style="1079"/>
    <col min="4" max="4" width="10.375" customWidth="1"/>
    <col min="5" max="5" width="11.375" customWidth="1"/>
    <col min="6" max="6" width="8.125" style="1076" customWidth="1"/>
    <col min="7" max="7" width="26.25" style="1086" customWidth="1"/>
    <col min="8" max="8" width="23.875" style="1086" customWidth="1"/>
    <col min="9" max="9" width="8.5" style="1079" customWidth="1"/>
    <col min="10" max="10" width="5.625" customWidth="1"/>
    <col min="11" max="11" width="5.375" style="1074" customWidth="1"/>
    <col min="12" max="20" width="3.75" customWidth="1"/>
    <col min="21" max="30" width="4.75" customWidth="1"/>
    <col min="31" max="34" width="4.75" style="1076" customWidth="1"/>
  </cols>
  <sheetData>
    <row r="1" spans="1:34" s="1074" customFormat="1" ht="20.25">
      <c r="A1" s="1142" t="s">
        <v>552</v>
      </c>
      <c r="B1" s="1142"/>
      <c r="C1" s="1142"/>
      <c r="D1" s="1142"/>
      <c r="E1" s="1142"/>
      <c r="F1" s="1142"/>
      <c r="G1" s="1142"/>
      <c r="H1" s="1087"/>
      <c r="I1" s="1141" t="s">
        <v>551</v>
      </c>
      <c r="J1" s="1141"/>
      <c r="K1" s="1141"/>
      <c r="L1" s="1141"/>
      <c r="M1" s="1141"/>
      <c r="N1" s="1141"/>
      <c r="O1" s="1141"/>
      <c r="P1" s="1141"/>
      <c r="Q1" s="1141"/>
      <c r="R1" s="1141"/>
      <c r="S1" s="1141"/>
      <c r="T1" s="1141"/>
      <c r="U1" s="1141"/>
      <c r="V1" s="1141"/>
      <c r="W1" s="1141"/>
      <c r="X1" s="1141"/>
      <c r="Y1" s="1141"/>
      <c r="Z1" s="1141"/>
      <c r="AA1" s="1141"/>
      <c r="AB1" s="1141"/>
      <c r="AC1" s="1141"/>
      <c r="AD1" s="1141"/>
      <c r="AE1" s="637"/>
      <c r="AF1" s="637"/>
      <c r="AG1" s="637"/>
      <c r="AH1" s="637"/>
    </row>
    <row r="2" spans="1:34">
      <c r="A2" s="1081" t="s">
        <v>547</v>
      </c>
      <c r="B2" s="1080" t="s">
        <v>548</v>
      </c>
      <c r="C2" s="1082" t="s">
        <v>544</v>
      </c>
      <c r="D2" s="1083" t="s">
        <v>549</v>
      </c>
      <c r="E2" s="1083" t="s">
        <v>545</v>
      </c>
      <c r="F2" s="1080" t="s">
        <v>546</v>
      </c>
      <c r="G2" s="1085" t="s">
        <v>550</v>
      </c>
      <c r="H2" s="1085" t="s">
        <v>557</v>
      </c>
      <c r="I2" s="1082" t="s">
        <v>560</v>
      </c>
      <c r="J2" s="1083" t="s">
        <v>554</v>
      </c>
      <c r="K2" s="1083" t="s">
        <v>553</v>
      </c>
      <c r="L2" s="1080" t="s">
        <v>561</v>
      </c>
      <c r="M2" s="1080" t="s">
        <v>562</v>
      </c>
      <c r="N2" s="1080" t="s">
        <v>563</v>
      </c>
      <c r="O2" s="1080" t="s">
        <v>564</v>
      </c>
      <c r="P2" s="1080" t="s">
        <v>565</v>
      </c>
      <c r="Q2" s="1080" t="s">
        <v>566</v>
      </c>
      <c r="R2" s="1080" t="s">
        <v>567</v>
      </c>
      <c r="S2" s="1080" t="s">
        <v>568</v>
      </c>
      <c r="T2" s="1080" t="s">
        <v>569</v>
      </c>
      <c r="U2" s="1080" t="s">
        <v>570</v>
      </c>
      <c r="V2" s="1080" t="s">
        <v>571</v>
      </c>
      <c r="W2" s="1080" t="s">
        <v>572</v>
      </c>
      <c r="X2" s="1080" t="s">
        <v>573</v>
      </c>
      <c r="Y2" s="1080" t="s">
        <v>574</v>
      </c>
      <c r="Z2" s="1080" t="s">
        <v>575</v>
      </c>
      <c r="AA2" s="1080" t="s">
        <v>576</v>
      </c>
      <c r="AB2" s="1080" t="s">
        <v>577</v>
      </c>
      <c r="AC2" s="1080" t="s">
        <v>578</v>
      </c>
      <c r="AD2" s="1080" t="s">
        <v>579</v>
      </c>
      <c r="AE2" s="1080" t="s">
        <v>580</v>
      </c>
      <c r="AF2" s="1080" t="s">
        <v>581</v>
      </c>
      <c r="AG2" s="1080" t="s">
        <v>582</v>
      </c>
      <c r="AH2" s="1080" t="s">
        <v>583</v>
      </c>
    </row>
    <row r="3" spans="1:34" ht="28.5">
      <c r="A3" s="1077">
        <v>1</v>
      </c>
      <c r="B3" s="1078">
        <v>1</v>
      </c>
      <c r="C3" s="1079">
        <v>41144</v>
      </c>
      <c r="D3" s="1074" t="s">
        <v>556</v>
      </c>
      <c r="E3" s="46" t="s">
        <v>555</v>
      </c>
      <c r="F3" s="1076">
        <v>25</v>
      </c>
      <c r="G3" s="1086" t="s">
        <v>558</v>
      </c>
      <c r="H3" s="1086" t="s">
        <v>559</v>
      </c>
      <c r="I3" s="1079">
        <v>41144</v>
      </c>
      <c r="J3" s="46" t="s">
        <v>124</v>
      </c>
      <c r="K3" s="46"/>
      <c r="L3" s="1084"/>
      <c r="M3" s="1084"/>
      <c r="N3" s="1084"/>
      <c r="O3" s="1084"/>
      <c r="P3" s="1084"/>
      <c r="Q3" s="1084"/>
      <c r="R3" s="1084"/>
      <c r="S3" s="1084"/>
      <c r="T3" s="1084"/>
      <c r="U3" s="1084"/>
      <c r="V3" s="1084"/>
      <c r="W3" s="1084"/>
      <c r="X3" s="1084"/>
      <c r="Y3" s="1084"/>
      <c r="Z3" s="1084"/>
      <c r="AA3" s="1084"/>
      <c r="AB3" s="1084"/>
      <c r="AC3" s="1084"/>
      <c r="AD3" s="1084"/>
      <c r="AE3" s="1084"/>
      <c r="AF3" s="1084"/>
      <c r="AG3" s="1084"/>
      <c r="AH3" s="1084"/>
    </row>
    <row r="4" spans="1:34">
      <c r="A4" s="1077">
        <v>1</v>
      </c>
      <c r="B4" s="1078">
        <v>2</v>
      </c>
      <c r="C4" s="1079">
        <v>41148</v>
      </c>
      <c r="D4" s="1075" t="s">
        <v>584</v>
      </c>
      <c r="E4" s="1075" t="s">
        <v>585</v>
      </c>
      <c r="F4" s="1076" t="s">
        <v>586</v>
      </c>
      <c r="G4" s="1086" t="s">
        <v>587</v>
      </c>
      <c r="H4" s="1086" t="s">
        <v>588</v>
      </c>
      <c r="I4" s="1079">
        <v>41148</v>
      </c>
      <c r="J4" s="46" t="s">
        <v>124</v>
      </c>
      <c r="K4" s="46"/>
    </row>
    <row r="5" spans="1:34" ht="28.5">
      <c r="A5" s="1077">
        <v>1</v>
      </c>
      <c r="B5" s="1078">
        <v>3</v>
      </c>
      <c r="C5" s="1079">
        <v>41148</v>
      </c>
      <c r="D5" s="1075" t="s">
        <v>584</v>
      </c>
      <c r="E5" s="1075" t="s">
        <v>585</v>
      </c>
      <c r="F5" s="1076" t="s">
        <v>586</v>
      </c>
      <c r="G5" s="1086" t="s">
        <v>590</v>
      </c>
      <c r="H5" s="1086" t="s">
        <v>591</v>
      </c>
      <c r="I5" s="1079">
        <f>Table1[[#This Row],[Date]]</f>
        <v>41148</v>
      </c>
      <c r="J5" s="46"/>
      <c r="K5" s="46"/>
    </row>
    <row r="6" spans="1:34" ht="28.5">
      <c r="A6" s="1077">
        <v>1</v>
      </c>
      <c r="B6" s="1078">
        <v>4</v>
      </c>
      <c r="C6" s="1079">
        <v>41148</v>
      </c>
      <c r="D6" s="1075" t="s">
        <v>584</v>
      </c>
      <c r="E6" s="1075" t="s">
        <v>585</v>
      </c>
      <c r="F6" s="1076" t="s">
        <v>589</v>
      </c>
      <c r="G6" s="1086" t="s">
        <v>590</v>
      </c>
      <c r="H6" s="1086" t="s">
        <v>591</v>
      </c>
      <c r="I6" s="1079">
        <f>Table1[[#This Row],[Date]]</f>
        <v>41148</v>
      </c>
      <c r="J6" s="46"/>
      <c r="K6" s="46"/>
    </row>
    <row r="7" spans="1:34">
      <c r="A7" s="1077">
        <v>1</v>
      </c>
      <c r="B7" s="1078">
        <v>5</v>
      </c>
      <c r="C7" s="1079">
        <v>41148</v>
      </c>
      <c r="D7" s="1075" t="s">
        <v>584</v>
      </c>
      <c r="E7" s="1075" t="s">
        <v>368</v>
      </c>
      <c r="F7" s="1076" t="s">
        <v>592</v>
      </c>
      <c r="G7" s="1086" t="s">
        <v>593</v>
      </c>
      <c r="H7" s="1086" t="s">
        <v>594</v>
      </c>
      <c r="I7" s="1079">
        <f>Table1[[#This Row],[Date]]</f>
        <v>41148</v>
      </c>
      <c r="J7" s="46"/>
      <c r="K7" s="46"/>
    </row>
    <row r="8" spans="1:34">
      <c r="A8" s="1077">
        <v>1</v>
      </c>
      <c r="B8" s="1078">
        <v>6</v>
      </c>
      <c r="C8" s="1079">
        <v>41148</v>
      </c>
      <c r="D8" s="1075" t="s">
        <v>584</v>
      </c>
      <c r="E8" s="1075" t="s">
        <v>368</v>
      </c>
      <c r="F8" s="1076" t="s">
        <v>586</v>
      </c>
      <c r="G8" s="1086" t="s">
        <v>587</v>
      </c>
      <c r="H8" s="1086" t="s">
        <v>588</v>
      </c>
      <c r="I8" s="1079">
        <f>Table1[[#This Row],[Date]]</f>
        <v>41148</v>
      </c>
      <c r="J8" s="46"/>
      <c r="K8" s="46"/>
    </row>
    <row r="9" spans="1:34" ht="28.5">
      <c r="A9" s="1077">
        <v>1</v>
      </c>
      <c r="B9" s="1078">
        <v>7</v>
      </c>
      <c r="C9" s="1079">
        <v>41148</v>
      </c>
      <c r="D9" s="1075" t="s">
        <v>584</v>
      </c>
      <c r="E9" s="1075" t="s">
        <v>368</v>
      </c>
      <c r="F9" s="1076" t="s">
        <v>592</v>
      </c>
      <c r="G9" s="1086" t="s">
        <v>590</v>
      </c>
      <c r="H9" s="1086" t="s">
        <v>591</v>
      </c>
      <c r="I9" s="1079">
        <f>Table1[[#This Row],[Date]]</f>
        <v>41148</v>
      </c>
      <c r="J9" s="46"/>
      <c r="K9" s="46"/>
    </row>
    <row r="10" spans="1:34" ht="28.5">
      <c r="A10" s="1077">
        <v>1</v>
      </c>
      <c r="B10" s="1078">
        <v>8</v>
      </c>
      <c r="C10" s="1079">
        <v>41148</v>
      </c>
      <c r="D10" s="1075" t="s">
        <v>584</v>
      </c>
      <c r="E10" s="1075" t="s">
        <v>368</v>
      </c>
      <c r="F10" s="1076" t="s">
        <v>586</v>
      </c>
      <c r="G10" s="1086" t="s">
        <v>590</v>
      </c>
      <c r="H10" s="1086" t="s">
        <v>591</v>
      </c>
      <c r="I10" s="1079">
        <f>Table1[[#This Row],[Date]]</f>
        <v>41148</v>
      </c>
      <c r="J10" s="46"/>
      <c r="K10" s="46"/>
    </row>
    <row r="11" spans="1:34" ht="28.5">
      <c r="A11" s="1077">
        <v>1</v>
      </c>
      <c r="B11" s="1078">
        <v>9</v>
      </c>
      <c r="C11" s="1079">
        <v>41148</v>
      </c>
      <c r="D11" s="1075" t="s">
        <v>584</v>
      </c>
      <c r="E11" s="1075" t="s">
        <v>369</v>
      </c>
      <c r="F11" s="1076" t="s">
        <v>586</v>
      </c>
      <c r="G11" s="1086" t="s">
        <v>590</v>
      </c>
      <c r="H11" s="1086" t="s">
        <v>591</v>
      </c>
      <c r="I11" s="1079">
        <f>Table1[[#This Row],[Date]]</f>
        <v>41148</v>
      </c>
      <c r="J11" s="46"/>
      <c r="K11" s="46"/>
    </row>
    <row r="12" spans="1:34" ht="28.5">
      <c r="A12" s="1077">
        <v>1</v>
      </c>
      <c r="B12" s="1078">
        <v>10</v>
      </c>
      <c r="C12" s="1079">
        <v>41148</v>
      </c>
      <c r="D12" s="1075" t="s">
        <v>584</v>
      </c>
      <c r="E12" s="1075" t="s">
        <v>369</v>
      </c>
      <c r="F12" s="1076" t="s">
        <v>595</v>
      </c>
      <c r="G12" s="1086" t="s">
        <v>590</v>
      </c>
      <c r="H12" s="1086" t="s">
        <v>591</v>
      </c>
      <c r="I12" s="1079">
        <f>Table1[[#This Row],[Date]]</f>
        <v>41148</v>
      </c>
      <c r="J12" s="46"/>
      <c r="K12" s="46"/>
    </row>
    <row r="13" spans="1:34">
      <c r="B13" s="1078">
        <v>11</v>
      </c>
      <c r="C13" s="1079">
        <v>41148</v>
      </c>
      <c r="D13" s="1075" t="s">
        <v>584</v>
      </c>
      <c r="E13" s="1075" t="s">
        <v>369</v>
      </c>
      <c r="F13" s="1076" t="s">
        <v>595</v>
      </c>
      <c r="G13" s="1086" t="s">
        <v>596</v>
      </c>
      <c r="H13" s="1086" t="s">
        <v>597</v>
      </c>
      <c r="I13" s="1079">
        <f>Table1[[#This Row],[Date]]</f>
        <v>41148</v>
      </c>
      <c r="J13" s="46"/>
      <c r="K13" s="46"/>
    </row>
    <row r="14" spans="1:34">
      <c r="B14" s="1078">
        <v>12</v>
      </c>
      <c r="C14" s="1079">
        <v>41148</v>
      </c>
      <c r="D14" s="1075" t="s">
        <v>584</v>
      </c>
      <c r="E14" s="1075" t="s">
        <v>369</v>
      </c>
      <c r="F14" s="1076" t="s">
        <v>598</v>
      </c>
      <c r="G14" s="1086" t="s">
        <v>603</v>
      </c>
      <c r="H14" s="1086" t="s">
        <v>604</v>
      </c>
      <c r="I14" s="1079">
        <f>Table1[[#This Row],[Date]]</f>
        <v>41148</v>
      </c>
      <c r="J14" s="46"/>
      <c r="K14" s="46"/>
    </row>
    <row r="15" spans="1:34">
      <c r="B15" s="1078">
        <v>13</v>
      </c>
      <c r="C15" s="1079">
        <v>41148</v>
      </c>
      <c r="D15" s="1075" t="s">
        <v>584</v>
      </c>
      <c r="E15" s="1075" t="s">
        <v>369</v>
      </c>
      <c r="F15" s="1076" t="s">
        <v>599</v>
      </c>
      <c r="G15" s="1086" t="s">
        <v>603</v>
      </c>
      <c r="H15" s="1086" t="s">
        <v>604</v>
      </c>
      <c r="I15" s="1079">
        <f>Table1[[#This Row],[Date]]</f>
        <v>41148</v>
      </c>
      <c r="J15" s="46"/>
      <c r="K15" s="46"/>
    </row>
    <row r="16" spans="1:34">
      <c r="B16" s="1078">
        <v>14</v>
      </c>
      <c r="C16" s="1079">
        <v>41148</v>
      </c>
      <c r="D16" s="1075" t="s">
        <v>584</v>
      </c>
      <c r="E16" s="1075" t="s">
        <v>369</v>
      </c>
      <c r="F16" s="1076" t="s">
        <v>600</v>
      </c>
      <c r="G16" s="1086" t="s">
        <v>603</v>
      </c>
      <c r="H16" s="1086" t="s">
        <v>604</v>
      </c>
      <c r="I16" s="1079">
        <f>Table1[[#This Row],[Date]]</f>
        <v>41148</v>
      </c>
      <c r="J16" s="46"/>
      <c r="K16" s="46"/>
    </row>
    <row r="17" spans="2:11">
      <c r="B17" s="1078">
        <v>15</v>
      </c>
      <c r="C17" s="1079">
        <v>41148</v>
      </c>
      <c r="D17" s="1075" t="s">
        <v>584</v>
      </c>
      <c r="E17" s="1075" t="s">
        <v>369</v>
      </c>
      <c r="F17" s="1076" t="s">
        <v>601</v>
      </c>
      <c r="G17" s="1086" t="s">
        <v>603</v>
      </c>
      <c r="H17" s="1086" t="s">
        <v>604</v>
      </c>
      <c r="I17" s="1079">
        <f>Table1[[#This Row],[Date]]</f>
        <v>41148</v>
      </c>
      <c r="J17" s="46"/>
      <c r="K17" s="46"/>
    </row>
    <row r="18" spans="2:11">
      <c r="B18" s="1078">
        <v>16</v>
      </c>
      <c r="C18" s="1079">
        <v>41148</v>
      </c>
      <c r="D18" s="1075" t="s">
        <v>584</v>
      </c>
      <c r="E18" s="1075" t="s">
        <v>369</v>
      </c>
      <c r="F18" s="1076" t="s">
        <v>602</v>
      </c>
      <c r="G18" s="1086" t="s">
        <v>603</v>
      </c>
      <c r="H18" s="1086" t="s">
        <v>604</v>
      </c>
      <c r="I18" s="1079">
        <f>Table1[[#This Row],[Date]]</f>
        <v>41148</v>
      </c>
      <c r="J18" s="46"/>
      <c r="K18" s="46"/>
    </row>
    <row r="19" spans="2:11">
      <c r="B19" s="1078">
        <v>17</v>
      </c>
      <c r="C19" s="1079">
        <v>41148</v>
      </c>
      <c r="D19" s="1075" t="s">
        <v>584</v>
      </c>
      <c r="E19" s="1075" t="s">
        <v>369</v>
      </c>
      <c r="F19" s="1076" t="s">
        <v>605</v>
      </c>
      <c r="G19" s="1086" t="s">
        <v>603</v>
      </c>
      <c r="H19" s="1086" t="s">
        <v>604</v>
      </c>
      <c r="I19" s="1079">
        <f>Table1[[#This Row],[Date]]</f>
        <v>41148</v>
      </c>
      <c r="J19" s="46"/>
      <c r="K19" s="46"/>
    </row>
    <row r="20" spans="2:11">
      <c r="B20" s="1078">
        <v>18</v>
      </c>
      <c r="C20" s="1079">
        <v>41148</v>
      </c>
      <c r="D20" s="1075" t="s">
        <v>584</v>
      </c>
      <c r="E20" s="1075" t="s">
        <v>369</v>
      </c>
      <c r="F20" s="1076" t="s">
        <v>606</v>
      </c>
      <c r="G20" s="1086" t="s">
        <v>603</v>
      </c>
      <c r="H20" s="1086" t="s">
        <v>604</v>
      </c>
      <c r="I20" s="1079">
        <f>Table1[[#This Row],[Date]]</f>
        <v>41148</v>
      </c>
      <c r="J20" s="46"/>
      <c r="K20" s="46"/>
    </row>
    <row r="21" spans="2:11">
      <c r="B21" s="1078">
        <v>19</v>
      </c>
      <c r="C21" s="1079">
        <v>41148</v>
      </c>
      <c r="D21" s="1075" t="s">
        <v>584</v>
      </c>
      <c r="E21" s="1075" t="s">
        <v>369</v>
      </c>
      <c r="F21" s="1076" t="s">
        <v>607</v>
      </c>
      <c r="G21" s="1086" t="s">
        <v>603</v>
      </c>
      <c r="H21" s="1086" t="s">
        <v>604</v>
      </c>
      <c r="I21" s="1079">
        <f>Table1[[#This Row],[Date]]</f>
        <v>41148</v>
      </c>
      <c r="J21" s="46"/>
      <c r="K21" s="46"/>
    </row>
    <row r="22" spans="2:11">
      <c r="B22" s="1078">
        <v>20</v>
      </c>
      <c r="C22" s="1079">
        <v>41148</v>
      </c>
      <c r="D22" s="1075" t="s">
        <v>584</v>
      </c>
      <c r="E22" s="1075" t="s">
        <v>369</v>
      </c>
      <c r="F22" s="1076" t="s">
        <v>608</v>
      </c>
      <c r="G22" s="1086" t="s">
        <v>603</v>
      </c>
      <c r="H22" s="1086" t="s">
        <v>604</v>
      </c>
      <c r="I22" s="1079">
        <f>Table1[[#This Row],[Date]]</f>
        <v>41148</v>
      </c>
      <c r="J22" s="46"/>
      <c r="K22" s="46"/>
    </row>
    <row r="23" spans="2:11">
      <c r="B23" s="1078">
        <v>21</v>
      </c>
      <c r="C23" s="1079">
        <v>41148</v>
      </c>
      <c r="D23" s="1075" t="s">
        <v>584</v>
      </c>
      <c r="E23" s="1075" t="s">
        <v>369</v>
      </c>
      <c r="F23" s="1076" t="s">
        <v>609</v>
      </c>
      <c r="G23" s="1086" t="s">
        <v>603</v>
      </c>
      <c r="H23" s="1086" t="s">
        <v>604</v>
      </c>
      <c r="I23" s="1079">
        <f>Table1[[#This Row],[Date]]</f>
        <v>41148</v>
      </c>
      <c r="J23" s="46"/>
      <c r="K23" s="46"/>
    </row>
    <row r="24" spans="2:11">
      <c r="B24" s="1078">
        <v>22</v>
      </c>
      <c r="C24" s="1079">
        <v>41148</v>
      </c>
      <c r="D24" s="1075" t="s">
        <v>584</v>
      </c>
      <c r="E24" s="1075" t="s">
        <v>369</v>
      </c>
      <c r="F24" s="1076" t="s">
        <v>610</v>
      </c>
      <c r="G24" s="1086" t="s">
        <v>603</v>
      </c>
      <c r="H24" s="1086" t="s">
        <v>604</v>
      </c>
      <c r="I24" s="1079">
        <f>Table1[[#This Row],[Date]]</f>
        <v>41148</v>
      </c>
      <c r="J24" s="46"/>
      <c r="K24" s="46"/>
    </row>
    <row r="25" spans="2:11">
      <c r="B25" s="1078">
        <v>23</v>
      </c>
      <c r="C25" s="1079">
        <v>41148</v>
      </c>
      <c r="D25" s="1075" t="s">
        <v>584</v>
      </c>
      <c r="E25" s="1075" t="s">
        <v>369</v>
      </c>
      <c r="F25" s="1076" t="s">
        <v>611</v>
      </c>
      <c r="G25" s="1086" t="s">
        <v>603</v>
      </c>
      <c r="H25" s="1086" t="s">
        <v>604</v>
      </c>
      <c r="I25" s="1079">
        <f>Table1[[#This Row],[Date]]</f>
        <v>41148</v>
      </c>
      <c r="J25" s="46"/>
      <c r="K25" s="46"/>
    </row>
    <row r="26" spans="2:11">
      <c r="B26" s="1078">
        <v>24</v>
      </c>
      <c r="C26" s="1079">
        <v>41148</v>
      </c>
      <c r="D26" s="1075" t="s">
        <v>584</v>
      </c>
      <c r="E26" s="1075" t="s">
        <v>369</v>
      </c>
      <c r="F26" s="1076" t="s">
        <v>612</v>
      </c>
      <c r="G26" s="1086" t="s">
        <v>603</v>
      </c>
      <c r="H26" s="1086" t="s">
        <v>604</v>
      </c>
      <c r="I26" s="1079">
        <f>Table1[[#This Row],[Date]]</f>
        <v>41148</v>
      </c>
      <c r="J26" s="46"/>
      <c r="K26" s="46"/>
    </row>
    <row r="27" spans="2:11">
      <c r="B27" s="1078">
        <v>25</v>
      </c>
      <c r="C27" s="1079">
        <v>41148</v>
      </c>
      <c r="D27" s="1075" t="s">
        <v>584</v>
      </c>
      <c r="E27" s="1075" t="s">
        <v>369</v>
      </c>
      <c r="F27" s="1076" t="s">
        <v>613</v>
      </c>
      <c r="G27" s="1086" t="s">
        <v>603</v>
      </c>
      <c r="H27" s="1086" t="s">
        <v>604</v>
      </c>
      <c r="I27" s="1079">
        <f>Table1[[#This Row],[Date]]</f>
        <v>41148</v>
      </c>
      <c r="J27" s="46"/>
      <c r="K27" s="46"/>
    </row>
    <row r="28" spans="2:11">
      <c r="B28" s="1078">
        <v>26</v>
      </c>
      <c r="C28" s="1079">
        <v>41148</v>
      </c>
      <c r="D28" s="1075" t="s">
        <v>584</v>
      </c>
      <c r="E28" s="1075" t="s">
        <v>369</v>
      </c>
      <c r="F28" s="1076" t="s">
        <v>614</v>
      </c>
      <c r="G28" s="1086" t="s">
        <v>603</v>
      </c>
      <c r="H28" s="1086" t="s">
        <v>604</v>
      </c>
      <c r="I28" s="1079">
        <f>Table1[[#This Row],[Date]]</f>
        <v>41148</v>
      </c>
      <c r="J28" s="46"/>
      <c r="K28" s="46"/>
    </row>
    <row r="29" spans="2:11">
      <c r="B29" s="1078">
        <v>27</v>
      </c>
      <c r="C29" s="1079">
        <v>41148</v>
      </c>
      <c r="D29" s="1075" t="s">
        <v>584</v>
      </c>
      <c r="E29" s="1075" t="s">
        <v>369</v>
      </c>
      <c r="F29" s="1076" t="s">
        <v>615</v>
      </c>
      <c r="G29" s="1086" t="s">
        <v>603</v>
      </c>
      <c r="H29" s="1086" t="s">
        <v>604</v>
      </c>
      <c r="I29" s="1079">
        <f>Table1[[#This Row],[Date]]</f>
        <v>41148</v>
      </c>
      <c r="J29" s="46"/>
      <c r="K29" s="46"/>
    </row>
    <row r="30" spans="2:11" ht="28.5">
      <c r="B30" s="1078">
        <v>28</v>
      </c>
      <c r="C30" s="1079">
        <v>41148</v>
      </c>
      <c r="D30" s="1075" t="s">
        <v>584</v>
      </c>
      <c r="E30" s="1075" t="s">
        <v>369</v>
      </c>
      <c r="F30" s="1076" t="s">
        <v>617</v>
      </c>
      <c r="G30" s="1086" t="s">
        <v>618</v>
      </c>
      <c r="H30" s="1086" t="s">
        <v>619</v>
      </c>
      <c r="I30" s="1079">
        <f>Table1[[#This Row],[Date]]</f>
        <v>41148</v>
      </c>
      <c r="J30" s="46"/>
      <c r="K30" s="46"/>
    </row>
    <row r="31" spans="2:11" ht="28.5">
      <c r="B31" s="1078">
        <v>29</v>
      </c>
      <c r="C31" s="1079">
        <v>41148</v>
      </c>
      <c r="D31" s="1075" t="s">
        <v>584</v>
      </c>
      <c r="E31" s="1075" t="s">
        <v>369</v>
      </c>
      <c r="F31" s="1076" t="s">
        <v>620</v>
      </c>
      <c r="G31" s="1086" t="s">
        <v>587</v>
      </c>
      <c r="H31" s="1086" t="s">
        <v>621</v>
      </c>
      <c r="I31" s="1079">
        <f>Table1[[#This Row],[Date]]</f>
        <v>41148</v>
      </c>
      <c r="J31" s="46"/>
      <c r="K31" s="46"/>
    </row>
    <row r="32" spans="2:11" ht="28.5">
      <c r="B32" s="1078">
        <v>30</v>
      </c>
      <c r="C32" s="1079">
        <v>41148</v>
      </c>
      <c r="D32" s="1075" t="s">
        <v>584</v>
      </c>
      <c r="E32" s="1075" t="s">
        <v>369</v>
      </c>
      <c r="F32" s="1076" t="s">
        <v>622</v>
      </c>
      <c r="G32" s="1086" t="s">
        <v>623</v>
      </c>
      <c r="H32" s="1086" t="s">
        <v>624</v>
      </c>
      <c r="I32" s="1079">
        <f>Table1[[#This Row],[Date]]</f>
        <v>41148</v>
      </c>
      <c r="J32" s="46"/>
      <c r="K32" s="46"/>
    </row>
    <row r="33" spans="2:11" ht="42.75">
      <c r="B33" s="1078">
        <v>31</v>
      </c>
      <c r="C33" s="1079">
        <v>41148</v>
      </c>
      <c r="D33" s="1075" t="s">
        <v>584</v>
      </c>
      <c r="E33" s="1075" t="s">
        <v>369</v>
      </c>
      <c r="F33" s="1076" t="s">
        <v>625</v>
      </c>
      <c r="G33" s="1086" t="s">
        <v>626</v>
      </c>
      <c r="H33" s="1086" t="s">
        <v>627</v>
      </c>
      <c r="I33" s="1079">
        <f>Table1[[#This Row],[Date]]</f>
        <v>41148</v>
      </c>
      <c r="J33" s="46"/>
      <c r="K33" s="46"/>
    </row>
    <row r="34" spans="2:11">
      <c r="B34" s="1078">
        <v>32</v>
      </c>
      <c r="C34" s="1079">
        <v>41148</v>
      </c>
      <c r="D34" s="1075" t="s">
        <v>584</v>
      </c>
      <c r="E34" s="1075" t="s">
        <v>368</v>
      </c>
      <c r="F34" s="1076" t="s">
        <v>628</v>
      </c>
      <c r="G34" s="1086" t="s">
        <v>603</v>
      </c>
      <c r="H34" s="1086" t="s">
        <v>604</v>
      </c>
      <c r="I34" s="1079">
        <f>Table1[[#This Row],[Date]]</f>
        <v>41148</v>
      </c>
      <c r="J34" s="46"/>
      <c r="K34" s="46"/>
    </row>
    <row r="35" spans="2:11">
      <c r="B35" s="1078">
        <v>33</v>
      </c>
      <c r="C35" s="1079">
        <v>41148</v>
      </c>
      <c r="D35" s="1075" t="s">
        <v>584</v>
      </c>
      <c r="E35" s="1075" t="s">
        <v>368</v>
      </c>
      <c r="F35" s="1076" t="s">
        <v>629</v>
      </c>
      <c r="G35" s="1086" t="s">
        <v>603</v>
      </c>
      <c r="H35" s="1086" t="s">
        <v>604</v>
      </c>
      <c r="I35" s="1079">
        <f>Table1[[#This Row],[Date]]</f>
        <v>41148</v>
      </c>
      <c r="J35" s="46"/>
      <c r="K35" s="46"/>
    </row>
    <row r="36" spans="2:11">
      <c r="B36" s="1078">
        <v>34</v>
      </c>
      <c r="C36" s="1079">
        <v>41148</v>
      </c>
      <c r="D36" s="1075" t="s">
        <v>584</v>
      </c>
      <c r="E36" s="1075" t="s">
        <v>368</v>
      </c>
      <c r="F36" s="1076" t="s">
        <v>630</v>
      </c>
      <c r="G36" s="1086" t="s">
        <v>603</v>
      </c>
      <c r="H36" s="1086" t="s">
        <v>604</v>
      </c>
      <c r="I36" s="1079">
        <f>Table1[[#This Row],[Date]]</f>
        <v>41148</v>
      </c>
      <c r="J36" s="46"/>
      <c r="K36" s="46"/>
    </row>
    <row r="37" spans="2:11">
      <c r="B37" s="1078">
        <v>35</v>
      </c>
      <c r="C37" s="1079">
        <v>41148</v>
      </c>
      <c r="D37" s="1075" t="s">
        <v>584</v>
      </c>
      <c r="E37" s="1075" t="s">
        <v>368</v>
      </c>
      <c r="F37" s="1076" t="s">
        <v>631</v>
      </c>
      <c r="G37" s="1086" t="s">
        <v>603</v>
      </c>
      <c r="H37" s="1086" t="s">
        <v>604</v>
      </c>
      <c r="I37" s="1079">
        <f>Table1[[#This Row],[Date]]</f>
        <v>41148</v>
      </c>
      <c r="J37" s="46"/>
      <c r="K37" s="46"/>
    </row>
    <row r="38" spans="2:11">
      <c r="B38" s="1078">
        <v>36</v>
      </c>
      <c r="C38" s="1079">
        <v>41148</v>
      </c>
      <c r="D38" s="1075" t="s">
        <v>584</v>
      </c>
      <c r="E38" s="1075" t="s">
        <v>368</v>
      </c>
      <c r="F38" s="1076" t="s">
        <v>632</v>
      </c>
      <c r="G38" s="1086" t="s">
        <v>603</v>
      </c>
      <c r="H38" s="1086" t="s">
        <v>604</v>
      </c>
      <c r="I38" s="1079">
        <f>Table1[[#This Row],[Date]]</f>
        <v>41148</v>
      </c>
      <c r="J38" s="46"/>
      <c r="K38" s="46"/>
    </row>
    <row r="39" spans="2:11">
      <c r="B39" s="1078">
        <v>37</v>
      </c>
      <c r="C39" s="1079">
        <v>41148</v>
      </c>
      <c r="D39" s="1075" t="s">
        <v>584</v>
      </c>
      <c r="E39" s="1075" t="s">
        <v>368</v>
      </c>
      <c r="F39" s="1076" t="s">
        <v>633</v>
      </c>
      <c r="G39" s="1086" t="s">
        <v>603</v>
      </c>
      <c r="H39" s="1086" t="s">
        <v>604</v>
      </c>
      <c r="I39" s="1079">
        <f>Table1[[#This Row],[Date]]</f>
        <v>41148</v>
      </c>
      <c r="J39" s="46"/>
      <c r="K39" s="46"/>
    </row>
    <row r="40" spans="2:11">
      <c r="B40" s="1078">
        <v>38</v>
      </c>
      <c r="C40" s="1079">
        <v>41148</v>
      </c>
      <c r="D40" s="1075" t="s">
        <v>584</v>
      </c>
      <c r="E40" s="1075" t="s">
        <v>368</v>
      </c>
      <c r="F40" s="1076" t="s">
        <v>634</v>
      </c>
      <c r="G40" s="1086" t="s">
        <v>603</v>
      </c>
      <c r="H40" s="1086" t="s">
        <v>604</v>
      </c>
      <c r="I40" s="1079">
        <f>Table1[[#This Row],[Date]]</f>
        <v>41148</v>
      </c>
      <c r="J40" s="46"/>
      <c r="K40" s="46"/>
    </row>
    <row r="41" spans="2:11">
      <c r="B41" s="1078">
        <v>39</v>
      </c>
      <c r="C41" s="1079">
        <v>41148</v>
      </c>
      <c r="D41" s="1075" t="s">
        <v>584</v>
      </c>
      <c r="E41" s="1075" t="s">
        <v>368</v>
      </c>
      <c r="F41" s="1076" t="s">
        <v>635</v>
      </c>
      <c r="G41" s="1086" t="s">
        <v>603</v>
      </c>
      <c r="H41" s="1086" t="s">
        <v>604</v>
      </c>
      <c r="I41" s="1079">
        <f>Table1[[#This Row],[Date]]</f>
        <v>41148</v>
      </c>
      <c r="J41" s="46"/>
      <c r="K41" s="46"/>
    </row>
    <row r="42" spans="2:11">
      <c r="B42" s="1078">
        <v>40</v>
      </c>
      <c r="C42" s="1079">
        <v>41148</v>
      </c>
      <c r="D42" s="1075" t="s">
        <v>584</v>
      </c>
      <c r="E42" s="1075" t="s">
        <v>368</v>
      </c>
      <c r="F42" s="1076" t="s">
        <v>636</v>
      </c>
      <c r="G42" s="1086" t="s">
        <v>603</v>
      </c>
      <c r="H42" s="1086" t="s">
        <v>604</v>
      </c>
      <c r="I42" s="1079">
        <f>Table1[[#This Row],[Date]]</f>
        <v>41148</v>
      </c>
      <c r="J42" s="46"/>
      <c r="K42" s="46"/>
    </row>
    <row r="43" spans="2:11">
      <c r="B43" s="1078">
        <v>41</v>
      </c>
      <c r="C43" s="1079">
        <v>41148</v>
      </c>
      <c r="D43" s="1091" t="s">
        <v>584</v>
      </c>
      <c r="E43" s="1091" t="s">
        <v>368</v>
      </c>
      <c r="F43" s="1076" t="s">
        <v>637</v>
      </c>
      <c r="G43" s="1086" t="s">
        <v>638</v>
      </c>
      <c r="H43" s="1086" t="s">
        <v>639</v>
      </c>
      <c r="I43" s="1079">
        <f>Table1[[#This Row],[Date]]</f>
        <v>41148</v>
      </c>
      <c r="J43" s="46"/>
      <c r="K43" s="46"/>
    </row>
    <row r="44" spans="2:11">
      <c r="B44" s="1078">
        <v>42</v>
      </c>
      <c r="C44" s="1079">
        <v>41148</v>
      </c>
      <c r="D44" s="1091" t="s">
        <v>584</v>
      </c>
      <c r="E44" s="1091" t="s">
        <v>368</v>
      </c>
      <c r="F44" s="1076" t="s">
        <v>640</v>
      </c>
      <c r="G44" s="1086" t="s">
        <v>603</v>
      </c>
      <c r="H44" s="1086" t="s">
        <v>604</v>
      </c>
      <c r="I44" s="1079">
        <f>Table1[[#This Row],[Date]]</f>
        <v>41148</v>
      </c>
      <c r="J44" s="46"/>
      <c r="K44" s="46"/>
    </row>
    <row r="45" spans="2:11">
      <c r="B45" s="1078">
        <v>43</v>
      </c>
      <c r="C45" s="1079">
        <v>41148</v>
      </c>
      <c r="D45" s="1091" t="s">
        <v>584</v>
      </c>
      <c r="E45" s="1091" t="s">
        <v>368</v>
      </c>
      <c r="F45" s="1076" t="s">
        <v>641</v>
      </c>
      <c r="G45" s="1086" t="s">
        <v>603</v>
      </c>
      <c r="H45" s="1086" t="s">
        <v>604</v>
      </c>
      <c r="I45" s="1079">
        <f>Table1[[#This Row],[Date]]</f>
        <v>41148</v>
      </c>
      <c r="J45" s="46"/>
      <c r="K45" s="46"/>
    </row>
    <row r="46" spans="2:11">
      <c r="B46" s="1078">
        <v>44</v>
      </c>
      <c r="C46" s="1079">
        <v>41148</v>
      </c>
      <c r="D46" s="1091" t="s">
        <v>584</v>
      </c>
      <c r="E46" s="1091" t="s">
        <v>368</v>
      </c>
      <c r="F46" s="1076" t="s">
        <v>643</v>
      </c>
      <c r="G46" s="1086" t="s">
        <v>603</v>
      </c>
      <c r="H46" s="1086" t="s">
        <v>604</v>
      </c>
      <c r="I46" s="1079">
        <f>Table1[[#This Row],[Date]]</f>
        <v>41148</v>
      </c>
      <c r="J46" s="46"/>
      <c r="K46" s="46"/>
    </row>
    <row r="47" spans="2:11" ht="28.5">
      <c r="B47" s="1078">
        <v>45</v>
      </c>
      <c r="C47" s="1079">
        <v>41149</v>
      </c>
      <c r="D47" s="1091" t="s">
        <v>584</v>
      </c>
      <c r="E47" s="1091" t="s">
        <v>585</v>
      </c>
      <c r="F47" s="1076" t="s">
        <v>646</v>
      </c>
      <c r="G47" s="1086" t="s">
        <v>647</v>
      </c>
      <c r="H47" s="1086" t="s">
        <v>648</v>
      </c>
      <c r="I47" s="1079">
        <f>Table1[[#This Row],[Date]]</f>
        <v>41149</v>
      </c>
      <c r="J47" s="46"/>
      <c r="K47" s="46"/>
    </row>
    <row r="48" spans="2:11">
      <c r="B48" s="1078">
        <v>46</v>
      </c>
      <c r="C48" s="1079">
        <v>41149</v>
      </c>
      <c r="D48" s="1091" t="s">
        <v>584</v>
      </c>
      <c r="E48" s="1091" t="s">
        <v>585</v>
      </c>
      <c r="F48" s="1076" t="s">
        <v>649</v>
      </c>
      <c r="G48" s="1086" t="s">
        <v>603</v>
      </c>
      <c r="H48" s="1086" t="s">
        <v>604</v>
      </c>
      <c r="I48" s="1079">
        <f>Table1[[#This Row],[Date]]</f>
        <v>41149</v>
      </c>
      <c r="J48" s="46"/>
      <c r="K48" s="46"/>
    </row>
    <row r="49" spans="2:11">
      <c r="B49" s="1078">
        <v>47</v>
      </c>
      <c r="C49" s="1079">
        <v>41149</v>
      </c>
      <c r="D49" s="1091" t="s">
        <v>584</v>
      </c>
      <c r="E49" s="1091" t="s">
        <v>585</v>
      </c>
      <c r="F49" s="1076" t="s">
        <v>650</v>
      </c>
      <c r="G49" s="1086" t="s">
        <v>603</v>
      </c>
      <c r="H49" s="1086" t="s">
        <v>604</v>
      </c>
      <c r="I49" s="1079">
        <f>Table1[[#This Row],[Date]]</f>
        <v>41149</v>
      </c>
      <c r="J49" s="46"/>
      <c r="K49" s="46"/>
    </row>
    <row r="50" spans="2:11">
      <c r="B50" s="1078">
        <v>48</v>
      </c>
      <c r="C50" s="1079">
        <v>41149</v>
      </c>
      <c r="D50" s="1091" t="s">
        <v>584</v>
      </c>
      <c r="E50" s="1091" t="s">
        <v>585</v>
      </c>
      <c r="F50" s="1076" t="s">
        <v>651</v>
      </c>
      <c r="G50" s="1086" t="s">
        <v>603</v>
      </c>
      <c r="H50" s="1086" t="s">
        <v>604</v>
      </c>
      <c r="I50" s="1079">
        <f>Table1[[#This Row],[Date]]</f>
        <v>41149</v>
      </c>
      <c r="J50" s="46"/>
      <c r="K50" s="46"/>
    </row>
    <row r="51" spans="2:11">
      <c r="B51" s="1078">
        <v>49</v>
      </c>
      <c r="C51" s="1079">
        <v>41149</v>
      </c>
      <c r="D51" s="1091" t="s">
        <v>584</v>
      </c>
      <c r="E51" s="1091" t="s">
        <v>585</v>
      </c>
      <c r="F51" s="1076" t="s">
        <v>652</v>
      </c>
      <c r="G51" s="1086" t="s">
        <v>603</v>
      </c>
      <c r="H51" s="1086" t="s">
        <v>604</v>
      </c>
      <c r="I51" s="1079">
        <f>Table1[[#This Row],[Date]]</f>
        <v>41149</v>
      </c>
      <c r="J51" s="46"/>
      <c r="K51" s="46"/>
    </row>
    <row r="52" spans="2:11">
      <c r="B52" s="1078">
        <v>50</v>
      </c>
      <c r="C52" s="1079">
        <v>41149</v>
      </c>
      <c r="D52" s="1091" t="s">
        <v>584</v>
      </c>
      <c r="E52" s="1091" t="s">
        <v>585</v>
      </c>
      <c r="F52" s="1076" t="s">
        <v>653</v>
      </c>
      <c r="G52" s="1086" t="s">
        <v>603</v>
      </c>
      <c r="H52" s="1086" t="s">
        <v>604</v>
      </c>
      <c r="I52" s="1079">
        <f>Table1[[#This Row],[Date]]</f>
        <v>41149</v>
      </c>
      <c r="J52" s="46"/>
      <c r="K52" s="46"/>
    </row>
    <row r="53" spans="2:11">
      <c r="B53" s="1078">
        <v>51</v>
      </c>
      <c r="C53" s="1079">
        <v>41149</v>
      </c>
      <c r="D53" s="1091" t="s">
        <v>584</v>
      </c>
      <c r="E53" s="1091" t="s">
        <v>585</v>
      </c>
      <c r="F53" s="1076" t="s">
        <v>654</v>
      </c>
      <c r="G53" s="1086" t="s">
        <v>603</v>
      </c>
      <c r="H53" s="1086" t="s">
        <v>604</v>
      </c>
      <c r="I53" s="1079">
        <f>Table1[[#This Row],[Date]]</f>
        <v>41149</v>
      </c>
      <c r="J53" s="46"/>
      <c r="K53" s="46"/>
    </row>
    <row r="54" spans="2:11">
      <c r="B54" s="1078">
        <v>52</v>
      </c>
      <c r="C54" s="1079">
        <v>41149</v>
      </c>
      <c r="D54" s="1091" t="s">
        <v>584</v>
      </c>
      <c r="E54" s="1091" t="s">
        <v>585</v>
      </c>
      <c r="F54" s="1076" t="s">
        <v>655</v>
      </c>
      <c r="G54" s="1086" t="s">
        <v>603</v>
      </c>
      <c r="H54" s="1086" t="s">
        <v>604</v>
      </c>
      <c r="I54" s="1079">
        <f>Table1[[#This Row],[Date]]</f>
        <v>41149</v>
      </c>
      <c r="J54" s="46"/>
      <c r="K54" s="46"/>
    </row>
    <row r="55" spans="2:11">
      <c r="B55" s="1078">
        <v>53</v>
      </c>
      <c r="C55" s="1079">
        <v>41149</v>
      </c>
      <c r="D55" s="1091" t="s">
        <v>584</v>
      </c>
      <c r="E55" s="1091" t="s">
        <v>585</v>
      </c>
      <c r="F55" s="1076" t="s">
        <v>656</v>
      </c>
      <c r="G55" s="1086" t="s">
        <v>603</v>
      </c>
      <c r="H55" s="1086" t="s">
        <v>604</v>
      </c>
      <c r="I55" s="1079">
        <f>Table1[[#This Row],[Date]]</f>
        <v>41149</v>
      </c>
      <c r="J55" s="46"/>
      <c r="K55" s="46"/>
    </row>
    <row r="56" spans="2:11" ht="42.75">
      <c r="B56" s="1078">
        <v>54</v>
      </c>
      <c r="C56" s="1079">
        <v>41149</v>
      </c>
      <c r="D56" s="1091" t="s">
        <v>584</v>
      </c>
      <c r="E56" s="1091" t="s">
        <v>585</v>
      </c>
      <c r="F56" s="1076" t="s">
        <v>657</v>
      </c>
      <c r="G56" s="1086" t="s">
        <v>659</v>
      </c>
      <c r="H56" s="1086" t="s">
        <v>660</v>
      </c>
      <c r="I56" s="1079">
        <f>Table1[[#This Row],[Date]]</f>
        <v>41149</v>
      </c>
      <c r="J56" s="46"/>
      <c r="K56" s="46"/>
    </row>
    <row r="57" spans="2:11" ht="42.75">
      <c r="B57" s="1078">
        <v>55</v>
      </c>
      <c r="C57" s="1079">
        <v>41149</v>
      </c>
      <c r="D57" s="1091" t="s">
        <v>584</v>
      </c>
      <c r="E57" s="1091" t="s">
        <v>585</v>
      </c>
      <c r="F57" s="1076" t="s">
        <v>658</v>
      </c>
      <c r="G57" s="1086" t="s">
        <v>659</v>
      </c>
      <c r="H57" s="1086" t="s">
        <v>660</v>
      </c>
      <c r="I57" s="1079">
        <f>Table1[[#This Row],[Date]]</f>
        <v>41149</v>
      </c>
      <c r="J57" s="46"/>
      <c r="K57" s="46"/>
    </row>
    <row r="58" spans="2:11" ht="28.5">
      <c r="B58" s="1078">
        <v>56</v>
      </c>
      <c r="C58" s="1079">
        <v>41149</v>
      </c>
      <c r="D58" s="1091" t="s">
        <v>584</v>
      </c>
      <c r="E58" s="1091" t="s">
        <v>585</v>
      </c>
      <c r="F58" s="1076" t="s">
        <v>661</v>
      </c>
      <c r="G58" s="1086" t="s">
        <v>666</v>
      </c>
      <c r="H58" s="1086" t="s">
        <v>667</v>
      </c>
      <c r="I58" s="1079">
        <f>Table1[[#This Row],[Date]]</f>
        <v>41149</v>
      </c>
      <c r="J58" s="46"/>
      <c r="K58" s="46"/>
    </row>
    <row r="59" spans="2:11" ht="28.5">
      <c r="B59" s="1078">
        <v>57</v>
      </c>
      <c r="C59" s="1079">
        <v>41149</v>
      </c>
      <c r="D59" s="1091" t="s">
        <v>584</v>
      </c>
      <c r="E59" s="1091" t="s">
        <v>585</v>
      </c>
      <c r="F59" s="1076" t="s">
        <v>662</v>
      </c>
      <c r="G59" s="1086" t="s">
        <v>666</v>
      </c>
      <c r="H59" s="1086" t="s">
        <v>667</v>
      </c>
      <c r="I59" s="1079">
        <f>Table1[[#This Row],[Date]]</f>
        <v>41149</v>
      </c>
      <c r="J59" s="46"/>
      <c r="K59" s="46"/>
    </row>
    <row r="60" spans="2:11" ht="28.5">
      <c r="B60" s="1078">
        <v>58</v>
      </c>
      <c r="C60" s="1079">
        <v>41149</v>
      </c>
      <c r="D60" s="1091" t="s">
        <v>584</v>
      </c>
      <c r="E60" s="1091" t="s">
        <v>585</v>
      </c>
      <c r="F60" s="1076" t="s">
        <v>663</v>
      </c>
      <c r="G60" s="1086" t="s">
        <v>666</v>
      </c>
      <c r="H60" s="1086" t="s">
        <v>668</v>
      </c>
      <c r="I60" s="1079">
        <f>Table1[[#This Row],[Date]]</f>
        <v>41149</v>
      </c>
      <c r="J60" s="46"/>
      <c r="K60" s="46"/>
    </row>
    <row r="61" spans="2:11" ht="28.5">
      <c r="B61" s="1078">
        <v>59</v>
      </c>
      <c r="C61" s="1079">
        <v>41149</v>
      </c>
      <c r="D61" s="1091" t="s">
        <v>584</v>
      </c>
      <c r="E61" s="1091" t="s">
        <v>585</v>
      </c>
      <c r="F61" s="1076" t="s">
        <v>664</v>
      </c>
      <c r="G61" s="1086" t="s">
        <v>666</v>
      </c>
      <c r="H61" s="1086" t="s">
        <v>668</v>
      </c>
      <c r="I61" s="1079">
        <f>Table1[[#This Row],[Date]]</f>
        <v>41149</v>
      </c>
      <c r="J61" s="46"/>
      <c r="K61" s="46"/>
    </row>
    <row r="62" spans="2:11" ht="42.75">
      <c r="B62" s="1078">
        <v>60</v>
      </c>
      <c r="C62" s="1079">
        <v>41149</v>
      </c>
      <c r="D62" s="1091" t="s">
        <v>584</v>
      </c>
      <c r="E62" s="1091" t="s">
        <v>585</v>
      </c>
      <c r="F62" s="1076" t="s">
        <v>665</v>
      </c>
      <c r="G62" s="1086" t="s">
        <v>669</v>
      </c>
      <c r="H62" s="1086" t="s">
        <v>670</v>
      </c>
      <c r="I62" s="1079">
        <f>Table1[[#This Row],[Date]]</f>
        <v>41149</v>
      </c>
      <c r="J62" s="46"/>
      <c r="K62" s="46"/>
    </row>
    <row r="63" spans="2:11" ht="28.5">
      <c r="B63" s="1078">
        <v>61</v>
      </c>
      <c r="C63" s="1079">
        <v>41149</v>
      </c>
      <c r="D63" s="1091" t="s">
        <v>584</v>
      </c>
      <c r="E63" s="1091" t="s">
        <v>368</v>
      </c>
      <c r="F63" s="1076" t="s">
        <v>671</v>
      </c>
      <c r="G63" s="1086" t="s">
        <v>672</v>
      </c>
      <c r="H63" s="1086" t="s">
        <v>673</v>
      </c>
      <c r="I63" s="1079">
        <f>Table1[[#This Row],[Date]]</f>
        <v>41149</v>
      </c>
      <c r="J63" s="46"/>
      <c r="K63" s="46"/>
    </row>
    <row r="64" spans="2:11">
      <c r="B64" s="1078">
        <v>62</v>
      </c>
      <c r="C64" s="1079">
        <v>41149</v>
      </c>
      <c r="D64" s="1091" t="s">
        <v>584</v>
      </c>
      <c r="E64" s="1091" t="s">
        <v>368</v>
      </c>
      <c r="F64" s="1076" t="s">
        <v>671</v>
      </c>
      <c r="G64" s="1086" t="s">
        <v>674</v>
      </c>
      <c r="H64" s="1086" t="s">
        <v>675</v>
      </c>
      <c r="I64" s="1079">
        <f>Table1[[#This Row],[Date]]</f>
        <v>41149</v>
      </c>
      <c r="J64" s="46"/>
      <c r="K64" s="46"/>
    </row>
    <row r="65" spans="2:11" ht="28.5">
      <c r="B65" s="1078">
        <v>63</v>
      </c>
      <c r="C65" s="1079">
        <v>41149</v>
      </c>
      <c r="D65" s="1091" t="s">
        <v>584</v>
      </c>
      <c r="E65" s="1091" t="s">
        <v>368</v>
      </c>
      <c r="F65" s="1076" t="s">
        <v>676</v>
      </c>
      <c r="G65" s="1086" t="s">
        <v>672</v>
      </c>
      <c r="H65" s="1086" t="s">
        <v>673</v>
      </c>
      <c r="I65" s="1079">
        <f>Table1[[#This Row],[Date]]</f>
        <v>41149</v>
      </c>
      <c r="J65" s="46"/>
      <c r="K65" s="46"/>
    </row>
    <row r="66" spans="2:11" ht="28.5">
      <c r="B66" s="1078">
        <v>64</v>
      </c>
      <c r="C66" s="1079">
        <v>41149</v>
      </c>
      <c r="D66" s="1091" t="s">
        <v>584</v>
      </c>
      <c r="E66" s="1091" t="s">
        <v>368</v>
      </c>
      <c r="F66" s="1076" t="s">
        <v>677</v>
      </c>
      <c r="G66" s="1086" t="s">
        <v>672</v>
      </c>
      <c r="H66" s="1086" t="s">
        <v>673</v>
      </c>
      <c r="I66" s="1079">
        <f>Table1[[#This Row],[Date]]</f>
        <v>41149</v>
      </c>
      <c r="J66" s="46"/>
      <c r="K66" s="46"/>
    </row>
    <row r="67" spans="2:11" ht="28.5">
      <c r="B67" s="1078">
        <v>65</v>
      </c>
      <c r="C67" s="1079">
        <v>41149</v>
      </c>
      <c r="D67" s="1091" t="s">
        <v>584</v>
      </c>
      <c r="E67" s="1091" t="s">
        <v>368</v>
      </c>
      <c r="F67" s="1076" t="s">
        <v>678</v>
      </c>
      <c r="G67" s="1086" t="s">
        <v>672</v>
      </c>
      <c r="H67" s="1086" t="s">
        <v>673</v>
      </c>
      <c r="I67" s="1079">
        <f>Table1[[#This Row],[Date]]</f>
        <v>41149</v>
      </c>
      <c r="J67" s="46"/>
      <c r="K67" s="46"/>
    </row>
    <row r="68" spans="2:11" ht="28.5">
      <c r="B68" s="1078">
        <v>66</v>
      </c>
      <c r="C68" s="1079">
        <v>41149</v>
      </c>
      <c r="D68" s="1091" t="s">
        <v>584</v>
      </c>
      <c r="E68" s="1091" t="s">
        <v>368</v>
      </c>
      <c r="F68" s="1076" t="s">
        <v>679</v>
      </c>
      <c r="G68" s="1086" t="s">
        <v>672</v>
      </c>
      <c r="H68" s="1086" t="s">
        <v>673</v>
      </c>
      <c r="I68" s="1079">
        <f>Table1[[#This Row],[Date]]</f>
        <v>41149</v>
      </c>
      <c r="J68" s="46"/>
      <c r="K68" s="46"/>
    </row>
    <row r="69" spans="2:11" ht="28.5">
      <c r="B69" s="1078">
        <v>67</v>
      </c>
      <c r="C69" s="1079">
        <v>41149</v>
      </c>
      <c r="D69" s="1091" t="s">
        <v>584</v>
      </c>
      <c r="E69" s="1091" t="s">
        <v>368</v>
      </c>
      <c r="F69" s="1076" t="s">
        <v>680</v>
      </c>
      <c r="G69" s="1086" t="s">
        <v>672</v>
      </c>
      <c r="H69" s="1086" t="s">
        <v>673</v>
      </c>
      <c r="I69" s="1079">
        <f>Table1[[#This Row],[Date]]</f>
        <v>41149</v>
      </c>
      <c r="J69" s="46"/>
      <c r="K69" s="46"/>
    </row>
    <row r="70" spans="2:11" ht="28.5">
      <c r="B70" s="1078">
        <v>68</v>
      </c>
      <c r="C70" s="1079">
        <v>41149</v>
      </c>
      <c r="D70" s="1091" t="s">
        <v>584</v>
      </c>
      <c r="E70" s="1091" t="s">
        <v>368</v>
      </c>
      <c r="F70" s="1076" t="s">
        <v>681</v>
      </c>
      <c r="G70" s="1086" t="s">
        <v>672</v>
      </c>
      <c r="H70" s="1086" t="s">
        <v>673</v>
      </c>
      <c r="I70" s="1079">
        <f>Table1[[#This Row],[Date]]</f>
        <v>41149</v>
      </c>
      <c r="J70" s="46"/>
      <c r="K70" s="46"/>
    </row>
    <row r="71" spans="2:11" ht="28.5">
      <c r="B71" s="1078">
        <v>69</v>
      </c>
      <c r="C71" s="1079">
        <v>41149</v>
      </c>
      <c r="D71" s="1091" t="s">
        <v>584</v>
      </c>
      <c r="E71" s="1091" t="s">
        <v>368</v>
      </c>
      <c r="F71" s="1076" t="s">
        <v>682</v>
      </c>
      <c r="G71" s="1086" t="s">
        <v>672</v>
      </c>
      <c r="H71" s="1086" t="s">
        <v>673</v>
      </c>
      <c r="I71" s="1079">
        <f>Table1[[#This Row],[Date]]</f>
        <v>41149</v>
      </c>
      <c r="J71" s="46"/>
      <c r="K71" s="46"/>
    </row>
    <row r="72" spans="2:11">
      <c r="B72" s="1078">
        <v>70</v>
      </c>
      <c r="C72" s="1079">
        <v>41149</v>
      </c>
      <c r="D72" s="1091" t="s">
        <v>584</v>
      </c>
      <c r="E72" s="1091" t="s">
        <v>368</v>
      </c>
      <c r="F72" s="1076" t="s">
        <v>676</v>
      </c>
      <c r="G72" s="1086" t="s">
        <v>674</v>
      </c>
      <c r="H72" s="1086" t="s">
        <v>675</v>
      </c>
      <c r="I72" s="1079">
        <f>Table1[[#This Row],[Date]]</f>
        <v>41149</v>
      </c>
      <c r="J72" s="46"/>
      <c r="K72" s="46"/>
    </row>
    <row r="73" spans="2:11">
      <c r="B73" s="1078">
        <v>71</v>
      </c>
      <c r="C73" s="1079">
        <v>41149</v>
      </c>
      <c r="D73" s="1091" t="s">
        <v>584</v>
      </c>
      <c r="E73" s="1091" t="s">
        <v>368</v>
      </c>
      <c r="F73" s="1076" t="s">
        <v>677</v>
      </c>
      <c r="G73" s="1086" t="s">
        <v>674</v>
      </c>
      <c r="H73" s="1086" t="s">
        <v>675</v>
      </c>
      <c r="I73" s="1079">
        <f>Table1[[#This Row],[Date]]</f>
        <v>41149</v>
      </c>
      <c r="J73" s="46"/>
      <c r="K73" s="46"/>
    </row>
    <row r="74" spans="2:11">
      <c r="B74" s="1078">
        <v>72</v>
      </c>
      <c r="C74" s="1079">
        <v>41149</v>
      </c>
      <c r="D74" s="1091" t="s">
        <v>584</v>
      </c>
      <c r="E74" s="1091" t="s">
        <v>368</v>
      </c>
      <c r="F74" s="1076" t="s">
        <v>678</v>
      </c>
      <c r="G74" s="1086" t="s">
        <v>674</v>
      </c>
      <c r="H74" s="1086" t="s">
        <v>675</v>
      </c>
      <c r="I74" s="1079">
        <f>Table1[[#This Row],[Date]]</f>
        <v>41149</v>
      </c>
      <c r="J74" s="46"/>
      <c r="K74" s="46"/>
    </row>
    <row r="75" spans="2:11">
      <c r="B75" s="1078">
        <v>73</v>
      </c>
      <c r="C75" s="1079">
        <v>41149</v>
      </c>
      <c r="D75" s="1091" t="s">
        <v>584</v>
      </c>
      <c r="E75" s="1091" t="s">
        <v>368</v>
      </c>
      <c r="F75" s="1076" t="s">
        <v>679</v>
      </c>
      <c r="G75" s="1086" t="s">
        <v>674</v>
      </c>
      <c r="H75" s="1086" t="s">
        <v>675</v>
      </c>
      <c r="I75" s="1079">
        <f>Table1[[#This Row],[Date]]</f>
        <v>41149</v>
      </c>
      <c r="J75" s="46"/>
      <c r="K75" s="46"/>
    </row>
    <row r="76" spans="2:11">
      <c r="B76" s="1078">
        <v>74</v>
      </c>
      <c r="C76" s="1079">
        <v>41149</v>
      </c>
      <c r="D76" s="1091" t="s">
        <v>584</v>
      </c>
      <c r="E76" s="1091" t="s">
        <v>368</v>
      </c>
      <c r="F76" s="1076" t="s">
        <v>680</v>
      </c>
      <c r="G76" s="1086" t="s">
        <v>674</v>
      </c>
      <c r="H76" s="1086" t="s">
        <v>675</v>
      </c>
      <c r="I76" s="1079">
        <f>Table1[[#This Row],[Date]]</f>
        <v>41149</v>
      </c>
      <c r="J76" s="46"/>
      <c r="K76" s="46"/>
    </row>
    <row r="77" spans="2:11">
      <c r="B77" s="1078">
        <v>75</v>
      </c>
      <c r="C77" s="1079">
        <v>41149</v>
      </c>
      <c r="D77" s="1091" t="s">
        <v>584</v>
      </c>
      <c r="E77" s="1091" t="s">
        <v>368</v>
      </c>
      <c r="F77" s="1076" t="s">
        <v>681</v>
      </c>
      <c r="G77" s="1086" t="s">
        <v>674</v>
      </c>
      <c r="H77" s="1086" t="s">
        <v>675</v>
      </c>
      <c r="I77" s="1079">
        <f>Table1[[#This Row],[Date]]</f>
        <v>41149</v>
      </c>
      <c r="J77" s="46"/>
      <c r="K77" s="46"/>
    </row>
    <row r="78" spans="2:11">
      <c r="B78" s="1078">
        <v>76</v>
      </c>
      <c r="C78" s="1079">
        <v>41149</v>
      </c>
      <c r="D78" s="1091" t="s">
        <v>584</v>
      </c>
      <c r="E78" s="1091" t="s">
        <v>368</v>
      </c>
      <c r="F78" s="1076" t="s">
        <v>682</v>
      </c>
      <c r="G78" s="1086" t="s">
        <v>674</v>
      </c>
      <c r="H78" s="1086" t="s">
        <v>675</v>
      </c>
      <c r="I78" s="1079">
        <f>Table1[[#This Row],[Date]]</f>
        <v>41149</v>
      </c>
      <c r="J78" s="46"/>
      <c r="K78" s="46"/>
    </row>
    <row r="79" spans="2:11" ht="28.5">
      <c r="B79" s="1078">
        <v>77</v>
      </c>
      <c r="C79" s="1079">
        <v>41149</v>
      </c>
      <c r="D79" s="1091" t="s">
        <v>584</v>
      </c>
      <c r="E79" s="1091" t="s">
        <v>368</v>
      </c>
      <c r="F79" s="1076" t="s">
        <v>683</v>
      </c>
      <c r="G79" s="1086" t="s">
        <v>684</v>
      </c>
      <c r="H79" s="1086" t="s">
        <v>685</v>
      </c>
      <c r="I79" s="1079">
        <f>Table1[[#This Row],[Date]]</f>
        <v>41149</v>
      </c>
      <c r="J79" s="46"/>
      <c r="K79" s="46"/>
    </row>
    <row r="80" spans="2:11" ht="28.5">
      <c r="B80" s="1078">
        <v>78</v>
      </c>
      <c r="C80" s="1079">
        <v>41149</v>
      </c>
      <c r="D80" s="1091" t="s">
        <v>584</v>
      </c>
      <c r="E80" s="1091" t="s">
        <v>368</v>
      </c>
      <c r="F80" s="1076" t="s">
        <v>686</v>
      </c>
      <c r="G80" s="1086" t="s">
        <v>684</v>
      </c>
      <c r="H80" s="1086" t="s">
        <v>685</v>
      </c>
      <c r="I80" s="1079">
        <f>Table1[[#This Row],[Date]]</f>
        <v>41149</v>
      </c>
      <c r="J80" s="46"/>
      <c r="K80" s="46"/>
    </row>
    <row r="81" spans="2:11" ht="42.75">
      <c r="B81" s="1078">
        <v>79</v>
      </c>
      <c r="C81" s="1079">
        <v>41149</v>
      </c>
      <c r="D81" s="1091" t="s">
        <v>584</v>
      </c>
      <c r="E81" s="1091" t="s">
        <v>368</v>
      </c>
      <c r="F81" s="1076" t="s">
        <v>687</v>
      </c>
      <c r="G81" s="1086" t="s">
        <v>688</v>
      </c>
      <c r="H81" s="1086" t="s">
        <v>689</v>
      </c>
      <c r="I81" s="1079">
        <f>Table1[[#This Row],[Date]]</f>
        <v>41149</v>
      </c>
      <c r="J81" s="46"/>
      <c r="K81" s="46"/>
    </row>
    <row r="82" spans="2:11" ht="42.75">
      <c r="B82" s="1078">
        <v>80</v>
      </c>
      <c r="C82" s="1079">
        <v>41149</v>
      </c>
      <c r="D82" s="1091" t="s">
        <v>584</v>
      </c>
      <c r="E82" s="1091" t="s">
        <v>368</v>
      </c>
      <c r="F82" s="1076" t="s">
        <v>690</v>
      </c>
      <c r="G82" s="1086" t="s">
        <v>692</v>
      </c>
      <c r="H82" s="1086" t="s">
        <v>693</v>
      </c>
      <c r="I82" s="1079">
        <f>Table1[[#This Row],[Date]]</f>
        <v>41149</v>
      </c>
      <c r="J82" s="46"/>
      <c r="K82" s="46"/>
    </row>
    <row r="83" spans="2:11" ht="42.75">
      <c r="B83" s="1078">
        <v>81</v>
      </c>
      <c r="C83" s="1079">
        <v>41149</v>
      </c>
      <c r="D83" s="1091" t="s">
        <v>584</v>
      </c>
      <c r="E83" s="1091" t="s">
        <v>368</v>
      </c>
      <c r="F83" s="1076" t="s">
        <v>691</v>
      </c>
      <c r="G83" s="1086" t="s">
        <v>692</v>
      </c>
      <c r="H83" s="1086" t="s">
        <v>693</v>
      </c>
      <c r="I83" s="1079">
        <f>Table1[[#This Row],[Date]]</f>
        <v>41149</v>
      </c>
      <c r="J83" s="46"/>
      <c r="K83" s="46"/>
    </row>
    <row r="84" spans="2:11" ht="28.5">
      <c r="B84" s="1078">
        <v>82</v>
      </c>
      <c r="C84" s="1079">
        <v>41149</v>
      </c>
      <c r="D84" s="1091" t="s">
        <v>584</v>
      </c>
      <c r="E84" s="1091" t="s">
        <v>368</v>
      </c>
      <c r="F84" s="1076" t="s">
        <v>690</v>
      </c>
      <c r="G84" s="1086" t="s">
        <v>694</v>
      </c>
      <c r="H84" s="1086" t="s">
        <v>695</v>
      </c>
      <c r="I84" s="1079">
        <f>Table1[[#This Row],[Date]]</f>
        <v>41149</v>
      </c>
      <c r="J84" s="46"/>
      <c r="K84" s="46"/>
    </row>
    <row r="85" spans="2:11" ht="28.5">
      <c r="B85" s="1078">
        <v>83</v>
      </c>
      <c r="C85" s="1079">
        <v>41149</v>
      </c>
      <c r="D85" s="1091" t="s">
        <v>584</v>
      </c>
      <c r="E85" s="1091" t="s">
        <v>368</v>
      </c>
      <c r="F85" s="1076" t="s">
        <v>691</v>
      </c>
      <c r="G85" s="1086" t="s">
        <v>694</v>
      </c>
      <c r="H85" s="1086" t="s">
        <v>695</v>
      </c>
      <c r="I85" s="1079">
        <f>Table1[[#This Row],[Date]]</f>
        <v>41149</v>
      </c>
      <c r="J85" s="46"/>
      <c r="K85" s="46"/>
    </row>
    <row r="86" spans="2:11">
      <c r="B86" s="1078">
        <v>84</v>
      </c>
      <c r="C86" s="1079">
        <v>41149</v>
      </c>
      <c r="D86" s="1091" t="s">
        <v>584</v>
      </c>
      <c r="E86" s="1091" t="s">
        <v>442</v>
      </c>
      <c r="F86" s="1076" t="s">
        <v>696</v>
      </c>
      <c r="G86" s="1086" t="s">
        <v>587</v>
      </c>
      <c r="H86" s="1086" t="s">
        <v>597</v>
      </c>
      <c r="I86" s="1079">
        <f>Table1[[#This Row],[Date]]</f>
        <v>41149</v>
      </c>
      <c r="J86" s="46"/>
      <c r="K86" s="46"/>
    </row>
    <row r="87" spans="2:11" ht="28.5">
      <c r="B87" s="1078">
        <v>85</v>
      </c>
      <c r="C87" s="1079">
        <v>41149</v>
      </c>
      <c r="D87" s="1091" t="s">
        <v>584</v>
      </c>
      <c r="E87" s="1091" t="s">
        <v>368</v>
      </c>
      <c r="F87" s="1076" t="s">
        <v>697</v>
      </c>
      <c r="G87" s="1086" t="s">
        <v>698</v>
      </c>
      <c r="H87" s="1086" t="s">
        <v>699</v>
      </c>
      <c r="I87" s="1079">
        <f>Table1[[#This Row],[Date]]</f>
        <v>41149</v>
      </c>
      <c r="J87" s="46"/>
      <c r="K87" s="46"/>
    </row>
    <row r="88" spans="2:11">
      <c r="B88" s="1078">
        <v>86</v>
      </c>
      <c r="C88" s="1079">
        <v>41149</v>
      </c>
      <c r="D88" s="1091" t="s">
        <v>584</v>
      </c>
      <c r="E88" s="1091" t="s">
        <v>369</v>
      </c>
      <c r="F88" s="1076" t="s">
        <v>703</v>
      </c>
      <c r="G88" s="1086" t="s">
        <v>701</v>
      </c>
      <c r="H88" s="1086" t="s">
        <v>702</v>
      </c>
      <c r="I88" s="1079">
        <f>Table1[[#This Row],[Date]]</f>
        <v>41149</v>
      </c>
      <c r="J88" s="46"/>
      <c r="K88" s="46"/>
    </row>
    <row r="89" spans="2:11">
      <c r="B89" s="1078">
        <v>87</v>
      </c>
      <c r="C89" s="1079">
        <v>41149</v>
      </c>
      <c r="D89" s="1091" t="s">
        <v>584</v>
      </c>
      <c r="E89" s="1091" t="s">
        <v>369</v>
      </c>
      <c r="F89" s="1076" t="s">
        <v>617</v>
      </c>
      <c r="G89" s="1086" t="s">
        <v>705</v>
      </c>
      <c r="H89" s="1086" t="s">
        <v>706</v>
      </c>
      <c r="I89" s="1079">
        <f>Table1[[#This Row],[Date]]</f>
        <v>41149</v>
      </c>
      <c r="J89" s="46"/>
      <c r="K89" s="46"/>
    </row>
    <row r="90" spans="2:11">
      <c r="B90" s="1078">
        <v>88</v>
      </c>
      <c r="C90" s="1079">
        <v>41149</v>
      </c>
      <c r="D90" s="1091" t="s">
        <v>584</v>
      </c>
      <c r="E90" s="1091" t="s">
        <v>369</v>
      </c>
      <c r="F90" s="1076" t="s">
        <v>704</v>
      </c>
      <c r="G90" s="1086" t="s">
        <v>705</v>
      </c>
      <c r="H90" s="1086" t="s">
        <v>707</v>
      </c>
      <c r="I90" s="1079">
        <f>Table1[[#This Row],[Date]]</f>
        <v>41149</v>
      </c>
      <c r="J90" s="46"/>
      <c r="K90" s="46"/>
    </row>
    <row r="91" spans="2:11" ht="28.5">
      <c r="B91" s="1078">
        <v>89</v>
      </c>
      <c r="C91" s="1079">
        <v>41149</v>
      </c>
      <c r="D91" s="1091" t="s">
        <v>584</v>
      </c>
      <c r="E91" s="1091" t="s">
        <v>369</v>
      </c>
      <c r="F91" s="1076" t="s">
        <v>708</v>
      </c>
      <c r="G91" s="1086" t="s">
        <v>709</v>
      </c>
      <c r="H91" s="1086" t="s">
        <v>710</v>
      </c>
      <c r="I91" s="1079">
        <f>Table1[[#This Row],[Date]]</f>
        <v>41149</v>
      </c>
      <c r="J91" s="46"/>
      <c r="K91" s="46"/>
    </row>
    <row r="92" spans="2:11" ht="28.5">
      <c r="B92" s="1078">
        <v>90</v>
      </c>
      <c r="C92" s="1079">
        <v>41149</v>
      </c>
      <c r="D92" s="1091" t="s">
        <v>584</v>
      </c>
      <c r="E92" s="1091" t="s">
        <v>369</v>
      </c>
      <c r="F92" s="1076" t="s">
        <v>711</v>
      </c>
      <c r="G92" s="1086" t="s">
        <v>712</v>
      </c>
      <c r="H92" s="1086" t="s">
        <v>713</v>
      </c>
      <c r="I92" s="1079">
        <f>Table1[[#This Row],[Date]]</f>
        <v>41149</v>
      </c>
      <c r="J92" s="46"/>
      <c r="K92" s="46"/>
    </row>
    <row r="93" spans="2:11" ht="42.75">
      <c r="B93" s="1078">
        <v>91</v>
      </c>
      <c r="C93" s="1079">
        <v>41149</v>
      </c>
      <c r="D93" s="1091" t="s">
        <v>584</v>
      </c>
      <c r="E93" s="1091" t="s">
        <v>369</v>
      </c>
      <c r="F93" s="1076" t="s">
        <v>714</v>
      </c>
      <c r="G93" s="1086" t="s">
        <v>715</v>
      </c>
      <c r="H93" s="1086" t="s">
        <v>716</v>
      </c>
      <c r="I93" s="1079">
        <f>Table1[[#This Row],[Date]]</f>
        <v>41149</v>
      </c>
      <c r="J93" s="46"/>
      <c r="K93" s="46"/>
    </row>
    <row r="94" spans="2:11" ht="42.75">
      <c r="B94" s="1078">
        <v>92</v>
      </c>
      <c r="C94" s="1079">
        <v>41149</v>
      </c>
      <c r="D94" s="1091" t="s">
        <v>584</v>
      </c>
      <c r="E94" s="1091" t="s">
        <v>369</v>
      </c>
      <c r="F94" s="1076" t="s">
        <v>657</v>
      </c>
      <c r="G94" s="1086" t="s">
        <v>715</v>
      </c>
      <c r="H94" s="1086" t="s">
        <v>716</v>
      </c>
      <c r="I94" s="1079">
        <f>Table1[[#This Row],[Date]]</f>
        <v>41149</v>
      </c>
      <c r="J94" s="46"/>
      <c r="K94" s="46"/>
    </row>
    <row r="95" spans="2:11" ht="28.5">
      <c r="B95" s="1078">
        <v>93</v>
      </c>
      <c r="C95" s="1079">
        <v>41149</v>
      </c>
      <c r="D95" s="1091" t="s">
        <v>584</v>
      </c>
      <c r="E95" s="1091" t="s">
        <v>369</v>
      </c>
      <c r="F95" s="1076" t="s">
        <v>717</v>
      </c>
      <c r="G95" s="1086" t="s">
        <v>727</v>
      </c>
      <c r="H95" s="1086" t="s">
        <v>728</v>
      </c>
      <c r="I95" s="1079">
        <f>Table1[[#This Row],[Date]]</f>
        <v>41149</v>
      </c>
      <c r="J95" s="46"/>
      <c r="K95" s="46"/>
    </row>
    <row r="96" spans="2:11" ht="28.5">
      <c r="B96" s="1078">
        <v>94</v>
      </c>
      <c r="C96" s="1079">
        <v>41149</v>
      </c>
      <c r="D96" s="1091" t="s">
        <v>584</v>
      </c>
      <c r="E96" s="1091" t="s">
        <v>369</v>
      </c>
      <c r="F96" s="1076" t="s">
        <v>718</v>
      </c>
      <c r="G96" s="1086" t="s">
        <v>727</v>
      </c>
      <c r="H96" s="1086" t="s">
        <v>729</v>
      </c>
      <c r="I96" s="1079">
        <f>Table1[[#This Row],[Date]]</f>
        <v>41149</v>
      </c>
      <c r="J96" s="46"/>
      <c r="K96" s="46"/>
    </row>
    <row r="97" spans="2:30" ht="28.5">
      <c r="B97" s="1078">
        <v>95</v>
      </c>
      <c r="C97" s="1079">
        <v>41149</v>
      </c>
      <c r="D97" s="1091" t="s">
        <v>584</v>
      </c>
      <c r="E97" s="1091" t="s">
        <v>369</v>
      </c>
      <c r="F97" s="1076" t="s">
        <v>719</v>
      </c>
      <c r="G97" s="1086" t="s">
        <v>727</v>
      </c>
      <c r="H97" s="1086" t="s">
        <v>730</v>
      </c>
      <c r="I97" s="1079">
        <f>Table1[[#This Row],[Date]]</f>
        <v>41149</v>
      </c>
      <c r="J97" s="46"/>
      <c r="K97" s="46"/>
    </row>
    <row r="98" spans="2:30" ht="28.5">
      <c r="B98" s="1078">
        <v>96</v>
      </c>
      <c r="C98" s="1079">
        <v>41149</v>
      </c>
      <c r="D98" s="1091" t="s">
        <v>584</v>
      </c>
      <c r="E98" s="1091" t="s">
        <v>369</v>
      </c>
      <c r="F98" s="1076" t="s">
        <v>720</v>
      </c>
      <c r="G98" s="1086" t="s">
        <v>727</v>
      </c>
      <c r="H98" s="1086" t="s">
        <v>731</v>
      </c>
      <c r="I98" s="1079">
        <f>Table1[[#This Row],[Date]]</f>
        <v>41149</v>
      </c>
      <c r="J98" s="46"/>
      <c r="K98" s="46"/>
    </row>
    <row r="99" spans="2:30" ht="28.5">
      <c r="B99" s="1078">
        <v>97</v>
      </c>
      <c r="C99" s="1079">
        <v>41149</v>
      </c>
      <c r="D99" s="1091" t="s">
        <v>584</v>
      </c>
      <c r="E99" s="1091" t="s">
        <v>369</v>
      </c>
      <c r="F99" s="1076" t="s">
        <v>721</v>
      </c>
      <c r="G99" s="1086" t="s">
        <v>727</v>
      </c>
      <c r="H99" s="1086" t="s">
        <v>732</v>
      </c>
      <c r="I99" s="1079">
        <f>Table1[[#This Row],[Date]]</f>
        <v>41149</v>
      </c>
      <c r="J99" s="46"/>
      <c r="K99" s="46"/>
    </row>
    <row r="100" spans="2:30" ht="28.5">
      <c r="B100" s="1078">
        <v>98</v>
      </c>
      <c r="C100" s="1079">
        <v>41149</v>
      </c>
      <c r="D100" s="1091" t="s">
        <v>584</v>
      </c>
      <c r="E100" s="1091" t="s">
        <v>369</v>
      </c>
      <c r="F100" s="1076" t="s">
        <v>722</v>
      </c>
      <c r="G100" s="1086" t="s">
        <v>727</v>
      </c>
      <c r="H100" s="1086" t="s">
        <v>733</v>
      </c>
      <c r="I100" s="1079">
        <f>Table1[[#This Row],[Date]]</f>
        <v>41149</v>
      </c>
      <c r="J100" s="46"/>
      <c r="K100" s="46"/>
      <c r="L100" s="1091"/>
      <c r="M100" s="1091"/>
      <c r="N100" s="1091"/>
      <c r="O100" s="1091"/>
      <c r="P100" s="1091"/>
      <c r="Q100" s="1091"/>
      <c r="R100" s="1091"/>
      <c r="S100" s="1091"/>
      <c r="T100" s="1091"/>
      <c r="U100" s="1091"/>
      <c r="V100" s="1091"/>
      <c r="W100" s="1091"/>
      <c r="X100" s="1091"/>
      <c r="Y100" s="1091"/>
      <c r="Z100" s="1091"/>
      <c r="AA100" s="1091"/>
      <c r="AB100" s="1091"/>
      <c r="AC100" s="1091"/>
      <c r="AD100" s="1091"/>
    </row>
    <row r="101" spans="2:30" ht="28.5">
      <c r="B101" s="1078">
        <v>99</v>
      </c>
      <c r="C101" s="1079">
        <v>41149</v>
      </c>
      <c r="D101" s="1091" t="s">
        <v>584</v>
      </c>
      <c r="E101" s="1091" t="s">
        <v>369</v>
      </c>
      <c r="F101" s="1076" t="s">
        <v>723</v>
      </c>
      <c r="G101" s="1086" t="s">
        <v>727</v>
      </c>
      <c r="H101" s="1086" t="s">
        <v>734</v>
      </c>
      <c r="I101" s="1079">
        <f>Table1[[#This Row],[Date]]</f>
        <v>41149</v>
      </c>
      <c r="J101" s="46"/>
      <c r="K101" s="46"/>
      <c r="L101" s="1091"/>
      <c r="M101" s="1091"/>
      <c r="N101" s="1091"/>
      <c r="O101" s="1091"/>
      <c r="P101" s="1091"/>
      <c r="Q101" s="1091"/>
      <c r="R101" s="1091"/>
      <c r="S101" s="1091"/>
      <c r="T101" s="1091"/>
      <c r="U101" s="1091"/>
      <c r="V101" s="1091"/>
      <c r="W101" s="1091"/>
      <c r="X101" s="1091"/>
      <c r="Y101" s="1091"/>
      <c r="Z101" s="1091"/>
      <c r="AA101" s="1091"/>
      <c r="AB101" s="1091"/>
      <c r="AC101" s="1091"/>
      <c r="AD101" s="1091"/>
    </row>
    <row r="102" spans="2:30" ht="28.5">
      <c r="B102" s="1078">
        <v>100</v>
      </c>
      <c r="C102" s="1079">
        <v>41149</v>
      </c>
      <c r="D102" s="1091" t="s">
        <v>584</v>
      </c>
      <c r="E102" s="1091" t="s">
        <v>369</v>
      </c>
      <c r="F102" s="1076" t="s">
        <v>724</v>
      </c>
      <c r="G102" s="1086" t="s">
        <v>727</v>
      </c>
      <c r="H102" s="1086" t="s">
        <v>735</v>
      </c>
      <c r="I102" s="1079">
        <f>Table1[[#This Row],[Date]]</f>
        <v>41149</v>
      </c>
      <c r="J102" s="46"/>
      <c r="K102" s="46"/>
      <c r="L102" s="1091"/>
      <c r="M102" s="1091"/>
      <c r="N102" s="1091"/>
      <c r="O102" s="1091"/>
      <c r="P102" s="1091"/>
      <c r="Q102" s="1091"/>
      <c r="R102" s="1091"/>
      <c r="S102" s="1091"/>
      <c r="T102" s="1091"/>
      <c r="U102" s="1091"/>
      <c r="V102" s="1091"/>
      <c r="W102" s="1091"/>
      <c r="X102" s="1091"/>
      <c r="Y102" s="1091"/>
      <c r="Z102" s="1091"/>
      <c r="AA102" s="1091"/>
      <c r="AB102" s="1091"/>
      <c r="AC102" s="1091"/>
      <c r="AD102" s="1091"/>
    </row>
    <row r="103" spans="2:30" ht="28.5">
      <c r="B103" s="1078">
        <v>101</v>
      </c>
      <c r="C103" s="1079">
        <v>41149</v>
      </c>
      <c r="D103" s="1091" t="s">
        <v>584</v>
      </c>
      <c r="E103" s="1091" t="s">
        <v>369</v>
      </c>
      <c r="F103" s="1076" t="s">
        <v>725</v>
      </c>
      <c r="G103" s="1086" t="s">
        <v>727</v>
      </c>
      <c r="H103" s="1086" t="s">
        <v>736</v>
      </c>
      <c r="I103" s="1079">
        <f>Table1[[#This Row],[Date]]</f>
        <v>41149</v>
      </c>
      <c r="J103" s="46"/>
      <c r="K103" s="46"/>
      <c r="L103" s="1091"/>
      <c r="M103" s="1091"/>
      <c r="N103" s="1091"/>
      <c r="O103" s="1091"/>
      <c r="P103" s="1091"/>
      <c r="Q103" s="1091"/>
      <c r="R103" s="1091"/>
      <c r="S103" s="1091"/>
      <c r="T103" s="1091"/>
      <c r="U103" s="1091"/>
      <c r="V103" s="1091"/>
      <c r="W103" s="1091"/>
      <c r="X103" s="1091"/>
      <c r="Y103" s="1091"/>
      <c r="Z103" s="1091"/>
      <c r="AA103" s="1091"/>
      <c r="AB103" s="1091"/>
      <c r="AC103" s="1091"/>
      <c r="AD103" s="1091"/>
    </row>
    <row r="104" spans="2:30" ht="28.5">
      <c r="B104" s="1078">
        <v>102</v>
      </c>
      <c r="C104" s="1079">
        <v>41149</v>
      </c>
      <c r="D104" s="1091" t="s">
        <v>584</v>
      </c>
      <c r="E104" s="1091" t="s">
        <v>369</v>
      </c>
      <c r="F104" s="1076" t="s">
        <v>726</v>
      </c>
      <c r="G104" s="1086" t="s">
        <v>727</v>
      </c>
      <c r="H104" s="1086" t="s">
        <v>737</v>
      </c>
      <c r="I104" s="1079">
        <f>Table1[[#This Row],[Date]]</f>
        <v>41149</v>
      </c>
      <c r="J104" s="46"/>
      <c r="K104" s="46"/>
      <c r="L104" s="1091"/>
      <c r="M104" s="1091"/>
      <c r="N104" s="1091"/>
      <c r="O104" s="1091"/>
      <c r="P104" s="1091"/>
      <c r="Q104" s="1091"/>
      <c r="R104" s="1091"/>
      <c r="S104" s="1091"/>
      <c r="T104" s="1091"/>
      <c r="U104" s="1091"/>
      <c r="V104" s="1091"/>
      <c r="W104" s="1091"/>
      <c r="X104" s="1091"/>
      <c r="Y104" s="1091"/>
      <c r="Z104" s="1091"/>
      <c r="AA104" s="1091"/>
      <c r="AB104" s="1091"/>
      <c r="AC104" s="1091"/>
      <c r="AD104" s="1091"/>
    </row>
    <row r="105" spans="2:30" ht="28.5">
      <c r="B105" s="1078">
        <v>103</v>
      </c>
      <c r="C105" s="1079">
        <v>41149</v>
      </c>
      <c r="D105" s="1091" t="s">
        <v>584</v>
      </c>
      <c r="E105" s="1091" t="s">
        <v>350</v>
      </c>
      <c r="F105" s="1076" t="s">
        <v>586</v>
      </c>
      <c r="G105" s="1086" t="s">
        <v>738</v>
      </c>
      <c r="H105" s="1086" t="s">
        <v>713</v>
      </c>
      <c r="I105" s="1079">
        <f>Table1[[#This Row],[Date]]</f>
        <v>41149</v>
      </c>
      <c r="J105" s="46"/>
      <c r="K105" s="46"/>
      <c r="L105" s="1091"/>
      <c r="M105" s="1091"/>
      <c r="N105" s="1091"/>
      <c r="O105" s="1091"/>
      <c r="P105" s="1091"/>
      <c r="Q105" s="1091"/>
      <c r="R105" s="1091"/>
      <c r="S105" s="1091"/>
      <c r="T105" s="1091"/>
      <c r="U105" s="1091"/>
      <c r="V105" s="1091"/>
      <c r="W105" s="1091"/>
      <c r="X105" s="1091"/>
      <c r="Y105" s="1091"/>
      <c r="Z105" s="1091"/>
      <c r="AA105" s="1091"/>
      <c r="AB105" s="1091"/>
      <c r="AC105" s="1091"/>
      <c r="AD105" s="1091"/>
    </row>
    <row r="106" spans="2:30" ht="28.5">
      <c r="B106" s="1078">
        <v>104</v>
      </c>
      <c r="C106" s="1079">
        <v>41149</v>
      </c>
      <c r="D106" s="1091" t="s">
        <v>584</v>
      </c>
      <c r="E106" s="1091" t="s">
        <v>350</v>
      </c>
      <c r="F106" s="1076" t="s">
        <v>739</v>
      </c>
      <c r="G106" s="1086" t="s">
        <v>738</v>
      </c>
      <c r="H106" s="1086" t="s">
        <v>713</v>
      </c>
      <c r="I106" s="1079">
        <f>Table1[[#This Row],[Date]]</f>
        <v>41149</v>
      </c>
      <c r="J106" s="46"/>
      <c r="K106" s="46"/>
      <c r="L106" s="1091"/>
      <c r="M106" s="1091"/>
      <c r="N106" s="1091"/>
      <c r="O106" s="1091"/>
      <c r="P106" s="1091"/>
      <c r="Q106" s="1091"/>
      <c r="R106" s="1091"/>
      <c r="S106" s="1091"/>
      <c r="T106" s="1091"/>
      <c r="U106" s="1091"/>
      <c r="V106" s="1091"/>
      <c r="W106" s="1091"/>
      <c r="X106" s="1091"/>
      <c r="Y106" s="1091"/>
      <c r="Z106" s="1091"/>
      <c r="AA106" s="1091"/>
      <c r="AB106" s="1091"/>
      <c r="AC106" s="1091"/>
      <c r="AD106" s="1091"/>
    </row>
    <row r="107" spans="2:30">
      <c r="B107" s="1078">
        <v>105</v>
      </c>
      <c r="C107" s="1079">
        <v>41149</v>
      </c>
      <c r="D107" s="1091" t="s">
        <v>584</v>
      </c>
      <c r="E107" s="1091" t="s">
        <v>350</v>
      </c>
      <c r="F107" s="1076" t="s">
        <v>739</v>
      </c>
      <c r="G107" s="1086" t="s">
        <v>740</v>
      </c>
      <c r="H107" s="1086" t="s">
        <v>741</v>
      </c>
      <c r="I107" s="1079">
        <f>Table1[[#This Row],[Date]]</f>
        <v>41149</v>
      </c>
      <c r="J107" s="46"/>
      <c r="K107" s="46"/>
      <c r="L107" s="1091"/>
      <c r="M107" s="1091"/>
      <c r="N107" s="1091"/>
      <c r="O107" s="1091"/>
      <c r="P107" s="1091"/>
      <c r="Q107" s="1091"/>
      <c r="R107" s="1091"/>
      <c r="S107" s="1091"/>
      <c r="T107" s="1091"/>
      <c r="U107" s="1091"/>
      <c r="V107" s="1091"/>
      <c r="W107" s="1091"/>
      <c r="X107" s="1091"/>
      <c r="Y107" s="1091"/>
      <c r="Z107" s="1091"/>
      <c r="AA107" s="1091"/>
      <c r="AB107" s="1091"/>
      <c r="AC107" s="1091"/>
      <c r="AD107" s="1091"/>
    </row>
    <row r="108" spans="2:30" ht="42.75">
      <c r="B108" s="1078">
        <v>106</v>
      </c>
      <c r="C108" s="1079">
        <v>41149</v>
      </c>
      <c r="D108" s="1091" t="s">
        <v>584</v>
      </c>
      <c r="E108" s="1091" t="s">
        <v>350</v>
      </c>
      <c r="F108" s="1076" t="s">
        <v>743</v>
      </c>
      <c r="G108" s="1086" t="s">
        <v>744</v>
      </c>
      <c r="H108" s="1086" t="s">
        <v>745</v>
      </c>
      <c r="I108" s="1079">
        <f>Table1[[#This Row],[Date]]</f>
        <v>41149</v>
      </c>
      <c r="J108" s="46"/>
      <c r="K108" s="46"/>
      <c r="L108" s="1091"/>
      <c r="M108" s="1091"/>
      <c r="N108" s="1091"/>
      <c r="O108" s="1091"/>
      <c r="P108" s="1091"/>
      <c r="Q108" s="1091"/>
      <c r="R108" s="1091"/>
      <c r="S108" s="1091"/>
      <c r="T108" s="1091"/>
      <c r="U108" s="1091"/>
      <c r="V108" s="1091"/>
      <c r="W108" s="1091"/>
      <c r="X108" s="1091"/>
      <c r="Y108" s="1091"/>
      <c r="Z108" s="1091"/>
      <c r="AA108" s="1091"/>
      <c r="AB108" s="1091"/>
      <c r="AC108" s="1091"/>
      <c r="AD108" s="1091"/>
    </row>
    <row r="109" spans="2:30" ht="28.5">
      <c r="B109" s="1078">
        <v>107</v>
      </c>
      <c r="C109" s="1079">
        <v>41149</v>
      </c>
      <c r="D109" s="1091" t="s">
        <v>584</v>
      </c>
      <c r="E109" s="1091" t="s">
        <v>350</v>
      </c>
      <c r="F109" s="1076" t="s">
        <v>746</v>
      </c>
      <c r="G109" s="1086" t="s">
        <v>744</v>
      </c>
      <c r="H109" s="1086" t="s">
        <v>747</v>
      </c>
      <c r="I109" s="1079">
        <f>Table1[[#This Row],[Date]]</f>
        <v>41149</v>
      </c>
      <c r="J109" s="46"/>
      <c r="K109" s="46"/>
      <c r="L109" s="1091"/>
      <c r="M109" s="1091"/>
      <c r="N109" s="1091"/>
      <c r="O109" s="1091"/>
      <c r="P109" s="1091"/>
      <c r="Q109" s="1091"/>
      <c r="R109" s="1091"/>
      <c r="S109" s="1091"/>
      <c r="T109" s="1091"/>
      <c r="U109" s="1091"/>
      <c r="V109" s="1091"/>
      <c r="W109" s="1091"/>
      <c r="X109" s="1091"/>
      <c r="Y109" s="1091"/>
      <c r="Z109" s="1091"/>
      <c r="AA109" s="1091"/>
      <c r="AB109" s="1091"/>
      <c r="AC109" s="1091"/>
      <c r="AD109" s="1091"/>
    </row>
    <row r="110" spans="2:30">
      <c r="B110" s="1078">
        <v>108</v>
      </c>
      <c r="C110" s="1079">
        <v>41149</v>
      </c>
      <c r="D110" s="1091" t="s">
        <v>584</v>
      </c>
      <c r="E110" s="1091" t="s">
        <v>350</v>
      </c>
      <c r="F110" s="1076" t="s">
        <v>649</v>
      </c>
      <c r="G110" s="1086" t="s">
        <v>748</v>
      </c>
      <c r="H110" s="1086" t="s">
        <v>749</v>
      </c>
      <c r="I110" s="1079">
        <f>Table1[[#This Row],[Date]]</f>
        <v>41149</v>
      </c>
      <c r="J110" s="46"/>
      <c r="K110" s="46"/>
      <c r="L110" s="1091"/>
      <c r="M110" s="1091"/>
      <c r="N110" s="1091"/>
      <c r="O110" s="1091"/>
      <c r="P110" s="1091"/>
      <c r="Q110" s="1091"/>
      <c r="R110" s="1091"/>
      <c r="S110" s="1091"/>
      <c r="T110" s="1091"/>
      <c r="U110" s="1091"/>
      <c r="V110" s="1091"/>
      <c r="W110" s="1091"/>
      <c r="X110" s="1091"/>
      <c r="Y110" s="1091"/>
      <c r="Z110" s="1091"/>
      <c r="AA110" s="1091"/>
      <c r="AB110" s="1091"/>
      <c r="AC110" s="1091"/>
      <c r="AD110" s="1091"/>
    </row>
    <row r="111" spans="2:30" ht="28.5">
      <c r="B111" s="1078">
        <v>109</v>
      </c>
      <c r="C111" s="1079">
        <v>41149</v>
      </c>
      <c r="D111" s="1091" t="s">
        <v>584</v>
      </c>
      <c r="E111" s="1091" t="s">
        <v>350</v>
      </c>
      <c r="F111" s="1076" t="s">
        <v>721</v>
      </c>
      <c r="G111" s="1086" t="s">
        <v>753</v>
      </c>
      <c r="H111" s="1086" t="s">
        <v>754</v>
      </c>
      <c r="I111" s="1079">
        <f>Table1[[#This Row],[Date]]</f>
        <v>41149</v>
      </c>
      <c r="J111" s="46"/>
      <c r="K111" s="46"/>
      <c r="L111" s="1091"/>
      <c r="M111" s="1091"/>
      <c r="N111" s="1091"/>
      <c r="O111" s="1091"/>
      <c r="P111" s="1091"/>
      <c r="Q111" s="1091"/>
      <c r="R111" s="1091"/>
      <c r="S111" s="1091"/>
      <c r="T111" s="1091"/>
      <c r="U111" s="1091"/>
      <c r="V111" s="1091"/>
      <c r="W111" s="1091"/>
      <c r="X111" s="1091"/>
      <c r="Y111" s="1091"/>
      <c r="Z111" s="1091"/>
      <c r="AA111" s="1091"/>
      <c r="AB111" s="1091"/>
      <c r="AC111" s="1091"/>
      <c r="AD111" s="1091"/>
    </row>
    <row r="112" spans="2:30" ht="42.75">
      <c r="B112" s="1078">
        <v>110</v>
      </c>
      <c r="C112" s="1079">
        <v>41149</v>
      </c>
      <c r="D112" s="1091" t="s">
        <v>584</v>
      </c>
      <c r="E112" s="1091" t="s">
        <v>350</v>
      </c>
      <c r="F112" s="1076" t="s">
        <v>760</v>
      </c>
      <c r="G112" s="1086" t="s">
        <v>626</v>
      </c>
      <c r="H112" s="1086" t="s">
        <v>627</v>
      </c>
      <c r="I112" s="1079">
        <f>Table1[[#This Row],[Date]]</f>
        <v>41149</v>
      </c>
      <c r="J112" s="46"/>
      <c r="K112" s="46"/>
      <c r="L112" s="1091"/>
      <c r="M112" s="1091"/>
      <c r="N112" s="1091"/>
      <c r="O112" s="1091"/>
      <c r="P112" s="1091"/>
      <c r="Q112" s="1091"/>
      <c r="R112" s="1091"/>
      <c r="S112" s="1091"/>
      <c r="T112" s="1091"/>
      <c r="U112" s="1091"/>
      <c r="V112" s="1091"/>
      <c r="W112" s="1091"/>
      <c r="X112" s="1091"/>
      <c r="Y112" s="1091"/>
      <c r="Z112" s="1091"/>
      <c r="AA112" s="1091"/>
      <c r="AB112" s="1091"/>
      <c r="AC112" s="1091"/>
      <c r="AD112" s="1091"/>
    </row>
    <row r="113" spans="2:30" ht="28.5">
      <c r="B113" s="1078">
        <v>111</v>
      </c>
      <c r="C113" s="1079">
        <v>41149</v>
      </c>
      <c r="D113" s="1091" t="s">
        <v>584</v>
      </c>
      <c r="E113" s="1091" t="s">
        <v>350</v>
      </c>
      <c r="F113" s="1076" t="s">
        <v>763</v>
      </c>
      <c r="G113" s="1086" t="s">
        <v>744</v>
      </c>
      <c r="H113" s="1086" t="s">
        <v>747</v>
      </c>
      <c r="I113" s="1079">
        <f>Table1[[#This Row],[Date]]</f>
        <v>41149</v>
      </c>
      <c r="J113" s="46"/>
      <c r="K113" s="46"/>
      <c r="L113" s="1091"/>
      <c r="M113" s="1091"/>
      <c r="N113" s="1091"/>
      <c r="O113" s="1091"/>
      <c r="P113" s="1091"/>
      <c r="Q113" s="1091"/>
      <c r="R113" s="1091"/>
      <c r="S113" s="1091"/>
      <c r="T113" s="1091"/>
      <c r="U113" s="1091"/>
      <c r="V113" s="1091"/>
      <c r="W113" s="1091"/>
      <c r="X113" s="1091"/>
      <c r="Y113" s="1091"/>
      <c r="Z113" s="1091"/>
      <c r="AA113" s="1091"/>
      <c r="AB113" s="1091"/>
      <c r="AC113" s="1091"/>
      <c r="AD113" s="1091"/>
    </row>
    <row r="114" spans="2:30" ht="28.5">
      <c r="B114" s="1078">
        <v>112</v>
      </c>
      <c r="C114" s="1079">
        <v>41149</v>
      </c>
      <c r="D114" s="1091" t="s">
        <v>584</v>
      </c>
      <c r="E114" s="1091" t="s">
        <v>442</v>
      </c>
      <c r="F114" s="1076" t="s">
        <v>752</v>
      </c>
      <c r="G114" s="1086" t="s">
        <v>750</v>
      </c>
      <c r="H114" s="1086" t="s">
        <v>751</v>
      </c>
      <c r="I114" s="1079">
        <f>Table1[[#This Row],[Date]]</f>
        <v>41149</v>
      </c>
      <c r="J114" s="46"/>
      <c r="K114" s="46"/>
      <c r="L114" s="1091"/>
      <c r="M114" s="1091"/>
      <c r="N114" s="1091"/>
      <c r="O114" s="1091"/>
      <c r="P114" s="1091"/>
      <c r="Q114" s="1091"/>
      <c r="R114" s="1091"/>
      <c r="S114" s="1091"/>
      <c r="T114" s="1091"/>
      <c r="U114" s="1091"/>
      <c r="V114" s="1091"/>
      <c r="W114" s="1091"/>
      <c r="X114" s="1091"/>
      <c r="Y114" s="1091"/>
      <c r="Z114" s="1091"/>
      <c r="AA114" s="1091"/>
      <c r="AB114" s="1091"/>
      <c r="AC114" s="1091"/>
      <c r="AD114" s="1091"/>
    </row>
    <row r="115" spans="2:30" ht="28.5">
      <c r="B115" s="1078">
        <v>113</v>
      </c>
      <c r="C115" s="1079">
        <v>41149</v>
      </c>
      <c r="D115" s="1091" t="s">
        <v>584</v>
      </c>
      <c r="E115" s="1091" t="s">
        <v>442</v>
      </c>
      <c r="F115" s="1076" t="s">
        <v>755</v>
      </c>
      <c r="G115" s="1086" t="s">
        <v>756</v>
      </c>
      <c r="H115" s="1086" t="s">
        <v>757</v>
      </c>
      <c r="I115" s="1079">
        <f>Table1[[#This Row],[Date]]</f>
        <v>41149</v>
      </c>
      <c r="J115" s="46"/>
      <c r="K115" s="46"/>
      <c r="L115" s="1091"/>
      <c r="M115" s="1091"/>
      <c r="N115" s="1091"/>
      <c r="O115" s="1091"/>
      <c r="P115" s="1091"/>
      <c r="Q115" s="1091"/>
      <c r="R115" s="1091"/>
      <c r="S115" s="1091"/>
      <c r="T115" s="1091"/>
      <c r="U115" s="1091"/>
      <c r="V115" s="1091"/>
      <c r="W115" s="1091"/>
      <c r="X115" s="1091"/>
      <c r="Y115" s="1091"/>
      <c r="Z115" s="1091"/>
      <c r="AA115" s="1091"/>
      <c r="AB115" s="1091"/>
      <c r="AC115" s="1091"/>
      <c r="AD115" s="1091"/>
    </row>
    <row r="116" spans="2:30" ht="28.5">
      <c r="B116" s="1078">
        <v>114</v>
      </c>
      <c r="C116" s="1079">
        <v>41149</v>
      </c>
      <c r="D116" s="1091" t="s">
        <v>584</v>
      </c>
      <c r="E116" s="1091" t="s">
        <v>369</v>
      </c>
      <c r="F116" s="1076" t="s">
        <v>586</v>
      </c>
      <c r="G116" s="1086" t="s">
        <v>758</v>
      </c>
      <c r="H116" s="1086" t="s">
        <v>759</v>
      </c>
      <c r="I116" s="1079">
        <f>Table1[[#This Row],[Date]]</f>
        <v>41149</v>
      </c>
      <c r="J116" s="46"/>
      <c r="K116" s="46"/>
      <c r="L116" s="1091"/>
      <c r="M116" s="1091"/>
      <c r="N116" s="1091"/>
      <c r="O116" s="1091"/>
      <c r="P116" s="1091"/>
      <c r="Q116" s="1091"/>
      <c r="R116" s="1091"/>
      <c r="S116" s="1091"/>
      <c r="T116" s="1091"/>
      <c r="U116" s="1091"/>
      <c r="V116" s="1091"/>
      <c r="W116" s="1091"/>
      <c r="X116" s="1091"/>
      <c r="Y116" s="1091"/>
      <c r="Z116" s="1091"/>
      <c r="AA116" s="1091"/>
      <c r="AB116" s="1091"/>
      <c r="AC116" s="1091"/>
      <c r="AD116" s="1091"/>
    </row>
    <row r="117" spans="2:30" ht="28.5">
      <c r="B117" s="1078">
        <v>115</v>
      </c>
      <c r="C117" s="1079">
        <v>41149</v>
      </c>
      <c r="D117" s="1091" t="s">
        <v>584</v>
      </c>
      <c r="E117" s="1091" t="s">
        <v>350</v>
      </c>
      <c r="F117" s="1076" t="s">
        <v>764</v>
      </c>
      <c r="G117" s="1086" t="s">
        <v>744</v>
      </c>
      <c r="H117" s="1086" t="s">
        <v>747</v>
      </c>
      <c r="I117" s="1079">
        <f>Table1[[#This Row],[Date]]</f>
        <v>41149</v>
      </c>
      <c r="J117" s="46"/>
      <c r="K117" s="46"/>
      <c r="L117" s="1091"/>
      <c r="M117" s="1091"/>
      <c r="N117" s="1091"/>
      <c r="O117" s="1091"/>
      <c r="P117" s="1091"/>
      <c r="Q117" s="1091"/>
      <c r="R117" s="1091"/>
      <c r="S117" s="1091"/>
      <c r="T117" s="1091"/>
      <c r="U117" s="1091"/>
      <c r="V117" s="1091"/>
      <c r="W117" s="1091"/>
      <c r="X117" s="1091"/>
      <c r="Y117" s="1091"/>
      <c r="Z117" s="1091"/>
      <c r="AA117" s="1091"/>
      <c r="AB117" s="1091"/>
      <c r="AC117" s="1091"/>
      <c r="AD117" s="1091"/>
    </row>
    <row r="118" spans="2:30">
      <c r="B118" s="1078">
        <v>116</v>
      </c>
      <c r="C118" s="1079">
        <v>41149</v>
      </c>
      <c r="D118" s="1091" t="s">
        <v>584</v>
      </c>
      <c r="E118" s="1091" t="s">
        <v>350</v>
      </c>
      <c r="F118" s="1076" t="s">
        <v>765</v>
      </c>
      <c r="G118" s="1086" t="s">
        <v>748</v>
      </c>
      <c r="H118" s="1086" t="s">
        <v>749</v>
      </c>
      <c r="I118" s="1079">
        <f>Table1[[#This Row],[Date]]</f>
        <v>41149</v>
      </c>
      <c r="J118" s="46"/>
      <c r="K118" s="46"/>
      <c r="L118" s="1091"/>
      <c r="M118" s="1091"/>
      <c r="N118" s="1091"/>
      <c r="O118" s="1091"/>
      <c r="P118" s="1091"/>
      <c r="Q118" s="1091"/>
      <c r="R118" s="1091"/>
      <c r="S118" s="1091"/>
      <c r="T118" s="1091"/>
      <c r="U118" s="1091"/>
      <c r="V118" s="1091"/>
      <c r="W118" s="1091"/>
      <c r="X118" s="1091"/>
      <c r="Y118" s="1091"/>
      <c r="Z118" s="1091"/>
      <c r="AA118" s="1091"/>
      <c r="AB118" s="1091"/>
      <c r="AC118" s="1091"/>
      <c r="AD118" s="1091"/>
    </row>
    <row r="119" spans="2:30" ht="28.5">
      <c r="B119" s="1078">
        <v>117</v>
      </c>
      <c r="C119" s="1079">
        <v>41149</v>
      </c>
      <c r="D119" s="1091" t="s">
        <v>584</v>
      </c>
      <c r="E119" s="1091" t="s">
        <v>100</v>
      </c>
      <c r="F119" s="1076" t="s">
        <v>586</v>
      </c>
      <c r="G119" s="1086" t="s">
        <v>738</v>
      </c>
      <c r="H119" s="1086" t="s">
        <v>713</v>
      </c>
      <c r="I119" s="1079">
        <f>Table1[[#This Row],[Date]]</f>
        <v>41149</v>
      </c>
      <c r="J119" s="46"/>
      <c r="K119" s="46"/>
      <c r="L119" s="1091"/>
      <c r="M119" s="1091"/>
      <c r="N119" s="1091"/>
      <c r="O119" s="1091"/>
      <c r="P119" s="1091"/>
      <c r="Q119" s="1091"/>
      <c r="R119" s="1091"/>
      <c r="S119" s="1091"/>
      <c r="T119" s="1091"/>
      <c r="U119" s="1091"/>
      <c r="V119" s="1091"/>
      <c r="W119" s="1091"/>
      <c r="X119" s="1091"/>
      <c r="Y119" s="1091"/>
      <c r="Z119" s="1091"/>
      <c r="AA119" s="1091"/>
      <c r="AB119" s="1091"/>
      <c r="AC119" s="1091"/>
      <c r="AD119" s="1091"/>
    </row>
    <row r="120" spans="2:30" ht="28.5">
      <c r="B120" s="1078">
        <v>118</v>
      </c>
      <c r="C120" s="1079">
        <v>41149</v>
      </c>
      <c r="D120" s="1091" t="s">
        <v>584</v>
      </c>
      <c r="E120" s="1091" t="s">
        <v>100</v>
      </c>
      <c r="F120" s="1076" t="s">
        <v>600</v>
      </c>
      <c r="G120" s="1086" t="s">
        <v>738</v>
      </c>
      <c r="H120" s="1086" t="s">
        <v>713</v>
      </c>
      <c r="I120" s="1079">
        <f>Table1[[#This Row],[Date]]</f>
        <v>41149</v>
      </c>
      <c r="J120" s="46"/>
      <c r="K120" s="46"/>
      <c r="L120" s="1091"/>
      <c r="M120" s="1091"/>
      <c r="N120" s="1091"/>
      <c r="O120" s="1091"/>
      <c r="P120" s="1091"/>
      <c r="Q120" s="1091"/>
      <c r="R120" s="1091"/>
      <c r="S120" s="1091"/>
      <c r="T120" s="1091"/>
      <c r="U120" s="1091"/>
      <c r="V120" s="1091"/>
      <c r="W120" s="1091"/>
      <c r="X120" s="1091"/>
      <c r="Y120" s="1091"/>
      <c r="Z120" s="1091"/>
      <c r="AA120" s="1091"/>
      <c r="AB120" s="1091"/>
      <c r="AC120" s="1091"/>
      <c r="AD120" s="1091"/>
    </row>
    <row r="121" spans="2:30" ht="28.5">
      <c r="B121" s="1078">
        <v>119</v>
      </c>
      <c r="C121" s="1079">
        <v>41149</v>
      </c>
      <c r="D121" s="1091" t="s">
        <v>584</v>
      </c>
      <c r="E121" s="1091" t="s">
        <v>100</v>
      </c>
      <c r="F121" s="1076" t="s">
        <v>766</v>
      </c>
      <c r="G121" s="1086" t="s">
        <v>738</v>
      </c>
      <c r="H121" s="1086" t="s">
        <v>713</v>
      </c>
      <c r="I121" s="1079">
        <f>Table1[[#This Row],[Date]]</f>
        <v>41149</v>
      </c>
      <c r="J121" s="46"/>
      <c r="K121" s="46"/>
      <c r="L121" s="1091"/>
      <c r="M121" s="1091"/>
      <c r="N121" s="1091"/>
      <c r="O121" s="1091"/>
      <c r="P121" s="1091"/>
      <c r="Q121" s="1091"/>
      <c r="R121" s="1091"/>
      <c r="S121" s="1091"/>
      <c r="T121" s="1091"/>
      <c r="U121" s="1091"/>
      <c r="V121" s="1091"/>
      <c r="W121" s="1091"/>
      <c r="X121" s="1091"/>
      <c r="Y121" s="1091"/>
      <c r="Z121" s="1091"/>
      <c r="AA121" s="1091"/>
      <c r="AB121" s="1091"/>
      <c r="AC121" s="1091"/>
      <c r="AD121" s="1091"/>
    </row>
    <row r="122" spans="2:30" ht="28.5">
      <c r="B122" s="1078">
        <v>120</v>
      </c>
      <c r="C122" s="1079">
        <v>41149</v>
      </c>
      <c r="D122" s="1091" t="s">
        <v>584</v>
      </c>
      <c r="E122" s="1091" t="s">
        <v>100</v>
      </c>
      <c r="F122" s="1076" t="s">
        <v>769</v>
      </c>
      <c r="G122" s="1086" t="s">
        <v>744</v>
      </c>
      <c r="H122" s="1086" t="s">
        <v>747</v>
      </c>
      <c r="I122" s="1079">
        <f>Table1[[#This Row],[Date]]</f>
        <v>41149</v>
      </c>
      <c r="J122" s="46"/>
      <c r="K122" s="46"/>
      <c r="L122" s="1091"/>
      <c r="M122" s="1091"/>
      <c r="N122" s="1091"/>
      <c r="O122" s="1091"/>
      <c r="P122" s="1091"/>
      <c r="Q122" s="1091"/>
      <c r="R122" s="1091"/>
      <c r="S122" s="1091"/>
      <c r="T122" s="1091"/>
      <c r="U122" s="1091"/>
      <c r="V122" s="1091"/>
      <c r="W122" s="1091"/>
      <c r="X122" s="1091"/>
      <c r="Y122" s="1091"/>
      <c r="Z122" s="1091"/>
      <c r="AA122" s="1091"/>
      <c r="AB122" s="1091"/>
      <c r="AC122" s="1091"/>
      <c r="AD122" s="1091"/>
    </row>
    <row r="123" spans="2:30" ht="28.5">
      <c r="B123" s="1078">
        <v>121</v>
      </c>
      <c r="C123" s="1079">
        <v>41149</v>
      </c>
      <c r="D123" s="1091" t="s">
        <v>584</v>
      </c>
      <c r="E123" s="1091" t="s">
        <v>100</v>
      </c>
      <c r="F123" s="1076" t="s">
        <v>743</v>
      </c>
      <c r="G123" s="1086" t="s">
        <v>744</v>
      </c>
      <c r="H123" s="1086" t="s">
        <v>770</v>
      </c>
      <c r="I123" s="1079">
        <f>Table1[[#This Row],[Date]]</f>
        <v>41149</v>
      </c>
      <c r="J123" s="46"/>
      <c r="K123" s="46"/>
      <c r="L123" s="1091"/>
      <c r="M123" s="1091"/>
      <c r="N123" s="1091"/>
      <c r="O123" s="1091"/>
      <c r="P123" s="1091"/>
      <c r="Q123" s="1091"/>
      <c r="R123" s="1091"/>
      <c r="S123" s="1091"/>
      <c r="T123" s="1091"/>
      <c r="U123" s="1091"/>
      <c r="V123" s="1091"/>
      <c r="W123" s="1091"/>
      <c r="X123" s="1091"/>
      <c r="Y123" s="1091"/>
      <c r="Z123" s="1091"/>
      <c r="AA123" s="1091"/>
      <c r="AB123" s="1091"/>
      <c r="AC123" s="1091"/>
      <c r="AD123" s="1091"/>
    </row>
    <row r="124" spans="2:30">
      <c r="B124" s="1078">
        <v>122</v>
      </c>
      <c r="C124" s="1079">
        <v>41149</v>
      </c>
      <c r="D124" s="1091" t="s">
        <v>584</v>
      </c>
      <c r="E124" s="1091" t="s">
        <v>100</v>
      </c>
      <c r="F124" s="1076" t="s">
        <v>771</v>
      </c>
      <c r="G124" s="1086" t="s">
        <v>748</v>
      </c>
      <c r="H124" s="1086" t="s">
        <v>772</v>
      </c>
      <c r="I124" s="1079">
        <f>Table1[[#This Row],[Date]]</f>
        <v>41149</v>
      </c>
      <c r="J124" s="46"/>
      <c r="K124" s="46"/>
      <c r="L124" s="1091"/>
      <c r="M124" s="1091"/>
      <c r="N124" s="1091"/>
      <c r="O124" s="1091"/>
      <c r="P124" s="1091"/>
      <c r="Q124" s="1091"/>
      <c r="R124" s="1091"/>
      <c r="S124" s="1091"/>
      <c r="T124" s="1091"/>
      <c r="U124" s="1091"/>
      <c r="V124" s="1091"/>
      <c r="W124" s="1091"/>
      <c r="X124" s="1091"/>
      <c r="Y124" s="1091"/>
      <c r="Z124" s="1091"/>
      <c r="AA124" s="1091"/>
      <c r="AB124" s="1091"/>
      <c r="AC124" s="1091"/>
      <c r="AD124" s="1091"/>
    </row>
    <row r="125" spans="2:30">
      <c r="B125" s="1078">
        <v>123</v>
      </c>
      <c r="C125" s="1079">
        <v>41149</v>
      </c>
      <c r="D125" s="1091" t="s">
        <v>584</v>
      </c>
      <c r="E125" s="1091" t="s">
        <v>100</v>
      </c>
      <c r="F125" s="1076" t="s">
        <v>773</v>
      </c>
      <c r="G125" s="1086" t="s">
        <v>774</v>
      </c>
      <c r="H125" s="1086" t="s">
        <v>775</v>
      </c>
      <c r="I125" s="1079">
        <f>Table1[[#This Row],[Date]]</f>
        <v>41149</v>
      </c>
      <c r="J125" s="46"/>
      <c r="K125" s="46"/>
      <c r="L125" s="1091"/>
      <c r="M125" s="1091"/>
      <c r="N125" s="1091"/>
      <c r="O125" s="1091"/>
      <c r="P125" s="1091"/>
      <c r="Q125" s="1091"/>
      <c r="R125" s="1091"/>
      <c r="S125" s="1091"/>
      <c r="T125" s="1091"/>
      <c r="U125" s="1091"/>
      <c r="V125" s="1091"/>
      <c r="W125" s="1091"/>
      <c r="X125" s="1091"/>
      <c r="Y125" s="1091"/>
      <c r="Z125" s="1091"/>
      <c r="AA125" s="1091"/>
      <c r="AB125" s="1091"/>
      <c r="AC125" s="1091"/>
      <c r="AD125" s="1091"/>
    </row>
    <row r="126" spans="2:30" ht="28.5">
      <c r="B126" s="1078">
        <v>124</v>
      </c>
      <c r="C126" s="1079">
        <v>41149</v>
      </c>
      <c r="D126" s="1091" t="s">
        <v>584</v>
      </c>
      <c r="E126" s="1091" t="s">
        <v>100</v>
      </c>
      <c r="F126" s="1076" t="s">
        <v>718</v>
      </c>
      <c r="G126" s="1086" t="s">
        <v>776</v>
      </c>
      <c r="H126" s="1086" t="s">
        <v>777</v>
      </c>
      <c r="I126" s="1079">
        <f>Table1[[#This Row],[Date]]</f>
        <v>41149</v>
      </c>
      <c r="J126" s="46"/>
      <c r="K126" s="46"/>
      <c r="L126" s="1091"/>
      <c r="M126" s="1091"/>
      <c r="N126" s="1091"/>
      <c r="O126" s="1091"/>
      <c r="P126" s="1091"/>
      <c r="Q126" s="1091"/>
      <c r="R126" s="1091"/>
      <c r="S126" s="1091"/>
      <c r="T126" s="1091"/>
      <c r="U126" s="1091"/>
      <c r="V126" s="1091"/>
      <c r="W126" s="1091"/>
      <c r="X126" s="1091"/>
      <c r="Y126" s="1091"/>
      <c r="Z126" s="1091"/>
      <c r="AA126" s="1091"/>
      <c r="AB126" s="1091"/>
      <c r="AC126" s="1091"/>
      <c r="AD126" s="1091"/>
    </row>
    <row r="127" spans="2:30">
      <c r="B127" s="1078">
        <v>125</v>
      </c>
      <c r="C127" s="1079">
        <v>41149</v>
      </c>
      <c r="D127" s="1091" t="s">
        <v>584</v>
      </c>
      <c r="E127" s="1091" t="s">
        <v>100</v>
      </c>
      <c r="F127" s="1076" t="s">
        <v>719</v>
      </c>
      <c r="G127" s="1086" t="s">
        <v>778</v>
      </c>
      <c r="H127" s="1086" t="s">
        <v>779</v>
      </c>
      <c r="I127" s="1079">
        <f>Table1[[#This Row],[Date]]</f>
        <v>41149</v>
      </c>
      <c r="J127" s="46"/>
      <c r="K127" s="46"/>
      <c r="L127" s="1091"/>
      <c r="M127" s="1091"/>
      <c r="N127" s="1091"/>
      <c r="O127" s="1091"/>
      <c r="P127" s="1091"/>
      <c r="Q127" s="1091"/>
      <c r="R127" s="1091"/>
      <c r="S127" s="1091"/>
      <c r="T127" s="1091"/>
      <c r="U127" s="1091"/>
      <c r="V127" s="1091"/>
      <c r="W127" s="1091"/>
      <c r="X127" s="1091"/>
      <c r="Y127" s="1091"/>
      <c r="Z127" s="1091"/>
      <c r="AA127" s="1091"/>
      <c r="AB127" s="1091"/>
      <c r="AC127" s="1091"/>
      <c r="AD127" s="1091"/>
    </row>
    <row r="128" spans="2:30">
      <c r="B128" s="1078">
        <v>126</v>
      </c>
      <c r="C128" s="1079">
        <v>41149</v>
      </c>
      <c r="D128" s="1091" t="s">
        <v>584</v>
      </c>
      <c r="E128" s="1091" t="s">
        <v>100</v>
      </c>
      <c r="F128" s="1076" t="s">
        <v>725</v>
      </c>
      <c r="G128" s="1086" t="s">
        <v>778</v>
      </c>
      <c r="H128" s="1086" t="s">
        <v>779</v>
      </c>
      <c r="I128" s="1079">
        <f>Table1[[#This Row],[Date]]</f>
        <v>41149</v>
      </c>
      <c r="J128" s="46"/>
      <c r="K128" s="46"/>
      <c r="L128" s="1091"/>
      <c r="M128" s="1091"/>
      <c r="N128" s="1091"/>
      <c r="O128" s="1091"/>
      <c r="P128" s="1091"/>
      <c r="Q128" s="1091"/>
      <c r="R128" s="1091"/>
      <c r="S128" s="1091"/>
      <c r="T128" s="1091"/>
      <c r="U128" s="1091"/>
      <c r="V128" s="1091"/>
      <c r="W128" s="1091"/>
      <c r="X128" s="1091"/>
      <c r="Y128" s="1091"/>
      <c r="Z128" s="1091"/>
      <c r="AA128" s="1091"/>
      <c r="AB128" s="1091"/>
      <c r="AC128" s="1091"/>
      <c r="AD128" s="1091"/>
    </row>
    <row r="129" spans="2:30" ht="28.5">
      <c r="B129" s="1078">
        <v>127</v>
      </c>
      <c r="C129" s="1079">
        <v>41149</v>
      </c>
      <c r="D129" s="1091" t="s">
        <v>584</v>
      </c>
      <c r="E129" s="1091" t="s">
        <v>100</v>
      </c>
      <c r="F129" s="1076" t="s">
        <v>726</v>
      </c>
      <c r="G129" s="1086" t="s">
        <v>780</v>
      </c>
      <c r="H129" s="1086" t="s">
        <v>781</v>
      </c>
      <c r="I129" s="1079">
        <f>Table1[[#This Row],[Date]]</f>
        <v>41149</v>
      </c>
      <c r="J129" s="46"/>
      <c r="K129" s="46"/>
      <c r="L129" s="1091"/>
      <c r="M129" s="1091"/>
      <c r="N129" s="1091"/>
      <c r="O129" s="1091"/>
      <c r="P129" s="1091"/>
      <c r="Q129" s="1091"/>
      <c r="R129" s="1091"/>
      <c r="S129" s="1091"/>
      <c r="T129" s="1091"/>
      <c r="U129" s="1091"/>
      <c r="V129" s="1091"/>
      <c r="W129" s="1091"/>
      <c r="X129" s="1091"/>
      <c r="Y129" s="1091"/>
      <c r="Z129" s="1091"/>
      <c r="AA129" s="1091"/>
      <c r="AB129" s="1091"/>
      <c r="AC129" s="1091"/>
      <c r="AD129" s="1091"/>
    </row>
    <row r="130" spans="2:30">
      <c r="B130" s="1078">
        <v>128</v>
      </c>
      <c r="C130" s="1079">
        <v>41149</v>
      </c>
      <c r="D130" s="1091" t="s">
        <v>584</v>
      </c>
      <c r="E130" s="1091" t="s">
        <v>100</v>
      </c>
      <c r="F130" s="1076" t="s">
        <v>782</v>
      </c>
      <c r="G130" s="1086" t="s">
        <v>778</v>
      </c>
      <c r="H130" s="1086" t="s">
        <v>779</v>
      </c>
      <c r="I130" s="1079">
        <f>Table1[[#This Row],[Date]]</f>
        <v>41149</v>
      </c>
      <c r="J130" s="46"/>
      <c r="K130" s="46"/>
      <c r="L130" s="1091"/>
      <c r="M130" s="1091"/>
      <c r="N130" s="1091"/>
      <c r="O130" s="1091"/>
      <c r="P130" s="1091"/>
      <c r="Q130" s="1091"/>
      <c r="R130" s="1091"/>
      <c r="S130" s="1091"/>
      <c r="T130" s="1091"/>
      <c r="U130" s="1091"/>
      <c r="V130" s="1091"/>
      <c r="W130" s="1091"/>
      <c r="X130" s="1091"/>
      <c r="Y130" s="1091"/>
      <c r="Z130" s="1091"/>
      <c r="AA130" s="1091"/>
      <c r="AB130" s="1091"/>
      <c r="AC130" s="1091"/>
      <c r="AD130" s="1091"/>
    </row>
    <row r="131" spans="2:30">
      <c r="B131" s="1078">
        <v>129</v>
      </c>
      <c r="C131" s="1079">
        <v>41149</v>
      </c>
      <c r="D131" s="1091" t="s">
        <v>584</v>
      </c>
      <c r="E131" s="1091" t="s">
        <v>100</v>
      </c>
      <c r="F131" s="1076" t="s">
        <v>783</v>
      </c>
      <c r="G131" s="1086" t="s">
        <v>784</v>
      </c>
      <c r="H131" s="1086" t="s">
        <v>785</v>
      </c>
      <c r="I131" s="1079">
        <f>Table1[[#This Row],[Date]]</f>
        <v>41149</v>
      </c>
      <c r="J131" s="46"/>
      <c r="K131" s="46"/>
      <c r="L131" s="1091"/>
      <c r="M131" s="1091"/>
      <c r="N131" s="1091"/>
      <c r="O131" s="1091"/>
      <c r="P131" s="1091"/>
      <c r="Q131" s="1091"/>
      <c r="R131" s="1091"/>
      <c r="S131" s="1091"/>
      <c r="T131" s="1091"/>
      <c r="U131" s="1091"/>
      <c r="V131" s="1091"/>
      <c r="W131" s="1091"/>
      <c r="X131" s="1091"/>
      <c r="Y131" s="1091"/>
      <c r="Z131" s="1091"/>
      <c r="AA131" s="1091"/>
      <c r="AB131" s="1091"/>
      <c r="AC131" s="1091"/>
      <c r="AD131" s="1091"/>
    </row>
    <row r="132" spans="2:30">
      <c r="B132" s="1078">
        <v>130</v>
      </c>
      <c r="C132" s="1079">
        <v>41149</v>
      </c>
      <c r="D132" s="1091" t="s">
        <v>584</v>
      </c>
      <c r="E132" s="1091" t="s">
        <v>100</v>
      </c>
      <c r="F132" s="1076" t="s">
        <v>786</v>
      </c>
      <c r="G132" s="1086" t="s">
        <v>748</v>
      </c>
      <c r="H132" s="1086" t="s">
        <v>772</v>
      </c>
      <c r="I132" s="1079">
        <f>Table1[[#This Row],[Date]]</f>
        <v>41149</v>
      </c>
      <c r="J132" s="46"/>
      <c r="K132" s="46"/>
      <c r="L132" s="1091"/>
      <c r="M132" s="1091"/>
      <c r="N132" s="1091"/>
      <c r="O132" s="1091"/>
      <c r="P132" s="1091"/>
      <c r="Q132" s="1091"/>
      <c r="R132" s="1091"/>
      <c r="S132" s="1091"/>
      <c r="T132" s="1091"/>
      <c r="U132" s="1091"/>
      <c r="V132" s="1091"/>
      <c r="W132" s="1091"/>
      <c r="X132" s="1091"/>
      <c r="Y132" s="1091"/>
      <c r="Z132" s="1091"/>
      <c r="AA132" s="1091"/>
      <c r="AB132" s="1091"/>
      <c r="AC132" s="1091"/>
      <c r="AD132" s="1091"/>
    </row>
    <row r="133" spans="2:30" ht="42.75">
      <c r="B133" s="1078">
        <v>131</v>
      </c>
      <c r="C133" s="1079">
        <v>41149</v>
      </c>
      <c r="D133" s="1091" t="s">
        <v>584</v>
      </c>
      <c r="E133" s="1091" t="s">
        <v>100</v>
      </c>
      <c r="F133" s="1076" t="s">
        <v>787</v>
      </c>
      <c r="G133" s="1086" t="s">
        <v>626</v>
      </c>
      <c r="H133" s="1086" t="s">
        <v>627</v>
      </c>
      <c r="I133" s="1079">
        <f>Table1[[#This Row],[Date]]</f>
        <v>41149</v>
      </c>
      <c r="J133" s="46"/>
      <c r="K133" s="46"/>
      <c r="L133" s="1091"/>
      <c r="M133" s="1091"/>
      <c r="N133" s="1091"/>
      <c r="O133" s="1091"/>
      <c r="P133" s="1091"/>
      <c r="Q133" s="1091"/>
      <c r="R133" s="1091"/>
      <c r="S133" s="1091"/>
      <c r="T133" s="1091"/>
      <c r="U133" s="1091"/>
      <c r="V133" s="1091"/>
      <c r="W133" s="1091"/>
      <c r="X133" s="1091"/>
      <c r="Y133" s="1091"/>
      <c r="Z133" s="1091"/>
      <c r="AA133" s="1091"/>
      <c r="AB133" s="1091"/>
      <c r="AC133" s="1091"/>
      <c r="AD133" s="1091"/>
    </row>
    <row r="134" spans="2:30">
      <c r="B134" s="1078">
        <v>132</v>
      </c>
      <c r="C134" s="1079">
        <v>41149</v>
      </c>
      <c r="D134" s="1091" t="s">
        <v>584</v>
      </c>
      <c r="E134" s="1091" t="s">
        <v>100</v>
      </c>
      <c r="F134" s="1076" t="s">
        <v>600</v>
      </c>
      <c r="G134" s="1086" t="s">
        <v>587</v>
      </c>
      <c r="H134" s="1086" t="s">
        <v>788</v>
      </c>
      <c r="I134" s="1079">
        <f>Table1[[#This Row],[Date]]</f>
        <v>41149</v>
      </c>
      <c r="J134" s="46"/>
      <c r="K134" s="46"/>
      <c r="L134" s="1091"/>
      <c r="M134" s="1091"/>
      <c r="N134" s="1091"/>
      <c r="O134" s="1091"/>
      <c r="P134" s="1091"/>
      <c r="Q134" s="1091"/>
      <c r="R134" s="1091"/>
      <c r="S134" s="1091"/>
      <c r="T134" s="1091"/>
      <c r="U134" s="1091"/>
      <c r="V134" s="1091"/>
      <c r="W134" s="1091"/>
      <c r="X134" s="1091"/>
      <c r="Y134" s="1091"/>
      <c r="Z134" s="1091"/>
      <c r="AA134" s="1091"/>
      <c r="AB134" s="1091"/>
      <c r="AC134" s="1091"/>
      <c r="AD134" s="1091"/>
    </row>
    <row r="135" spans="2:30" ht="28.5">
      <c r="B135" s="1078">
        <v>133</v>
      </c>
      <c r="C135" s="1079">
        <v>41149</v>
      </c>
      <c r="D135" s="1091" t="s">
        <v>584</v>
      </c>
      <c r="E135" s="1091" t="s">
        <v>101</v>
      </c>
      <c r="F135" s="1076" t="s">
        <v>586</v>
      </c>
      <c r="G135" s="1086" t="s">
        <v>738</v>
      </c>
      <c r="H135" s="1086" t="s">
        <v>713</v>
      </c>
      <c r="I135" s="1079">
        <f>Table1[[#This Row],[Date]]</f>
        <v>41149</v>
      </c>
      <c r="J135" s="46"/>
      <c r="K135" s="46"/>
      <c r="L135" s="1091"/>
      <c r="M135" s="1091"/>
      <c r="N135" s="1091"/>
      <c r="O135" s="1091"/>
      <c r="P135" s="1091"/>
      <c r="Q135" s="1091"/>
      <c r="R135" s="1091"/>
      <c r="S135" s="1091"/>
      <c r="T135" s="1091"/>
      <c r="U135" s="1091"/>
      <c r="V135" s="1091"/>
      <c r="W135" s="1091"/>
      <c r="X135" s="1091"/>
      <c r="Y135" s="1091"/>
      <c r="Z135" s="1091"/>
      <c r="AA135" s="1091"/>
      <c r="AB135" s="1091"/>
      <c r="AC135" s="1091"/>
      <c r="AD135" s="1091"/>
    </row>
    <row r="136" spans="2:30" ht="28.5">
      <c r="B136" s="1078">
        <v>134</v>
      </c>
      <c r="C136" s="1079">
        <v>41149</v>
      </c>
      <c r="D136" s="1091" t="s">
        <v>584</v>
      </c>
      <c r="E136" s="1091" t="s">
        <v>101</v>
      </c>
      <c r="F136" s="1076" t="s">
        <v>611</v>
      </c>
      <c r="G136" s="1086" t="s">
        <v>738</v>
      </c>
      <c r="H136" s="1086" t="s">
        <v>713</v>
      </c>
      <c r="I136" s="1079">
        <f>Table1[[#This Row],[Date]]</f>
        <v>41149</v>
      </c>
      <c r="J136" s="46"/>
      <c r="K136" s="46"/>
      <c r="L136" s="1091"/>
      <c r="M136" s="1091"/>
      <c r="N136" s="1091"/>
      <c r="O136" s="1091"/>
      <c r="P136" s="1091"/>
      <c r="Q136" s="1091"/>
      <c r="R136" s="1091"/>
      <c r="S136" s="1091"/>
      <c r="T136" s="1091"/>
      <c r="U136" s="1091"/>
      <c r="V136" s="1091"/>
      <c r="W136" s="1091"/>
      <c r="X136" s="1091"/>
      <c r="Y136" s="1091"/>
      <c r="Z136" s="1091"/>
      <c r="AA136" s="1091"/>
      <c r="AB136" s="1091"/>
      <c r="AC136" s="1091"/>
      <c r="AD136" s="1091"/>
    </row>
    <row r="137" spans="2:30">
      <c r="B137" s="1078">
        <v>135</v>
      </c>
      <c r="C137" s="1079">
        <v>41149</v>
      </c>
      <c r="D137" s="1091" t="s">
        <v>584</v>
      </c>
      <c r="E137" s="1091" t="s">
        <v>101</v>
      </c>
      <c r="F137" s="1076" t="s">
        <v>611</v>
      </c>
      <c r="G137" s="1086" t="s">
        <v>789</v>
      </c>
      <c r="H137" s="1086" t="s">
        <v>790</v>
      </c>
      <c r="I137" s="1079">
        <f>Table1[[#This Row],[Date]]</f>
        <v>41149</v>
      </c>
      <c r="J137" s="46"/>
      <c r="K137" s="46"/>
      <c r="L137" s="1091"/>
      <c r="M137" s="1091"/>
      <c r="N137" s="1091"/>
      <c r="O137" s="1091"/>
      <c r="P137" s="1091"/>
      <c r="Q137" s="1091"/>
      <c r="R137" s="1091"/>
      <c r="S137" s="1091"/>
      <c r="T137" s="1091"/>
      <c r="U137" s="1091"/>
      <c r="V137" s="1091"/>
      <c r="W137" s="1091"/>
      <c r="X137" s="1091"/>
      <c r="Y137" s="1091"/>
      <c r="Z137" s="1091"/>
      <c r="AA137" s="1091"/>
      <c r="AB137" s="1091"/>
      <c r="AC137" s="1091"/>
      <c r="AD137" s="1091"/>
    </row>
    <row r="138" spans="2:30" ht="28.5">
      <c r="B138" s="1078">
        <v>136</v>
      </c>
      <c r="C138" s="1079">
        <v>41149</v>
      </c>
      <c r="D138" s="1091" t="s">
        <v>584</v>
      </c>
      <c r="E138" s="1091" t="s">
        <v>101</v>
      </c>
      <c r="F138" s="1076" t="s">
        <v>630</v>
      </c>
      <c r="G138" s="1086" t="s">
        <v>744</v>
      </c>
      <c r="H138" s="1086" t="s">
        <v>792</v>
      </c>
      <c r="I138" s="1079">
        <f>Table1[[#This Row],[Date]]</f>
        <v>41149</v>
      </c>
      <c r="J138" s="46"/>
      <c r="K138" s="46"/>
      <c r="L138" s="1091"/>
      <c r="M138" s="1091"/>
      <c r="N138" s="1091"/>
      <c r="O138" s="1091"/>
      <c r="P138" s="1091"/>
      <c r="Q138" s="1091"/>
      <c r="R138" s="1091"/>
      <c r="S138" s="1091"/>
      <c r="T138" s="1091"/>
      <c r="U138" s="1091"/>
      <c r="V138" s="1091"/>
      <c r="W138" s="1091"/>
      <c r="X138" s="1091"/>
      <c r="Y138" s="1091"/>
      <c r="Z138" s="1091"/>
      <c r="AA138" s="1091"/>
      <c r="AB138" s="1091"/>
      <c r="AC138" s="1091"/>
      <c r="AD138" s="1091"/>
    </row>
    <row r="139" spans="2:30" ht="28.5">
      <c r="B139" s="1078">
        <v>137</v>
      </c>
      <c r="C139" s="1079">
        <v>41149</v>
      </c>
      <c r="D139" s="1091" t="s">
        <v>584</v>
      </c>
      <c r="E139" s="1091" t="s">
        <v>101</v>
      </c>
      <c r="F139" s="1076" t="s">
        <v>629</v>
      </c>
      <c r="G139" s="1086" t="s">
        <v>793</v>
      </c>
      <c r="H139" s="1086" t="s">
        <v>794</v>
      </c>
      <c r="I139" s="1079">
        <f>Table1[[#This Row],[Date]]</f>
        <v>41149</v>
      </c>
      <c r="J139" s="46"/>
      <c r="K139" s="46"/>
      <c r="L139" s="1091"/>
      <c r="M139" s="1091"/>
      <c r="N139" s="1091"/>
      <c r="O139" s="1091"/>
      <c r="P139" s="1091"/>
      <c r="Q139" s="1091"/>
      <c r="R139" s="1091"/>
      <c r="S139" s="1091"/>
      <c r="T139" s="1091"/>
      <c r="U139" s="1091"/>
      <c r="V139" s="1091"/>
      <c r="W139" s="1091"/>
      <c r="X139" s="1091"/>
      <c r="Y139" s="1091"/>
      <c r="Z139" s="1091"/>
      <c r="AA139" s="1091"/>
      <c r="AB139" s="1091"/>
      <c r="AC139" s="1091"/>
      <c r="AD139" s="1091"/>
    </row>
    <row r="140" spans="2:30">
      <c r="B140" s="1078">
        <v>138</v>
      </c>
      <c r="C140" s="1079">
        <v>41149</v>
      </c>
      <c r="D140" s="1091" t="s">
        <v>584</v>
      </c>
      <c r="E140" s="1091" t="s">
        <v>101</v>
      </c>
      <c r="F140" s="1076" t="s">
        <v>631</v>
      </c>
      <c r="G140" s="1086" t="s">
        <v>603</v>
      </c>
      <c r="H140" s="1086" t="s">
        <v>604</v>
      </c>
      <c r="I140" s="1079">
        <f>Table1[[#This Row],[Date]]</f>
        <v>41149</v>
      </c>
      <c r="J140" s="46"/>
      <c r="K140" s="46"/>
      <c r="L140" s="1091"/>
      <c r="M140" s="1091"/>
      <c r="N140" s="1091"/>
      <c r="O140" s="1091"/>
      <c r="P140" s="1091"/>
      <c r="Q140" s="1091"/>
      <c r="R140" s="1091"/>
      <c r="S140" s="1091"/>
      <c r="T140" s="1091"/>
      <c r="U140" s="1091"/>
      <c r="V140" s="1091"/>
      <c r="W140" s="1091"/>
      <c r="X140" s="1091"/>
      <c r="Y140" s="1091"/>
      <c r="Z140" s="1091"/>
      <c r="AA140" s="1091"/>
      <c r="AB140" s="1091"/>
      <c r="AC140" s="1091"/>
      <c r="AD140" s="1091"/>
    </row>
    <row r="141" spans="2:30">
      <c r="B141" s="1078">
        <v>139</v>
      </c>
      <c r="C141" s="1079">
        <v>41149</v>
      </c>
      <c r="D141" s="1091" t="s">
        <v>584</v>
      </c>
      <c r="E141" s="1091" t="s">
        <v>101</v>
      </c>
      <c r="F141" s="1076" t="s">
        <v>632</v>
      </c>
      <c r="G141" s="1086" t="s">
        <v>603</v>
      </c>
      <c r="H141" s="1086" t="s">
        <v>604</v>
      </c>
      <c r="I141" s="1079">
        <f>Table1[[#This Row],[Date]]</f>
        <v>41149</v>
      </c>
      <c r="J141" s="46"/>
      <c r="K141" s="46"/>
      <c r="L141" s="1091"/>
      <c r="M141" s="1091"/>
      <c r="N141" s="1091"/>
      <c r="O141" s="1091"/>
      <c r="P141" s="1091"/>
      <c r="Q141" s="1091"/>
      <c r="R141" s="1091"/>
      <c r="S141" s="1091"/>
      <c r="T141" s="1091"/>
      <c r="U141" s="1091"/>
      <c r="V141" s="1091"/>
      <c r="W141" s="1091"/>
      <c r="X141" s="1091"/>
      <c r="Y141" s="1091"/>
      <c r="Z141" s="1091"/>
      <c r="AA141" s="1091"/>
      <c r="AB141" s="1091"/>
      <c r="AC141" s="1091"/>
      <c r="AD141" s="1091"/>
    </row>
    <row r="142" spans="2:30">
      <c r="B142" s="1078">
        <v>140</v>
      </c>
      <c r="C142" s="1079">
        <v>41149</v>
      </c>
      <c r="D142" s="1091" t="s">
        <v>584</v>
      </c>
      <c r="E142" s="1091" t="s">
        <v>101</v>
      </c>
      <c r="F142" s="1076" t="s">
        <v>633</v>
      </c>
      <c r="G142" s="1086" t="s">
        <v>603</v>
      </c>
      <c r="H142" s="1086" t="s">
        <v>604</v>
      </c>
      <c r="I142" s="1079">
        <f>Table1[[#This Row],[Date]]</f>
        <v>41149</v>
      </c>
      <c r="J142" s="46"/>
      <c r="K142" s="46"/>
      <c r="L142" s="1091"/>
      <c r="M142" s="1091"/>
      <c r="N142" s="1091"/>
      <c r="O142" s="1091"/>
      <c r="P142" s="1091"/>
      <c r="Q142" s="1091"/>
      <c r="R142" s="1091"/>
      <c r="S142" s="1091"/>
      <c r="T142" s="1091"/>
      <c r="U142" s="1091"/>
      <c r="V142" s="1091"/>
      <c r="W142" s="1091"/>
      <c r="X142" s="1091"/>
      <c r="Y142" s="1091"/>
      <c r="Z142" s="1091"/>
      <c r="AA142" s="1091"/>
      <c r="AB142" s="1091"/>
      <c r="AC142" s="1091"/>
      <c r="AD142" s="1091"/>
    </row>
    <row r="143" spans="2:30">
      <c r="B143" s="1078">
        <v>141</v>
      </c>
      <c r="C143" s="1079">
        <v>41149</v>
      </c>
      <c r="D143" s="1091" t="s">
        <v>584</v>
      </c>
      <c r="E143" s="1091" t="s">
        <v>101</v>
      </c>
      <c r="F143" s="1076" t="s">
        <v>634</v>
      </c>
      <c r="G143" s="1086" t="s">
        <v>603</v>
      </c>
      <c r="H143" s="1086" t="s">
        <v>604</v>
      </c>
      <c r="I143" s="1079">
        <f>Table1[[#This Row],[Date]]</f>
        <v>41149</v>
      </c>
      <c r="J143" s="46"/>
      <c r="K143" s="46"/>
      <c r="L143" s="1091"/>
      <c r="M143" s="1091"/>
      <c r="N143" s="1091"/>
      <c r="O143" s="1091"/>
      <c r="P143" s="1091"/>
      <c r="Q143" s="1091"/>
      <c r="R143" s="1091"/>
      <c r="S143" s="1091"/>
      <c r="T143" s="1091"/>
      <c r="U143" s="1091"/>
      <c r="V143" s="1091"/>
      <c r="W143" s="1091"/>
      <c r="X143" s="1091"/>
      <c r="Y143" s="1091"/>
      <c r="Z143" s="1091"/>
      <c r="AA143" s="1091"/>
      <c r="AB143" s="1091"/>
      <c r="AC143" s="1091"/>
      <c r="AD143" s="1091"/>
    </row>
    <row r="144" spans="2:30" ht="42.75">
      <c r="B144" s="1078">
        <v>142</v>
      </c>
      <c r="C144" s="1079">
        <v>41149</v>
      </c>
      <c r="D144" s="1091" t="s">
        <v>584</v>
      </c>
      <c r="E144" s="1091" t="s">
        <v>101</v>
      </c>
      <c r="F144" s="1076" t="s">
        <v>722</v>
      </c>
      <c r="G144" s="1086" t="s">
        <v>626</v>
      </c>
      <c r="H144" s="1086" t="s">
        <v>627</v>
      </c>
      <c r="I144" s="1079">
        <f>Table1[[#This Row],[Date]]</f>
        <v>41149</v>
      </c>
      <c r="J144" s="46"/>
      <c r="K144" s="46"/>
      <c r="L144" s="1091"/>
      <c r="M144" s="1091"/>
      <c r="N144" s="1091"/>
      <c r="O144" s="1091"/>
      <c r="P144" s="1091"/>
      <c r="Q144" s="1091"/>
      <c r="R144" s="1091"/>
      <c r="S144" s="1091"/>
      <c r="T144" s="1091"/>
      <c r="U144" s="1091"/>
      <c r="V144" s="1091"/>
      <c r="W144" s="1091"/>
      <c r="X144" s="1091"/>
      <c r="Y144" s="1091"/>
      <c r="Z144" s="1091"/>
      <c r="AA144" s="1091"/>
      <c r="AB144" s="1091"/>
      <c r="AC144" s="1091"/>
      <c r="AD144" s="1091"/>
    </row>
    <row r="145" spans="2:30">
      <c r="B145" s="1078">
        <v>143</v>
      </c>
      <c r="C145" s="1079">
        <v>41149</v>
      </c>
      <c r="D145" s="1091" t="s">
        <v>584</v>
      </c>
      <c r="E145" s="1091" t="s">
        <v>101</v>
      </c>
      <c r="F145" s="1076" t="s">
        <v>795</v>
      </c>
      <c r="G145" s="1086" t="s">
        <v>748</v>
      </c>
      <c r="H145" s="1086" t="s">
        <v>772</v>
      </c>
      <c r="I145" s="1079">
        <f>Table1[[#This Row],[Date]]</f>
        <v>41149</v>
      </c>
      <c r="J145" s="46"/>
      <c r="K145" s="46"/>
      <c r="L145" s="1091"/>
      <c r="M145" s="1091"/>
      <c r="N145" s="1091"/>
      <c r="O145" s="1091"/>
      <c r="P145" s="1091"/>
      <c r="Q145" s="1091"/>
      <c r="R145" s="1091"/>
      <c r="S145" s="1091"/>
      <c r="T145" s="1091"/>
      <c r="U145" s="1091"/>
      <c r="V145" s="1091"/>
      <c r="W145" s="1091"/>
      <c r="X145" s="1091"/>
      <c r="Y145" s="1091"/>
      <c r="Z145" s="1091"/>
      <c r="AA145" s="1091"/>
      <c r="AB145" s="1091"/>
      <c r="AC145" s="1091"/>
      <c r="AD145" s="1091"/>
    </row>
    <row r="146" spans="2:30" ht="28.5">
      <c r="B146" s="1078">
        <v>144</v>
      </c>
      <c r="C146" s="1079">
        <v>41149</v>
      </c>
      <c r="D146" s="1091" t="s">
        <v>584</v>
      </c>
      <c r="E146" s="1091" t="s">
        <v>368</v>
      </c>
      <c r="F146" s="1076" t="s">
        <v>796</v>
      </c>
      <c r="G146" s="1086" t="s">
        <v>798</v>
      </c>
      <c r="H146" s="1086" t="s">
        <v>799</v>
      </c>
      <c r="I146" s="1079">
        <f>Table1[[#This Row],[Date]]</f>
        <v>41149</v>
      </c>
      <c r="J146" s="46"/>
      <c r="K146" s="46"/>
      <c r="L146" s="1091"/>
      <c r="M146" s="1091"/>
      <c r="N146" s="1091"/>
      <c r="O146" s="1091"/>
      <c r="P146" s="1091"/>
      <c r="Q146" s="1091"/>
      <c r="R146" s="1091"/>
      <c r="S146" s="1091"/>
      <c r="T146" s="1091"/>
      <c r="U146" s="1091"/>
      <c r="V146" s="1091"/>
      <c r="W146" s="1091"/>
      <c r="X146" s="1091"/>
      <c r="Y146" s="1091"/>
      <c r="Z146" s="1091"/>
      <c r="AA146" s="1091"/>
      <c r="AB146" s="1091"/>
      <c r="AC146" s="1091"/>
      <c r="AD146" s="1091"/>
    </row>
    <row r="147" spans="2:30" ht="28.5">
      <c r="B147" s="1078">
        <v>145</v>
      </c>
      <c r="C147" s="1079">
        <v>41149</v>
      </c>
      <c r="D147" s="1091" t="s">
        <v>584</v>
      </c>
      <c r="E147" s="1091" t="s">
        <v>368</v>
      </c>
      <c r="F147" s="1076" t="s">
        <v>797</v>
      </c>
      <c r="G147" s="1086" t="s">
        <v>798</v>
      </c>
      <c r="H147" s="1086" t="s">
        <v>800</v>
      </c>
      <c r="I147" s="1079">
        <f>Table1[[#This Row],[Date]]</f>
        <v>41149</v>
      </c>
      <c r="J147" s="46"/>
      <c r="K147" s="46"/>
      <c r="L147" s="1091"/>
      <c r="M147" s="1091"/>
      <c r="N147" s="1091"/>
      <c r="O147" s="1091"/>
      <c r="P147" s="1091"/>
      <c r="Q147" s="1091"/>
      <c r="R147" s="1091"/>
      <c r="S147" s="1091"/>
      <c r="T147" s="1091"/>
      <c r="U147" s="1091"/>
      <c r="V147" s="1091"/>
      <c r="W147" s="1091"/>
      <c r="X147" s="1091"/>
      <c r="Y147" s="1091"/>
      <c r="Z147" s="1091"/>
      <c r="AA147" s="1091"/>
      <c r="AB147" s="1091"/>
      <c r="AC147" s="1091"/>
      <c r="AD147" s="1091"/>
    </row>
    <row r="148" spans="2:30" ht="28.5">
      <c r="B148" s="1078">
        <v>146</v>
      </c>
      <c r="C148" s="1079">
        <v>41149</v>
      </c>
      <c r="D148" s="1091" t="s">
        <v>584</v>
      </c>
      <c r="E148" s="1091" t="s">
        <v>369</v>
      </c>
      <c r="F148" s="1076" t="s">
        <v>797</v>
      </c>
      <c r="G148" s="1086" t="s">
        <v>801</v>
      </c>
      <c r="H148" s="1086" t="s">
        <v>802</v>
      </c>
      <c r="I148" s="1079">
        <f>Table1[[#This Row],[Date]]</f>
        <v>41149</v>
      </c>
      <c r="J148" s="46"/>
      <c r="K148" s="46"/>
      <c r="L148" s="1091"/>
      <c r="M148" s="1091"/>
      <c r="N148" s="1091"/>
      <c r="O148" s="1091"/>
      <c r="P148" s="1091"/>
      <c r="Q148" s="1091"/>
      <c r="R148" s="1091"/>
      <c r="S148" s="1091"/>
      <c r="T148" s="1091"/>
      <c r="U148" s="1091"/>
      <c r="V148" s="1091"/>
      <c r="W148" s="1091"/>
      <c r="X148" s="1091"/>
      <c r="Y148" s="1091"/>
      <c r="Z148" s="1091"/>
      <c r="AA148" s="1091"/>
      <c r="AB148" s="1091"/>
      <c r="AC148" s="1091"/>
      <c r="AD148" s="1091"/>
    </row>
    <row r="149" spans="2:30" ht="28.5">
      <c r="B149" s="1078">
        <v>147</v>
      </c>
      <c r="C149" s="1079">
        <v>41149</v>
      </c>
      <c r="D149" s="1091" t="s">
        <v>584</v>
      </c>
      <c r="E149" s="1091" t="s">
        <v>100</v>
      </c>
      <c r="F149" s="1076" t="s">
        <v>797</v>
      </c>
      <c r="G149" s="1086" t="s">
        <v>803</v>
      </c>
      <c r="H149" s="1086" t="s">
        <v>804</v>
      </c>
      <c r="I149" s="1079">
        <f>Table1[[#This Row],[Date]]</f>
        <v>41149</v>
      </c>
      <c r="J149" s="46"/>
      <c r="K149" s="46"/>
      <c r="L149" s="1091"/>
      <c r="M149" s="1091"/>
      <c r="N149" s="1091"/>
      <c r="O149" s="1091"/>
      <c r="P149" s="1091"/>
      <c r="Q149" s="1091"/>
      <c r="R149" s="1091"/>
      <c r="S149" s="1091"/>
      <c r="T149" s="1091"/>
      <c r="U149" s="1091"/>
      <c r="V149" s="1091"/>
      <c r="W149" s="1091"/>
      <c r="X149" s="1091"/>
      <c r="Y149" s="1091"/>
      <c r="Z149" s="1091"/>
      <c r="AA149" s="1091"/>
      <c r="AB149" s="1091"/>
      <c r="AC149" s="1091"/>
      <c r="AD149" s="1091"/>
    </row>
    <row r="150" spans="2:30" ht="28.5">
      <c r="B150" s="1078">
        <v>148</v>
      </c>
      <c r="C150" s="1079">
        <v>41149</v>
      </c>
      <c r="D150" s="1091" t="s">
        <v>584</v>
      </c>
      <c r="E150" s="1091" t="s">
        <v>101</v>
      </c>
      <c r="F150" s="1076" t="s">
        <v>797</v>
      </c>
      <c r="G150" s="1086" t="s">
        <v>803</v>
      </c>
      <c r="H150" s="1086" t="s">
        <v>805</v>
      </c>
      <c r="I150" s="1079">
        <f>Table1[[#This Row],[Date]]</f>
        <v>41149</v>
      </c>
      <c r="J150" s="46"/>
      <c r="K150" s="46"/>
      <c r="L150" s="1091"/>
      <c r="M150" s="1091"/>
      <c r="N150" s="1091"/>
      <c r="O150" s="1091"/>
      <c r="P150" s="1091"/>
      <c r="Q150" s="1091"/>
      <c r="R150" s="1091"/>
      <c r="S150" s="1091"/>
      <c r="T150" s="1091"/>
      <c r="U150" s="1091"/>
      <c r="V150" s="1091"/>
      <c r="W150" s="1091"/>
      <c r="X150" s="1091"/>
      <c r="Y150" s="1091"/>
      <c r="Z150" s="1091"/>
      <c r="AA150" s="1091"/>
      <c r="AB150" s="1091"/>
      <c r="AC150" s="1091"/>
      <c r="AD150" s="1091"/>
    </row>
    <row r="151" spans="2:30" ht="28.5">
      <c r="B151" s="1078">
        <v>149</v>
      </c>
      <c r="C151" s="1079">
        <v>41149</v>
      </c>
      <c r="D151" s="1091" t="s">
        <v>584</v>
      </c>
      <c r="E151" s="1091" t="s">
        <v>298</v>
      </c>
      <c r="F151" s="1076" t="s">
        <v>806</v>
      </c>
      <c r="G151" s="1086" t="s">
        <v>738</v>
      </c>
      <c r="H151" s="1086" t="s">
        <v>713</v>
      </c>
      <c r="I151" s="1079">
        <f>Table1[[#This Row],[Date]]</f>
        <v>41149</v>
      </c>
      <c r="J151" s="46"/>
      <c r="K151" s="46"/>
      <c r="L151" s="1091"/>
      <c r="M151" s="1091"/>
      <c r="N151" s="1091"/>
      <c r="O151" s="1091"/>
      <c r="P151" s="1091"/>
      <c r="Q151" s="1091"/>
      <c r="R151" s="1091"/>
      <c r="S151" s="1091"/>
      <c r="T151" s="1091"/>
      <c r="U151" s="1091"/>
      <c r="V151" s="1091"/>
      <c r="W151" s="1091"/>
      <c r="X151" s="1091"/>
      <c r="Y151" s="1091"/>
      <c r="Z151" s="1091"/>
      <c r="AA151" s="1091"/>
      <c r="AB151" s="1091"/>
      <c r="AC151" s="1091"/>
      <c r="AD151" s="1091"/>
    </row>
    <row r="152" spans="2:30" ht="28.5">
      <c r="B152" s="1078">
        <v>150</v>
      </c>
      <c r="C152" s="1079">
        <v>41149</v>
      </c>
      <c r="D152" s="1091" t="s">
        <v>584</v>
      </c>
      <c r="E152" s="1091" t="s">
        <v>298</v>
      </c>
      <c r="F152" s="1076" t="s">
        <v>589</v>
      </c>
      <c r="G152" s="1086" t="s">
        <v>738</v>
      </c>
      <c r="H152" s="1086" t="s">
        <v>713</v>
      </c>
      <c r="I152" s="1079">
        <f>Table1[[#This Row],[Date]]</f>
        <v>41149</v>
      </c>
      <c r="J152" s="46"/>
      <c r="K152" s="46"/>
      <c r="L152" s="1091"/>
      <c r="M152" s="1091"/>
      <c r="N152" s="1091"/>
      <c r="O152" s="1091"/>
      <c r="P152" s="1091"/>
      <c r="Q152" s="1091"/>
      <c r="R152" s="1091"/>
      <c r="S152" s="1091"/>
      <c r="T152" s="1091"/>
      <c r="U152" s="1091"/>
      <c r="V152" s="1091"/>
      <c r="W152" s="1091"/>
      <c r="X152" s="1091"/>
      <c r="Y152" s="1091"/>
      <c r="Z152" s="1091"/>
      <c r="AA152" s="1091"/>
      <c r="AB152" s="1091"/>
      <c r="AC152" s="1091"/>
      <c r="AD152" s="1091"/>
    </row>
    <row r="153" spans="2:30" ht="28.5">
      <c r="B153" s="1078">
        <v>151</v>
      </c>
      <c r="C153" s="1079">
        <v>41149</v>
      </c>
      <c r="D153" s="1091" t="s">
        <v>584</v>
      </c>
      <c r="E153" s="1091" t="s">
        <v>298</v>
      </c>
      <c r="F153" s="1076" t="s">
        <v>586</v>
      </c>
      <c r="G153" s="1086" t="s">
        <v>738</v>
      </c>
      <c r="H153" s="1086" t="s">
        <v>713</v>
      </c>
      <c r="I153" s="1079">
        <f>Table1[[#This Row],[Date]]</f>
        <v>41149</v>
      </c>
      <c r="J153" s="46"/>
      <c r="K153" s="46"/>
      <c r="L153" s="1091"/>
      <c r="M153" s="1091"/>
      <c r="N153" s="1091"/>
      <c r="O153" s="1091"/>
      <c r="P153" s="1091"/>
      <c r="Q153" s="1091"/>
      <c r="R153" s="1091"/>
      <c r="S153" s="1091"/>
      <c r="T153" s="1091"/>
      <c r="U153" s="1091"/>
      <c r="V153" s="1091"/>
      <c r="W153" s="1091"/>
      <c r="X153" s="1091"/>
      <c r="Y153" s="1091"/>
      <c r="Z153" s="1091"/>
      <c r="AA153" s="1091"/>
      <c r="AB153" s="1091"/>
      <c r="AC153" s="1091"/>
      <c r="AD153" s="1091"/>
    </row>
    <row r="154" spans="2:30">
      <c r="B154" s="1078">
        <v>152</v>
      </c>
      <c r="C154" s="1079">
        <v>41149</v>
      </c>
      <c r="D154" s="1091" t="s">
        <v>584</v>
      </c>
      <c r="E154" s="1091" t="s">
        <v>298</v>
      </c>
      <c r="F154" s="1076" t="s">
        <v>589</v>
      </c>
      <c r="G154" s="1086" t="s">
        <v>807</v>
      </c>
      <c r="H154" s="1086" t="s">
        <v>808</v>
      </c>
      <c r="I154" s="1079">
        <f>Table1[[#This Row],[Date]]</f>
        <v>41149</v>
      </c>
      <c r="J154" s="46"/>
      <c r="K154" s="46"/>
      <c r="L154" s="1091"/>
      <c r="M154" s="1091"/>
      <c r="N154" s="1091"/>
      <c r="O154" s="1091"/>
      <c r="P154" s="1091"/>
      <c r="Q154" s="1091"/>
      <c r="R154" s="1091"/>
      <c r="S154" s="1091"/>
      <c r="T154" s="1091"/>
      <c r="U154" s="1091"/>
      <c r="V154" s="1091"/>
      <c r="W154" s="1091"/>
      <c r="X154" s="1091"/>
      <c r="Y154" s="1091"/>
      <c r="Z154" s="1091"/>
      <c r="AA154" s="1091"/>
      <c r="AB154" s="1091"/>
      <c r="AC154" s="1091"/>
      <c r="AD154" s="1091"/>
    </row>
    <row r="155" spans="2:30">
      <c r="B155" s="1078">
        <v>153</v>
      </c>
      <c r="C155" s="1079">
        <v>41149</v>
      </c>
      <c r="D155" s="1091" t="s">
        <v>584</v>
      </c>
      <c r="E155" s="1091" t="s">
        <v>298</v>
      </c>
      <c r="F155" s="1076" t="s">
        <v>806</v>
      </c>
      <c r="G155" s="1086" t="s">
        <v>809</v>
      </c>
      <c r="H155" s="1086" t="s">
        <v>810</v>
      </c>
      <c r="I155" s="1079">
        <f>Table1[[#This Row],[Date]]</f>
        <v>41149</v>
      </c>
      <c r="J155" s="46"/>
      <c r="K155" s="46"/>
      <c r="L155" s="1091"/>
      <c r="M155" s="1091"/>
      <c r="N155" s="1091"/>
      <c r="O155" s="1091"/>
      <c r="P155" s="1091"/>
      <c r="Q155" s="1091"/>
      <c r="R155" s="1091"/>
      <c r="S155" s="1091"/>
      <c r="T155" s="1091"/>
      <c r="U155" s="1091"/>
      <c r="V155" s="1091"/>
      <c r="W155" s="1091"/>
      <c r="X155" s="1091"/>
      <c r="Y155" s="1091"/>
      <c r="Z155" s="1091"/>
      <c r="AA155" s="1091"/>
      <c r="AB155" s="1091"/>
      <c r="AC155" s="1091"/>
      <c r="AD155" s="1091"/>
    </row>
    <row r="156" spans="2:30" ht="28.5">
      <c r="B156" s="1078">
        <v>154</v>
      </c>
      <c r="C156" s="1079">
        <v>41149</v>
      </c>
      <c r="D156" s="1091" t="s">
        <v>584</v>
      </c>
      <c r="E156" s="1091" t="s">
        <v>298</v>
      </c>
      <c r="F156" s="1076" t="s">
        <v>811</v>
      </c>
      <c r="G156" s="1086" t="s">
        <v>812</v>
      </c>
      <c r="H156" s="1086" t="s">
        <v>813</v>
      </c>
      <c r="I156" s="1079">
        <f>Table1[[#This Row],[Date]]</f>
        <v>41149</v>
      </c>
      <c r="J156" s="46"/>
      <c r="K156" s="46"/>
      <c r="L156" s="1091"/>
      <c r="M156" s="1091"/>
      <c r="N156" s="1091"/>
      <c r="O156" s="1091"/>
      <c r="P156" s="1091"/>
      <c r="Q156" s="1091"/>
      <c r="R156" s="1091"/>
      <c r="S156" s="1091"/>
      <c r="T156" s="1091"/>
      <c r="U156" s="1091"/>
      <c r="V156" s="1091"/>
      <c r="W156" s="1091"/>
      <c r="X156" s="1091"/>
      <c r="Y156" s="1091"/>
      <c r="Z156" s="1091"/>
      <c r="AA156" s="1091"/>
      <c r="AB156" s="1091"/>
      <c r="AC156" s="1091"/>
      <c r="AD156" s="1091"/>
    </row>
    <row r="157" spans="2:30" ht="28.5">
      <c r="B157" s="1078">
        <v>155</v>
      </c>
      <c r="C157" s="1079">
        <v>41149</v>
      </c>
      <c r="D157" s="1091" t="s">
        <v>584</v>
      </c>
      <c r="E157" s="1091" t="s">
        <v>298</v>
      </c>
      <c r="F157" s="1076" t="s">
        <v>746</v>
      </c>
      <c r="G157" s="1086" t="s">
        <v>814</v>
      </c>
      <c r="H157" s="1086" t="s">
        <v>815</v>
      </c>
      <c r="I157" s="1079">
        <f>Table1[[#This Row],[Date]]</f>
        <v>41149</v>
      </c>
      <c r="J157" s="46"/>
      <c r="K157" s="46"/>
      <c r="L157" s="1091"/>
      <c r="M157" s="1091"/>
      <c r="N157" s="1091"/>
      <c r="O157" s="1091"/>
      <c r="P157" s="1091"/>
      <c r="Q157" s="1091"/>
      <c r="R157" s="1091"/>
      <c r="S157" s="1091"/>
      <c r="T157" s="1091"/>
      <c r="U157" s="1091"/>
      <c r="V157" s="1091"/>
      <c r="W157" s="1091"/>
      <c r="X157" s="1091"/>
      <c r="Y157" s="1091"/>
      <c r="Z157" s="1091"/>
      <c r="AA157" s="1091"/>
      <c r="AB157" s="1091"/>
      <c r="AC157" s="1091"/>
      <c r="AD157" s="1091"/>
    </row>
    <row r="158" spans="2:30">
      <c r="B158" s="1078">
        <v>156</v>
      </c>
      <c r="C158" s="1079">
        <v>41149</v>
      </c>
      <c r="D158" s="1091" t="s">
        <v>584</v>
      </c>
      <c r="E158" s="1091" t="s">
        <v>298</v>
      </c>
      <c r="F158" s="1076" t="s">
        <v>818</v>
      </c>
      <c r="G158" s="1086" t="s">
        <v>748</v>
      </c>
      <c r="H158" s="1086" t="s">
        <v>772</v>
      </c>
      <c r="I158" s="1079">
        <f>Table1[[#This Row],[Date]]</f>
        <v>41149</v>
      </c>
      <c r="J158" s="46"/>
      <c r="K158" s="46"/>
      <c r="L158" s="1091"/>
      <c r="M158" s="1091"/>
      <c r="N158" s="1091"/>
      <c r="O158" s="1091"/>
      <c r="P158" s="1091"/>
      <c r="Q158" s="1091"/>
      <c r="R158" s="1091"/>
      <c r="S158" s="1091"/>
      <c r="T158" s="1091"/>
      <c r="U158" s="1091"/>
      <c r="V158" s="1091"/>
      <c r="W158" s="1091"/>
      <c r="X158" s="1091"/>
      <c r="Y158" s="1091"/>
      <c r="Z158" s="1091"/>
      <c r="AA158" s="1091"/>
      <c r="AB158" s="1091"/>
      <c r="AC158" s="1091"/>
      <c r="AD158" s="1091"/>
    </row>
    <row r="159" spans="2:30" ht="28.5">
      <c r="B159" s="1078">
        <v>157</v>
      </c>
      <c r="C159" s="1079">
        <v>41149</v>
      </c>
      <c r="D159" s="1091" t="s">
        <v>584</v>
      </c>
      <c r="E159" s="1091" t="s">
        <v>298</v>
      </c>
      <c r="F159" s="1076" t="s">
        <v>819</v>
      </c>
      <c r="G159" s="1086" t="s">
        <v>820</v>
      </c>
      <c r="H159" s="1086" t="s">
        <v>821</v>
      </c>
      <c r="I159" s="1079">
        <f>Table1[[#This Row],[Date]]</f>
        <v>41149</v>
      </c>
      <c r="J159" s="46"/>
      <c r="K159" s="46"/>
      <c r="L159" s="1091"/>
      <c r="M159" s="1091"/>
      <c r="N159" s="1091"/>
      <c r="O159" s="1091"/>
      <c r="P159" s="1091"/>
      <c r="Q159" s="1091"/>
      <c r="R159" s="1091"/>
      <c r="S159" s="1091"/>
      <c r="T159" s="1091"/>
      <c r="U159" s="1091"/>
      <c r="V159" s="1091"/>
      <c r="W159" s="1091"/>
      <c r="X159" s="1091"/>
      <c r="Y159" s="1091"/>
      <c r="Z159" s="1091"/>
      <c r="AA159" s="1091"/>
      <c r="AB159" s="1091"/>
      <c r="AC159" s="1091"/>
      <c r="AD159" s="1091"/>
    </row>
    <row r="160" spans="2:30" ht="28.5">
      <c r="B160" s="1078">
        <v>158</v>
      </c>
      <c r="C160" s="1079">
        <v>41149</v>
      </c>
      <c r="D160" s="1091" t="s">
        <v>584</v>
      </c>
      <c r="E160" s="1091" t="s">
        <v>585</v>
      </c>
      <c r="F160" s="1076" t="s">
        <v>816</v>
      </c>
      <c r="G160" s="1086" t="s">
        <v>817</v>
      </c>
      <c r="H160" s="1086" t="s">
        <v>710</v>
      </c>
      <c r="I160" s="1079">
        <f>Table1[[#This Row],[Date]]</f>
        <v>41149</v>
      </c>
      <c r="J160" s="46"/>
      <c r="K160" s="46"/>
      <c r="L160" s="1091"/>
      <c r="M160" s="1091"/>
      <c r="N160" s="1091"/>
      <c r="O160" s="1091"/>
      <c r="P160" s="1091"/>
      <c r="Q160" s="1091"/>
      <c r="R160" s="1091"/>
      <c r="S160" s="1091"/>
      <c r="T160" s="1091"/>
      <c r="U160" s="1091"/>
      <c r="V160" s="1091"/>
      <c r="W160" s="1091"/>
      <c r="X160" s="1091"/>
      <c r="Y160" s="1091"/>
      <c r="Z160" s="1091"/>
      <c r="AA160" s="1091"/>
      <c r="AB160" s="1091"/>
      <c r="AC160" s="1091"/>
      <c r="AD160" s="1091"/>
    </row>
    <row r="161" spans="2:30" ht="28.5">
      <c r="B161" s="1078">
        <v>159</v>
      </c>
      <c r="C161" s="1079">
        <v>41149</v>
      </c>
      <c r="D161" s="1091" t="s">
        <v>584</v>
      </c>
      <c r="E161" s="1091" t="s">
        <v>298</v>
      </c>
      <c r="F161" s="1076" t="s">
        <v>671</v>
      </c>
      <c r="G161" s="1086" t="s">
        <v>825</v>
      </c>
      <c r="H161" s="1086" t="s">
        <v>710</v>
      </c>
      <c r="I161" s="1079">
        <f>Table1[[#This Row],[Date]]</f>
        <v>41149</v>
      </c>
      <c r="J161" s="46"/>
      <c r="K161" s="46"/>
      <c r="L161" s="1091"/>
      <c r="M161" s="1091"/>
      <c r="N161" s="1091"/>
      <c r="O161" s="1091"/>
      <c r="P161" s="1091"/>
      <c r="Q161" s="1091"/>
      <c r="R161" s="1091"/>
      <c r="S161" s="1091"/>
      <c r="T161" s="1091"/>
      <c r="U161" s="1091"/>
      <c r="V161" s="1091"/>
      <c r="W161" s="1091"/>
      <c r="X161" s="1091"/>
      <c r="Y161" s="1091"/>
      <c r="Z161" s="1091"/>
      <c r="AA161" s="1091"/>
      <c r="AB161" s="1091"/>
      <c r="AC161" s="1091"/>
      <c r="AD161" s="1091"/>
    </row>
    <row r="162" spans="2:30" ht="28.5">
      <c r="B162" s="1078">
        <v>160</v>
      </c>
      <c r="C162" s="1079">
        <v>41149</v>
      </c>
      <c r="D162" s="1091" t="s">
        <v>584</v>
      </c>
      <c r="E162" s="1091" t="s">
        <v>298</v>
      </c>
      <c r="F162" s="1076" t="s">
        <v>676</v>
      </c>
      <c r="G162" s="1086" t="s">
        <v>825</v>
      </c>
      <c r="H162" s="1086" t="s">
        <v>710</v>
      </c>
      <c r="I162" s="1079">
        <f>Table1[[#This Row],[Date]]</f>
        <v>41149</v>
      </c>
      <c r="J162" s="46"/>
      <c r="K162" s="46"/>
      <c r="L162" s="1091"/>
      <c r="M162" s="1091"/>
      <c r="N162" s="1091"/>
      <c r="O162" s="1091"/>
      <c r="P162" s="1091"/>
      <c r="Q162" s="1091"/>
      <c r="R162" s="1091"/>
      <c r="S162" s="1091"/>
      <c r="T162" s="1091"/>
      <c r="U162" s="1091"/>
      <c r="V162" s="1091"/>
      <c r="W162" s="1091"/>
      <c r="X162" s="1091"/>
      <c r="Y162" s="1091"/>
      <c r="Z162" s="1091"/>
      <c r="AA162" s="1091"/>
      <c r="AB162" s="1091"/>
      <c r="AC162" s="1091"/>
      <c r="AD162" s="1091"/>
    </row>
    <row r="163" spans="2:30" ht="28.5">
      <c r="B163" s="1078">
        <v>161</v>
      </c>
      <c r="C163" s="1079">
        <v>41149</v>
      </c>
      <c r="D163" s="1091" t="s">
        <v>584</v>
      </c>
      <c r="E163" s="1091" t="s">
        <v>298</v>
      </c>
      <c r="F163" s="1076" t="s">
        <v>677</v>
      </c>
      <c r="G163" s="1086" t="s">
        <v>825</v>
      </c>
      <c r="H163" s="1086" t="s">
        <v>710</v>
      </c>
      <c r="I163" s="1079">
        <f>Table1[[#This Row],[Date]]</f>
        <v>41149</v>
      </c>
      <c r="J163" s="46"/>
      <c r="K163" s="46"/>
      <c r="L163" s="1091"/>
      <c r="M163" s="1091"/>
      <c r="N163" s="1091"/>
      <c r="O163" s="1091"/>
      <c r="P163" s="1091"/>
      <c r="Q163" s="1091"/>
      <c r="R163" s="1091"/>
      <c r="S163" s="1091"/>
      <c r="T163" s="1091"/>
      <c r="U163" s="1091"/>
      <c r="V163" s="1091"/>
      <c r="W163" s="1091"/>
      <c r="X163" s="1091"/>
      <c r="Y163" s="1091"/>
      <c r="Z163" s="1091"/>
      <c r="AA163" s="1091"/>
      <c r="AB163" s="1091"/>
      <c r="AC163" s="1091"/>
      <c r="AD163" s="1091"/>
    </row>
    <row r="164" spans="2:30" ht="28.5">
      <c r="B164" s="1078">
        <v>162</v>
      </c>
      <c r="C164" s="1079">
        <v>41149</v>
      </c>
      <c r="D164" s="1091" t="s">
        <v>584</v>
      </c>
      <c r="E164" s="1091" t="s">
        <v>298</v>
      </c>
      <c r="F164" s="1076" t="s">
        <v>678</v>
      </c>
      <c r="G164" s="1086" t="s">
        <v>825</v>
      </c>
      <c r="H164" s="1086" t="s">
        <v>710</v>
      </c>
      <c r="I164" s="1079">
        <f>Table1[[#This Row],[Date]]</f>
        <v>41149</v>
      </c>
      <c r="J164" s="46"/>
      <c r="K164" s="46"/>
      <c r="L164" s="1091"/>
      <c r="M164" s="1091"/>
      <c r="N164" s="1091"/>
      <c r="O164" s="1091"/>
      <c r="P164" s="1091"/>
      <c r="Q164" s="1091"/>
      <c r="R164" s="1091"/>
      <c r="S164" s="1091"/>
      <c r="T164" s="1091"/>
      <c r="U164" s="1091"/>
      <c r="V164" s="1091"/>
      <c r="W164" s="1091"/>
      <c r="X164" s="1091"/>
      <c r="Y164" s="1091"/>
      <c r="Z164" s="1091"/>
      <c r="AA164" s="1091"/>
      <c r="AB164" s="1091"/>
      <c r="AC164" s="1091"/>
      <c r="AD164" s="1091"/>
    </row>
    <row r="165" spans="2:30" ht="28.5">
      <c r="B165" s="1078">
        <v>163</v>
      </c>
      <c r="C165" s="1079">
        <v>41149</v>
      </c>
      <c r="D165" s="1091" t="s">
        <v>584</v>
      </c>
      <c r="E165" s="1091" t="s">
        <v>298</v>
      </c>
      <c r="F165" s="1076" t="s">
        <v>679</v>
      </c>
      <c r="G165" s="1086" t="s">
        <v>825</v>
      </c>
      <c r="H165" s="1086" t="s">
        <v>710</v>
      </c>
      <c r="I165" s="1079">
        <f>Table1[[#This Row],[Date]]</f>
        <v>41149</v>
      </c>
      <c r="J165" s="46"/>
      <c r="K165" s="46"/>
      <c r="L165" s="1091"/>
      <c r="M165" s="1091"/>
      <c r="N165" s="1091"/>
      <c r="O165" s="1091"/>
      <c r="P165" s="1091"/>
      <c r="Q165" s="1091"/>
      <c r="R165" s="1091"/>
      <c r="S165" s="1091"/>
      <c r="T165" s="1091"/>
      <c r="U165" s="1091"/>
      <c r="V165" s="1091"/>
      <c r="W165" s="1091"/>
      <c r="X165" s="1091"/>
      <c r="Y165" s="1091"/>
      <c r="Z165" s="1091"/>
      <c r="AA165" s="1091"/>
      <c r="AB165" s="1091"/>
      <c r="AC165" s="1091"/>
      <c r="AD165" s="1091"/>
    </row>
    <row r="166" spans="2:30" ht="28.5">
      <c r="B166" s="1078">
        <v>164</v>
      </c>
      <c r="C166" s="1079">
        <v>41149</v>
      </c>
      <c r="D166" s="1091" t="s">
        <v>584</v>
      </c>
      <c r="E166" s="1091" t="s">
        <v>298</v>
      </c>
      <c r="F166" s="1076" t="s">
        <v>680</v>
      </c>
      <c r="G166" s="1086" t="s">
        <v>824</v>
      </c>
      <c r="H166" s="1086" t="s">
        <v>695</v>
      </c>
      <c r="I166" s="1079">
        <f>Table1[[#This Row],[Date]]</f>
        <v>41149</v>
      </c>
      <c r="J166" s="46"/>
      <c r="K166" s="46"/>
      <c r="L166" s="1091"/>
      <c r="M166" s="1091"/>
      <c r="N166" s="1091"/>
      <c r="O166" s="1091"/>
      <c r="P166" s="1091"/>
      <c r="Q166" s="1091"/>
      <c r="R166" s="1091"/>
      <c r="S166" s="1091"/>
      <c r="T166" s="1091"/>
      <c r="U166" s="1091"/>
      <c r="V166" s="1091"/>
      <c r="W166" s="1091"/>
      <c r="X166" s="1091"/>
      <c r="Y166" s="1091"/>
      <c r="Z166" s="1091"/>
      <c r="AA166" s="1091"/>
      <c r="AB166" s="1091"/>
      <c r="AC166" s="1091"/>
      <c r="AD166" s="1091"/>
    </row>
    <row r="167" spans="2:30" ht="28.5">
      <c r="B167" s="1078">
        <v>165</v>
      </c>
      <c r="C167" s="1079">
        <v>41149</v>
      </c>
      <c r="D167" s="1091" t="s">
        <v>584</v>
      </c>
      <c r="E167" s="1091" t="s">
        <v>298</v>
      </c>
      <c r="F167" s="1076" t="s">
        <v>681</v>
      </c>
      <c r="G167" s="1086" t="s">
        <v>824</v>
      </c>
      <c r="H167" s="1086" t="s">
        <v>695</v>
      </c>
      <c r="I167" s="1079">
        <f>Table1[[#This Row],[Date]]</f>
        <v>41149</v>
      </c>
      <c r="J167" s="46"/>
      <c r="K167" s="46"/>
      <c r="L167" s="1091"/>
      <c r="M167" s="1091"/>
      <c r="N167" s="1091"/>
      <c r="O167" s="1091"/>
      <c r="P167" s="1091"/>
      <c r="Q167" s="1091"/>
      <c r="R167" s="1091"/>
      <c r="S167" s="1091"/>
      <c r="T167" s="1091"/>
      <c r="U167" s="1091"/>
      <c r="V167" s="1091"/>
      <c r="W167" s="1091"/>
      <c r="X167" s="1091"/>
      <c r="Y167" s="1091"/>
      <c r="Z167" s="1091"/>
      <c r="AA167" s="1091"/>
      <c r="AB167" s="1091"/>
      <c r="AC167" s="1091"/>
      <c r="AD167" s="1091"/>
    </row>
    <row r="168" spans="2:30" ht="28.5">
      <c r="B168" s="1078">
        <v>166</v>
      </c>
      <c r="C168" s="1079">
        <v>41149</v>
      </c>
      <c r="D168" s="1091" t="s">
        <v>584</v>
      </c>
      <c r="E168" s="1091" t="s">
        <v>298</v>
      </c>
      <c r="F168" s="1076" t="s">
        <v>823</v>
      </c>
      <c r="G168" s="1086" t="s">
        <v>826</v>
      </c>
      <c r="H168" s="1086" t="s">
        <v>827</v>
      </c>
      <c r="I168" s="1079">
        <f>Table1[[#This Row],[Date]]</f>
        <v>41149</v>
      </c>
      <c r="J168" s="46"/>
      <c r="K168" s="46"/>
      <c r="L168" s="1091"/>
      <c r="M168" s="1091"/>
      <c r="N168" s="1091"/>
      <c r="O168" s="1091"/>
      <c r="P168" s="1091"/>
      <c r="Q168" s="1091"/>
      <c r="R168" s="1091"/>
      <c r="S168" s="1091"/>
      <c r="T168" s="1091"/>
      <c r="U168" s="1091"/>
      <c r="V168" s="1091"/>
      <c r="W168" s="1091"/>
      <c r="X168" s="1091"/>
      <c r="Y168" s="1091"/>
      <c r="Z168" s="1091"/>
      <c r="AA168" s="1091"/>
      <c r="AB168" s="1091"/>
      <c r="AC168" s="1091"/>
      <c r="AD168" s="1091"/>
    </row>
    <row r="169" spans="2:30" ht="28.5">
      <c r="B169" s="1078">
        <v>167</v>
      </c>
      <c r="C169" s="1079">
        <v>41149</v>
      </c>
      <c r="D169" s="1091" t="s">
        <v>584</v>
      </c>
      <c r="E169" s="1091" t="s">
        <v>298</v>
      </c>
      <c r="F169" s="1076" t="s">
        <v>828</v>
      </c>
      <c r="G169" s="1086" t="s">
        <v>826</v>
      </c>
      <c r="H169" s="1086" t="s">
        <v>827</v>
      </c>
      <c r="I169" s="1079">
        <f>Table1[[#This Row],[Date]]</f>
        <v>41149</v>
      </c>
      <c r="J169" s="46"/>
      <c r="K169" s="46"/>
      <c r="L169" s="1091"/>
      <c r="M169" s="1091"/>
      <c r="N169" s="1091"/>
      <c r="O169" s="1091"/>
      <c r="P169" s="1091"/>
      <c r="Q169" s="1091"/>
      <c r="R169" s="1091"/>
      <c r="S169" s="1091"/>
      <c r="T169" s="1091"/>
      <c r="U169" s="1091"/>
      <c r="V169" s="1091"/>
      <c r="W169" s="1091"/>
      <c r="X169" s="1091"/>
      <c r="Y169" s="1091"/>
      <c r="Z169" s="1091"/>
      <c r="AA169" s="1091"/>
      <c r="AB169" s="1091"/>
      <c r="AC169" s="1091"/>
      <c r="AD169" s="1091"/>
    </row>
    <row r="170" spans="2:30" ht="28.5">
      <c r="B170" s="1078">
        <v>168</v>
      </c>
      <c r="C170" s="1079">
        <v>41149</v>
      </c>
      <c r="D170" s="1091" t="s">
        <v>584</v>
      </c>
      <c r="E170" s="1091" t="s">
        <v>298</v>
      </c>
      <c r="F170" s="1076" t="s">
        <v>829</v>
      </c>
      <c r="G170" s="1086" t="s">
        <v>826</v>
      </c>
      <c r="H170" s="1086" t="s">
        <v>827</v>
      </c>
      <c r="I170" s="1079">
        <f>Table1[[#This Row],[Date]]</f>
        <v>41149</v>
      </c>
      <c r="J170" s="46"/>
      <c r="K170" s="46"/>
      <c r="L170" s="1091"/>
      <c r="M170" s="1091"/>
      <c r="N170" s="1091"/>
      <c r="O170" s="1091"/>
      <c r="P170" s="1091"/>
      <c r="Q170" s="1091"/>
      <c r="R170" s="1091"/>
      <c r="S170" s="1091"/>
      <c r="T170" s="1091"/>
      <c r="U170" s="1091"/>
      <c r="V170" s="1091"/>
      <c r="W170" s="1091"/>
      <c r="X170" s="1091"/>
      <c r="Y170" s="1091"/>
      <c r="Z170" s="1091"/>
      <c r="AA170" s="1091"/>
      <c r="AB170" s="1091"/>
      <c r="AC170" s="1091"/>
      <c r="AD170" s="1091"/>
    </row>
    <row r="171" spans="2:30" ht="28.5">
      <c r="B171" s="1078">
        <v>169</v>
      </c>
      <c r="C171" s="1079">
        <v>41149</v>
      </c>
      <c r="D171" s="1091" t="s">
        <v>584</v>
      </c>
      <c r="E171" s="1091" t="s">
        <v>298</v>
      </c>
      <c r="F171" s="1076" t="s">
        <v>830</v>
      </c>
      <c r="G171" s="1086" t="s">
        <v>826</v>
      </c>
      <c r="H171" s="1086" t="s">
        <v>827</v>
      </c>
      <c r="I171" s="1079">
        <f>Table1[[#This Row],[Date]]</f>
        <v>41149</v>
      </c>
      <c r="J171" s="46"/>
      <c r="K171" s="46"/>
      <c r="L171" s="1091"/>
      <c r="M171" s="1091"/>
      <c r="N171" s="1091"/>
      <c r="O171" s="1091"/>
      <c r="P171" s="1091"/>
      <c r="Q171" s="1091"/>
      <c r="R171" s="1091"/>
      <c r="S171" s="1091"/>
      <c r="T171" s="1091"/>
      <c r="U171" s="1091"/>
      <c r="V171" s="1091"/>
      <c r="W171" s="1091"/>
      <c r="X171" s="1091"/>
      <c r="Y171" s="1091"/>
      <c r="Z171" s="1091"/>
      <c r="AA171" s="1091"/>
      <c r="AB171" s="1091"/>
      <c r="AC171" s="1091"/>
      <c r="AD171" s="1091"/>
    </row>
    <row r="172" spans="2:30" ht="28.5">
      <c r="B172" s="1078">
        <v>170</v>
      </c>
      <c r="C172" s="1079">
        <v>41149</v>
      </c>
      <c r="D172" s="1091" t="s">
        <v>584</v>
      </c>
      <c r="E172" s="1091" t="s">
        <v>298</v>
      </c>
      <c r="F172" s="1076" t="s">
        <v>831</v>
      </c>
      <c r="G172" s="1086" t="s">
        <v>826</v>
      </c>
      <c r="H172" s="1086" t="s">
        <v>827</v>
      </c>
      <c r="I172" s="1079">
        <f>Table1[[#This Row],[Date]]</f>
        <v>41149</v>
      </c>
      <c r="J172" s="46"/>
      <c r="K172" s="46"/>
      <c r="L172" s="1091"/>
      <c r="M172" s="1091"/>
      <c r="N172" s="1091"/>
      <c r="O172" s="1091"/>
      <c r="P172" s="1091"/>
      <c r="Q172" s="1091"/>
      <c r="R172" s="1091"/>
      <c r="S172" s="1091"/>
      <c r="T172" s="1091"/>
      <c r="U172" s="1091"/>
      <c r="V172" s="1091"/>
      <c r="W172" s="1091"/>
      <c r="X172" s="1091"/>
      <c r="Y172" s="1091"/>
      <c r="Z172" s="1091"/>
      <c r="AA172" s="1091"/>
      <c r="AB172" s="1091"/>
      <c r="AC172" s="1091"/>
      <c r="AD172" s="1091"/>
    </row>
    <row r="173" spans="2:30" ht="28.5">
      <c r="B173" s="1078">
        <v>171</v>
      </c>
      <c r="C173" s="1079">
        <v>41149</v>
      </c>
      <c r="D173" s="1091" t="s">
        <v>584</v>
      </c>
      <c r="E173" s="1091" t="s">
        <v>298</v>
      </c>
      <c r="F173" s="1076" t="s">
        <v>832</v>
      </c>
      <c r="G173" s="1086" t="s">
        <v>826</v>
      </c>
      <c r="H173" s="1086" t="s">
        <v>827</v>
      </c>
      <c r="I173" s="1079">
        <f>Table1[[#This Row],[Date]]</f>
        <v>41149</v>
      </c>
      <c r="J173" s="46"/>
      <c r="K173" s="46"/>
      <c r="L173" s="1091"/>
      <c r="M173" s="1091"/>
      <c r="N173" s="1091"/>
      <c r="O173" s="1091"/>
      <c r="P173" s="1091"/>
      <c r="Q173" s="1091"/>
      <c r="R173" s="1091"/>
      <c r="S173" s="1091"/>
      <c r="T173" s="1091"/>
      <c r="U173" s="1091"/>
      <c r="V173" s="1091"/>
      <c r="W173" s="1091"/>
      <c r="X173" s="1091"/>
      <c r="Y173" s="1091"/>
      <c r="Z173" s="1091"/>
      <c r="AA173" s="1091"/>
      <c r="AB173" s="1091"/>
      <c r="AC173" s="1091"/>
      <c r="AD173" s="1091"/>
    </row>
    <row r="174" spans="2:30" ht="28.5">
      <c r="B174" s="1078">
        <v>172</v>
      </c>
      <c r="C174" s="1079">
        <v>41149</v>
      </c>
      <c r="D174" s="1091" t="s">
        <v>584</v>
      </c>
      <c r="E174" s="1091" t="s">
        <v>298</v>
      </c>
      <c r="F174" s="1076" t="s">
        <v>833</v>
      </c>
      <c r="G174" s="1086" t="s">
        <v>826</v>
      </c>
      <c r="H174" s="1086" t="s">
        <v>827</v>
      </c>
      <c r="I174" s="1079">
        <f>Table1[[#This Row],[Date]]</f>
        <v>41149</v>
      </c>
      <c r="J174" s="46"/>
      <c r="K174" s="46"/>
      <c r="L174" s="1091"/>
      <c r="M174" s="1091"/>
      <c r="N174" s="1091"/>
      <c r="O174" s="1091"/>
      <c r="P174" s="1091"/>
      <c r="Q174" s="1091"/>
      <c r="R174" s="1091"/>
      <c r="S174" s="1091"/>
      <c r="T174" s="1091"/>
      <c r="U174" s="1091"/>
      <c r="V174" s="1091"/>
      <c r="W174" s="1091"/>
      <c r="X174" s="1091"/>
      <c r="Y174" s="1091"/>
      <c r="Z174" s="1091"/>
      <c r="AA174" s="1091"/>
      <c r="AB174" s="1091"/>
      <c r="AC174" s="1091"/>
      <c r="AD174" s="1091"/>
    </row>
    <row r="175" spans="2:30" ht="28.5">
      <c r="B175" s="1078">
        <v>173</v>
      </c>
      <c r="C175" s="1079">
        <v>41149</v>
      </c>
      <c r="D175" s="1091" t="s">
        <v>584</v>
      </c>
      <c r="E175" s="1091" t="s">
        <v>298</v>
      </c>
      <c r="F175" s="1076" t="s">
        <v>834</v>
      </c>
      <c r="G175" s="1086" t="s">
        <v>826</v>
      </c>
      <c r="H175" s="1086" t="s">
        <v>827</v>
      </c>
      <c r="I175" s="1079">
        <f>Table1[[#This Row],[Date]]</f>
        <v>41149</v>
      </c>
      <c r="J175" s="46"/>
      <c r="K175" s="46"/>
      <c r="L175" s="1091"/>
      <c r="M175" s="1091"/>
      <c r="N175" s="1091"/>
      <c r="O175" s="1091"/>
      <c r="P175" s="1091"/>
      <c r="Q175" s="1091"/>
      <c r="R175" s="1091"/>
      <c r="S175" s="1091"/>
      <c r="T175" s="1091"/>
      <c r="U175" s="1091"/>
      <c r="V175" s="1091"/>
      <c r="W175" s="1091"/>
      <c r="X175" s="1091"/>
      <c r="Y175" s="1091"/>
      <c r="Z175" s="1091"/>
      <c r="AA175" s="1091"/>
      <c r="AB175" s="1091"/>
      <c r="AC175" s="1091"/>
      <c r="AD175" s="1091"/>
    </row>
    <row r="176" spans="2:30" ht="28.5">
      <c r="B176" s="1078">
        <v>174</v>
      </c>
      <c r="C176" s="1079">
        <v>41149</v>
      </c>
      <c r="D176" s="1091" t="s">
        <v>584</v>
      </c>
      <c r="E176" s="1091" t="s">
        <v>298</v>
      </c>
      <c r="F176" s="1076" t="s">
        <v>835</v>
      </c>
      <c r="G176" s="1086" t="s">
        <v>826</v>
      </c>
      <c r="H176" s="1086" t="s">
        <v>827</v>
      </c>
      <c r="I176" s="1079">
        <f>Table1[[#This Row],[Date]]</f>
        <v>41149</v>
      </c>
      <c r="J176" s="46"/>
      <c r="K176" s="46"/>
      <c r="L176" s="1091"/>
      <c r="M176" s="1091"/>
      <c r="N176" s="1091"/>
      <c r="O176" s="1091"/>
      <c r="P176" s="1091"/>
      <c r="Q176" s="1091"/>
      <c r="R176" s="1091"/>
      <c r="S176" s="1091"/>
      <c r="T176" s="1091"/>
      <c r="U176" s="1091"/>
      <c r="V176" s="1091"/>
      <c r="W176" s="1091"/>
      <c r="X176" s="1091"/>
      <c r="Y176" s="1091"/>
      <c r="Z176" s="1091"/>
      <c r="AA176" s="1091"/>
      <c r="AB176" s="1091"/>
      <c r="AC176" s="1091"/>
      <c r="AD176" s="1091"/>
    </row>
    <row r="177" spans="2:30" ht="28.5">
      <c r="B177" s="1078">
        <v>175</v>
      </c>
      <c r="C177" s="1079">
        <v>41149</v>
      </c>
      <c r="D177" s="1091" t="s">
        <v>584</v>
      </c>
      <c r="E177" s="1091" t="s">
        <v>298</v>
      </c>
      <c r="F177" s="1076" t="s">
        <v>836</v>
      </c>
      <c r="G177" s="1086" t="s">
        <v>826</v>
      </c>
      <c r="H177" s="1086" t="s">
        <v>827</v>
      </c>
      <c r="I177" s="1079">
        <f>Table1[[#This Row],[Date]]</f>
        <v>41149</v>
      </c>
      <c r="J177" s="46"/>
      <c r="K177" s="46"/>
      <c r="L177" s="1091"/>
      <c r="M177" s="1091"/>
      <c r="N177" s="1091"/>
      <c r="O177" s="1091"/>
      <c r="P177" s="1091"/>
      <c r="Q177" s="1091"/>
      <c r="R177" s="1091"/>
      <c r="S177" s="1091"/>
      <c r="T177" s="1091"/>
      <c r="U177" s="1091"/>
      <c r="V177" s="1091"/>
      <c r="W177" s="1091"/>
      <c r="X177" s="1091"/>
      <c r="Y177" s="1091"/>
      <c r="Z177" s="1091"/>
      <c r="AA177" s="1091"/>
      <c r="AB177" s="1091"/>
      <c r="AC177" s="1091"/>
      <c r="AD177" s="1091"/>
    </row>
    <row r="178" spans="2:30" ht="28.5">
      <c r="B178" s="1078">
        <v>176</v>
      </c>
      <c r="C178" s="1079">
        <v>41149</v>
      </c>
      <c r="D178" s="1091" t="s">
        <v>584</v>
      </c>
      <c r="E178" s="1091" t="s">
        <v>298</v>
      </c>
      <c r="F178" s="1076" t="s">
        <v>837</v>
      </c>
      <c r="G178" s="1086" t="s">
        <v>825</v>
      </c>
      <c r="H178" s="1086" t="s">
        <v>710</v>
      </c>
      <c r="I178" s="1079">
        <f>Table1[[#This Row],[Date]]</f>
        <v>41149</v>
      </c>
      <c r="J178" s="46"/>
      <c r="K178" s="46"/>
      <c r="L178" s="1091"/>
      <c r="M178" s="1091"/>
      <c r="N178" s="1091"/>
      <c r="O178" s="1091"/>
      <c r="P178" s="1091"/>
      <c r="Q178" s="1091"/>
      <c r="R178" s="1091"/>
      <c r="S178" s="1091"/>
      <c r="T178" s="1091"/>
      <c r="U178" s="1091"/>
      <c r="V178" s="1091"/>
      <c r="W178" s="1091"/>
      <c r="X178" s="1091"/>
      <c r="Y178" s="1091"/>
      <c r="Z178" s="1091"/>
      <c r="AA178" s="1091"/>
      <c r="AB178" s="1091"/>
      <c r="AC178" s="1091"/>
      <c r="AD178" s="1091"/>
    </row>
    <row r="179" spans="2:30">
      <c r="B179" s="1078">
        <v>177</v>
      </c>
      <c r="C179" s="1079">
        <v>41149</v>
      </c>
      <c r="D179" s="1091" t="s">
        <v>584</v>
      </c>
      <c r="E179" s="1091" t="s">
        <v>298</v>
      </c>
      <c r="F179" s="1076" t="s">
        <v>838</v>
      </c>
      <c r="G179" s="1086" t="s">
        <v>748</v>
      </c>
      <c r="H179" s="1086" t="s">
        <v>772</v>
      </c>
      <c r="I179" s="1079">
        <f>Table1[[#This Row],[Date]]</f>
        <v>41149</v>
      </c>
      <c r="J179" s="46"/>
      <c r="K179" s="46"/>
      <c r="L179" s="1091"/>
      <c r="M179" s="1091"/>
      <c r="N179" s="1091"/>
      <c r="O179" s="1091"/>
      <c r="P179" s="1091"/>
      <c r="Q179" s="1091"/>
      <c r="R179" s="1091"/>
      <c r="S179" s="1091"/>
      <c r="T179" s="1091"/>
      <c r="U179" s="1091"/>
      <c r="V179" s="1091"/>
      <c r="W179" s="1091"/>
      <c r="X179" s="1091"/>
      <c r="Y179" s="1091"/>
      <c r="Z179" s="1091"/>
      <c r="AA179" s="1091"/>
      <c r="AB179" s="1091"/>
      <c r="AC179" s="1091"/>
      <c r="AD179" s="1091"/>
    </row>
    <row r="180" spans="2:30" ht="28.5">
      <c r="B180" s="1078">
        <v>178</v>
      </c>
      <c r="C180" s="1079">
        <v>41149</v>
      </c>
      <c r="D180" s="1091" t="s">
        <v>584</v>
      </c>
      <c r="E180" s="1091" t="s">
        <v>298</v>
      </c>
      <c r="F180" s="1076" t="s">
        <v>840</v>
      </c>
      <c r="G180" s="1086" t="s">
        <v>803</v>
      </c>
      <c r="H180" s="1086" t="s">
        <v>805</v>
      </c>
      <c r="I180" s="1079">
        <f>Table1[[#This Row],[Date]]</f>
        <v>41149</v>
      </c>
      <c r="J180" s="46"/>
      <c r="K180" s="46"/>
      <c r="L180" s="1091"/>
      <c r="M180" s="1091"/>
      <c r="N180" s="1091"/>
      <c r="O180" s="1091"/>
      <c r="P180" s="1091"/>
      <c r="Q180" s="1091"/>
      <c r="R180" s="1091"/>
      <c r="S180" s="1091"/>
      <c r="T180" s="1091"/>
      <c r="U180" s="1091"/>
      <c r="V180" s="1091"/>
      <c r="W180" s="1091"/>
      <c r="X180" s="1091"/>
      <c r="Y180" s="1091"/>
      <c r="Z180" s="1091"/>
      <c r="AA180" s="1091"/>
      <c r="AB180" s="1091"/>
      <c r="AC180" s="1091"/>
      <c r="AD180" s="1091"/>
    </row>
    <row r="181" spans="2:30" ht="42.75">
      <c r="B181" s="1078">
        <v>179</v>
      </c>
      <c r="C181" s="1079">
        <v>41149</v>
      </c>
      <c r="D181" s="1091" t="s">
        <v>584</v>
      </c>
      <c r="E181" s="1091" t="s">
        <v>298</v>
      </c>
      <c r="F181" s="1076" t="s">
        <v>841</v>
      </c>
      <c r="G181" s="1086" t="s">
        <v>626</v>
      </c>
      <c r="H181" s="1086" t="s">
        <v>627</v>
      </c>
      <c r="I181" s="1079">
        <f>Table1[[#This Row],[Date]]</f>
        <v>41149</v>
      </c>
      <c r="J181" s="46"/>
      <c r="K181" s="46"/>
      <c r="L181" s="1091"/>
      <c r="M181" s="1091"/>
      <c r="N181" s="1091"/>
      <c r="O181" s="1091"/>
      <c r="P181" s="1091"/>
      <c r="Q181" s="1091"/>
      <c r="R181" s="1091"/>
      <c r="S181" s="1091"/>
      <c r="T181" s="1091"/>
      <c r="U181" s="1091"/>
      <c r="V181" s="1091"/>
      <c r="W181" s="1091"/>
      <c r="X181" s="1091"/>
      <c r="Y181" s="1091"/>
      <c r="Z181" s="1091"/>
      <c r="AA181" s="1091"/>
      <c r="AB181" s="1091"/>
      <c r="AC181" s="1091"/>
      <c r="AD181" s="1091"/>
    </row>
    <row r="182" spans="2:30">
      <c r="B182" s="1078">
        <v>180</v>
      </c>
      <c r="C182" s="1079">
        <v>41149</v>
      </c>
      <c r="D182" s="1091" t="s">
        <v>584</v>
      </c>
      <c r="E182" s="1091" t="s">
        <v>102</v>
      </c>
      <c r="F182" s="1076" t="s">
        <v>842</v>
      </c>
      <c r="G182" s="1086" t="s">
        <v>843</v>
      </c>
      <c r="H182" s="1086" t="s">
        <v>844</v>
      </c>
      <c r="I182" s="1079">
        <f>Table1[[#This Row],[Date]]</f>
        <v>41149</v>
      </c>
      <c r="J182" s="46"/>
      <c r="K182" s="46"/>
      <c r="L182" s="1091"/>
      <c r="M182" s="1091"/>
      <c r="N182" s="1091"/>
      <c r="O182" s="1091"/>
      <c r="P182" s="1091"/>
      <c r="Q182" s="1091"/>
      <c r="R182" s="1091"/>
      <c r="S182" s="1091"/>
      <c r="T182" s="1091"/>
      <c r="U182" s="1091"/>
      <c r="V182" s="1091"/>
      <c r="W182" s="1091"/>
      <c r="X182" s="1091"/>
      <c r="Y182" s="1091"/>
      <c r="Z182" s="1091"/>
      <c r="AA182" s="1091"/>
      <c r="AB182" s="1091"/>
      <c r="AC182" s="1091"/>
      <c r="AD182" s="1091"/>
    </row>
    <row r="183" spans="2:30" ht="28.5">
      <c r="B183" s="1078">
        <v>181</v>
      </c>
      <c r="C183" s="1079">
        <v>41149</v>
      </c>
      <c r="D183" s="1091" t="s">
        <v>584</v>
      </c>
      <c r="E183" s="1091" t="s">
        <v>102</v>
      </c>
      <c r="F183" s="1076" t="s">
        <v>586</v>
      </c>
      <c r="G183" s="1086" t="s">
        <v>738</v>
      </c>
      <c r="H183" s="1086" t="s">
        <v>713</v>
      </c>
      <c r="I183" s="1079">
        <f>Table1[[#This Row],[Date]]</f>
        <v>41149</v>
      </c>
      <c r="J183" s="46"/>
      <c r="K183" s="46"/>
      <c r="L183" s="1091"/>
      <c r="M183" s="1091"/>
      <c r="N183" s="1091"/>
      <c r="O183" s="1091"/>
      <c r="P183" s="1091"/>
      <c r="Q183" s="1091"/>
      <c r="R183" s="1091"/>
      <c r="S183" s="1091"/>
      <c r="T183" s="1091"/>
      <c r="U183" s="1091"/>
      <c r="V183" s="1091"/>
      <c r="W183" s="1091"/>
      <c r="X183" s="1091"/>
      <c r="Y183" s="1091"/>
      <c r="Z183" s="1091"/>
      <c r="AA183" s="1091"/>
      <c r="AB183" s="1091"/>
      <c r="AC183" s="1091"/>
      <c r="AD183" s="1091"/>
    </row>
    <row r="184" spans="2:30" ht="28.5">
      <c r="B184" s="1078">
        <v>182</v>
      </c>
      <c r="C184" s="1079">
        <v>41149</v>
      </c>
      <c r="D184" s="1091" t="s">
        <v>584</v>
      </c>
      <c r="E184" s="1091" t="s">
        <v>102</v>
      </c>
      <c r="F184" s="1076" t="s">
        <v>842</v>
      </c>
      <c r="G184" s="1086" t="s">
        <v>738</v>
      </c>
      <c r="H184" s="1086" t="s">
        <v>713</v>
      </c>
      <c r="I184" s="1079">
        <f>Table1[[#This Row],[Date]]</f>
        <v>41149</v>
      </c>
      <c r="J184" s="46"/>
      <c r="K184" s="46"/>
      <c r="L184" s="1091"/>
      <c r="M184" s="1091"/>
      <c r="N184" s="1091"/>
      <c r="O184" s="1091"/>
      <c r="P184" s="1091"/>
      <c r="Q184" s="1091"/>
      <c r="R184" s="1091"/>
      <c r="S184" s="1091"/>
      <c r="T184" s="1091"/>
      <c r="U184" s="1091"/>
      <c r="V184" s="1091"/>
      <c r="W184" s="1091"/>
      <c r="X184" s="1091"/>
      <c r="Y184" s="1091"/>
      <c r="Z184" s="1091"/>
      <c r="AA184" s="1091"/>
      <c r="AB184" s="1091"/>
      <c r="AC184" s="1091"/>
      <c r="AD184" s="1091"/>
    </row>
    <row r="185" spans="2:30" ht="28.5">
      <c r="B185" s="1078">
        <v>183</v>
      </c>
      <c r="C185" s="1079">
        <v>41149</v>
      </c>
      <c r="D185" s="1091" t="s">
        <v>584</v>
      </c>
      <c r="E185" s="1091" t="s">
        <v>102</v>
      </c>
      <c r="F185" s="1076" t="s">
        <v>846</v>
      </c>
      <c r="G185" s="1086" t="s">
        <v>803</v>
      </c>
      <c r="H185" s="1086" t="s">
        <v>804</v>
      </c>
      <c r="I185" s="1079">
        <f>Table1[[#This Row],[Date]]</f>
        <v>41149</v>
      </c>
      <c r="J185" s="46"/>
      <c r="K185" s="46"/>
      <c r="L185" s="1091"/>
      <c r="M185" s="1091"/>
      <c r="N185" s="1091"/>
      <c r="O185" s="1091"/>
      <c r="P185" s="1091"/>
      <c r="Q185" s="1091"/>
      <c r="R185" s="1091"/>
      <c r="S185" s="1091"/>
      <c r="T185" s="1091"/>
      <c r="U185" s="1091"/>
      <c r="V185" s="1091"/>
      <c r="W185" s="1091"/>
      <c r="X185" s="1091"/>
      <c r="Y185" s="1091"/>
      <c r="Z185" s="1091"/>
      <c r="AA185" s="1091"/>
      <c r="AB185" s="1091"/>
      <c r="AC185" s="1091"/>
      <c r="AD185" s="1091"/>
    </row>
    <row r="186" spans="2:30" ht="28.5">
      <c r="B186" s="1078">
        <v>184</v>
      </c>
      <c r="C186" s="1079">
        <v>41149</v>
      </c>
      <c r="D186" s="1091" t="s">
        <v>584</v>
      </c>
      <c r="E186" s="1091" t="s">
        <v>102</v>
      </c>
      <c r="F186" s="1076" t="s">
        <v>847</v>
      </c>
      <c r="G186" s="1086" t="s">
        <v>744</v>
      </c>
      <c r="H186" s="1086" t="s">
        <v>792</v>
      </c>
      <c r="I186" s="1079">
        <f>Table1[[#This Row],[Date]]</f>
        <v>41149</v>
      </c>
      <c r="J186" s="46"/>
      <c r="K186" s="46"/>
      <c r="L186" s="1091"/>
      <c r="M186" s="1091"/>
      <c r="N186" s="1091"/>
      <c r="O186" s="1091"/>
      <c r="P186" s="1091"/>
      <c r="Q186" s="1091"/>
      <c r="R186" s="1091"/>
      <c r="S186" s="1091"/>
      <c r="T186" s="1091"/>
      <c r="U186" s="1091"/>
      <c r="V186" s="1091"/>
      <c r="W186" s="1091"/>
      <c r="X186" s="1091"/>
      <c r="Y186" s="1091"/>
      <c r="Z186" s="1091"/>
      <c r="AA186" s="1091"/>
      <c r="AB186" s="1091"/>
      <c r="AC186" s="1091"/>
      <c r="AD186" s="1091"/>
    </row>
    <row r="187" spans="2:30" ht="28.5">
      <c r="B187" s="1078">
        <v>185</v>
      </c>
      <c r="C187" s="1079">
        <v>41149</v>
      </c>
      <c r="D187" s="1091" t="s">
        <v>584</v>
      </c>
      <c r="E187" s="1091" t="s">
        <v>102</v>
      </c>
      <c r="F187" s="1076" t="s">
        <v>848</v>
      </c>
      <c r="G187" s="1086" t="s">
        <v>744</v>
      </c>
      <c r="H187" s="1086" t="s">
        <v>792</v>
      </c>
      <c r="I187" s="1079">
        <f>Table1[[#This Row],[Date]]</f>
        <v>41149</v>
      </c>
      <c r="J187" s="46"/>
      <c r="K187" s="46"/>
      <c r="L187" s="1091"/>
      <c r="M187" s="1091"/>
      <c r="N187" s="1091"/>
      <c r="O187" s="1091"/>
      <c r="P187" s="1091"/>
      <c r="Q187" s="1091"/>
      <c r="R187" s="1091"/>
      <c r="S187" s="1091"/>
      <c r="T187" s="1091"/>
      <c r="U187" s="1091"/>
      <c r="V187" s="1091"/>
      <c r="W187" s="1091"/>
      <c r="X187" s="1091"/>
      <c r="Y187" s="1091"/>
      <c r="Z187" s="1091"/>
      <c r="AA187" s="1091"/>
      <c r="AB187" s="1091"/>
      <c r="AC187" s="1091"/>
      <c r="AD187" s="1091"/>
    </row>
    <row r="188" spans="2:30">
      <c r="B188" s="1078">
        <v>186</v>
      </c>
      <c r="C188" s="1079">
        <v>41149</v>
      </c>
      <c r="D188" s="1091" t="s">
        <v>584</v>
      </c>
      <c r="E188" s="1091" t="s">
        <v>102</v>
      </c>
      <c r="F188" s="1076" t="s">
        <v>655</v>
      </c>
      <c r="G188" s="1086" t="s">
        <v>748</v>
      </c>
      <c r="H188" s="1086" t="s">
        <v>772</v>
      </c>
      <c r="I188" s="1079">
        <f>Table1[[#This Row],[Date]]</f>
        <v>41149</v>
      </c>
      <c r="J188" s="46"/>
      <c r="K188" s="46"/>
      <c r="L188" s="1091"/>
      <c r="M188" s="1091"/>
      <c r="N188" s="1091"/>
      <c r="O188" s="1091"/>
      <c r="P188" s="1091"/>
      <c r="Q188" s="1091"/>
      <c r="R188" s="1091"/>
      <c r="S188" s="1091"/>
      <c r="T188" s="1091"/>
      <c r="U188" s="1091"/>
      <c r="V188" s="1091"/>
      <c r="W188" s="1091"/>
      <c r="X188" s="1091"/>
      <c r="Y188" s="1091"/>
      <c r="Z188" s="1091"/>
      <c r="AA188" s="1091"/>
      <c r="AB188" s="1091"/>
      <c r="AC188" s="1091"/>
      <c r="AD188" s="1091"/>
    </row>
    <row r="189" spans="2:30">
      <c r="B189" s="1078">
        <v>187</v>
      </c>
      <c r="C189" s="1079">
        <v>41149</v>
      </c>
      <c r="D189" s="1091" t="s">
        <v>584</v>
      </c>
      <c r="E189" s="1091" t="s">
        <v>102</v>
      </c>
      <c r="F189" s="1076" t="s">
        <v>849</v>
      </c>
      <c r="G189" s="1086" t="s">
        <v>748</v>
      </c>
      <c r="H189" s="1086" t="s">
        <v>772</v>
      </c>
      <c r="I189" s="1079">
        <f>Table1[[#This Row],[Date]]</f>
        <v>41149</v>
      </c>
      <c r="J189" s="46"/>
      <c r="K189" s="46"/>
      <c r="L189" s="1091"/>
      <c r="M189" s="1091"/>
      <c r="N189" s="1091"/>
      <c r="O189" s="1091"/>
      <c r="P189" s="1091"/>
      <c r="Q189" s="1091"/>
      <c r="R189" s="1091"/>
      <c r="S189" s="1091"/>
      <c r="T189" s="1091"/>
      <c r="U189" s="1091"/>
      <c r="V189" s="1091"/>
      <c r="W189" s="1091"/>
      <c r="X189" s="1091"/>
      <c r="Y189" s="1091"/>
      <c r="Z189" s="1091"/>
      <c r="AA189" s="1091"/>
      <c r="AB189" s="1091"/>
      <c r="AC189" s="1091"/>
      <c r="AD189" s="1091"/>
    </row>
    <row r="190" spans="2:30" ht="28.5">
      <c r="B190" s="1078">
        <v>188</v>
      </c>
      <c r="C190" s="1079">
        <v>41149</v>
      </c>
      <c r="D190" s="1091" t="s">
        <v>584</v>
      </c>
      <c r="E190" s="1091" t="s">
        <v>102</v>
      </c>
      <c r="F190" s="1076" t="s">
        <v>850</v>
      </c>
      <c r="G190" s="1086" t="s">
        <v>851</v>
      </c>
      <c r="H190" s="1086" t="s">
        <v>852</v>
      </c>
      <c r="I190" s="1079">
        <f>Table1[[#This Row],[Date]]</f>
        <v>41149</v>
      </c>
      <c r="J190" s="46"/>
      <c r="K190" s="46"/>
      <c r="L190" s="1091"/>
      <c r="M190" s="1091"/>
      <c r="N190" s="1091"/>
      <c r="O190" s="1091"/>
      <c r="P190" s="1091"/>
      <c r="Q190" s="1091"/>
      <c r="R190" s="1091"/>
      <c r="S190" s="1091"/>
      <c r="T190" s="1091"/>
      <c r="U190" s="1091"/>
      <c r="V190" s="1091"/>
      <c r="W190" s="1091"/>
      <c r="X190" s="1091"/>
      <c r="Y190" s="1091"/>
      <c r="Z190" s="1091"/>
      <c r="AA190" s="1091"/>
      <c r="AB190" s="1091"/>
      <c r="AC190" s="1091"/>
      <c r="AD190" s="1091"/>
    </row>
    <row r="191" spans="2:30" ht="28.5">
      <c r="B191" s="1078">
        <v>189</v>
      </c>
      <c r="C191" s="1079">
        <v>41149</v>
      </c>
      <c r="D191" s="1091" t="s">
        <v>584</v>
      </c>
      <c r="E191" s="1091" t="s">
        <v>102</v>
      </c>
      <c r="F191" s="1076" t="s">
        <v>853</v>
      </c>
      <c r="G191" s="1086" t="s">
        <v>851</v>
      </c>
      <c r="H191" s="1086" t="s">
        <v>855</v>
      </c>
      <c r="I191" s="1079">
        <f>Table1[[#This Row],[Date]]</f>
        <v>41149</v>
      </c>
      <c r="J191" s="46"/>
      <c r="K191" s="46"/>
      <c r="L191" s="1091"/>
      <c r="M191" s="1091"/>
      <c r="N191" s="1091"/>
      <c r="O191" s="1091"/>
      <c r="P191" s="1091"/>
      <c r="Q191" s="1091"/>
      <c r="R191" s="1091"/>
      <c r="S191" s="1091"/>
      <c r="T191" s="1091"/>
      <c r="U191" s="1091"/>
      <c r="V191" s="1091"/>
      <c r="W191" s="1091"/>
      <c r="X191" s="1091"/>
      <c r="Y191" s="1091"/>
      <c r="Z191" s="1091"/>
      <c r="AA191" s="1091"/>
      <c r="AB191" s="1091"/>
      <c r="AC191" s="1091"/>
      <c r="AD191" s="1091"/>
    </row>
    <row r="192" spans="2:30" ht="28.5">
      <c r="B192" s="1078">
        <v>190</v>
      </c>
      <c r="C192" s="1079">
        <v>41149</v>
      </c>
      <c r="D192" s="1091" t="s">
        <v>584</v>
      </c>
      <c r="E192" s="1091" t="s">
        <v>102</v>
      </c>
      <c r="F192" s="1076" t="s">
        <v>854</v>
      </c>
      <c r="G192" s="1086" t="s">
        <v>851</v>
      </c>
      <c r="H192" s="1086" t="s">
        <v>856</v>
      </c>
      <c r="I192" s="1079">
        <f>Table1[[#This Row],[Date]]</f>
        <v>41149</v>
      </c>
      <c r="J192" s="46"/>
      <c r="K192" s="46"/>
      <c r="L192" s="1091"/>
      <c r="M192" s="1091"/>
      <c r="N192" s="1091"/>
      <c r="O192" s="1091"/>
      <c r="P192" s="1091"/>
      <c r="Q192" s="1091"/>
      <c r="R192" s="1091"/>
      <c r="S192" s="1091"/>
      <c r="T192" s="1091"/>
      <c r="U192" s="1091"/>
      <c r="V192" s="1091"/>
      <c r="W192" s="1091"/>
      <c r="X192" s="1091"/>
      <c r="Y192" s="1091"/>
      <c r="Z192" s="1091"/>
      <c r="AA192" s="1091"/>
      <c r="AB192" s="1091"/>
      <c r="AC192" s="1091"/>
      <c r="AD192" s="1091"/>
    </row>
    <row r="193" spans="2:30">
      <c r="B193" s="1078">
        <v>191</v>
      </c>
      <c r="C193" s="1079">
        <v>41150</v>
      </c>
      <c r="D193" s="1098" t="s">
        <v>584</v>
      </c>
      <c r="E193" s="1098" t="s">
        <v>102</v>
      </c>
      <c r="F193" s="1076" t="s">
        <v>857</v>
      </c>
      <c r="G193" s="1086" t="s">
        <v>858</v>
      </c>
      <c r="H193" s="1086" t="s">
        <v>859</v>
      </c>
      <c r="I193" s="1079">
        <f>Table1[[#This Row],[Date]]</f>
        <v>41150</v>
      </c>
      <c r="J193" s="46"/>
      <c r="K193" s="46"/>
      <c r="L193" s="1091"/>
      <c r="M193" s="1091"/>
      <c r="N193" s="1091"/>
      <c r="O193" s="1091"/>
      <c r="P193" s="1091"/>
      <c r="Q193" s="1091"/>
      <c r="R193" s="1091"/>
      <c r="S193" s="1091"/>
      <c r="T193" s="1091"/>
      <c r="U193" s="1091"/>
      <c r="V193" s="1091"/>
      <c r="W193" s="1091"/>
      <c r="X193" s="1091"/>
      <c r="Y193" s="1091"/>
      <c r="Z193" s="1091"/>
      <c r="AA193" s="1091"/>
      <c r="AB193" s="1091"/>
      <c r="AC193" s="1091"/>
      <c r="AD193" s="1091"/>
    </row>
    <row r="194" spans="2:30">
      <c r="B194" s="1078">
        <v>192</v>
      </c>
      <c r="C194" s="1079">
        <v>41150</v>
      </c>
      <c r="D194" s="1098" t="s">
        <v>584</v>
      </c>
      <c r="E194" s="1098" t="s">
        <v>102</v>
      </c>
      <c r="F194" s="1076" t="s">
        <v>680</v>
      </c>
      <c r="G194" s="1086" t="s">
        <v>774</v>
      </c>
      <c r="H194" s="1086" t="s">
        <v>860</v>
      </c>
      <c r="I194" s="1079">
        <f>Table1[[#This Row],[Date]]</f>
        <v>41150</v>
      </c>
      <c r="J194" s="46"/>
      <c r="K194" s="46"/>
      <c r="L194" s="1091"/>
      <c r="M194" s="1091"/>
      <c r="N194" s="1091"/>
      <c r="O194" s="1091"/>
      <c r="P194" s="1091"/>
      <c r="Q194" s="1091"/>
      <c r="R194" s="1091"/>
      <c r="S194" s="1091"/>
      <c r="T194" s="1091"/>
      <c r="U194" s="1091"/>
      <c r="V194" s="1091"/>
      <c r="W194" s="1091"/>
      <c r="X194" s="1091"/>
      <c r="Y194" s="1091"/>
      <c r="Z194" s="1091"/>
      <c r="AA194" s="1091"/>
      <c r="AB194" s="1091"/>
      <c r="AC194" s="1091"/>
      <c r="AD194" s="1091"/>
    </row>
    <row r="195" spans="2:30" ht="28.5">
      <c r="B195" s="1078">
        <v>193</v>
      </c>
      <c r="C195" s="1079">
        <v>41150</v>
      </c>
      <c r="D195" s="1098" t="s">
        <v>584</v>
      </c>
      <c r="E195" s="1098" t="s">
        <v>102</v>
      </c>
      <c r="F195" s="1076" t="s">
        <v>717</v>
      </c>
      <c r="G195" s="1086" t="s">
        <v>862</v>
      </c>
      <c r="H195" s="1086" t="s">
        <v>863</v>
      </c>
      <c r="I195" s="1079">
        <f>Table1[[#This Row],[Date]]</f>
        <v>41150</v>
      </c>
      <c r="J195" s="46"/>
      <c r="K195" s="46"/>
      <c r="L195" s="1091"/>
      <c r="M195" s="1091"/>
      <c r="N195" s="1091"/>
      <c r="O195" s="1091"/>
      <c r="P195" s="1091"/>
      <c r="Q195" s="1091"/>
      <c r="R195" s="1091"/>
      <c r="S195" s="1091"/>
      <c r="T195" s="1091"/>
      <c r="U195" s="1091"/>
      <c r="V195" s="1091"/>
      <c r="W195" s="1091"/>
      <c r="X195" s="1091"/>
      <c r="Y195" s="1091"/>
      <c r="Z195" s="1091"/>
      <c r="AA195" s="1091"/>
      <c r="AB195" s="1091"/>
      <c r="AC195" s="1091"/>
      <c r="AD195" s="1091"/>
    </row>
    <row r="196" spans="2:30" ht="28.5">
      <c r="B196" s="1078">
        <v>194</v>
      </c>
      <c r="C196" s="1079">
        <v>41150</v>
      </c>
      <c r="D196" s="1098" t="s">
        <v>584</v>
      </c>
      <c r="E196" s="1098" t="s">
        <v>102</v>
      </c>
      <c r="F196" s="1076" t="s">
        <v>681</v>
      </c>
      <c r="G196" s="1086" t="s">
        <v>825</v>
      </c>
      <c r="H196" s="1086" t="s">
        <v>710</v>
      </c>
      <c r="I196" s="1079">
        <f>Table1[[#This Row],[Date]]</f>
        <v>41150</v>
      </c>
      <c r="J196" s="46"/>
      <c r="K196" s="46"/>
      <c r="L196" s="1091"/>
      <c r="M196" s="1091"/>
      <c r="N196" s="1091"/>
      <c r="O196" s="1091"/>
      <c r="P196" s="1091"/>
      <c r="Q196" s="1091"/>
      <c r="R196" s="1091"/>
      <c r="S196" s="1091"/>
      <c r="T196" s="1091"/>
      <c r="U196" s="1091"/>
      <c r="V196" s="1091"/>
      <c r="W196" s="1091"/>
      <c r="X196" s="1091"/>
      <c r="Y196" s="1091"/>
      <c r="Z196" s="1091"/>
      <c r="AA196" s="1091"/>
      <c r="AB196" s="1091"/>
      <c r="AC196" s="1091"/>
      <c r="AD196" s="1091"/>
    </row>
    <row r="197" spans="2:30" ht="28.5">
      <c r="B197" s="1078">
        <v>195</v>
      </c>
      <c r="C197" s="1079">
        <v>41150</v>
      </c>
      <c r="D197" s="1098" t="s">
        <v>584</v>
      </c>
      <c r="E197" s="1098" t="s">
        <v>102</v>
      </c>
      <c r="F197" s="1076" t="s">
        <v>682</v>
      </c>
      <c r="G197" s="1086" t="s">
        <v>825</v>
      </c>
      <c r="H197" s="1086" t="s">
        <v>710</v>
      </c>
      <c r="I197" s="1079">
        <f>Table1[[#This Row],[Date]]</f>
        <v>41150</v>
      </c>
      <c r="J197" s="46"/>
      <c r="K197" s="46"/>
      <c r="L197" s="1091"/>
      <c r="M197" s="1091"/>
      <c r="N197" s="1091"/>
      <c r="O197" s="1091"/>
      <c r="P197" s="1091"/>
      <c r="Q197" s="1091"/>
      <c r="R197" s="1091"/>
      <c r="S197" s="1091"/>
      <c r="T197" s="1091"/>
      <c r="U197" s="1091"/>
      <c r="V197" s="1091"/>
      <c r="W197" s="1091"/>
      <c r="X197" s="1091"/>
      <c r="Y197" s="1091"/>
      <c r="Z197" s="1091"/>
      <c r="AA197" s="1091"/>
      <c r="AB197" s="1091"/>
      <c r="AC197" s="1091"/>
      <c r="AD197" s="1091"/>
    </row>
    <row r="198" spans="2:30" ht="28.5">
      <c r="B198" s="1078">
        <v>196</v>
      </c>
      <c r="C198" s="1079">
        <v>41150</v>
      </c>
      <c r="D198" s="1098" t="s">
        <v>584</v>
      </c>
      <c r="E198" s="1098" t="s">
        <v>102</v>
      </c>
      <c r="F198" s="1076" t="s">
        <v>864</v>
      </c>
      <c r="G198" s="1086" t="s">
        <v>825</v>
      </c>
      <c r="H198" s="1086" t="s">
        <v>710</v>
      </c>
      <c r="I198" s="1079">
        <f>Table1[[#This Row],[Date]]</f>
        <v>41150</v>
      </c>
      <c r="J198" s="46"/>
      <c r="K198" s="46"/>
      <c r="L198" s="1091"/>
      <c r="M198" s="1091"/>
      <c r="N198" s="1091"/>
      <c r="O198" s="1091"/>
      <c r="P198" s="1091"/>
      <c r="Q198" s="1091"/>
      <c r="R198" s="1091"/>
      <c r="S198" s="1091"/>
      <c r="T198" s="1091"/>
      <c r="U198" s="1091"/>
      <c r="V198" s="1091"/>
      <c r="W198" s="1091"/>
      <c r="X198" s="1091"/>
      <c r="Y198" s="1091"/>
      <c r="Z198" s="1091"/>
      <c r="AA198" s="1091"/>
      <c r="AB198" s="1091"/>
      <c r="AC198" s="1091"/>
      <c r="AD198" s="1091"/>
    </row>
    <row r="199" spans="2:30" ht="28.5">
      <c r="B199" s="1078">
        <v>197</v>
      </c>
      <c r="C199" s="1079">
        <v>41150</v>
      </c>
      <c r="D199" s="1098" t="s">
        <v>584</v>
      </c>
      <c r="E199" s="1098" t="s">
        <v>102</v>
      </c>
      <c r="F199" s="1076" t="s">
        <v>819</v>
      </c>
      <c r="G199" s="1086" t="s">
        <v>825</v>
      </c>
      <c r="H199" s="1086" t="s">
        <v>710</v>
      </c>
      <c r="I199" s="1079">
        <f>Table1[[#This Row],[Date]]</f>
        <v>41150</v>
      </c>
      <c r="J199" s="46"/>
      <c r="K199" s="46"/>
      <c r="L199" s="1091"/>
      <c r="M199" s="1091"/>
      <c r="N199" s="1091"/>
      <c r="O199" s="1091"/>
      <c r="P199" s="1091"/>
      <c r="Q199" s="1091"/>
      <c r="R199" s="1091"/>
      <c r="S199" s="1091"/>
      <c r="T199" s="1091"/>
      <c r="U199" s="1091"/>
      <c r="V199" s="1091"/>
      <c r="W199" s="1091"/>
      <c r="X199" s="1091"/>
      <c r="Y199" s="1091"/>
      <c r="Z199" s="1091"/>
      <c r="AA199" s="1091"/>
      <c r="AB199" s="1091"/>
      <c r="AC199" s="1091"/>
      <c r="AD199" s="1091"/>
    </row>
    <row r="200" spans="2:30" ht="28.5">
      <c r="B200" s="1078">
        <v>198</v>
      </c>
      <c r="C200" s="1079">
        <v>41150</v>
      </c>
      <c r="D200" s="1098" t="s">
        <v>584</v>
      </c>
      <c r="E200" s="1098" t="s">
        <v>102</v>
      </c>
      <c r="F200" s="1076" t="s">
        <v>865</v>
      </c>
      <c r="G200" s="1086" t="s">
        <v>825</v>
      </c>
      <c r="H200" s="1086" t="s">
        <v>710</v>
      </c>
      <c r="I200" s="1079">
        <f>Table1[[#This Row],[Date]]</f>
        <v>41150</v>
      </c>
      <c r="J200" s="46"/>
      <c r="K200" s="46"/>
      <c r="L200" s="1091"/>
      <c r="M200" s="1091"/>
      <c r="N200" s="1091"/>
      <c r="O200" s="1091"/>
      <c r="P200" s="1091"/>
      <c r="Q200" s="1091"/>
      <c r="R200" s="1091"/>
      <c r="S200" s="1091"/>
      <c r="T200" s="1091"/>
      <c r="U200" s="1091"/>
      <c r="V200" s="1091"/>
      <c r="W200" s="1091"/>
      <c r="X200" s="1091"/>
      <c r="Y200" s="1091"/>
      <c r="Z200" s="1091"/>
      <c r="AA200" s="1091"/>
      <c r="AB200" s="1091"/>
      <c r="AC200" s="1091"/>
      <c r="AD200" s="1091"/>
    </row>
    <row r="201" spans="2:30" ht="28.5">
      <c r="B201" s="1078">
        <v>199</v>
      </c>
      <c r="C201" s="1079">
        <v>41150</v>
      </c>
      <c r="D201" s="1098" t="s">
        <v>584</v>
      </c>
      <c r="E201" s="1098" t="s">
        <v>102</v>
      </c>
      <c r="F201" s="1076" t="s">
        <v>866</v>
      </c>
      <c r="G201" s="1086" t="s">
        <v>824</v>
      </c>
      <c r="H201" s="1086" t="s">
        <v>695</v>
      </c>
      <c r="I201" s="1079">
        <f>Table1[[#This Row],[Date]]</f>
        <v>41150</v>
      </c>
      <c r="J201" s="46"/>
      <c r="K201" s="46"/>
      <c r="L201" s="1091"/>
      <c r="M201" s="1091"/>
      <c r="N201" s="1091"/>
      <c r="O201" s="1091"/>
      <c r="P201" s="1091"/>
      <c r="Q201" s="1091"/>
      <c r="R201" s="1091"/>
      <c r="S201" s="1091"/>
      <c r="T201" s="1091"/>
      <c r="U201" s="1091"/>
      <c r="V201" s="1091"/>
      <c r="W201" s="1091"/>
      <c r="X201" s="1091"/>
      <c r="Y201" s="1091"/>
      <c r="Z201" s="1091"/>
      <c r="AA201" s="1091"/>
      <c r="AB201" s="1091"/>
      <c r="AC201" s="1091"/>
      <c r="AD201" s="1091"/>
    </row>
    <row r="202" spans="2:30" ht="28.5">
      <c r="B202" s="1078">
        <v>200</v>
      </c>
      <c r="C202" s="1079">
        <v>41150</v>
      </c>
      <c r="D202" s="1098" t="s">
        <v>584</v>
      </c>
      <c r="E202" s="1098" t="s">
        <v>102</v>
      </c>
      <c r="F202" s="1076" t="s">
        <v>867</v>
      </c>
      <c r="G202" s="1086" t="s">
        <v>824</v>
      </c>
      <c r="H202" s="1086" t="s">
        <v>695</v>
      </c>
      <c r="I202" s="1079">
        <f>Table1[[#This Row],[Date]]</f>
        <v>41150</v>
      </c>
      <c r="J202" s="46"/>
      <c r="K202" s="46"/>
      <c r="L202" s="1091"/>
      <c r="M202" s="1091"/>
      <c r="N202" s="1091"/>
      <c r="O202" s="1091"/>
      <c r="P202" s="1091"/>
      <c r="Q202" s="1091"/>
      <c r="R202" s="1091"/>
      <c r="S202" s="1091"/>
      <c r="T202" s="1091"/>
      <c r="U202" s="1091"/>
      <c r="V202" s="1091"/>
      <c r="W202" s="1091"/>
      <c r="X202" s="1091"/>
      <c r="Y202" s="1091"/>
      <c r="Z202" s="1091"/>
      <c r="AA202" s="1091"/>
      <c r="AB202" s="1091"/>
      <c r="AC202" s="1091"/>
      <c r="AD202" s="1091"/>
    </row>
    <row r="203" spans="2:30" ht="28.5">
      <c r="B203" s="1078">
        <v>201</v>
      </c>
      <c r="C203" s="1079">
        <v>41150</v>
      </c>
      <c r="D203" s="1098" t="s">
        <v>584</v>
      </c>
      <c r="E203" s="1098" t="s">
        <v>369</v>
      </c>
      <c r="F203" s="1076" t="s">
        <v>726</v>
      </c>
      <c r="G203" s="1086" t="s">
        <v>824</v>
      </c>
      <c r="H203" s="1086" t="s">
        <v>695</v>
      </c>
      <c r="I203" s="1079">
        <f>Table1[[#This Row],[Date]]</f>
        <v>41150</v>
      </c>
      <c r="J203" s="46"/>
      <c r="K203" s="46"/>
      <c r="L203" s="1091"/>
      <c r="M203" s="1091"/>
      <c r="N203" s="1091"/>
      <c r="O203" s="1091"/>
      <c r="P203" s="1091"/>
      <c r="Q203" s="1091"/>
      <c r="R203" s="1091"/>
      <c r="S203" s="1091"/>
      <c r="T203" s="1091"/>
      <c r="U203" s="1091"/>
      <c r="V203" s="1091"/>
      <c r="W203" s="1091"/>
      <c r="X203" s="1091"/>
      <c r="Y203" s="1091"/>
      <c r="Z203" s="1091"/>
      <c r="AA203" s="1091"/>
      <c r="AB203" s="1091"/>
      <c r="AC203" s="1091"/>
      <c r="AD203" s="1091"/>
    </row>
    <row r="204" spans="2:30" ht="28.5">
      <c r="B204" s="1078">
        <v>202</v>
      </c>
      <c r="C204" s="1079">
        <v>41150</v>
      </c>
      <c r="D204" s="1098" t="s">
        <v>584</v>
      </c>
      <c r="E204" s="1098" t="s">
        <v>102</v>
      </c>
      <c r="F204" s="1076" t="s">
        <v>819</v>
      </c>
      <c r="G204" s="1086" t="s">
        <v>868</v>
      </c>
      <c r="H204" s="1086" t="s">
        <v>869</v>
      </c>
      <c r="I204" s="1079">
        <f>Table1[[#This Row],[Date]]</f>
        <v>41150</v>
      </c>
      <c r="J204" s="46"/>
      <c r="K204" s="46"/>
      <c r="L204" s="1091"/>
      <c r="M204" s="1091"/>
      <c r="N204" s="1091"/>
      <c r="O204" s="1091"/>
      <c r="P204" s="1091"/>
      <c r="Q204" s="1091"/>
      <c r="R204" s="1091"/>
      <c r="S204" s="1091"/>
      <c r="T204" s="1091"/>
      <c r="U204" s="1091"/>
      <c r="V204" s="1091"/>
      <c r="W204" s="1091"/>
      <c r="X204" s="1091"/>
      <c r="Y204" s="1091"/>
      <c r="Z204" s="1091"/>
      <c r="AA204" s="1091"/>
      <c r="AB204" s="1091"/>
      <c r="AC204" s="1091"/>
      <c r="AD204" s="1091"/>
    </row>
    <row r="205" spans="2:30" ht="42.75">
      <c r="B205" s="1078">
        <v>203</v>
      </c>
      <c r="C205" s="1079">
        <v>41150</v>
      </c>
      <c r="D205" s="1098" t="s">
        <v>584</v>
      </c>
      <c r="E205" s="1098" t="s">
        <v>102</v>
      </c>
      <c r="F205" s="1076" t="s">
        <v>870</v>
      </c>
      <c r="G205" s="1086" t="s">
        <v>626</v>
      </c>
      <c r="H205" s="1086" t="s">
        <v>627</v>
      </c>
      <c r="I205" s="1079">
        <f>Table1[[#This Row],[Date]]</f>
        <v>41150</v>
      </c>
      <c r="J205" s="46"/>
      <c r="K205" s="46"/>
      <c r="L205" s="1091"/>
      <c r="M205" s="1091"/>
      <c r="N205" s="1091"/>
      <c r="O205" s="1091"/>
      <c r="P205" s="1091"/>
      <c r="Q205" s="1091"/>
      <c r="R205" s="1091"/>
      <c r="S205" s="1091"/>
      <c r="T205" s="1091"/>
      <c r="U205" s="1091"/>
      <c r="V205" s="1091"/>
      <c r="W205" s="1091"/>
      <c r="X205" s="1091"/>
      <c r="Y205" s="1091"/>
      <c r="Z205" s="1091"/>
      <c r="AA205" s="1091"/>
      <c r="AB205" s="1091"/>
      <c r="AC205" s="1091"/>
      <c r="AD205" s="1091"/>
    </row>
    <row r="206" spans="2:30" ht="28.5">
      <c r="B206" s="1078">
        <v>204</v>
      </c>
      <c r="C206" s="1079">
        <v>41150</v>
      </c>
      <c r="D206" s="1098" t="s">
        <v>584</v>
      </c>
      <c r="E206" s="1098" t="s">
        <v>327</v>
      </c>
      <c r="F206" s="1076" t="s">
        <v>586</v>
      </c>
      <c r="G206" s="1086" t="s">
        <v>590</v>
      </c>
      <c r="H206" s="1086" t="s">
        <v>591</v>
      </c>
      <c r="I206" s="1079">
        <f>Table1[[#This Row],[Date]]</f>
        <v>41150</v>
      </c>
      <c r="J206" s="46"/>
      <c r="K206" s="46"/>
      <c r="L206" s="1091"/>
      <c r="M206" s="1091"/>
      <c r="N206" s="1091"/>
      <c r="O206" s="1091"/>
      <c r="P206" s="1091"/>
      <c r="Q206" s="1091"/>
      <c r="R206" s="1091"/>
      <c r="S206" s="1091"/>
      <c r="T206" s="1091"/>
      <c r="U206" s="1091"/>
      <c r="V206" s="1091"/>
      <c r="W206" s="1091"/>
      <c r="X206" s="1091"/>
      <c r="Y206" s="1091"/>
      <c r="Z206" s="1091"/>
      <c r="AA206" s="1091"/>
      <c r="AB206" s="1091"/>
      <c r="AC206" s="1091"/>
      <c r="AD206" s="1091"/>
    </row>
    <row r="207" spans="2:30" ht="28.5">
      <c r="B207" s="1078">
        <v>205</v>
      </c>
      <c r="C207" s="1079">
        <v>41150</v>
      </c>
      <c r="D207" s="1098" t="s">
        <v>584</v>
      </c>
      <c r="E207" s="1098" t="s">
        <v>327</v>
      </c>
      <c r="F207" s="1076" t="s">
        <v>589</v>
      </c>
      <c r="G207" s="1086" t="s">
        <v>590</v>
      </c>
      <c r="H207" s="1086" t="s">
        <v>591</v>
      </c>
      <c r="I207" s="1079">
        <f>Table1[[#This Row],[Date]]</f>
        <v>41150</v>
      </c>
      <c r="J207" s="46"/>
      <c r="K207" s="46"/>
      <c r="L207" s="1091"/>
      <c r="M207" s="1091"/>
      <c r="N207" s="1091"/>
      <c r="O207" s="1091"/>
      <c r="P207" s="1091"/>
      <c r="Q207" s="1091"/>
      <c r="R207" s="1091"/>
      <c r="S207" s="1091"/>
      <c r="T207" s="1091"/>
      <c r="U207" s="1091"/>
      <c r="V207" s="1091"/>
      <c r="W207" s="1091"/>
      <c r="X207" s="1091"/>
      <c r="Y207" s="1091"/>
      <c r="Z207" s="1091"/>
      <c r="AA207" s="1091"/>
      <c r="AB207" s="1091"/>
      <c r="AC207" s="1091"/>
      <c r="AD207" s="1091"/>
    </row>
    <row r="208" spans="2:30">
      <c r="B208" s="1078">
        <v>206</v>
      </c>
      <c r="C208" s="1079">
        <v>41150</v>
      </c>
      <c r="D208" s="1098" t="s">
        <v>584</v>
      </c>
      <c r="E208" s="1098" t="s">
        <v>327</v>
      </c>
      <c r="F208" s="1076" t="s">
        <v>589</v>
      </c>
      <c r="G208" s="1086" t="s">
        <v>871</v>
      </c>
      <c r="H208" s="1086" t="s">
        <v>872</v>
      </c>
      <c r="I208" s="1079">
        <f>Table1[[#This Row],[Date]]</f>
        <v>41150</v>
      </c>
      <c r="J208" s="46"/>
      <c r="K208" s="46"/>
      <c r="L208" s="1091"/>
      <c r="M208" s="1091"/>
      <c r="N208" s="1091"/>
      <c r="O208" s="1091"/>
      <c r="P208" s="1091"/>
      <c r="Q208" s="1091"/>
      <c r="R208" s="1091"/>
      <c r="S208" s="1091"/>
      <c r="T208" s="1091"/>
      <c r="U208" s="1091"/>
      <c r="V208" s="1091"/>
      <c r="W208" s="1091"/>
      <c r="X208" s="1091"/>
      <c r="Y208" s="1091"/>
      <c r="Z208" s="1091"/>
      <c r="AA208" s="1091"/>
      <c r="AB208" s="1091"/>
      <c r="AC208" s="1091"/>
      <c r="AD208" s="1091"/>
    </row>
    <row r="209" spans="2:30" ht="28.5">
      <c r="B209" s="1078">
        <v>207</v>
      </c>
      <c r="C209" s="1079">
        <v>41150</v>
      </c>
      <c r="D209" s="1098" t="s">
        <v>584</v>
      </c>
      <c r="E209" s="1098" t="s">
        <v>327</v>
      </c>
      <c r="F209" s="1076" t="s">
        <v>654</v>
      </c>
      <c r="G209" s="1086" t="s">
        <v>873</v>
      </c>
      <c r="H209" s="1086" t="s">
        <v>874</v>
      </c>
      <c r="I209" s="1079">
        <f>Table1[[#This Row],[Date]]</f>
        <v>41150</v>
      </c>
      <c r="J209" s="46"/>
      <c r="K209" s="46"/>
      <c r="L209" s="1091"/>
      <c r="M209" s="1091"/>
      <c r="N209" s="1091"/>
      <c r="O209" s="1091"/>
      <c r="P209" s="1091"/>
      <c r="Q209" s="1091"/>
      <c r="R209" s="1091"/>
      <c r="S209" s="1091"/>
      <c r="T209" s="1091"/>
      <c r="U209" s="1091"/>
      <c r="V209" s="1091"/>
      <c r="W209" s="1091"/>
      <c r="X209" s="1091"/>
      <c r="Y209" s="1091"/>
      <c r="Z209" s="1091"/>
      <c r="AA209" s="1091"/>
      <c r="AB209" s="1091"/>
      <c r="AC209" s="1091"/>
      <c r="AD209" s="1091"/>
    </row>
    <row r="210" spans="2:30" ht="28.5">
      <c r="B210" s="1078">
        <v>208</v>
      </c>
      <c r="C210" s="1079">
        <v>41150</v>
      </c>
      <c r="D210" s="1098" t="s">
        <v>584</v>
      </c>
      <c r="E210" s="1098" t="s">
        <v>102</v>
      </c>
      <c r="F210" s="1076" t="s">
        <v>656</v>
      </c>
      <c r="G210" s="1086" t="s">
        <v>873</v>
      </c>
      <c r="H210" s="1086" t="s">
        <v>874</v>
      </c>
      <c r="I210" s="1079">
        <f>Table1[[#This Row],[Date]]</f>
        <v>41150</v>
      </c>
      <c r="J210" s="46"/>
      <c r="K210" s="46"/>
      <c r="L210" s="1091"/>
      <c r="M210" s="1091"/>
      <c r="N210" s="1091"/>
      <c r="O210" s="1091"/>
      <c r="P210" s="1091"/>
      <c r="Q210" s="1091"/>
      <c r="R210" s="1091"/>
      <c r="S210" s="1091"/>
      <c r="T210" s="1091"/>
      <c r="U210" s="1091"/>
      <c r="V210" s="1091"/>
      <c r="W210" s="1091"/>
      <c r="X210" s="1091"/>
      <c r="Y210" s="1091"/>
      <c r="Z210" s="1091"/>
      <c r="AA210" s="1091"/>
      <c r="AB210" s="1091"/>
      <c r="AC210" s="1091"/>
      <c r="AD210" s="1091"/>
    </row>
    <row r="211" spans="2:30" ht="28.5">
      <c r="B211" s="1078">
        <v>209</v>
      </c>
      <c r="C211" s="1079">
        <v>41150</v>
      </c>
      <c r="D211" s="1098" t="s">
        <v>584</v>
      </c>
      <c r="E211" s="1098" t="s">
        <v>327</v>
      </c>
      <c r="F211" s="1076" t="s">
        <v>654</v>
      </c>
      <c r="G211" s="1086" t="s">
        <v>875</v>
      </c>
      <c r="H211" s="1086" t="s">
        <v>876</v>
      </c>
      <c r="I211" s="1079">
        <f>Table1[[#This Row],[Date]]</f>
        <v>41150</v>
      </c>
      <c r="J211" s="46"/>
      <c r="K211" s="46"/>
      <c r="L211" s="1091"/>
      <c r="M211" s="1091"/>
      <c r="N211" s="1091"/>
      <c r="O211" s="1091"/>
      <c r="P211" s="1091"/>
      <c r="Q211" s="1091"/>
      <c r="R211" s="1091"/>
      <c r="S211" s="1091"/>
      <c r="T211" s="1091"/>
      <c r="U211" s="1091"/>
      <c r="V211" s="1091"/>
      <c r="W211" s="1091"/>
      <c r="X211" s="1091"/>
      <c r="Y211" s="1091"/>
      <c r="Z211" s="1091"/>
      <c r="AA211" s="1091"/>
      <c r="AB211" s="1091"/>
      <c r="AC211" s="1091"/>
      <c r="AD211" s="1091"/>
    </row>
    <row r="212" spans="2:30" ht="42.75">
      <c r="B212" s="1078">
        <v>210</v>
      </c>
      <c r="C212" s="1079">
        <v>41150</v>
      </c>
      <c r="D212" s="1098" t="s">
        <v>584</v>
      </c>
      <c r="E212" s="1098" t="s">
        <v>327</v>
      </c>
      <c r="F212" s="1076" t="s">
        <v>877</v>
      </c>
      <c r="G212" s="1086" t="s">
        <v>626</v>
      </c>
      <c r="H212" s="1086" t="s">
        <v>627</v>
      </c>
      <c r="I212" s="1079">
        <f>Table1[[#This Row],[Date]]</f>
        <v>41150</v>
      </c>
      <c r="J212" s="46"/>
      <c r="K212" s="46"/>
      <c r="L212" s="1091"/>
      <c r="M212" s="1091"/>
      <c r="N212" s="1091"/>
      <c r="O212" s="1091"/>
      <c r="P212" s="1091"/>
      <c r="Q212" s="1091"/>
      <c r="R212" s="1091"/>
      <c r="S212" s="1091"/>
      <c r="T212" s="1091"/>
      <c r="U212" s="1091"/>
      <c r="V212" s="1091"/>
      <c r="W212" s="1091"/>
      <c r="X212" s="1091"/>
      <c r="Y212" s="1091"/>
      <c r="Z212" s="1091"/>
      <c r="AA212" s="1091"/>
      <c r="AB212" s="1091"/>
      <c r="AC212" s="1091"/>
      <c r="AD212" s="1091"/>
    </row>
    <row r="213" spans="2:30" ht="28.5">
      <c r="B213" s="1078">
        <v>211</v>
      </c>
      <c r="C213" s="1079">
        <v>41150</v>
      </c>
      <c r="D213" s="1098" t="s">
        <v>584</v>
      </c>
      <c r="E213" s="1098" t="s">
        <v>326</v>
      </c>
      <c r="F213" s="1076" t="s">
        <v>586</v>
      </c>
      <c r="G213" s="1086" t="s">
        <v>590</v>
      </c>
      <c r="H213" s="1086" t="s">
        <v>591</v>
      </c>
      <c r="I213" s="1079">
        <f>Table1[[#This Row],[Date]]</f>
        <v>41150</v>
      </c>
      <c r="J213" s="46"/>
      <c r="K213" s="46"/>
      <c r="L213" s="1091"/>
      <c r="M213" s="1091"/>
      <c r="N213" s="1091"/>
      <c r="O213" s="1091"/>
      <c r="P213" s="1091"/>
      <c r="Q213" s="1091"/>
      <c r="R213" s="1091"/>
      <c r="S213" s="1091"/>
      <c r="T213" s="1091"/>
      <c r="U213" s="1091"/>
      <c r="V213" s="1091"/>
      <c r="W213" s="1091"/>
      <c r="X213" s="1091"/>
      <c r="Y213" s="1091"/>
      <c r="Z213" s="1091"/>
      <c r="AA213" s="1091"/>
      <c r="AB213" s="1091"/>
      <c r="AC213" s="1091"/>
      <c r="AD213" s="1091"/>
    </row>
    <row r="214" spans="2:30" ht="28.5">
      <c r="B214" s="1078">
        <v>212</v>
      </c>
      <c r="C214" s="1079">
        <v>41150</v>
      </c>
      <c r="D214" s="1098" t="s">
        <v>584</v>
      </c>
      <c r="E214" s="1098" t="s">
        <v>326</v>
      </c>
      <c r="F214" s="1076" t="s">
        <v>878</v>
      </c>
      <c r="G214" s="1086" t="s">
        <v>590</v>
      </c>
      <c r="H214" s="1086" t="s">
        <v>591</v>
      </c>
      <c r="I214" s="1079">
        <f>Table1[[#This Row],[Date]]</f>
        <v>41150</v>
      </c>
      <c r="J214" s="46"/>
      <c r="K214" s="46"/>
      <c r="L214" s="1091"/>
      <c r="M214" s="1091"/>
      <c r="N214" s="1091"/>
      <c r="O214" s="1091"/>
      <c r="P214" s="1091"/>
      <c r="Q214" s="1091"/>
      <c r="R214" s="1091"/>
      <c r="S214" s="1091"/>
      <c r="T214" s="1091"/>
      <c r="U214" s="1091"/>
      <c r="V214" s="1091"/>
      <c r="W214" s="1091"/>
      <c r="X214" s="1091"/>
      <c r="Y214" s="1091"/>
      <c r="Z214" s="1091"/>
      <c r="AA214" s="1091"/>
      <c r="AB214" s="1091"/>
      <c r="AC214" s="1091"/>
      <c r="AD214" s="1091"/>
    </row>
    <row r="215" spans="2:30">
      <c r="B215" s="1078">
        <v>213</v>
      </c>
      <c r="C215" s="1079">
        <v>41150</v>
      </c>
      <c r="D215" s="1098" t="s">
        <v>584</v>
      </c>
      <c r="E215" s="1098" t="s">
        <v>326</v>
      </c>
      <c r="F215" s="1076" t="s">
        <v>878</v>
      </c>
      <c r="G215" s="1086" t="s">
        <v>871</v>
      </c>
      <c r="H215" s="1086" t="s">
        <v>879</v>
      </c>
      <c r="I215" s="1079">
        <f>Table1[[#This Row],[Date]]</f>
        <v>41150</v>
      </c>
      <c r="J215" s="46"/>
      <c r="K215" s="46"/>
      <c r="L215" s="1091"/>
      <c r="M215" s="1091"/>
      <c r="N215" s="1091"/>
      <c r="O215" s="1091"/>
      <c r="P215" s="1091"/>
      <c r="Q215" s="1091"/>
      <c r="R215" s="1091"/>
      <c r="S215" s="1091"/>
      <c r="T215" s="1091"/>
      <c r="U215" s="1091"/>
      <c r="V215" s="1091"/>
      <c r="W215" s="1091"/>
      <c r="X215" s="1091"/>
      <c r="Y215" s="1091"/>
      <c r="Z215" s="1091"/>
      <c r="AA215" s="1091"/>
      <c r="AB215" s="1091"/>
      <c r="AC215" s="1091"/>
      <c r="AD215" s="1091"/>
    </row>
    <row r="216" spans="2:30" ht="28.5">
      <c r="B216" s="1078">
        <v>214</v>
      </c>
      <c r="C216" s="1079">
        <v>41150</v>
      </c>
      <c r="D216" s="1098" t="s">
        <v>584</v>
      </c>
      <c r="E216" s="1098" t="s">
        <v>326</v>
      </c>
      <c r="F216" s="1076" t="s">
        <v>703</v>
      </c>
      <c r="G216" s="1086" t="s">
        <v>880</v>
      </c>
      <c r="H216" s="1086" t="s">
        <v>881</v>
      </c>
      <c r="I216" s="1079">
        <f>Table1[[#This Row],[Date]]</f>
        <v>41150</v>
      </c>
      <c r="J216" s="46"/>
      <c r="K216" s="46"/>
      <c r="L216" s="1091"/>
      <c r="M216" s="1091"/>
      <c r="N216" s="1091"/>
      <c r="O216" s="1091"/>
      <c r="P216" s="1091"/>
      <c r="Q216" s="1091"/>
      <c r="R216" s="1091"/>
      <c r="S216" s="1091"/>
      <c r="T216" s="1091"/>
      <c r="U216" s="1091"/>
      <c r="V216" s="1091"/>
      <c r="W216" s="1091"/>
      <c r="X216" s="1091"/>
      <c r="Y216" s="1091"/>
      <c r="Z216" s="1091"/>
      <c r="AA216" s="1091"/>
      <c r="AB216" s="1091"/>
      <c r="AC216" s="1091"/>
      <c r="AD216" s="1091"/>
    </row>
    <row r="217" spans="2:30" ht="28.5">
      <c r="B217" s="1078">
        <v>215</v>
      </c>
      <c r="C217" s="1079">
        <v>41150</v>
      </c>
      <c r="D217" s="1098" t="s">
        <v>584</v>
      </c>
      <c r="E217" s="1098" t="s">
        <v>326</v>
      </c>
      <c r="F217" s="1076" t="s">
        <v>882</v>
      </c>
      <c r="G217" s="1086" t="s">
        <v>744</v>
      </c>
      <c r="H217" s="1086" t="s">
        <v>792</v>
      </c>
      <c r="I217" s="1079">
        <f>Table1[[#This Row],[Date]]</f>
        <v>41150</v>
      </c>
      <c r="J217" s="46"/>
      <c r="K217" s="46"/>
      <c r="L217" s="1091"/>
      <c r="M217" s="1091"/>
      <c r="N217" s="1091"/>
      <c r="O217" s="1091"/>
      <c r="P217" s="1091"/>
      <c r="Q217" s="1091"/>
      <c r="R217" s="1091"/>
      <c r="S217" s="1091"/>
      <c r="T217" s="1091"/>
      <c r="U217" s="1091"/>
      <c r="V217" s="1091"/>
      <c r="W217" s="1091"/>
      <c r="X217" s="1091"/>
      <c r="Y217" s="1091"/>
      <c r="Z217" s="1091"/>
      <c r="AA217" s="1091"/>
      <c r="AB217" s="1091"/>
      <c r="AC217" s="1091"/>
      <c r="AD217" s="1091"/>
    </row>
    <row r="218" spans="2:30" ht="28.5">
      <c r="B218" s="1078">
        <v>216</v>
      </c>
      <c r="C218" s="1079">
        <v>41150</v>
      </c>
      <c r="D218" s="1098" t="s">
        <v>584</v>
      </c>
      <c r="E218" s="1098" t="s">
        <v>326</v>
      </c>
      <c r="F218" s="1076" t="s">
        <v>883</v>
      </c>
      <c r="G218" s="1086" t="s">
        <v>744</v>
      </c>
      <c r="H218" s="1086" t="s">
        <v>792</v>
      </c>
      <c r="I218" s="1079">
        <f>Table1[[#This Row],[Date]]</f>
        <v>41150</v>
      </c>
      <c r="J218" s="46"/>
      <c r="K218" s="46"/>
      <c r="L218" s="1091"/>
      <c r="M218" s="1091"/>
      <c r="N218" s="1091"/>
      <c r="O218" s="1091"/>
      <c r="P218" s="1091"/>
      <c r="Q218" s="1091"/>
      <c r="R218" s="1091"/>
      <c r="S218" s="1091"/>
      <c r="T218" s="1091"/>
      <c r="U218" s="1091"/>
      <c r="V218" s="1091"/>
      <c r="W218" s="1091"/>
      <c r="X218" s="1091"/>
      <c r="Y218" s="1091"/>
      <c r="Z218" s="1091"/>
      <c r="AA218" s="1091"/>
      <c r="AB218" s="1091"/>
      <c r="AC218" s="1091"/>
      <c r="AD218" s="1091"/>
    </row>
    <row r="219" spans="2:30" ht="28.5">
      <c r="B219" s="1078">
        <v>217</v>
      </c>
      <c r="C219" s="1079">
        <v>41150</v>
      </c>
      <c r="D219" s="1098" t="s">
        <v>584</v>
      </c>
      <c r="E219" s="1098" t="s">
        <v>327</v>
      </c>
      <c r="F219" s="1076" t="s">
        <v>884</v>
      </c>
      <c r="G219" s="1086" t="s">
        <v>744</v>
      </c>
      <c r="H219" s="1086" t="s">
        <v>792</v>
      </c>
      <c r="I219" s="1079">
        <f>Table1[[#This Row],[Date]]</f>
        <v>41150</v>
      </c>
      <c r="J219" s="46"/>
      <c r="K219" s="46"/>
      <c r="L219" s="1091"/>
      <c r="M219" s="1091"/>
      <c r="N219" s="1091"/>
      <c r="O219" s="1091"/>
      <c r="P219" s="1091"/>
      <c r="Q219" s="1091"/>
      <c r="R219" s="1091"/>
      <c r="S219" s="1091"/>
      <c r="T219" s="1091"/>
      <c r="U219" s="1091"/>
      <c r="V219" s="1091"/>
      <c r="W219" s="1091"/>
      <c r="X219" s="1091"/>
      <c r="Y219" s="1091"/>
      <c r="Z219" s="1091"/>
      <c r="AA219" s="1091"/>
      <c r="AB219" s="1091"/>
      <c r="AC219" s="1091"/>
      <c r="AD219" s="1091"/>
    </row>
    <row r="220" spans="2:30" ht="28.5">
      <c r="B220" s="1078">
        <v>218</v>
      </c>
      <c r="C220" s="1079">
        <v>41150</v>
      </c>
      <c r="D220" s="1098" t="s">
        <v>584</v>
      </c>
      <c r="E220" s="1098" t="s">
        <v>327</v>
      </c>
      <c r="F220" s="1076" t="s">
        <v>885</v>
      </c>
      <c r="G220" s="1086" t="s">
        <v>744</v>
      </c>
      <c r="H220" s="1086" t="s">
        <v>792</v>
      </c>
      <c r="I220" s="1079">
        <f>Table1[[#This Row],[Date]]</f>
        <v>41150</v>
      </c>
      <c r="J220" s="46"/>
      <c r="K220" s="46"/>
      <c r="L220" s="1091"/>
      <c r="M220" s="1091"/>
      <c r="N220" s="1091"/>
      <c r="O220" s="1091"/>
      <c r="P220" s="1091"/>
      <c r="Q220" s="1091"/>
      <c r="R220" s="1091"/>
      <c r="S220" s="1091"/>
      <c r="T220" s="1091"/>
      <c r="U220" s="1091"/>
      <c r="V220" s="1091"/>
      <c r="W220" s="1091"/>
      <c r="X220" s="1091"/>
      <c r="Y220" s="1091"/>
      <c r="Z220" s="1091"/>
      <c r="AA220" s="1091"/>
      <c r="AB220" s="1091"/>
      <c r="AC220" s="1091"/>
      <c r="AD220" s="1091"/>
    </row>
    <row r="221" spans="2:30" ht="42.75">
      <c r="B221" s="1078">
        <v>219</v>
      </c>
      <c r="C221" s="1079">
        <v>41150</v>
      </c>
      <c r="D221" s="1098" t="s">
        <v>584</v>
      </c>
      <c r="E221" s="1098" t="s">
        <v>326</v>
      </c>
      <c r="F221" s="1076" t="s">
        <v>886</v>
      </c>
      <c r="G221" s="1086" t="s">
        <v>626</v>
      </c>
      <c r="H221" s="1086" t="s">
        <v>627</v>
      </c>
      <c r="I221" s="1079">
        <f>Table1[[#This Row],[Date]]</f>
        <v>41150</v>
      </c>
      <c r="J221" s="46"/>
      <c r="K221" s="46"/>
      <c r="L221" s="1091"/>
      <c r="M221" s="1091"/>
      <c r="N221" s="1091"/>
      <c r="O221" s="1091"/>
      <c r="P221" s="1091"/>
      <c r="Q221" s="1091"/>
      <c r="R221" s="1091"/>
      <c r="S221" s="1091"/>
      <c r="T221" s="1091"/>
      <c r="U221" s="1091"/>
      <c r="V221" s="1091"/>
      <c r="W221" s="1091"/>
      <c r="X221" s="1091"/>
      <c r="Y221" s="1091"/>
      <c r="Z221" s="1091"/>
      <c r="AA221" s="1091"/>
      <c r="AB221" s="1091"/>
      <c r="AC221" s="1091"/>
      <c r="AD221" s="1091"/>
    </row>
    <row r="222" spans="2:30" ht="28.5">
      <c r="B222" s="1078">
        <v>220</v>
      </c>
      <c r="C222" s="1079">
        <v>41150</v>
      </c>
      <c r="D222" s="1098" t="s">
        <v>584</v>
      </c>
      <c r="E222" s="1098" t="s">
        <v>326</v>
      </c>
      <c r="F222" s="1076" t="s">
        <v>651</v>
      </c>
      <c r="G222" s="1086" t="s">
        <v>873</v>
      </c>
      <c r="H222" s="1086" t="s">
        <v>874</v>
      </c>
      <c r="I222" s="1079">
        <f>Table1[[#This Row],[Date]]</f>
        <v>41150</v>
      </c>
      <c r="J222" s="46"/>
      <c r="K222" s="46"/>
      <c r="L222" s="1091"/>
      <c r="M222" s="1091"/>
      <c r="N222" s="1091"/>
      <c r="O222" s="1091"/>
      <c r="P222" s="1091"/>
      <c r="Q222" s="1091"/>
      <c r="R222" s="1091"/>
      <c r="S222" s="1091"/>
      <c r="T222" s="1091"/>
      <c r="U222" s="1091"/>
      <c r="V222" s="1091"/>
      <c r="W222" s="1091"/>
      <c r="X222" s="1091"/>
      <c r="Y222" s="1091"/>
      <c r="Z222" s="1091"/>
      <c r="AA222" s="1091"/>
      <c r="AB222" s="1091"/>
      <c r="AC222" s="1091"/>
      <c r="AD222" s="1091"/>
    </row>
    <row r="223" spans="2:30" ht="28.5">
      <c r="B223" s="1078">
        <v>221</v>
      </c>
      <c r="C223" s="1079">
        <v>41150</v>
      </c>
      <c r="D223" s="1098" t="s">
        <v>584</v>
      </c>
      <c r="E223" s="1098" t="s">
        <v>327</v>
      </c>
      <c r="F223" s="1076" t="s">
        <v>654</v>
      </c>
      <c r="G223" s="1086" t="s">
        <v>887</v>
      </c>
      <c r="H223" s="1086" t="s">
        <v>888</v>
      </c>
      <c r="I223" s="1079">
        <f>Table1[[#This Row],[Date]]</f>
        <v>41150</v>
      </c>
      <c r="J223" s="46"/>
      <c r="K223" s="46"/>
      <c r="L223" s="1091"/>
      <c r="M223" s="1091"/>
      <c r="N223" s="1091"/>
      <c r="O223" s="1091"/>
      <c r="P223" s="1091"/>
      <c r="Q223" s="1091"/>
      <c r="R223" s="1091"/>
      <c r="S223" s="1091"/>
      <c r="T223" s="1091"/>
      <c r="U223" s="1091"/>
      <c r="V223" s="1091"/>
      <c r="W223" s="1091"/>
      <c r="X223" s="1091"/>
      <c r="Y223" s="1091"/>
      <c r="Z223" s="1091"/>
      <c r="AA223" s="1091"/>
      <c r="AB223" s="1091"/>
      <c r="AC223" s="1091"/>
      <c r="AD223" s="1091"/>
    </row>
    <row r="224" spans="2:30" ht="28.5">
      <c r="B224" s="1078">
        <v>222</v>
      </c>
      <c r="C224" s="1079">
        <v>41150</v>
      </c>
      <c r="D224" s="1098" t="s">
        <v>584</v>
      </c>
      <c r="E224" s="1098" t="s">
        <v>326</v>
      </c>
      <c r="F224" s="1076" t="s">
        <v>651</v>
      </c>
      <c r="G224" s="1086" t="s">
        <v>887</v>
      </c>
      <c r="H224" s="1086" t="s">
        <v>889</v>
      </c>
      <c r="I224" s="1079">
        <f>Table1[[#This Row],[Date]]</f>
        <v>41150</v>
      </c>
      <c r="J224" s="46"/>
      <c r="K224" s="46"/>
      <c r="L224" s="1091"/>
      <c r="M224" s="1091"/>
      <c r="N224" s="1091"/>
      <c r="O224" s="1091"/>
      <c r="P224" s="1091"/>
      <c r="Q224" s="1091"/>
      <c r="R224" s="1091"/>
      <c r="S224" s="1091"/>
      <c r="T224" s="1091"/>
      <c r="U224" s="1091"/>
      <c r="V224" s="1091"/>
      <c r="W224" s="1091"/>
      <c r="X224" s="1091"/>
      <c r="Y224" s="1091"/>
      <c r="Z224" s="1091"/>
      <c r="AA224" s="1091"/>
      <c r="AB224" s="1091"/>
      <c r="AC224" s="1091"/>
      <c r="AD224" s="1091"/>
    </row>
    <row r="225" spans="2:30" ht="28.5">
      <c r="B225" s="1078">
        <v>223</v>
      </c>
      <c r="C225" s="1079">
        <v>41150</v>
      </c>
      <c r="D225" s="1098" t="s">
        <v>584</v>
      </c>
      <c r="E225" s="1098" t="s">
        <v>370</v>
      </c>
      <c r="F225" s="1076" t="s">
        <v>890</v>
      </c>
      <c r="G225" s="1086" t="s">
        <v>744</v>
      </c>
      <c r="H225" s="1086" t="s">
        <v>792</v>
      </c>
      <c r="I225" s="1079">
        <f>Table1[[#This Row],[Date]]</f>
        <v>41150</v>
      </c>
      <c r="J225" s="46"/>
      <c r="K225" s="46"/>
      <c r="L225" s="1091"/>
      <c r="M225" s="1091"/>
      <c r="N225" s="1091"/>
      <c r="O225" s="1091"/>
      <c r="P225" s="1091"/>
      <c r="Q225" s="1091"/>
      <c r="R225" s="1091"/>
      <c r="S225" s="1091"/>
      <c r="T225" s="1091"/>
      <c r="U225" s="1091"/>
      <c r="V225" s="1091"/>
      <c r="W225" s="1091"/>
      <c r="X225" s="1091"/>
      <c r="Y225" s="1091"/>
      <c r="Z225" s="1091"/>
      <c r="AA225" s="1091"/>
      <c r="AB225" s="1091"/>
      <c r="AC225" s="1091"/>
      <c r="AD225" s="1091"/>
    </row>
    <row r="226" spans="2:30" ht="28.5">
      <c r="B226" s="1078">
        <v>224</v>
      </c>
      <c r="C226" s="1079">
        <v>41150</v>
      </c>
      <c r="D226" s="1098" t="s">
        <v>584</v>
      </c>
      <c r="E226" s="1098" t="s">
        <v>370</v>
      </c>
      <c r="F226" s="1076" t="s">
        <v>891</v>
      </c>
      <c r="G226" s="1086" t="s">
        <v>744</v>
      </c>
      <c r="H226" s="1086" t="s">
        <v>792</v>
      </c>
      <c r="I226" s="1079">
        <f>Table1[[#This Row],[Date]]</f>
        <v>41150</v>
      </c>
      <c r="J226" s="46"/>
      <c r="K226" s="46"/>
      <c r="L226" s="1091"/>
      <c r="M226" s="1091"/>
      <c r="N226" s="1091"/>
      <c r="O226" s="1091"/>
      <c r="P226" s="1091"/>
      <c r="Q226" s="1091"/>
      <c r="R226" s="1091"/>
      <c r="S226" s="1091"/>
      <c r="T226" s="1091"/>
      <c r="U226" s="1091"/>
      <c r="V226" s="1091"/>
      <c r="W226" s="1091"/>
      <c r="X226" s="1091"/>
      <c r="Y226" s="1091"/>
      <c r="Z226" s="1091"/>
      <c r="AA226" s="1091"/>
      <c r="AB226" s="1091"/>
      <c r="AC226" s="1091"/>
      <c r="AD226" s="1091"/>
    </row>
    <row r="227" spans="2:30" ht="28.5">
      <c r="B227" s="1078">
        <v>225</v>
      </c>
      <c r="C227" s="1079">
        <v>41150</v>
      </c>
      <c r="D227" s="1098" t="s">
        <v>584</v>
      </c>
      <c r="E227" s="1098" t="s">
        <v>370</v>
      </c>
      <c r="F227" s="1076" t="s">
        <v>892</v>
      </c>
      <c r="G227" s="1086" t="s">
        <v>893</v>
      </c>
      <c r="H227" s="1086" t="s">
        <v>869</v>
      </c>
      <c r="I227" s="1079">
        <f>Table1[[#This Row],[Date]]</f>
        <v>41150</v>
      </c>
      <c r="J227" s="46"/>
      <c r="K227" s="46"/>
      <c r="L227" s="1091"/>
      <c r="M227" s="1091"/>
      <c r="N227" s="1091"/>
      <c r="O227" s="1091"/>
      <c r="P227" s="1091"/>
      <c r="Q227" s="1091"/>
      <c r="R227" s="1091"/>
      <c r="S227" s="1091"/>
      <c r="T227" s="1091"/>
      <c r="U227" s="1091"/>
      <c r="V227" s="1091"/>
      <c r="W227" s="1091"/>
      <c r="X227" s="1091"/>
      <c r="Y227" s="1091"/>
      <c r="Z227" s="1091"/>
      <c r="AA227" s="1091"/>
      <c r="AB227" s="1091"/>
      <c r="AC227" s="1091"/>
      <c r="AD227" s="1091"/>
    </row>
    <row r="228" spans="2:30" ht="28.5">
      <c r="B228" s="1078">
        <v>226</v>
      </c>
      <c r="C228" s="1079">
        <v>41150</v>
      </c>
      <c r="D228" s="1098" t="s">
        <v>584</v>
      </c>
      <c r="E228" s="1098" t="s">
        <v>370</v>
      </c>
      <c r="F228" s="1076" t="s">
        <v>771</v>
      </c>
      <c r="G228" s="1086" t="s">
        <v>873</v>
      </c>
      <c r="H228" s="1086" t="s">
        <v>874</v>
      </c>
      <c r="I228" s="1079">
        <f>Table1[[#This Row],[Date]]</f>
        <v>41150</v>
      </c>
      <c r="J228" s="46"/>
      <c r="K228" s="46"/>
      <c r="L228" s="1091"/>
      <c r="M228" s="1091"/>
      <c r="N228" s="1091"/>
      <c r="O228" s="1091"/>
      <c r="P228" s="1091"/>
      <c r="Q228" s="1091"/>
      <c r="R228" s="1091"/>
      <c r="S228" s="1091"/>
      <c r="T228" s="1091"/>
      <c r="U228" s="1091"/>
      <c r="V228" s="1091"/>
      <c r="W228" s="1091"/>
      <c r="X228" s="1091"/>
      <c r="Y228" s="1091"/>
      <c r="Z228" s="1091"/>
      <c r="AA228" s="1091"/>
      <c r="AB228" s="1091"/>
      <c r="AC228" s="1091"/>
      <c r="AD228" s="1091"/>
    </row>
    <row r="229" spans="2:30">
      <c r="B229" s="1078">
        <v>227</v>
      </c>
      <c r="C229" s="1079">
        <v>41150</v>
      </c>
      <c r="D229" s="1098" t="s">
        <v>584</v>
      </c>
      <c r="E229" s="1098" t="s">
        <v>370</v>
      </c>
      <c r="F229" s="1076" t="s">
        <v>771</v>
      </c>
      <c r="G229" s="1086" t="s">
        <v>895</v>
      </c>
      <c r="H229" s="1086" t="s">
        <v>889</v>
      </c>
      <c r="I229" s="1079">
        <f>Table1[[#This Row],[Date]]</f>
        <v>41150</v>
      </c>
      <c r="J229" s="46"/>
      <c r="K229" s="46"/>
      <c r="L229" s="1091"/>
      <c r="M229" s="1091"/>
      <c r="N229" s="1091"/>
      <c r="O229" s="1091"/>
      <c r="P229" s="1091"/>
      <c r="Q229" s="1091"/>
      <c r="R229" s="1091"/>
      <c r="S229" s="1091"/>
      <c r="T229" s="1091"/>
      <c r="U229" s="1091"/>
      <c r="V229" s="1091"/>
      <c r="W229" s="1091"/>
      <c r="X229" s="1091"/>
      <c r="Y229" s="1091"/>
      <c r="Z229" s="1091"/>
      <c r="AA229" s="1091"/>
      <c r="AB229" s="1091"/>
      <c r="AC229" s="1091"/>
      <c r="AD229" s="1091"/>
    </row>
    <row r="230" spans="2:30" ht="42.75">
      <c r="B230" s="1078">
        <v>228</v>
      </c>
      <c r="C230" s="1079">
        <v>41150</v>
      </c>
      <c r="D230" s="1098" t="s">
        <v>584</v>
      </c>
      <c r="E230" s="1098" t="s">
        <v>370</v>
      </c>
      <c r="F230" s="1076" t="s">
        <v>886</v>
      </c>
      <c r="G230" s="1086" t="s">
        <v>626</v>
      </c>
      <c r="H230" s="1086" t="s">
        <v>627</v>
      </c>
      <c r="I230" s="1079">
        <f>Table1[[#This Row],[Date]]</f>
        <v>41150</v>
      </c>
      <c r="J230" s="46"/>
      <c r="K230" s="46"/>
      <c r="L230" s="1091"/>
      <c r="M230" s="1091"/>
      <c r="N230" s="1091"/>
      <c r="O230" s="1091"/>
      <c r="P230" s="1091"/>
      <c r="Q230" s="1091"/>
      <c r="R230" s="1091"/>
      <c r="S230" s="1091"/>
      <c r="T230" s="1091"/>
      <c r="U230" s="1091"/>
      <c r="V230" s="1091"/>
      <c r="W230" s="1091"/>
      <c r="X230" s="1091"/>
      <c r="Y230" s="1091"/>
      <c r="Z230" s="1091"/>
      <c r="AA230" s="1091"/>
      <c r="AB230" s="1091"/>
      <c r="AC230" s="1091"/>
      <c r="AD230" s="1091"/>
    </row>
    <row r="231" spans="2:30" ht="28.5">
      <c r="B231" s="1078">
        <v>229</v>
      </c>
      <c r="C231" s="1079">
        <v>41150</v>
      </c>
      <c r="D231" s="1098" t="s">
        <v>584</v>
      </c>
      <c r="E231" s="1098" t="s">
        <v>370</v>
      </c>
      <c r="F231" s="1076" t="s">
        <v>586</v>
      </c>
      <c r="G231" s="1086" t="s">
        <v>590</v>
      </c>
      <c r="H231" s="1086" t="s">
        <v>591</v>
      </c>
      <c r="I231" s="1079">
        <f>Table1[[#This Row],[Date]]</f>
        <v>41150</v>
      </c>
      <c r="J231" s="46"/>
      <c r="K231" s="46"/>
      <c r="L231" s="1091"/>
      <c r="M231" s="1091"/>
      <c r="N231" s="1091"/>
      <c r="O231" s="1091"/>
      <c r="P231" s="1091"/>
      <c r="Q231" s="1091"/>
      <c r="R231" s="1091"/>
      <c r="S231" s="1091"/>
      <c r="T231" s="1091"/>
      <c r="U231" s="1091"/>
      <c r="V231" s="1091"/>
      <c r="W231" s="1091"/>
      <c r="X231" s="1091"/>
      <c r="Y231" s="1091"/>
      <c r="Z231" s="1091"/>
      <c r="AA231" s="1091"/>
      <c r="AB231" s="1091"/>
      <c r="AC231" s="1091"/>
      <c r="AD231" s="1091"/>
    </row>
    <row r="232" spans="2:30" ht="28.5">
      <c r="B232" s="1078">
        <v>230</v>
      </c>
      <c r="C232" s="1079">
        <v>41150</v>
      </c>
      <c r="D232" s="1098" t="s">
        <v>584</v>
      </c>
      <c r="E232" s="1098" t="s">
        <v>370</v>
      </c>
      <c r="F232" s="1076" t="s">
        <v>878</v>
      </c>
      <c r="G232" s="1086" t="s">
        <v>590</v>
      </c>
      <c r="H232" s="1086" t="s">
        <v>591</v>
      </c>
      <c r="I232" s="1079">
        <f>Table1[[#This Row],[Date]]</f>
        <v>41150</v>
      </c>
      <c r="J232" s="46"/>
      <c r="K232" s="46"/>
      <c r="L232" s="1091"/>
      <c r="M232" s="1091"/>
      <c r="N232" s="1091"/>
      <c r="O232" s="1091"/>
      <c r="P232" s="1091"/>
      <c r="Q232" s="1091"/>
      <c r="R232" s="1091"/>
      <c r="S232" s="1091"/>
      <c r="T232" s="1091"/>
      <c r="U232" s="1091"/>
      <c r="V232" s="1091"/>
      <c r="W232" s="1091"/>
      <c r="X232" s="1091"/>
      <c r="Y232" s="1091"/>
      <c r="Z232" s="1091"/>
      <c r="AA232" s="1091"/>
      <c r="AB232" s="1091"/>
      <c r="AC232" s="1091"/>
      <c r="AD232" s="1091"/>
    </row>
    <row r="233" spans="2:30">
      <c r="B233" s="1078">
        <v>231</v>
      </c>
      <c r="C233" s="1079">
        <v>41150</v>
      </c>
      <c r="D233" s="1098" t="s">
        <v>584</v>
      </c>
      <c r="E233" s="1098" t="s">
        <v>327</v>
      </c>
      <c r="F233" s="1076" t="s">
        <v>796</v>
      </c>
      <c r="G233" s="1086" t="s">
        <v>896</v>
      </c>
      <c r="H233" s="1086" t="s">
        <v>897</v>
      </c>
      <c r="I233" s="1079">
        <f>Table1[[#This Row],[Date]]</f>
        <v>41150</v>
      </c>
      <c r="J233" s="46"/>
      <c r="K233" s="46"/>
      <c r="L233" s="1091"/>
      <c r="M233" s="1091"/>
      <c r="N233" s="1091"/>
      <c r="O233" s="1091"/>
      <c r="P233" s="1091"/>
      <c r="Q233" s="1091"/>
      <c r="R233" s="1091"/>
      <c r="S233" s="1091"/>
      <c r="T233" s="1091"/>
      <c r="U233" s="1091"/>
      <c r="V233" s="1091"/>
      <c r="W233" s="1091"/>
      <c r="X233" s="1091"/>
      <c r="Y233" s="1091"/>
      <c r="Z233" s="1091"/>
      <c r="AA233" s="1091"/>
      <c r="AB233" s="1091"/>
      <c r="AC233" s="1091"/>
      <c r="AD233" s="1091"/>
    </row>
    <row r="234" spans="2:30">
      <c r="B234" s="1078">
        <v>232</v>
      </c>
      <c r="C234" s="1079">
        <v>41150</v>
      </c>
      <c r="D234" s="1098" t="s">
        <v>584</v>
      </c>
      <c r="E234" s="1098" t="s">
        <v>327</v>
      </c>
      <c r="F234" s="1076" t="s">
        <v>797</v>
      </c>
      <c r="G234" s="1086" t="s">
        <v>896</v>
      </c>
      <c r="H234" s="1086" t="s">
        <v>897</v>
      </c>
      <c r="I234" s="1079">
        <f>Table1[[#This Row],[Date]]</f>
        <v>41150</v>
      </c>
      <c r="J234" s="46"/>
      <c r="K234" s="46"/>
      <c r="L234" s="1091"/>
      <c r="M234" s="1091"/>
      <c r="N234" s="1091"/>
      <c r="O234" s="1091"/>
      <c r="P234" s="1091"/>
      <c r="Q234" s="1091"/>
      <c r="R234" s="1091"/>
      <c r="S234" s="1091"/>
      <c r="T234" s="1091"/>
      <c r="U234" s="1091"/>
      <c r="V234" s="1091"/>
      <c r="W234" s="1091"/>
      <c r="X234" s="1091"/>
      <c r="Y234" s="1091"/>
      <c r="Z234" s="1091"/>
      <c r="AA234" s="1091"/>
      <c r="AB234" s="1091"/>
      <c r="AC234" s="1091"/>
      <c r="AD234" s="1091"/>
    </row>
    <row r="235" spans="2:30">
      <c r="B235" s="1078">
        <v>233</v>
      </c>
      <c r="C235" s="1079">
        <v>41150</v>
      </c>
      <c r="D235" s="1098" t="s">
        <v>584</v>
      </c>
      <c r="E235" s="1098" t="s">
        <v>326</v>
      </c>
      <c r="F235" s="1076" t="s">
        <v>796</v>
      </c>
      <c r="G235" s="1086" t="s">
        <v>896</v>
      </c>
      <c r="H235" s="1086" t="s">
        <v>897</v>
      </c>
      <c r="I235" s="1079">
        <f>Table1[[#This Row],[Date]]</f>
        <v>41150</v>
      </c>
      <c r="J235" s="46"/>
      <c r="K235" s="46"/>
      <c r="L235" s="1091"/>
      <c r="M235" s="1091"/>
      <c r="N235" s="1091"/>
      <c r="O235" s="1091"/>
      <c r="P235" s="1091"/>
      <c r="Q235" s="1091"/>
      <c r="R235" s="1091"/>
      <c r="S235" s="1091"/>
      <c r="T235" s="1091"/>
      <c r="U235" s="1091"/>
      <c r="V235" s="1091"/>
      <c r="W235" s="1091"/>
      <c r="X235" s="1091"/>
      <c r="Y235" s="1091"/>
      <c r="Z235" s="1091"/>
      <c r="AA235" s="1091"/>
      <c r="AB235" s="1091"/>
      <c r="AC235" s="1091"/>
      <c r="AD235" s="1091"/>
    </row>
    <row r="236" spans="2:30">
      <c r="B236" s="1078">
        <v>234</v>
      </c>
      <c r="C236" s="1079">
        <v>41150</v>
      </c>
      <c r="D236" s="1098" t="s">
        <v>584</v>
      </c>
      <c r="E236" s="1098" t="s">
        <v>326</v>
      </c>
      <c r="F236" s="1076" t="s">
        <v>797</v>
      </c>
      <c r="G236" s="1086" t="s">
        <v>896</v>
      </c>
      <c r="H236" s="1086" t="s">
        <v>897</v>
      </c>
      <c r="I236" s="1079">
        <f>Table1[[#This Row],[Date]]</f>
        <v>41150</v>
      </c>
      <c r="J236" s="46"/>
      <c r="K236" s="46"/>
      <c r="L236" s="1091"/>
      <c r="M236" s="1091"/>
      <c r="N236" s="1091"/>
      <c r="O236" s="1091"/>
      <c r="P236" s="1091"/>
      <c r="Q236" s="1091"/>
      <c r="R236" s="1091"/>
      <c r="S236" s="1091"/>
      <c r="T236" s="1091"/>
      <c r="U236" s="1091"/>
      <c r="V236" s="1091"/>
      <c r="W236" s="1091"/>
      <c r="X236" s="1091"/>
      <c r="Y236" s="1091"/>
      <c r="Z236" s="1091"/>
      <c r="AA236" s="1091"/>
      <c r="AB236" s="1091"/>
      <c r="AC236" s="1091"/>
      <c r="AD236" s="1091"/>
    </row>
    <row r="237" spans="2:30">
      <c r="B237" s="1078">
        <v>235</v>
      </c>
      <c r="C237" s="1079">
        <v>41150</v>
      </c>
      <c r="D237" s="1098" t="s">
        <v>584</v>
      </c>
      <c r="E237" s="1098" t="s">
        <v>370</v>
      </c>
      <c r="F237" s="1076" t="s">
        <v>796</v>
      </c>
      <c r="G237" s="1086" t="s">
        <v>896</v>
      </c>
      <c r="H237" s="1086" t="s">
        <v>897</v>
      </c>
      <c r="I237" s="1079">
        <f>Table1[[#This Row],[Date]]</f>
        <v>41150</v>
      </c>
      <c r="J237" s="46"/>
      <c r="K237" s="46"/>
      <c r="L237" s="1091"/>
      <c r="M237" s="1091"/>
      <c r="N237" s="1091"/>
      <c r="O237" s="1091"/>
      <c r="P237" s="1091"/>
      <c r="Q237" s="1091"/>
      <c r="R237" s="1091"/>
      <c r="S237" s="1091"/>
      <c r="T237" s="1091"/>
      <c r="U237" s="1091"/>
      <c r="V237" s="1091"/>
      <c r="W237" s="1091"/>
      <c r="X237" s="1091"/>
      <c r="Y237" s="1091"/>
      <c r="Z237" s="1091"/>
      <c r="AA237" s="1091"/>
      <c r="AB237" s="1091"/>
      <c r="AC237" s="1091"/>
      <c r="AD237" s="1091"/>
    </row>
    <row r="238" spans="2:30">
      <c r="B238" s="1078">
        <v>236</v>
      </c>
      <c r="C238" s="1079">
        <v>41150</v>
      </c>
      <c r="D238" s="1098" t="s">
        <v>584</v>
      </c>
      <c r="E238" s="1098" t="s">
        <v>370</v>
      </c>
      <c r="F238" s="1076" t="s">
        <v>797</v>
      </c>
      <c r="G238" s="1086" t="s">
        <v>896</v>
      </c>
      <c r="H238" s="1086" t="s">
        <v>897</v>
      </c>
      <c r="I238" s="1079">
        <f>Table1[[#This Row],[Date]]</f>
        <v>41150</v>
      </c>
      <c r="J238" s="46"/>
      <c r="K238" s="46"/>
      <c r="L238" s="1091"/>
      <c r="M238" s="1091"/>
      <c r="N238" s="1091"/>
      <c r="O238" s="1091"/>
      <c r="P238" s="1091"/>
      <c r="Q238" s="1091"/>
      <c r="R238" s="1091"/>
      <c r="S238" s="1091"/>
      <c r="T238" s="1091"/>
      <c r="U238" s="1091"/>
      <c r="V238" s="1091"/>
      <c r="W238" s="1091"/>
      <c r="X238" s="1091"/>
      <c r="Y238" s="1091"/>
      <c r="Z238" s="1091"/>
      <c r="AA238" s="1091"/>
      <c r="AB238" s="1091"/>
      <c r="AC238" s="1091"/>
      <c r="AD238" s="1091"/>
    </row>
    <row r="239" spans="2:30">
      <c r="B239" s="1078">
        <v>237</v>
      </c>
      <c r="C239" s="1079">
        <v>41150</v>
      </c>
      <c r="D239" s="1098" t="s">
        <v>584</v>
      </c>
      <c r="E239" s="1098" t="s">
        <v>329</v>
      </c>
      <c r="F239" s="1076" t="s">
        <v>796</v>
      </c>
      <c r="G239" s="1086" t="s">
        <v>896</v>
      </c>
      <c r="H239" s="1086" t="s">
        <v>897</v>
      </c>
      <c r="I239" s="1079">
        <f>Table1[[#This Row],[Date]]</f>
        <v>41150</v>
      </c>
      <c r="J239" s="46"/>
      <c r="K239" s="46"/>
      <c r="L239" s="1091"/>
      <c r="M239" s="1091"/>
      <c r="N239" s="1091"/>
      <c r="O239" s="1091"/>
      <c r="P239" s="1091"/>
      <c r="Q239" s="1091"/>
      <c r="R239" s="1091"/>
      <c r="S239" s="1091"/>
      <c r="T239" s="1091"/>
      <c r="U239" s="1091"/>
      <c r="V239" s="1091"/>
      <c r="W239" s="1091"/>
      <c r="X239" s="1091"/>
      <c r="Y239" s="1091"/>
      <c r="Z239" s="1091"/>
      <c r="AA239" s="1091"/>
      <c r="AB239" s="1091"/>
      <c r="AC239" s="1091"/>
      <c r="AD239" s="1091"/>
    </row>
    <row r="240" spans="2:30">
      <c r="B240" s="1078">
        <v>238</v>
      </c>
      <c r="C240" s="1079">
        <v>41150</v>
      </c>
      <c r="D240" s="1098" t="s">
        <v>584</v>
      </c>
      <c r="E240" s="1098" t="s">
        <v>329</v>
      </c>
      <c r="F240" s="1076" t="s">
        <v>797</v>
      </c>
      <c r="G240" s="1086" t="s">
        <v>896</v>
      </c>
      <c r="H240" s="1086" t="s">
        <v>897</v>
      </c>
      <c r="I240" s="1079">
        <f>Table1[[#This Row],[Date]]</f>
        <v>41150</v>
      </c>
      <c r="J240" s="46"/>
      <c r="K240" s="46"/>
      <c r="L240" s="1091"/>
      <c r="M240" s="1091"/>
      <c r="N240" s="1091"/>
      <c r="O240" s="1091"/>
      <c r="P240" s="1091"/>
      <c r="Q240" s="1091"/>
      <c r="R240" s="1091"/>
      <c r="S240" s="1091"/>
      <c r="T240" s="1091"/>
      <c r="U240" s="1091"/>
      <c r="V240" s="1091"/>
      <c r="W240" s="1091"/>
      <c r="X240" s="1091"/>
      <c r="Y240" s="1091"/>
      <c r="Z240" s="1091"/>
      <c r="AA240" s="1091"/>
      <c r="AB240" s="1091"/>
      <c r="AC240" s="1091"/>
      <c r="AD240" s="1091"/>
    </row>
    <row r="241" spans="2:30" ht="28.5">
      <c r="B241" s="1078">
        <v>239</v>
      </c>
      <c r="C241" s="1079">
        <v>41150</v>
      </c>
      <c r="D241" s="1098" t="s">
        <v>584</v>
      </c>
      <c r="E241" s="1098" t="s">
        <v>329</v>
      </c>
      <c r="F241" s="1076" t="s">
        <v>898</v>
      </c>
      <c r="G241" s="1086" t="s">
        <v>899</v>
      </c>
      <c r="H241" s="1086" t="s">
        <v>900</v>
      </c>
      <c r="I241" s="1079">
        <f>Table1[[#This Row],[Date]]</f>
        <v>41150</v>
      </c>
      <c r="J241" s="46"/>
      <c r="K241" s="46"/>
      <c r="L241" s="1091"/>
      <c r="M241" s="1091"/>
      <c r="N241" s="1091"/>
      <c r="O241" s="1091"/>
      <c r="P241" s="1091"/>
      <c r="Q241" s="1091"/>
      <c r="R241" s="1091"/>
      <c r="S241" s="1091"/>
      <c r="T241" s="1091"/>
      <c r="U241" s="1091"/>
      <c r="V241" s="1091"/>
      <c r="W241" s="1091"/>
      <c r="X241" s="1091"/>
      <c r="Y241" s="1091"/>
      <c r="Z241" s="1091"/>
      <c r="AA241" s="1091"/>
      <c r="AB241" s="1091"/>
      <c r="AC241" s="1091"/>
      <c r="AD241" s="1091"/>
    </row>
    <row r="242" spans="2:30" ht="28.5">
      <c r="B242" s="1078">
        <v>240</v>
      </c>
      <c r="C242" s="1079">
        <v>41150</v>
      </c>
      <c r="D242" s="1098" t="s">
        <v>584</v>
      </c>
      <c r="E242" s="1098" t="s">
        <v>329</v>
      </c>
      <c r="F242" s="1076" t="s">
        <v>586</v>
      </c>
      <c r="G242" s="1086" t="s">
        <v>590</v>
      </c>
      <c r="H242" s="1086" t="s">
        <v>591</v>
      </c>
      <c r="I242" s="1079">
        <f>Table1[[#This Row],[Date]]</f>
        <v>41150</v>
      </c>
      <c r="J242" s="46"/>
      <c r="K242" s="46"/>
      <c r="L242" s="1091"/>
      <c r="M242" s="1091"/>
      <c r="N242" s="1091"/>
      <c r="O242" s="1091"/>
      <c r="P242" s="1091"/>
      <c r="Q242" s="1091"/>
      <c r="R242" s="1091"/>
      <c r="S242" s="1091"/>
      <c r="T242" s="1091"/>
      <c r="U242" s="1091"/>
      <c r="V242" s="1091"/>
      <c r="W242" s="1091"/>
      <c r="X242" s="1091"/>
      <c r="Y242" s="1091"/>
      <c r="Z242" s="1091"/>
      <c r="AA242" s="1091"/>
      <c r="AB242" s="1091"/>
      <c r="AC242" s="1091"/>
      <c r="AD242" s="1091"/>
    </row>
    <row r="243" spans="2:30" ht="28.5">
      <c r="B243" s="1078">
        <v>241</v>
      </c>
      <c r="C243" s="1079">
        <v>41150</v>
      </c>
      <c r="D243" s="1098" t="s">
        <v>584</v>
      </c>
      <c r="E243" s="1098" t="s">
        <v>329</v>
      </c>
      <c r="F243" s="1076" t="s">
        <v>898</v>
      </c>
      <c r="G243" s="1086" t="s">
        <v>590</v>
      </c>
      <c r="H243" s="1086" t="s">
        <v>591</v>
      </c>
      <c r="I243" s="1079">
        <f>Table1[[#This Row],[Date]]</f>
        <v>41150</v>
      </c>
      <c r="J243" s="46"/>
      <c r="K243" s="46"/>
      <c r="L243" s="1091"/>
      <c r="M243" s="1091"/>
      <c r="N243" s="1091"/>
      <c r="O243" s="1091"/>
      <c r="P243" s="1091"/>
      <c r="Q243" s="1091"/>
      <c r="R243" s="1091"/>
      <c r="S243" s="1091"/>
      <c r="T243" s="1091"/>
      <c r="U243" s="1091"/>
      <c r="V243" s="1091"/>
      <c r="W243" s="1091"/>
      <c r="X243" s="1091"/>
      <c r="Y243" s="1091"/>
      <c r="Z243" s="1091"/>
      <c r="AA243" s="1091"/>
      <c r="AB243" s="1091"/>
      <c r="AC243" s="1091"/>
      <c r="AD243" s="1091"/>
    </row>
    <row r="244" spans="2:30" ht="28.5">
      <c r="B244" s="1078">
        <v>242</v>
      </c>
      <c r="C244" s="1079">
        <v>41150</v>
      </c>
      <c r="D244" s="1098" t="s">
        <v>584</v>
      </c>
      <c r="E244" s="1098" t="s">
        <v>329</v>
      </c>
      <c r="F244" s="1076" t="s">
        <v>890</v>
      </c>
      <c r="G244" s="1086" t="s">
        <v>744</v>
      </c>
      <c r="H244" s="1086" t="s">
        <v>792</v>
      </c>
      <c r="I244" s="1079">
        <f>Table1[[#This Row],[Date]]</f>
        <v>41150</v>
      </c>
      <c r="J244" s="46"/>
      <c r="K244" s="46"/>
      <c r="L244" s="1091"/>
      <c r="M244" s="1091"/>
      <c r="N244" s="1091"/>
      <c r="O244" s="1091"/>
      <c r="P244" s="1091"/>
      <c r="Q244" s="1091"/>
      <c r="R244" s="1091"/>
      <c r="S244" s="1091"/>
      <c r="T244" s="1091"/>
      <c r="U244" s="1091"/>
      <c r="V244" s="1091"/>
      <c r="W244" s="1091"/>
      <c r="X244" s="1091"/>
      <c r="Y244" s="1091"/>
      <c r="Z244" s="1091"/>
      <c r="AA244" s="1091"/>
      <c r="AB244" s="1091"/>
      <c r="AC244" s="1091"/>
      <c r="AD244" s="1091"/>
    </row>
    <row r="245" spans="2:30" ht="28.5">
      <c r="B245" s="1078">
        <v>243</v>
      </c>
      <c r="C245" s="1079">
        <v>41150</v>
      </c>
      <c r="D245" s="1098" t="s">
        <v>584</v>
      </c>
      <c r="E245" s="1098" t="s">
        <v>329</v>
      </c>
      <c r="F245" s="1076" t="s">
        <v>891</v>
      </c>
      <c r="G245" s="1086" t="s">
        <v>744</v>
      </c>
      <c r="H245" s="1086" t="s">
        <v>792</v>
      </c>
      <c r="I245" s="1079">
        <f>Table1[[#This Row],[Date]]</f>
        <v>41150</v>
      </c>
      <c r="J245" s="46"/>
      <c r="K245" s="46"/>
      <c r="L245" s="1091"/>
      <c r="M245" s="1091"/>
      <c r="N245" s="1091"/>
      <c r="O245" s="1091"/>
      <c r="P245" s="1091"/>
      <c r="Q245" s="1091"/>
      <c r="R245" s="1091"/>
      <c r="S245" s="1091"/>
      <c r="T245" s="1091"/>
      <c r="U245" s="1091"/>
      <c r="V245" s="1091"/>
      <c r="W245" s="1091"/>
      <c r="X245" s="1091"/>
      <c r="Y245" s="1091"/>
      <c r="Z245" s="1091"/>
      <c r="AA245" s="1091"/>
      <c r="AB245" s="1091"/>
      <c r="AC245" s="1091"/>
      <c r="AD245" s="1091"/>
    </row>
    <row r="246" spans="2:30" ht="28.5">
      <c r="B246" s="1078">
        <v>244</v>
      </c>
      <c r="C246" s="1079">
        <v>41150</v>
      </c>
      <c r="D246" s="1098" t="s">
        <v>584</v>
      </c>
      <c r="E246" s="1098" t="s">
        <v>329</v>
      </c>
      <c r="F246" s="1076" t="s">
        <v>894</v>
      </c>
      <c r="G246" s="1086" t="s">
        <v>873</v>
      </c>
      <c r="H246" s="1086" t="s">
        <v>874</v>
      </c>
      <c r="I246" s="1079">
        <f>Table1[[#This Row],[Date]]</f>
        <v>41150</v>
      </c>
      <c r="J246" s="46"/>
      <c r="K246" s="46"/>
      <c r="L246" s="1091"/>
      <c r="M246" s="1091"/>
      <c r="N246" s="1091"/>
      <c r="O246" s="1091"/>
      <c r="P246" s="1091"/>
      <c r="Q246" s="1091"/>
      <c r="R246" s="1091"/>
      <c r="S246" s="1091"/>
      <c r="T246" s="1091"/>
      <c r="U246" s="1091"/>
      <c r="V246" s="1091"/>
      <c r="W246" s="1091"/>
      <c r="X246" s="1091"/>
      <c r="Y246" s="1091"/>
      <c r="Z246" s="1091"/>
      <c r="AA246" s="1091"/>
      <c r="AB246" s="1091"/>
      <c r="AC246" s="1091"/>
      <c r="AD246" s="1091"/>
    </row>
    <row r="247" spans="2:30">
      <c r="B247" s="1078">
        <v>245</v>
      </c>
      <c r="C247" s="1079">
        <v>41150</v>
      </c>
      <c r="D247" s="1098" t="s">
        <v>584</v>
      </c>
      <c r="E247" s="1098" t="s">
        <v>329</v>
      </c>
      <c r="F247" s="1076" t="s">
        <v>771</v>
      </c>
      <c r="G247" s="1086" t="s">
        <v>895</v>
      </c>
      <c r="H247" s="1086" t="s">
        <v>901</v>
      </c>
      <c r="I247" s="1079">
        <f>Table1[[#This Row],[Date]]</f>
        <v>41150</v>
      </c>
      <c r="J247" s="46"/>
      <c r="K247" s="46"/>
      <c r="L247" s="1091"/>
      <c r="M247" s="1091"/>
      <c r="N247" s="1091"/>
      <c r="O247" s="1091"/>
      <c r="P247" s="1091"/>
      <c r="Q247" s="1091"/>
      <c r="R247" s="1091"/>
      <c r="S247" s="1091"/>
      <c r="T247" s="1091"/>
      <c r="U247" s="1091"/>
      <c r="V247" s="1091"/>
      <c r="W247" s="1091"/>
      <c r="X247" s="1091"/>
      <c r="Y247" s="1091"/>
      <c r="Z247" s="1091"/>
      <c r="AA247" s="1091"/>
      <c r="AB247" s="1091"/>
      <c r="AC247" s="1091"/>
      <c r="AD247" s="1091"/>
    </row>
    <row r="248" spans="2:30" ht="28.5">
      <c r="B248" s="1078">
        <v>246</v>
      </c>
      <c r="C248" s="1079">
        <v>41150</v>
      </c>
      <c r="D248" s="1098" t="s">
        <v>584</v>
      </c>
      <c r="E248" s="1098" t="s">
        <v>329</v>
      </c>
      <c r="F248" s="1076" t="s">
        <v>904</v>
      </c>
      <c r="G248" s="1086" t="s">
        <v>902</v>
      </c>
      <c r="H248" s="1086" t="s">
        <v>903</v>
      </c>
      <c r="I248" s="1079">
        <f>Table1[[#This Row],[Date]]</f>
        <v>41150</v>
      </c>
      <c r="J248" s="46"/>
      <c r="K248" s="46"/>
      <c r="L248" s="1091"/>
      <c r="M248" s="1091"/>
      <c r="N248" s="1091"/>
      <c r="O248" s="1091"/>
      <c r="P248" s="1091"/>
      <c r="Q248" s="1091"/>
      <c r="R248" s="1091"/>
      <c r="S248" s="1091"/>
      <c r="T248" s="1091"/>
      <c r="U248" s="1091"/>
      <c r="V248" s="1091"/>
      <c r="W248" s="1091"/>
      <c r="X248" s="1091"/>
      <c r="Y248" s="1091"/>
      <c r="Z248" s="1091"/>
      <c r="AA248" s="1091"/>
      <c r="AB248" s="1091"/>
      <c r="AC248" s="1091"/>
      <c r="AD248" s="1091"/>
    </row>
    <row r="249" spans="2:30">
      <c r="B249" s="1078">
        <v>247</v>
      </c>
      <c r="C249" s="1079">
        <v>41150</v>
      </c>
      <c r="D249" s="1098" t="s">
        <v>584</v>
      </c>
      <c r="E249" s="1098" t="s">
        <v>442</v>
      </c>
      <c r="F249" s="1076" t="s">
        <v>905</v>
      </c>
      <c r="G249" s="1086" t="s">
        <v>871</v>
      </c>
      <c r="H249" s="1086" t="s">
        <v>906</v>
      </c>
      <c r="I249" s="1079">
        <f>Table1[[#This Row],[Date]]</f>
        <v>41150</v>
      </c>
      <c r="J249" s="46"/>
      <c r="K249" s="46"/>
      <c r="L249" s="1091"/>
      <c r="M249" s="1091"/>
      <c r="N249" s="1091"/>
      <c r="O249" s="1091"/>
      <c r="P249" s="1091"/>
      <c r="Q249" s="1091"/>
      <c r="R249" s="1091"/>
      <c r="S249" s="1091"/>
      <c r="T249" s="1091"/>
      <c r="U249" s="1091"/>
      <c r="V249" s="1091"/>
      <c r="W249" s="1091"/>
      <c r="X249" s="1091"/>
      <c r="Y249" s="1091"/>
      <c r="Z249" s="1091"/>
      <c r="AA249" s="1091"/>
      <c r="AB249" s="1091"/>
      <c r="AC249" s="1091"/>
      <c r="AD249" s="1091"/>
    </row>
    <row r="250" spans="2:30">
      <c r="B250" s="1078">
        <v>248</v>
      </c>
      <c r="C250" s="1079">
        <v>41150</v>
      </c>
      <c r="D250" s="1098" t="s">
        <v>584</v>
      </c>
      <c r="E250" s="1098" t="s">
        <v>442</v>
      </c>
      <c r="F250" s="1076" t="s">
        <v>907</v>
      </c>
      <c r="G250" s="1086" t="s">
        <v>774</v>
      </c>
      <c r="H250" s="1086" t="s">
        <v>908</v>
      </c>
      <c r="I250" s="1079">
        <f>Table1[[#This Row],[Date]]</f>
        <v>41150</v>
      </c>
      <c r="J250" s="46"/>
      <c r="K250" s="46"/>
      <c r="L250" s="1091"/>
      <c r="M250" s="1091"/>
      <c r="N250" s="1091"/>
      <c r="O250" s="1091"/>
      <c r="P250" s="1091"/>
      <c r="Q250" s="1091"/>
      <c r="R250" s="1091"/>
      <c r="S250" s="1091"/>
      <c r="T250" s="1091"/>
      <c r="U250" s="1091"/>
      <c r="V250" s="1091"/>
      <c r="W250" s="1091"/>
      <c r="X250" s="1091"/>
      <c r="Y250" s="1091"/>
      <c r="Z250" s="1091"/>
      <c r="AA250" s="1091"/>
      <c r="AB250" s="1091"/>
      <c r="AC250" s="1091"/>
      <c r="AD250" s="1091"/>
    </row>
    <row r="251" spans="2:30">
      <c r="B251" s="1078">
        <v>249</v>
      </c>
      <c r="C251" s="1079">
        <v>41150</v>
      </c>
      <c r="D251" s="1098" t="s">
        <v>584</v>
      </c>
      <c r="E251" s="1098" t="s">
        <v>442</v>
      </c>
      <c r="F251" s="1076" t="s">
        <v>907</v>
      </c>
      <c r="G251" s="1086" t="s">
        <v>871</v>
      </c>
      <c r="H251" s="1086" t="s">
        <v>909</v>
      </c>
      <c r="I251" s="1079">
        <f>Table1[[#This Row],[Date]]</f>
        <v>41150</v>
      </c>
      <c r="J251" s="46"/>
      <c r="K251" s="46"/>
      <c r="L251" s="1091"/>
      <c r="M251" s="1091"/>
      <c r="N251" s="1091"/>
      <c r="O251" s="1091"/>
      <c r="P251" s="1091"/>
      <c r="Q251" s="1091"/>
      <c r="R251" s="1091"/>
      <c r="S251" s="1091"/>
      <c r="T251" s="1091"/>
      <c r="U251" s="1091"/>
      <c r="V251" s="1091"/>
      <c r="W251" s="1091"/>
      <c r="X251" s="1091"/>
      <c r="Y251" s="1091"/>
      <c r="Z251" s="1091"/>
      <c r="AA251" s="1091"/>
      <c r="AB251" s="1091"/>
      <c r="AC251" s="1091"/>
      <c r="AD251" s="1091"/>
    </row>
    <row r="252" spans="2:30">
      <c r="B252" s="1078">
        <v>250</v>
      </c>
      <c r="C252" s="1079">
        <v>41150</v>
      </c>
      <c r="D252" s="1098" t="s">
        <v>584</v>
      </c>
      <c r="E252" s="1098" t="s">
        <v>442</v>
      </c>
      <c r="F252" s="1076" t="s">
        <v>910</v>
      </c>
      <c r="G252" s="1086" t="s">
        <v>871</v>
      </c>
      <c r="H252" s="1086" t="s">
        <v>911</v>
      </c>
      <c r="I252" s="1079">
        <f>Table1[[#This Row],[Date]]</f>
        <v>41150</v>
      </c>
      <c r="J252" s="46"/>
      <c r="K252" s="46"/>
      <c r="L252" s="1091"/>
      <c r="M252" s="1091"/>
      <c r="N252" s="1091"/>
      <c r="O252" s="1091"/>
      <c r="P252" s="1091"/>
      <c r="Q252" s="1091"/>
      <c r="R252" s="1091"/>
      <c r="S252" s="1091"/>
      <c r="T252" s="1091"/>
      <c r="U252" s="1091"/>
      <c r="V252" s="1091"/>
      <c r="W252" s="1091"/>
      <c r="X252" s="1091"/>
      <c r="Y252" s="1091"/>
      <c r="Z252" s="1091"/>
      <c r="AA252" s="1091"/>
      <c r="AB252" s="1091"/>
      <c r="AC252" s="1091"/>
      <c r="AD252" s="1091"/>
    </row>
    <row r="253" spans="2:30">
      <c r="B253" s="1078">
        <v>251</v>
      </c>
      <c r="C253" s="1079">
        <v>41150</v>
      </c>
      <c r="D253" s="1098" t="s">
        <v>584</v>
      </c>
      <c r="E253" s="1098" t="s">
        <v>442</v>
      </c>
      <c r="F253" s="1076" t="s">
        <v>912</v>
      </c>
      <c r="G253" s="1086" t="s">
        <v>871</v>
      </c>
      <c r="H253" s="1086" t="s">
        <v>916</v>
      </c>
      <c r="I253" s="1079">
        <f>Table1[[#This Row],[Date]]</f>
        <v>41150</v>
      </c>
      <c r="J253" s="46"/>
      <c r="K253" s="46"/>
      <c r="L253" s="1091"/>
      <c r="M253" s="1091"/>
      <c r="N253" s="1091"/>
      <c r="O253" s="1091"/>
      <c r="P253" s="1091"/>
      <c r="Q253" s="1091"/>
      <c r="R253" s="1091"/>
      <c r="S253" s="1091"/>
      <c r="T253" s="1091"/>
      <c r="U253" s="1091"/>
      <c r="V253" s="1091"/>
      <c r="W253" s="1091"/>
      <c r="X253" s="1091"/>
      <c r="Y253" s="1091"/>
      <c r="Z253" s="1091"/>
      <c r="AA253" s="1091"/>
      <c r="AB253" s="1091"/>
      <c r="AC253" s="1091"/>
      <c r="AD253" s="1091"/>
    </row>
    <row r="254" spans="2:30">
      <c r="B254" s="1078">
        <v>252</v>
      </c>
      <c r="C254" s="1079">
        <v>41150</v>
      </c>
      <c r="D254" s="1098" t="s">
        <v>584</v>
      </c>
      <c r="E254" s="1098" t="s">
        <v>442</v>
      </c>
      <c r="F254" s="1076" t="s">
        <v>913</v>
      </c>
      <c r="G254" s="1086" t="s">
        <v>871</v>
      </c>
      <c r="H254" s="1086" t="s">
        <v>917</v>
      </c>
      <c r="I254" s="1079">
        <f>Table1[[#This Row],[Date]]</f>
        <v>41150</v>
      </c>
      <c r="J254" s="46"/>
      <c r="K254" s="46"/>
      <c r="L254" s="1091"/>
      <c r="M254" s="1091"/>
      <c r="N254" s="1091"/>
      <c r="O254" s="1091"/>
      <c r="P254" s="1091"/>
      <c r="Q254" s="1091"/>
      <c r="R254" s="1091"/>
      <c r="S254" s="1091"/>
      <c r="T254" s="1091"/>
      <c r="U254" s="1091"/>
      <c r="V254" s="1091"/>
      <c r="W254" s="1091"/>
      <c r="X254" s="1091"/>
      <c r="Y254" s="1091"/>
      <c r="Z254" s="1091"/>
      <c r="AA254" s="1091"/>
      <c r="AB254" s="1091"/>
      <c r="AC254" s="1091"/>
      <c r="AD254" s="1091"/>
    </row>
    <row r="255" spans="2:30">
      <c r="B255" s="1078">
        <v>253</v>
      </c>
      <c r="C255" s="1079">
        <v>41150</v>
      </c>
      <c r="D255" s="1098" t="s">
        <v>584</v>
      </c>
      <c r="E255" s="1098" t="s">
        <v>442</v>
      </c>
      <c r="F255" s="1076" t="s">
        <v>914</v>
      </c>
      <c r="G255" s="1086" t="s">
        <v>871</v>
      </c>
      <c r="H255" s="1086" t="s">
        <v>872</v>
      </c>
      <c r="I255" s="1079">
        <f>Table1[[#This Row],[Date]]</f>
        <v>41150</v>
      </c>
      <c r="J255" s="46"/>
      <c r="K255" s="46"/>
      <c r="L255" s="1091"/>
      <c r="M255" s="1091"/>
      <c r="N255" s="1091"/>
      <c r="O255" s="1091"/>
      <c r="P255" s="1091"/>
      <c r="Q255" s="1091"/>
      <c r="R255" s="1091"/>
      <c r="S255" s="1091"/>
      <c r="T255" s="1091"/>
      <c r="U255" s="1091"/>
      <c r="V255" s="1091"/>
      <c r="W255" s="1091"/>
      <c r="X255" s="1091"/>
      <c r="Y255" s="1091"/>
      <c r="Z255" s="1091"/>
      <c r="AA255" s="1091"/>
      <c r="AB255" s="1091"/>
      <c r="AC255" s="1091"/>
      <c r="AD255" s="1091"/>
    </row>
    <row r="256" spans="2:30">
      <c r="B256" s="1078">
        <v>254</v>
      </c>
      <c r="C256" s="1079">
        <v>41150</v>
      </c>
      <c r="D256" s="1098" t="s">
        <v>584</v>
      </c>
      <c r="E256" s="1098" t="s">
        <v>442</v>
      </c>
      <c r="F256" s="1076" t="s">
        <v>915</v>
      </c>
      <c r="G256" s="1086" t="s">
        <v>871</v>
      </c>
      <c r="H256" s="1086" t="s">
        <v>879</v>
      </c>
      <c r="I256" s="1079">
        <f>Table1[[#This Row],[Date]]</f>
        <v>41150</v>
      </c>
      <c r="J256" s="46"/>
      <c r="K256" s="46"/>
      <c r="L256" s="1091"/>
      <c r="M256" s="1091"/>
      <c r="N256" s="1091"/>
      <c r="O256" s="1091"/>
      <c r="P256" s="1091"/>
      <c r="Q256" s="1091"/>
      <c r="R256" s="1091"/>
      <c r="S256" s="1091"/>
      <c r="T256" s="1091"/>
      <c r="U256" s="1091"/>
      <c r="V256" s="1091"/>
      <c r="W256" s="1091"/>
      <c r="X256" s="1091"/>
      <c r="Y256" s="1091"/>
      <c r="Z256" s="1091"/>
      <c r="AA256" s="1091"/>
      <c r="AB256" s="1091"/>
      <c r="AC256" s="1091"/>
      <c r="AD256" s="1091"/>
    </row>
    <row r="257" spans="2:30">
      <c r="B257" s="1078">
        <v>255</v>
      </c>
      <c r="C257" s="1079">
        <v>41150</v>
      </c>
      <c r="D257" s="1098" t="s">
        <v>584</v>
      </c>
      <c r="E257" s="1098" t="s">
        <v>442</v>
      </c>
      <c r="F257" s="1076" t="s">
        <v>918</v>
      </c>
      <c r="G257" s="1086" t="s">
        <v>871</v>
      </c>
      <c r="H257" s="1086" t="s">
        <v>920</v>
      </c>
      <c r="I257" s="1079">
        <f>Table1[[#This Row],[Date]]</f>
        <v>41150</v>
      </c>
      <c r="J257" s="46"/>
      <c r="K257" s="46"/>
      <c r="L257" s="1091"/>
      <c r="M257" s="1091"/>
      <c r="N257" s="1091"/>
      <c r="O257" s="1091"/>
      <c r="P257" s="1091"/>
      <c r="Q257" s="1091"/>
      <c r="R257" s="1091"/>
      <c r="S257" s="1091"/>
      <c r="T257" s="1091"/>
      <c r="U257" s="1091"/>
      <c r="V257" s="1091"/>
      <c r="W257" s="1091"/>
      <c r="X257" s="1091"/>
      <c r="Y257" s="1091"/>
      <c r="Z257" s="1091"/>
      <c r="AA257" s="1091"/>
      <c r="AB257" s="1091"/>
      <c r="AC257" s="1091"/>
      <c r="AD257" s="1091"/>
    </row>
    <row r="258" spans="2:30">
      <c r="B258" s="1078">
        <v>256</v>
      </c>
      <c r="C258" s="1079">
        <v>41150</v>
      </c>
      <c r="D258" s="1098" t="s">
        <v>584</v>
      </c>
      <c r="E258" s="1098" t="s">
        <v>442</v>
      </c>
      <c r="F258" s="1076" t="s">
        <v>919</v>
      </c>
      <c r="G258" s="1086" t="s">
        <v>871</v>
      </c>
      <c r="H258" s="1086" t="s">
        <v>921</v>
      </c>
      <c r="I258" s="1079">
        <f>Table1[[#This Row],[Date]]</f>
        <v>41150</v>
      </c>
      <c r="J258" s="46"/>
      <c r="K258" s="46"/>
      <c r="L258" s="1091"/>
      <c r="M258" s="1091"/>
      <c r="N258" s="1091"/>
      <c r="O258" s="1091"/>
      <c r="P258" s="1091"/>
      <c r="Q258" s="1091"/>
      <c r="R258" s="1091"/>
      <c r="S258" s="1091"/>
      <c r="T258" s="1091"/>
      <c r="U258" s="1091"/>
      <c r="V258" s="1091"/>
      <c r="W258" s="1091"/>
      <c r="X258" s="1091"/>
      <c r="Y258" s="1091"/>
      <c r="Z258" s="1091"/>
      <c r="AA258" s="1091"/>
      <c r="AB258" s="1091"/>
      <c r="AC258" s="1091"/>
      <c r="AD258" s="1091"/>
    </row>
    <row r="259" spans="2:30">
      <c r="B259" s="1078">
        <v>257</v>
      </c>
      <c r="C259" s="1079">
        <v>41150</v>
      </c>
      <c r="D259" s="1098" t="s">
        <v>584</v>
      </c>
      <c r="E259" s="1098" t="s">
        <v>442</v>
      </c>
      <c r="F259" s="1076" t="s">
        <v>910</v>
      </c>
      <c r="G259" s="1086" t="s">
        <v>774</v>
      </c>
      <c r="H259" s="1086" t="s">
        <v>908</v>
      </c>
      <c r="I259" s="1079">
        <f>Table1[[#This Row],[Date]]</f>
        <v>41150</v>
      </c>
      <c r="J259" s="46"/>
      <c r="K259" s="46"/>
      <c r="L259" s="1091"/>
      <c r="M259" s="1091"/>
      <c r="N259" s="1091"/>
      <c r="O259" s="1091"/>
      <c r="P259" s="1091"/>
      <c r="Q259" s="1091"/>
      <c r="R259" s="1091"/>
      <c r="S259" s="1091"/>
      <c r="T259" s="1091"/>
      <c r="U259" s="1091"/>
      <c r="V259" s="1091"/>
      <c r="W259" s="1091"/>
      <c r="X259" s="1091"/>
      <c r="Y259" s="1091"/>
      <c r="Z259" s="1091"/>
      <c r="AA259" s="1091"/>
      <c r="AB259" s="1091"/>
      <c r="AC259" s="1091"/>
      <c r="AD259" s="1091"/>
    </row>
    <row r="260" spans="2:30">
      <c r="B260" s="1078">
        <v>258</v>
      </c>
      <c r="C260" s="1079">
        <v>41150</v>
      </c>
      <c r="D260" s="1098" t="s">
        <v>584</v>
      </c>
      <c r="E260" s="1098" t="s">
        <v>442</v>
      </c>
      <c r="F260" s="1076" t="s">
        <v>914</v>
      </c>
      <c r="G260" s="1086" t="s">
        <v>774</v>
      </c>
      <c r="H260" s="1086" t="s">
        <v>908</v>
      </c>
      <c r="I260" s="1079">
        <f>Table1[[#This Row],[Date]]</f>
        <v>41150</v>
      </c>
      <c r="J260" s="46"/>
      <c r="K260" s="46"/>
      <c r="L260" s="1091"/>
      <c r="M260" s="1091"/>
      <c r="N260" s="1091"/>
      <c r="O260" s="1091"/>
      <c r="P260" s="1091"/>
      <c r="Q260" s="1091"/>
      <c r="R260" s="1091"/>
      <c r="S260" s="1091"/>
      <c r="T260" s="1091"/>
      <c r="U260" s="1091"/>
      <c r="V260" s="1091"/>
      <c r="W260" s="1091"/>
      <c r="X260" s="1091"/>
      <c r="Y260" s="1091"/>
      <c r="Z260" s="1091"/>
      <c r="AA260" s="1091"/>
      <c r="AB260" s="1091"/>
      <c r="AC260" s="1091"/>
      <c r="AD260" s="1091"/>
    </row>
    <row r="261" spans="2:30">
      <c r="B261" s="1078">
        <v>259</v>
      </c>
      <c r="C261" s="1079">
        <v>41150</v>
      </c>
      <c r="D261" s="1098" t="s">
        <v>584</v>
      </c>
      <c r="E261" s="1098" t="s">
        <v>442</v>
      </c>
      <c r="F261" s="1076" t="s">
        <v>912</v>
      </c>
      <c r="G261" s="1086" t="s">
        <v>774</v>
      </c>
      <c r="H261" s="1086" t="s">
        <v>908</v>
      </c>
      <c r="I261" s="1079">
        <f>Table1[[#This Row],[Date]]</f>
        <v>41150</v>
      </c>
      <c r="J261" s="46"/>
      <c r="K261" s="46"/>
      <c r="L261" s="1091"/>
      <c r="M261" s="1091"/>
      <c r="N261" s="1091"/>
      <c r="O261" s="1091"/>
      <c r="P261" s="1091"/>
      <c r="Q261" s="1091"/>
      <c r="R261" s="1091"/>
      <c r="S261" s="1091"/>
      <c r="T261" s="1091"/>
      <c r="U261" s="1091"/>
      <c r="V261" s="1091"/>
      <c r="W261" s="1091"/>
      <c r="X261" s="1091"/>
      <c r="Y261" s="1091"/>
      <c r="Z261" s="1091"/>
      <c r="AA261" s="1091"/>
      <c r="AB261" s="1091"/>
      <c r="AC261" s="1091"/>
      <c r="AD261" s="1091"/>
    </row>
    <row r="262" spans="2:30">
      <c r="B262" s="1078">
        <v>260</v>
      </c>
      <c r="C262" s="1079">
        <v>41150</v>
      </c>
      <c r="D262" s="1098" t="s">
        <v>584</v>
      </c>
      <c r="E262" s="1098" t="s">
        <v>350</v>
      </c>
      <c r="F262" s="1076" t="s">
        <v>649</v>
      </c>
      <c r="G262" s="1086" t="s">
        <v>895</v>
      </c>
      <c r="H262" s="1086" t="s">
        <v>901</v>
      </c>
      <c r="I262" s="1079">
        <f>Table1[[#This Row],[Date]]</f>
        <v>41150</v>
      </c>
      <c r="J262" s="46"/>
      <c r="K262" s="46"/>
      <c r="L262" s="1091"/>
      <c r="M262" s="1091"/>
      <c r="N262" s="1091"/>
      <c r="O262" s="1091"/>
      <c r="P262" s="1091"/>
      <c r="Q262" s="1091"/>
      <c r="R262" s="1091"/>
      <c r="S262" s="1091"/>
      <c r="T262" s="1091"/>
      <c r="U262" s="1091"/>
      <c r="V262" s="1091"/>
      <c r="W262" s="1091"/>
      <c r="X262" s="1091"/>
      <c r="Y262" s="1091"/>
      <c r="Z262" s="1091"/>
      <c r="AA262" s="1091"/>
      <c r="AB262" s="1091"/>
      <c r="AC262" s="1091"/>
      <c r="AD262" s="1091"/>
    </row>
    <row r="263" spans="2:30">
      <c r="B263" s="1078">
        <v>261</v>
      </c>
      <c r="C263" s="1079">
        <v>41150</v>
      </c>
      <c r="D263" s="1098" t="s">
        <v>584</v>
      </c>
      <c r="E263" s="1098" t="s">
        <v>350</v>
      </c>
      <c r="F263" s="1076" t="s">
        <v>765</v>
      </c>
      <c r="G263" s="1086" t="s">
        <v>895</v>
      </c>
      <c r="H263" s="1086" t="s">
        <v>901</v>
      </c>
      <c r="I263" s="1079">
        <f>Table1[[#This Row],[Date]]</f>
        <v>41150</v>
      </c>
      <c r="J263" s="46"/>
      <c r="K263" s="46"/>
      <c r="L263" s="1091"/>
      <c r="M263" s="1091"/>
      <c r="N263" s="1091"/>
      <c r="O263" s="1091"/>
      <c r="P263" s="1091"/>
      <c r="Q263" s="1091"/>
      <c r="R263" s="1091"/>
      <c r="S263" s="1091"/>
      <c r="T263" s="1091"/>
      <c r="U263" s="1091"/>
      <c r="V263" s="1091"/>
      <c r="W263" s="1091"/>
      <c r="X263" s="1091"/>
      <c r="Y263" s="1091"/>
      <c r="Z263" s="1091"/>
      <c r="AA263" s="1091"/>
      <c r="AB263" s="1091"/>
      <c r="AC263" s="1091"/>
      <c r="AD263" s="1091"/>
    </row>
    <row r="264" spans="2:30" ht="57">
      <c r="B264" s="1078">
        <v>262</v>
      </c>
      <c r="C264" s="1079">
        <v>41150</v>
      </c>
      <c r="D264" s="1098" t="s">
        <v>584</v>
      </c>
      <c r="E264" s="1098" t="s">
        <v>350</v>
      </c>
      <c r="F264" s="1076" t="s">
        <v>922</v>
      </c>
      <c r="G264" s="1086" t="s">
        <v>873</v>
      </c>
      <c r="H264" s="1086" t="s">
        <v>923</v>
      </c>
      <c r="I264" s="1079">
        <f>Table1[[#This Row],[Date]]</f>
        <v>41150</v>
      </c>
      <c r="J264" s="46"/>
      <c r="K264" s="46"/>
      <c r="L264" s="1091"/>
      <c r="M264" s="1091"/>
      <c r="N264" s="1091"/>
      <c r="O264" s="1091"/>
      <c r="P264" s="1091"/>
      <c r="Q264" s="1091"/>
      <c r="R264" s="1091"/>
      <c r="S264" s="1091"/>
      <c r="T264" s="1091"/>
      <c r="U264" s="1091"/>
      <c r="V264" s="1091"/>
      <c r="W264" s="1091"/>
      <c r="X264" s="1091"/>
      <c r="Y264" s="1091"/>
      <c r="Z264" s="1091"/>
      <c r="AA264" s="1091"/>
      <c r="AB264" s="1091"/>
      <c r="AC264" s="1091"/>
      <c r="AD264" s="1091"/>
    </row>
    <row r="265" spans="2:30" ht="42.75">
      <c r="B265" s="1078">
        <v>263</v>
      </c>
      <c r="C265" s="1079">
        <v>41150</v>
      </c>
      <c r="D265" s="1098" t="s">
        <v>584</v>
      </c>
      <c r="E265" s="1098" t="s">
        <v>100</v>
      </c>
      <c r="F265" s="1076" t="s">
        <v>924</v>
      </c>
      <c r="G265" s="1086" t="s">
        <v>873</v>
      </c>
      <c r="H265" s="1086" t="s">
        <v>926</v>
      </c>
      <c r="I265" s="1079">
        <f>Table1[[#This Row],[Date]]</f>
        <v>41150</v>
      </c>
      <c r="J265" s="46"/>
      <c r="K265" s="46"/>
      <c r="L265" s="1091"/>
      <c r="M265" s="1091"/>
      <c r="N265" s="1091"/>
      <c r="O265" s="1091"/>
      <c r="P265" s="1091"/>
      <c r="Q265" s="1091"/>
      <c r="R265" s="1091"/>
      <c r="S265" s="1091"/>
      <c r="T265" s="1091"/>
      <c r="U265" s="1091"/>
      <c r="V265" s="1091"/>
      <c r="W265" s="1091"/>
      <c r="X265" s="1091"/>
      <c r="Y265" s="1091"/>
      <c r="Z265" s="1091"/>
      <c r="AA265" s="1091"/>
      <c r="AB265" s="1091"/>
      <c r="AC265" s="1091"/>
      <c r="AD265" s="1091"/>
    </row>
    <row r="266" spans="2:30">
      <c r="B266" s="1078">
        <v>264</v>
      </c>
      <c r="C266" s="1079">
        <v>41150</v>
      </c>
      <c r="D266" s="1098" t="s">
        <v>584</v>
      </c>
      <c r="E266" s="1098" t="s">
        <v>100</v>
      </c>
      <c r="F266" s="1076" t="s">
        <v>925</v>
      </c>
      <c r="G266" s="1086" t="s">
        <v>895</v>
      </c>
      <c r="H266" s="1086" t="s">
        <v>901</v>
      </c>
      <c r="I266" s="1079">
        <f>Table1[[#This Row],[Date]]</f>
        <v>41150</v>
      </c>
      <c r="J266" s="46"/>
      <c r="K266" s="46"/>
      <c r="L266" s="1091"/>
      <c r="M266" s="1091"/>
      <c r="N266" s="1091"/>
      <c r="O266" s="1091"/>
      <c r="P266" s="1091"/>
      <c r="Q266" s="1091"/>
      <c r="R266" s="1091"/>
      <c r="S266" s="1091"/>
      <c r="T266" s="1091"/>
      <c r="U266" s="1091"/>
      <c r="V266" s="1091"/>
      <c r="W266" s="1091"/>
      <c r="X266" s="1091"/>
      <c r="Y266" s="1091"/>
      <c r="Z266" s="1091"/>
      <c r="AA266" s="1091"/>
      <c r="AB266" s="1091"/>
      <c r="AC266" s="1091"/>
      <c r="AD266" s="1091"/>
    </row>
    <row r="267" spans="2:30" ht="42.75">
      <c r="B267" s="1078">
        <v>265</v>
      </c>
      <c r="C267" s="1079">
        <v>41150</v>
      </c>
      <c r="D267" s="1098" t="s">
        <v>584</v>
      </c>
      <c r="E267" s="1098" t="s">
        <v>101</v>
      </c>
      <c r="F267" s="1076" t="s">
        <v>927</v>
      </c>
      <c r="G267" s="1086" t="s">
        <v>873</v>
      </c>
      <c r="H267" s="1086" t="s">
        <v>926</v>
      </c>
      <c r="I267" s="1079">
        <f>Table1[[#This Row],[Date]]</f>
        <v>41150</v>
      </c>
      <c r="J267" s="46"/>
      <c r="K267" s="46"/>
      <c r="L267" s="1091"/>
      <c r="M267" s="1091"/>
      <c r="N267" s="1091"/>
      <c r="O267" s="1091"/>
      <c r="P267" s="1091"/>
      <c r="Q267" s="1091"/>
      <c r="R267" s="1091"/>
      <c r="S267" s="1091"/>
      <c r="T267" s="1091"/>
      <c r="U267" s="1091"/>
      <c r="V267" s="1091"/>
      <c r="W267" s="1091"/>
      <c r="X267" s="1091"/>
      <c r="Y267" s="1091"/>
      <c r="Z267" s="1091"/>
      <c r="AA267" s="1091"/>
      <c r="AB267" s="1091"/>
      <c r="AC267" s="1091"/>
      <c r="AD267" s="1091"/>
    </row>
    <row r="268" spans="2:30">
      <c r="B268" s="1078">
        <v>266</v>
      </c>
      <c r="C268" s="1079">
        <v>41150</v>
      </c>
      <c r="D268" s="1098" t="s">
        <v>584</v>
      </c>
      <c r="E268" s="1098" t="s">
        <v>101</v>
      </c>
      <c r="F268" s="1076" t="s">
        <v>927</v>
      </c>
      <c r="G268" s="1086" t="s">
        <v>895</v>
      </c>
      <c r="H268" s="1086" t="s">
        <v>772</v>
      </c>
      <c r="I268" s="1079">
        <f>Table1[[#This Row],[Date]]</f>
        <v>41150</v>
      </c>
      <c r="J268" s="46"/>
      <c r="K268" s="46"/>
      <c r="L268" s="1091"/>
      <c r="M268" s="1091"/>
      <c r="N268" s="1091"/>
      <c r="O268" s="1091"/>
      <c r="P268" s="1091"/>
      <c r="Q268" s="1091"/>
      <c r="R268" s="1091"/>
      <c r="S268" s="1091"/>
      <c r="T268" s="1091"/>
      <c r="U268" s="1091"/>
      <c r="V268" s="1091"/>
      <c r="W268" s="1091"/>
      <c r="X268" s="1091"/>
      <c r="Y268" s="1091"/>
      <c r="Z268" s="1091"/>
      <c r="AA268" s="1091"/>
      <c r="AB268" s="1091"/>
      <c r="AC268" s="1091"/>
      <c r="AD268" s="1091"/>
    </row>
    <row r="269" spans="2:30">
      <c r="B269" s="1078">
        <v>267</v>
      </c>
      <c r="C269" s="1079">
        <v>41150</v>
      </c>
      <c r="D269" s="1098" t="s">
        <v>584</v>
      </c>
      <c r="E269" s="1098" t="s">
        <v>298</v>
      </c>
      <c r="F269" s="1076" t="s">
        <v>838</v>
      </c>
      <c r="G269" s="1086" t="s">
        <v>895</v>
      </c>
      <c r="H269" s="1086" t="s">
        <v>772</v>
      </c>
      <c r="I269" s="1079">
        <f>Table1[[#This Row],[Date]]</f>
        <v>41150</v>
      </c>
      <c r="J269" s="46"/>
      <c r="K269" s="46"/>
      <c r="L269" s="1091"/>
      <c r="M269" s="1091"/>
      <c r="N269" s="1091"/>
      <c r="O269" s="1091"/>
      <c r="P269" s="1091"/>
      <c r="Q269" s="1091"/>
      <c r="R269" s="1091"/>
      <c r="S269" s="1091"/>
      <c r="T269" s="1091"/>
      <c r="U269" s="1091"/>
      <c r="V269" s="1091"/>
      <c r="W269" s="1091"/>
      <c r="X269" s="1091"/>
      <c r="Y269" s="1091"/>
      <c r="Z269" s="1091"/>
      <c r="AA269" s="1091"/>
      <c r="AB269" s="1091"/>
      <c r="AC269" s="1091"/>
      <c r="AD269" s="1091"/>
    </row>
    <row r="270" spans="2:30" ht="28.5">
      <c r="B270" s="1078">
        <v>268</v>
      </c>
      <c r="C270" s="1079">
        <v>41150</v>
      </c>
      <c r="D270" s="1098" t="s">
        <v>584</v>
      </c>
      <c r="E270" s="1098" t="s">
        <v>298</v>
      </c>
      <c r="F270" s="1076" t="s">
        <v>763</v>
      </c>
      <c r="G270" s="1086" t="s">
        <v>934</v>
      </c>
      <c r="H270" s="1086" t="s">
        <v>604</v>
      </c>
      <c r="I270" s="1079">
        <f>Table1[[#This Row],[Date]]</f>
        <v>41150</v>
      </c>
      <c r="J270" s="46"/>
      <c r="K270" s="46"/>
      <c r="L270" s="1091"/>
      <c r="M270" s="1091"/>
      <c r="N270" s="1091"/>
      <c r="O270" s="1091"/>
      <c r="P270" s="1091"/>
      <c r="Q270" s="1091"/>
      <c r="R270" s="1091"/>
      <c r="S270" s="1091"/>
      <c r="T270" s="1091"/>
      <c r="U270" s="1091"/>
      <c r="V270" s="1091"/>
      <c r="W270" s="1091"/>
      <c r="X270" s="1091"/>
      <c r="Y270" s="1091"/>
      <c r="Z270" s="1091"/>
      <c r="AA270" s="1091"/>
      <c r="AB270" s="1091"/>
      <c r="AC270" s="1091"/>
      <c r="AD270" s="1091"/>
    </row>
    <row r="271" spans="2:30" ht="28.5">
      <c r="B271" s="1078">
        <v>269</v>
      </c>
      <c r="C271" s="1079">
        <v>41150</v>
      </c>
      <c r="D271" s="1098" t="s">
        <v>584</v>
      </c>
      <c r="E271" s="1098" t="s">
        <v>298</v>
      </c>
      <c r="F271" s="1076" t="s">
        <v>848</v>
      </c>
      <c r="G271" s="1086" t="s">
        <v>934</v>
      </c>
      <c r="H271" s="1086" t="s">
        <v>604</v>
      </c>
      <c r="I271" s="1079">
        <f>Table1[[#This Row],[Date]]</f>
        <v>41150</v>
      </c>
      <c r="J271" s="46"/>
      <c r="K271" s="46"/>
      <c r="L271" s="1091"/>
      <c r="M271" s="1091"/>
      <c r="N271" s="1091"/>
      <c r="O271" s="1091"/>
      <c r="P271" s="1091"/>
      <c r="Q271" s="1091"/>
      <c r="R271" s="1091"/>
      <c r="S271" s="1091"/>
      <c r="T271" s="1091"/>
      <c r="U271" s="1091"/>
      <c r="V271" s="1091"/>
      <c r="W271" s="1091"/>
      <c r="X271" s="1091"/>
      <c r="Y271" s="1091"/>
      <c r="Z271" s="1091"/>
      <c r="AA271" s="1091"/>
      <c r="AB271" s="1091"/>
      <c r="AC271" s="1091"/>
      <c r="AD271" s="1091"/>
    </row>
    <row r="272" spans="2:30" ht="28.5">
      <c r="B272" s="1078">
        <v>270</v>
      </c>
      <c r="C272" s="1079">
        <v>41150</v>
      </c>
      <c r="D272" s="1098" t="s">
        <v>584</v>
      </c>
      <c r="E272" s="1098" t="s">
        <v>298</v>
      </c>
      <c r="F272" s="1076" t="s">
        <v>764</v>
      </c>
      <c r="G272" s="1086" t="s">
        <v>934</v>
      </c>
      <c r="H272" s="1086" t="s">
        <v>604</v>
      </c>
      <c r="I272" s="1079">
        <f>Table1[[#This Row],[Date]]</f>
        <v>41150</v>
      </c>
      <c r="J272" s="46"/>
      <c r="K272" s="46"/>
      <c r="L272" s="1091"/>
      <c r="M272" s="1091"/>
      <c r="N272" s="1091"/>
      <c r="O272" s="1091"/>
      <c r="P272" s="1091"/>
      <c r="Q272" s="1091"/>
      <c r="R272" s="1091"/>
      <c r="S272" s="1091"/>
      <c r="T272" s="1091"/>
      <c r="U272" s="1091"/>
      <c r="V272" s="1091"/>
      <c r="W272" s="1091"/>
      <c r="X272" s="1091"/>
      <c r="Y272" s="1091"/>
      <c r="Z272" s="1091"/>
      <c r="AA272" s="1091"/>
      <c r="AB272" s="1091"/>
      <c r="AC272" s="1091"/>
      <c r="AD272" s="1091"/>
    </row>
    <row r="273" spans="2:30" ht="28.5">
      <c r="B273" s="1078">
        <v>271</v>
      </c>
      <c r="C273" s="1079">
        <v>41150</v>
      </c>
      <c r="D273" s="1098" t="s">
        <v>584</v>
      </c>
      <c r="E273" s="1098" t="s">
        <v>298</v>
      </c>
      <c r="F273" s="1076" t="s">
        <v>928</v>
      </c>
      <c r="G273" s="1086" t="s">
        <v>934</v>
      </c>
      <c r="H273" s="1086" t="s">
        <v>604</v>
      </c>
      <c r="I273" s="1079">
        <f>Table1[[#This Row],[Date]]</f>
        <v>41150</v>
      </c>
      <c r="J273" s="46"/>
      <c r="K273" s="46"/>
      <c r="L273" s="1091"/>
      <c r="M273" s="1091"/>
      <c r="N273" s="1091"/>
      <c r="O273" s="1091"/>
      <c r="P273" s="1091"/>
      <c r="Q273" s="1091"/>
      <c r="R273" s="1091"/>
      <c r="S273" s="1091"/>
      <c r="T273" s="1091"/>
      <c r="U273" s="1091"/>
      <c r="V273" s="1091"/>
      <c r="W273" s="1091"/>
      <c r="X273" s="1091"/>
      <c r="Y273" s="1091"/>
      <c r="Z273" s="1091"/>
      <c r="AA273" s="1091"/>
      <c r="AB273" s="1091"/>
      <c r="AC273" s="1091"/>
      <c r="AD273" s="1091"/>
    </row>
    <row r="274" spans="2:30" ht="28.5">
      <c r="B274" s="1078">
        <v>272</v>
      </c>
      <c r="C274" s="1079">
        <v>41150</v>
      </c>
      <c r="D274" s="1098" t="s">
        <v>584</v>
      </c>
      <c r="E274" s="1098" t="s">
        <v>298</v>
      </c>
      <c r="F274" s="1076" t="s">
        <v>929</v>
      </c>
      <c r="G274" s="1086" t="s">
        <v>934</v>
      </c>
      <c r="H274" s="1086" t="s">
        <v>604</v>
      </c>
      <c r="I274" s="1079">
        <f>Table1[[#This Row],[Date]]</f>
        <v>41150</v>
      </c>
      <c r="J274" s="46"/>
      <c r="K274" s="46"/>
      <c r="L274" s="1091"/>
      <c r="M274" s="1091"/>
      <c r="N274" s="1091"/>
      <c r="O274" s="1091"/>
      <c r="P274" s="1091"/>
      <c r="Q274" s="1091"/>
      <c r="R274" s="1091"/>
      <c r="S274" s="1091"/>
      <c r="T274" s="1091"/>
      <c r="U274" s="1091"/>
      <c r="V274" s="1091"/>
      <c r="W274" s="1091"/>
      <c r="X274" s="1091"/>
      <c r="Y274" s="1091"/>
      <c r="Z274" s="1091"/>
      <c r="AA274" s="1091"/>
      <c r="AB274" s="1091"/>
      <c r="AC274" s="1091"/>
      <c r="AD274" s="1091"/>
    </row>
    <row r="275" spans="2:30" ht="28.5">
      <c r="B275" s="1078">
        <v>273</v>
      </c>
      <c r="C275" s="1079">
        <v>41150</v>
      </c>
      <c r="D275" s="1098" t="s">
        <v>584</v>
      </c>
      <c r="E275" s="1098" t="s">
        <v>298</v>
      </c>
      <c r="F275" s="1076" t="s">
        <v>930</v>
      </c>
      <c r="G275" s="1086" t="s">
        <v>934</v>
      </c>
      <c r="H275" s="1086" t="s">
        <v>604</v>
      </c>
      <c r="I275" s="1079">
        <f>Table1[[#This Row],[Date]]</f>
        <v>41150</v>
      </c>
      <c r="J275" s="46"/>
      <c r="K275" s="46"/>
      <c r="L275" s="1091"/>
      <c r="M275" s="1091"/>
      <c r="N275" s="1091"/>
      <c r="O275" s="1091"/>
      <c r="P275" s="1091"/>
      <c r="Q275" s="1091"/>
      <c r="R275" s="1091"/>
      <c r="S275" s="1091"/>
      <c r="T275" s="1091"/>
      <c r="U275" s="1091"/>
      <c r="V275" s="1091"/>
      <c r="W275" s="1091"/>
      <c r="X275" s="1091"/>
      <c r="Y275" s="1091"/>
      <c r="Z275" s="1091"/>
      <c r="AA275" s="1091"/>
      <c r="AB275" s="1091"/>
      <c r="AC275" s="1091"/>
      <c r="AD275" s="1091"/>
    </row>
    <row r="276" spans="2:30" ht="28.5">
      <c r="B276" s="1078">
        <v>274</v>
      </c>
      <c r="C276" s="1079">
        <v>41150</v>
      </c>
      <c r="D276" s="1098" t="s">
        <v>584</v>
      </c>
      <c r="E276" s="1098" t="s">
        <v>298</v>
      </c>
      <c r="F276" s="1076" t="s">
        <v>931</v>
      </c>
      <c r="G276" s="1086" t="s">
        <v>934</v>
      </c>
      <c r="H276" s="1086" t="s">
        <v>604</v>
      </c>
      <c r="I276" s="1079">
        <f>Table1[[#This Row],[Date]]</f>
        <v>41150</v>
      </c>
      <c r="J276" s="46"/>
      <c r="K276" s="46"/>
      <c r="L276" s="1091"/>
      <c r="M276" s="1091"/>
      <c r="N276" s="1091"/>
      <c r="O276" s="1091"/>
      <c r="P276" s="1091"/>
      <c r="Q276" s="1091"/>
      <c r="R276" s="1091"/>
      <c r="S276" s="1091"/>
      <c r="T276" s="1091"/>
      <c r="U276" s="1091"/>
      <c r="V276" s="1091"/>
      <c r="W276" s="1091"/>
      <c r="X276" s="1091"/>
      <c r="Y276" s="1091"/>
      <c r="Z276" s="1091"/>
      <c r="AA276" s="1091"/>
      <c r="AB276" s="1091"/>
      <c r="AC276" s="1091"/>
      <c r="AD276" s="1091"/>
    </row>
    <row r="277" spans="2:30" ht="28.5">
      <c r="B277" s="1078">
        <v>275</v>
      </c>
      <c r="C277" s="1079">
        <v>41150</v>
      </c>
      <c r="D277" s="1098" t="s">
        <v>584</v>
      </c>
      <c r="E277" s="1098" t="s">
        <v>298</v>
      </c>
      <c r="F277" s="1076" t="s">
        <v>932</v>
      </c>
      <c r="G277" s="1086" t="s">
        <v>934</v>
      </c>
      <c r="H277" s="1086" t="s">
        <v>604</v>
      </c>
      <c r="I277" s="1079">
        <f>Table1[[#This Row],[Date]]</f>
        <v>41150</v>
      </c>
      <c r="J277" s="46"/>
      <c r="K277" s="46"/>
      <c r="L277" s="1091"/>
      <c r="M277" s="1091"/>
      <c r="N277" s="1091"/>
      <c r="O277" s="1091"/>
      <c r="P277" s="1091"/>
      <c r="Q277" s="1091"/>
      <c r="R277" s="1091"/>
      <c r="S277" s="1091"/>
      <c r="T277" s="1091"/>
      <c r="U277" s="1091"/>
      <c r="V277" s="1091"/>
      <c r="W277" s="1091"/>
      <c r="X277" s="1091"/>
      <c r="Y277" s="1091"/>
      <c r="Z277" s="1091"/>
      <c r="AA277" s="1091"/>
      <c r="AB277" s="1091"/>
      <c r="AC277" s="1091"/>
      <c r="AD277" s="1091"/>
    </row>
    <row r="278" spans="2:30" ht="28.5">
      <c r="B278" s="1078">
        <v>276</v>
      </c>
      <c r="C278" s="1079">
        <v>41150</v>
      </c>
      <c r="D278" s="1098" t="s">
        <v>584</v>
      </c>
      <c r="E278" s="1098" t="s">
        <v>298</v>
      </c>
      <c r="F278" s="1076" t="s">
        <v>933</v>
      </c>
      <c r="G278" s="1086" t="s">
        <v>934</v>
      </c>
      <c r="H278" s="1086" t="s">
        <v>604</v>
      </c>
      <c r="I278" s="1079">
        <f>Table1[[#This Row],[Date]]</f>
        <v>41150</v>
      </c>
      <c r="J278" s="46"/>
      <c r="K278" s="46"/>
      <c r="L278" s="1091"/>
      <c r="M278" s="1091"/>
      <c r="N278" s="1091"/>
      <c r="O278" s="1091"/>
      <c r="P278" s="1091"/>
      <c r="Q278" s="1091"/>
      <c r="R278" s="1091"/>
      <c r="S278" s="1091"/>
      <c r="T278" s="1091"/>
      <c r="U278" s="1091"/>
      <c r="V278" s="1091"/>
      <c r="W278" s="1091"/>
      <c r="X278" s="1091"/>
      <c r="Y278" s="1091"/>
      <c r="Z278" s="1091"/>
      <c r="AA278" s="1091"/>
      <c r="AB278" s="1091"/>
      <c r="AC278" s="1091"/>
      <c r="AD278" s="1091"/>
    </row>
    <row r="279" spans="2:30">
      <c r="B279" s="1078">
        <v>277</v>
      </c>
      <c r="C279" s="1079">
        <v>41150</v>
      </c>
      <c r="D279" s="1098" t="s">
        <v>584</v>
      </c>
      <c r="E279" s="1098" t="s">
        <v>102</v>
      </c>
      <c r="F279" s="1076" t="s">
        <v>935</v>
      </c>
      <c r="G279" s="1086" t="s">
        <v>895</v>
      </c>
      <c r="H279" s="1086" t="s">
        <v>772</v>
      </c>
      <c r="I279" s="1079">
        <f>Table1[[#This Row],[Date]]</f>
        <v>41150</v>
      </c>
      <c r="J279" s="46"/>
      <c r="K279" s="46"/>
      <c r="L279" s="1091"/>
      <c r="M279" s="1091"/>
      <c r="N279" s="1091"/>
      <c r="O279" s="1091"/>
      <c r="P279" s="1091"/>
      <c r="Q279" s="1091"/>
      <c r="R279" s="1091"/>
      <c r="S279" s="1091"/>
      <c r="T279" s="1091"/>
      <c r="U279" s="1091"/>
      <c r="V279" s="1091"/>
      <c r="W279" s="1091"/>
      <c r="X279" s="1091"/>
      <c r="Y279" s="1091"/>
      <c r="Z279" s="1091"/>
      <c r="AA279" s="1091"/>
      <c r="AB279" s="1091"/>
      <c r="AC279" s="1091"/>
      <c r="AD279" s="1091"/>
    </row>
    <row r="280" spans="2:30">
      <c r="B280" s="1078">
        <v>278</v>
      </c>
      <c r="C280" s="1079">
        <v>41150</v>
      </c>
      <c r="D280" s="1098" t="s">
        <v>584</v>
      </c>
      <c r="E280" s="1098" t="s">
        <v>100</v>
      </c>
      <c r="F280" s="1076" t="s">
        <v>936</v>
      </c>
      <c r="G280" s="1086" t="s">
        <v>895</v>
      </c>
      <c r="H280" s="1086" t="s">
        <v>937</v>
      </c>
      <c r="I280" s="1079">
        <f>Table1[[#This Row],[Date]]</f>
        <v>41150</v>
      </c>
      <c r="J280" s="46"/>
      <c r="K280" s="46"/>
      <c r="L280" s="1091"/>
      <c r="M280" s="1091"/>
      <c r="N280" s="1091"/>
      <c r="O280" s="1091"/>
      <c r="P280" s="1091"/>
      <c r="Q280" s="1091"/>
      <c r="R280" s="1091"/>
      <c r="S280" s="1091"/>
      <c r="T280" s="1091"/>
      <c r="U280" s="1091"/>
      <c r="V280" s="1091"/>
      <c r="W280" s="1091"/>
      <c r="X280" s="1091"/>
      <c r="Y280" s="1091"/>
      <c r="Z280" s="1091"/>
      <c r="AA280" s="1091"/>
      <c r="AB280" s="1091"/>
      <c r="AC280" s="1091"/>
      <c r="AD280" s="1091"/>
    </row>
    <row r="281" spans="2:30">
      <c r="B281" s="1078">
        <v>279</v>
      </c>
      <c r="C281" s="1079">
        <v>41150</v>
      </c>
      <c r="D281" s="1098" t="s">
        <v>584</v>
      </c>
      <c r="E281" s="1098" t="s">
        <v>369</v>
      </c>
      <c r="F281" s="1076" t="s">
        <v>938</v>
      </c>
      <c r="G281" s="1086" t="s">
        <v>939</v>
      </c>
      <c r="H281" s="1086" t="s">
        <v>940</v>
      </c>
      <c r="I281" s="1079">
        <f>Table1[[#This Row],[Date]]</f>
        <v>41150</v>
      </c>
      <c r="J281" s="46"/>
      <c r="K281" s="46"/>
      <c r="L281" s="1091"/>
      <c r="M281" s="1091"/>
      <c r="N281" s="1091"/>
      <c r="O281" s="1091"/>
      <c r="P281" s="1091"/>
      <c r="Q281" s="1091"/>
      <c r="R281" s="1091"/>
      <c r="S281" s="1091"/>
      <c r="T281" s="1091"/>
      <c r="U281" s="1091"/>
      <c r="V281" s="1091"/>
      <c r="W281" s="1091"/>
      <c r="X281" s="1091"/>
      <c r="Y281" s="1091"/>
      <c r="Z281" s="1091"/>
      <c r="AA281" s="1091"/>
      <c r="AB281" s="1091"/>
      <c r="AC281" s="1091"/>
      <c r="AD281" s="1091"/>
    </row>
    <row r="282" spans="2:30">
      <c r="B282" s="1078">
        <v>280</v>
      </c>
      <c r="C282" s="1079">
        <v>41150</v>
      </c>
      <c r="D282" s="1098" t="s">
        <v>584</v>
      </c>
      <c r="E282" s="1098" t="s">
        <v>350</v>
      </c>
      <c r="F282" s="1076" t="s">
        <v>941</v>
      </c>
      <c r="G282" s="1086" t="s">
        <v>895</v>
      </c>
      <c r="H282" s="1086" t="s">
        <v>937</v>
      </c>
      <c r="I282" s="1079">
        <f>Table1[[#This Row],[Date]]</f>
        <v>41150</v>
      </c>
      <c r="J282" s="46"/>
      <c r="K282" s="46"/>
      <c r="L282" s="1091"/>
      <c r="M282" s="1091"/>
      <c r="N282" s="1091"/>
      <c r="O282" s="1091"/>
      <c r="P282" s="1091"/>
      <c r="Q282" s="1091"/>
      <c r="R282" s="1091"/>
      <c r="S282" s="1091"/>
      <c r="T282" s="1091"/>
      <c r="U282" s="1091"/>
      <c r="V282" s="1091"/>
      <c r="W282" s="1091"/>
      <c r="X282" s="1091"/>
      <c r="Y282" s="1091"/>
      <c r="Z282" s="1091"/>
      <c r="AA282" s="1091"/>
      <c r="AB282" s="1091"/>
      <c r="AC282" s="1091"/>
      <c r="AD282" s="1091"/>
    </row>
    <row r="283" spans="2:30">
      <c r="B283" s="1078">
        <v>281</v>
      </c>
      <c r="C283" s="1079">
        <v>41150</v>
      </c>
      <c r="D283" s="1098" t="s">
        <v>584</v>
      </c>
      <c r="E283" s="1098" t="s">
        <v>101</v>
      </c>
      <c r="F283" s="1076" t="s">
        <v>942</v>
      </c>
      <c r="G283" s="1086" t="s">
        <v>943</v>
      </c>
      <c r="H283" s="1086" t="s">
        <v>944</v>
      </c>
      <c r="I283" s="1079">
        <f>Table1[[#This Row],[Date]]</f>
        <v>41150</v>
      </c>
      <c r="J283" s="46"/>
      <c r="K283" s="46"/>
      <c r="L283" s="1091"/>
      <c r="M283" s="1091"/>
      <c r="N283" s="1091"/>
      <c r="O283" s="1091"/>
      <c r="P283" s="1091"/>
      <c r="Q283" s="1091"/>
      <c r="R283" s="1091"/>
      <c r="S283" s="1091"/>
      <c r="T283" s="1091"/>
      <c r="U283" s="1091"/>
      <c r="V283" s="1091"/>
      <c r="W283" s="1091"/>
      <c r="X283" s="1091"/>
      <c r="Y283" s="1091"/>
      <c r="Z283" s="1091"/>
      <c r="AA283" s="1091"/>
      <c r="AB283" s="1091"/>
      <c r="AC283" s="1091"/>
      <c r="AD283" s="1091"/>
    </row>
    <row r="284" spans="2:30" ht="28.5">
      <c r="B284" s="1078">
        <v>282</v>
      </c>
      <c r="C284" s="1079">
        <v>41150</v>
      </c>
      <c r="D284" s="1098" t="s">
        <v>584</v>
      </c>
      <c r="E284" s="1098" t="s">
        <v>298</v>
      </c>
      <c r="F284" s="1076" t="s">
        <v>945</v>
      </c>
      <c r="G284" s="1086" t="s">
        <v>943</v>
      </c>
      <c r="H284" s="1086" t="s">
        <v>946</v>
      </c>
      <c r="I284" s="1079">
        <f>Table1[[#This Row],[Date]]</f>
        <v>41150</v>
      </c>
      <c r="J284" s="46"/>
      <c r="K284" s="46"/>
      <c r="L284" s="1091"/>
      <c r="M284" s="1091"/>
      <c r="N284" s="1091"/>
      <c r="O284" s="1091"/>
      <c r="P284" s="1091"/>
      <c r="Q284" s="1091"/>
      <c r="R284" s="1091"/>
      <c r="S284" s="1091"/>
      <c r="T284" s="1091"/>
      <c r="U284" s="1091"/>
      <c r="V284" s="1091"/>
      <c r="W284" s="1091"/>
      <c r="X284" s="1091"/>
      <c r="Y284" s="1091"/>
      <c r="Z284" s="1091"/>
      <c r="AA284" s="1091"/>
      <c r="AB284" s="1091"/>
      <c r="AC284" s="1091"/>
      <c r="AD284" s="1091"/>
    </row>
    <row r="285" spans="2:30">
      <c r="B285" s="1078">
        <v>283</v>
      </c>
      <c r="C285" s="1079">
        <v>41150</v>
      </c>
      <c r="D285" s="1098" t="s">
        <v>584</v>
      </c>
      <c r="E285" s="1098" t="s">
        <v>298</v>
      </c>
      <c r="F285" s="1076" t="s">
        <v>938</v>
      </c>
      <c r="G285" s="1086" t="s">
        <v>947</v>
      </c>
      <c r="H285" s="1086" t="s">
        <v>948</v>
      </c>
      <c r="I285" s="1079">
        <f>Table1[[#This Row],[Date]]</f>
        <v>41150</v>
      </c>
      <c r="J285" s="46"/>
      <c r="K285" s="46"/>
      <c r="L285" s="1091"/>
      <c r="M285" s="1091"/>
      <c r="N285" s="1091"/>
      <c r="O285" s="1091"/>
      <c r="P285" s="1091"/>
      <c r="Q285" s="1091"/>
      <c r="R285" s="1091"/>
      <c r="S285" s="1091"/>
      <c r="T285" s="1091"/>
      <c r="U285" s="1091"/>
      <c r="V285" s="1091"/>
      <c r="W285" s="1091"/>
      <c r="X285" s="1091"/>
      <c r="Y285" s="1091"/>
      <c r="Z285" s="1091"/>
      <c r="AA285" s="1091"/>
      <c r="AB285" s="1091"/>
      <c r="AC285" s="1091"/>
      <c r="AD285" s="1091"/>
    </row>
    <row r="286" spans="2:30" ht="28.5">
      <c r="B286" s="1078">
        <v>284</v>
      </c>
      <c r="C286" s="1079">
        <v>41150</v>
      </c>
      <c r="D286" s="1098" t="s">
        <v>584</v>
      </c>
      <c r="E286" s="1098" t="s">
        <v>102</v>
      </c>
      <c r="F286" s="1076" t="s">
        <v>796</v>
      </c>
      <c r="G286" s="1086" t="s">
        <v>949</v>
      </c>
      <c r="H286" s="1086" t="s">
        <v>813</v>
      </c>
      <c r="I286" s="1079">
        <f>Table1[[#This Row],[Date]]</f>
        <v>41150</v>
      </c>
      <c r="J286" s="46"/>
      <c r="K286" s="46"/>
      <c r="L286" s="1091"/>
      <c r="M286" s="1091"/>
      <c r="N286" s="1091"/>
      <c r="O286" s="1091"/>
      <c r="P286" s="1091"/>
      <c r="Q286" s="1091"/>
      <c r="R286" s="1091"/>
      <c r="S286" s="1091"/>
      <c r="T286" s="1091"/>
      <c r="U286" s="1091"/>
      <c r="V286" s="1091"/>
      <c r="W286" s="1091"/>
      <c r="X286" s="1091"/>
      <c r="Y286" s="1091"/>
      <c r="Z286" s="1091"/>
      <c r="AA286" s="1091"/>
      <c r="AB286" s="1091"/>
      <c r="AC286" s="1091"/>
      <c r="AD286" s="1091"/>
    </row>
    <row r="287" spans="2:30" ht="28.5">
      <c r="B287" s="1078">
        <v>285</v>
      </c>
      <c r="C287" s="1079">
        <v>41150</v>
      </c>
      <c r="D287" s="1098" t="s">
        <v>584</v>
      </c>
      <c r="E287" s="1098" t="s">
        <v>102</v>
      </c>
      <c r="F287" s="1076" t="s">
        <v>950</v>
      </c>
      <c r="G287" s="1086" t="s">
        <v>943</v>
      </c>
      <c r="H287" s="1086" t="s">
        <v>946</v>
      </c>
      <c r="I287" s="1079">
        <f>Table1[[#This Row],[Date]]</f>
        <v>41150</v>
      </c>
      <c r="J287" s="46"/>
      <c r="K287" s="46"/>
      <c r="L287" s="1091"/>
      <c r="M287" s="1091"/>
      <c r="N287" s="1091"/>
      <c r="O287" s="1091"/>
      <c r="P287" s="1091"/>
      <c r="Q287" s="1091"/>
      <c r="R287" s="1091"/>
      <c r="S287" s="1091"/>
      <c r="T287" s="1091"/>
      <c r="U287" s="1091"/>
      <c r="V287" s="1091"/>
      <c r="W287" s="1091"/>
      <c r="X287" s="1091"/>
      <c r="Y287" s="1091"/>
      <c r="Z287" s="1091"/>
      <c r="AA287" s="1091"/>
      <c r="AB287" s="1091"/>
      <c r="AC287" s="1091"/>
      <c r="AD287" s="1091"/>
    </row>
    <row r="288" spans="2:30">
      <c r="B288" s="1078">
        <v>286</v>
      </c>
      <c r="C288" s="1079">
        <v>41150</v>
      </c>
      <c r="D288" s="1098" t="s">
        <v>584</v>
      </c>
      <c r="E288" s="1098" t="s">
        <v>102</v>
      </c>
      <c r="F288" s="1076" t="s">
        <v>697</v>
      </c>
      <c r="G288" s="1086" t="s">
        <v>947</v>
      </c>
      <c r="H288" s="1086" t="s">
        <v>948</v>
      </c>
      <c r="I288" s="1079">
        <f>Table1[[#This Row],[Date]]</f>
        <v>41150</v>
      </c>
      <c r="J288" s="46"/>
      <c r="K288" s="46"/>
      <c r="L288" s="1091"/>
      <c r="M288" s="1091"/>
      <c r="N288" s="1091"/>
      <c r="O288" s="1091"/>
      <c r="P288" s="1091"/>
      <c r="Q288" s="1091"/>
      <c r="R288" s="1091"/>
      <c r="S288" s="1091"/>
      <c r="T288" s="1091"/>
      <c r="U288" s="1091"/>
      <c r="V288" s="1091"/>
      <c r="W288" s="1091"/>
      <c r="X288" s="1091"/>
      <c r="Y288" s="1091"/>
      <c r="Z288" s="1091"/>
      <c r="AA288" s="1091"/>
      <c r="AB288" s="1091"/>
      <c r="AC288" s="1091"/>
      <c r="AD288" s="1091"/>
    </row>
    <row r="289" spans="2:30">
      <c r="B289" s="1078">
        <v>287</v>
      </c>
      <c r="C289" s="1079">
        <v>41150</v>
      </c>
      <c r="D289" s="1098" t="s">
        <v>584</v>
      </c>
      <c r="E289" s="1098" t="s">
        <v>102</v>
      </c>
      <c r="F289" s="1076" t="s">
        <v>697</v>
      </c>
      <c r="G289" s="1086" t="s">
        <v>951</v>
      </c>
      <c r="H289" s="1086" t="s">
        <v>952</v>
      </c>
      <c r="I289" s="1079">
        <f>Table1[[#This Row],[Date]]</f>
        <v>41150</v>
      </c>
      <c r="J289" s="46"/>
      <c r="K289" s="46"/>
      <c r="L289" s="1091"/>
      <c r="M289" s="1091"/>
      <c r="N289" s="1091"/>
      <c r="O289" s="1091"/>
      <c r="P289" s="1091"/>
      <c r="Q289" s="1091"/>
      <c r="R289" s="1091"/>
      <c r="S289" s="1091"/>
      <c r="T289" s="1091"/>
      <c r="U289" s="1091"/>
      <c r="V289" s="1091"/>
      <c r="W289" s="1091"/>
      <c r="X289" s="1091"/>
      <c r="Y289" s="1091"/>
      <c r="Z289" s="1091"/>
      <c r="AA289" s="1091"/>
      <c r="AB289" s="1091"/>
      <c r="AC289" s="1091"/>
      <c r="AD289" s="1091"/>
    </row>
    <row r="290" spans="2:30" ht="28.5">
      <c r="B290" s="1078">
        <v>288</v>
      </c>
      <c r="C290" s="1079">
        <v>41150</v>
      </c>
      <c r="D290" s="1098" t="s">
        <v>584</v>
      </c>
      <c r="E290" s="1098" t="s">
        <v>327</v>
      </c>
      <c r="F290" s="1076" t="s">
        <v>953</v>
      </c>
      <c r="G290" s="1086" t="s">
        <v>943</v>
      </c>
      <c r="H290" s="1086" t="s">
        <v>954</v>
      </c>
      <c r="I290" s="1079">
        <f>Table1[[#This Row],[Date]]</f>
        <v>41150</v>
      </c>
      <c r="J290" s="46"/>
      <c r="K290" s="46"/>
      <c r="L290" s="1091"/>
      <c r="M290" s="1091"/>
      <c r="N290" s="1091"/>
      <c r="O290" s="1091"/>
      <c r="P290" s="1091"/>
      <c r="Q290" s="1091"/>
      <c r="R290" s="1091"/>
      <c r="S290" s="1091"/>
      <c r="T290" s="1091"/>
      <c r="U290" s="1091"/>
      <c r="V290" s="1091"/>
      <c r="W290" s="1091"/>
      <c r="X290" s="1091"/>
      <c r="Y290" s="1091"/>
      <c r="Z290" s="1091"/>
      <c r="AA290" s="1091"/>
      <c r="AB290" s="1091"/>
      <c r="AC290" s="1091"/>
      <c r="AD290" s="1091"/>
    </row>
    <row r="291" spans="2:30">
      <c r="B291" s="1078">
        <v>289</v>
      </c>
      <c r="C291" s="1079">
        <v>41150</v>
      </c>
      <c r="D291" s="1098" t="s">
        <v>584</v>
      </c>
      <c r="E291" s="1098" t="s">
        <v>327</v>
      </c>
      <c r="F291" s="1076" t="s">
        <v>955</v>
      </c>
      <c r="G291" s="1086" t="s">
        <v>895</v>
      </c>
      <c r="H291" s="1086" t="s">
        <v>956</v>
      </c>
      <c r="I291" s="1079">
        <f>Table1[[#This Row],[Date]]</f>
        <v>41150</v>
      </c>
      <c r="J291" s="46"/>
      <c r="K291" s="46"/>
      <c r="L291" s="1098"/>
      <c r="M291" s="1098"/>
      <c r="N291" s="1098"/>
      <c r="O291" s="1098"/>
      <c r="P291" s="1098"/>
      <c r="Q291" s="1098"/>
      <c r="R291" s="1098"/>
      <c r="S291" s="1098"/>
      <c r="T291" s="1098"/>
      <c r="U291" s="1098"/>
      <c r="V291" s="1098"/>
      <c r="W291" s="1098"/>
      <c r="X291" s="1098"/>
      <c r="Y291" s="1098"/>
      <c r="Z291" s="1098"/>
      <c r="AA291" s="1098"/>
      <c r="AB291" s="1098"/>
      <c r="AC291" s="1098"/>
      <c r="AD291" s="1098"/>
    </row>
    <row r="292" spans="2:30">
      <c r="B292" s="1078">
        <v>290</v>
      </c>
      <c r="C292" s="1079">
        <v>41150</v>
      </c>
      <c r="D292" s="1098" t="s">
        <v>584</v>
      </c>
      <c r="E292" s="1098" t="s">
        <v>102</v>
      </c>
      <c r="F292" s="1076" t="s">
        <v>950</v>
      </c>
      <c r="G292" s="1086" t="s">
        <v>895</v>
      </c>
      <c r="H292" s="1086" t="s">
        <v>956</v>
      </c>
      <c r="I292" s="1079">
        <f>Table1[[#This Row],[Date]]</f>
        <v>41150</v>
      </c>
      <c r="J292" s="46"/>
      <c r="K292" s="46"/>
      <c r="L292" s="1098"/>
      <c r="M292" s="1098"/>
      <c r="N292" s="1098"/>
      <c r="O292" s="1098"/>
      <c r="P292" s="1098"/>
      <c r="Q292" s="1098"/>
      <c r="R292" s="1098"/>
      <c r="S292" s="1098"/>
      <c r="T292" s="1098"/>
      <c r="U292" s="1098"/>
      <c r="V292" s="1098"/>
      <c r="W292" s="1098"/>
      <c r="X292" s="1098"/>
      <c r="Y292" s="1098"/>
      <c r="Z292" s="1098"/>
      <c r="AA292" s="1098"/>
      <c r="AB292" s="1098"/>
      <c r="AC292" s="1098"/>
      <c r="AD292" s="1098"/>
    </row>
    <row r="293" spans="2:30">
      <c r="B293" s="1078">
        <v>291</v>
      </c>
      <c r="C293" s="1079">
        <v>41150</v>
      </c>
      <c r="D293" s="1098" t="s">
        <v>584</v>
      </c>
      <c r="E293" s="1098" t="s">
        <v>298</v>
      </c>
      <c r="F293" s="1076" t="s">
        <v>945</v>
      </c>
      <c r="G293" s="1086" t="s">
        <v>895</v>
      </c>
      <c r="H293" s="1086" t="s">
        <v>956</v>
      </c>
      <c r="I293" s="1079">
        <f>Table1[[#This Row],[Date]]</f>
        <v>41150</v>
      </c>
      <c r="J293" s="46"/>
      <c r="K293" s="46"/>
      <c r="L293" s="1098"/>
      <c r="M293" s="1098"/>
      <c r="N293" s="1098"/>
      <c r="O293" s="1098"/>
      <c r="P293" s="1098"/>
      <c r="Q293" s="1098"/>
      <c r="R293" s="1098"/>
      <c r="S293" s="1098"/>
      <c r="T293" s="1098"/>
      <c r="U293" s="1098"/>
      <c r="V293" s="1098"/>
      <c r="W293" s="1098"/>
      <c r="X293" s="1098"/>
      <c r="Y293" s="1098"/>
      <c r="Z293" s="1098"/>
      <c r="AA293" s="1098"/>
      <c r="AB293" s="1098"/>
      <c r="AC293" s="1098"/>
      <c r="AD293" s="1098"/>
    </row>
    <row r="294" spans="2:30">
      <c r="B294" s="1078">
        <v>292</v>
      </c>
      <c r="C294" s="1079">
        <v>41150</v>
      </c>
      <c r="D294" s="1098" t="s">
        <v>584</v>
      </c>
      <c r="E294" s="1098" t="s">
        <v>101</v>
      </c>
      <c r="F294" s="1076" t="s">
        <v>941</v>
      </c>
      <c r="G294" s="1086" t="s">
        <v>895</v>
      </c>
      <c r="H294" s="1086" t="s">
        <v>956</v>
      </c>
      <c r="I294" s="1079">
        <f>Table1[[#This Row],[Date]]</f>
        <v>41150</v>
      </c>
      <c r="J294" s="46"/>
      <c r="K294" s="46"/>
      <c r="L294" s="1098"/>
      <c r="M294" s="1098"/>
      <c r="N294" s="1098"/>
      <c r="O294" s="1098"/>
      <c r="P294" s="1098"/>
      <c r="Q294" s="1098"/>
      <c r="R294" s="1098"/>
      <c r="S294" s="1098"/>
      <c r="T294" s="1098"/>
      <c r="U294" s="1098"/>
      <c r="V294" s="1098"/>
      <c r="W294" s="1098"/>
      <c r="X294" s="1098"/>
      <c r="Y294" s="1098"/>
      <c r="Z294" s="1098"/>
      <c r="AA294" s="1098"/>
      <c r="AB294" s="1098"/>
      <c r="AC294" s="1098"/>
      <c r="AD294" s="1098"/>
    </row>
    <row r="295" spans="2:30">
      <c r="B295" s="1078">
        <v>293</v>
      </c>
      <c r="C295" s="1079">
        <v>41150</v>
      </c>
      <c r="D295" s="1098" t="s">
        <v>584</v>
      </c>
      <c r="E295" s="1098" t="s">
        <v>327</v>
      </c>
      <c r="F295" s="1076" t="s">
        <v>697</v>
      </c>
      <c r="G295" s="1086" t="s">
        <v>947</v>
      </c>
      <c r="H295" s="1086" t="s">
        <v>948</v>
      </c>
      <c r="I295" s="1079">
        <f>Table1[[#This Row],[Date]]</f>
        <v>41150</v>
      </c>
      <c r="J295" s="46"/>
      <c r="K295" s="46"/>
      <c r="L295" s="1098"/>
      <c r="M295" s="1098"/>
      <c r="N295" s="1098"/>
      <c r="O295" s="1098"/>
      <c r="P295" s="1098"/>
      <c r="Q295" s="1098"/>
      <c r="R295" s="1098"/>
      <c r="S295" s="1098"/>
      <c r="T295" s="1098"/>
      <c r="U295" s="1098"/>
      <c r="V295" s="1098"/>
      <c r="W295" s="1098"/>
      <c r="X295" s="1098"/>
      <c r="Y295" s="1098"/>
      <c r="Z295" s="1098"/>
      <c r="AA295" s="1098"/>
      <c r="AB295" s="1098"/>
      <c r="AC295" s="1098"/>
      <c r="AD295" s="1098"/>
    </row>
    <row r="296" spans="2:30">
      <c r="B296" s="1078">
        <v>294</v>
      </c>
      <c r="C296" s="1079">
        <v>41150</v>
      </c>
      <c r="D296" s="1098" t="s">
        <v>584</v>
      </c>
      <c r="E296" s="1098" t="s">
        <v>326</v>
      </c>
      <c r="F296" s="1076" t="s">
        <v>957</v>
      </c>
      <c r="G296" s="1086" t="s">
        <v>895</v>
      </c>
      <c r="H296" s="1086" t="s">
        <v>956</v>
      </c>
      <c r="I296" s="1079">
        <f>Table1[[#This Row],[Date]]</f>
        <v>41150</v>
      </c>
      <c r="J296" s="46"/>
      <c r="K296" s="46"/>
      <c r="L296" s="1098"/>
      <c r="M296" s="1098"/>
      <c r="N296" s="1098"/>
      <c r="O296" s="1098"/>
      <c r="P296" s="1098"/>
      <c r="Q296" s="1098"/>
      <c r="R296" s="1098"/>
      <c r="S296" s="1098"/>
      <c r="T296" s="1098"/>
      <c r="U296" s="1098"/>
      <c r="V296" s="1098"/>
      <c r="W296" s="1098"/>
      <c r="X296" s="1098"/>
      <c r="Y296" s="1098"/>
      <c r="Z296" s="1098"/>
      <c r="AA296" s="1098"/>
      <c r="AB296" s="1098"/>
      <c r="AC296" s="1098"/>
      <c r="AD296" s="1098"/>
    </row>
    <row r="297" spans="2:30">
      <c r="B297" s="1078">
        <v>295</v>
      </c>
      <c r="C297" s="1079">
        <v>41150</v>
      </c>
      <c r="D297" s="1098" t="s">
        <v>584</v>
      </c>
      <c r="E297" s="1098" t="s">
        <v>326</v>
      </c>
      <c r="F297" s="1076" t="s">
        <v>697</v>
      </c>
      <c r="G297" s="1086" t="s">
        <v>947</v>
      </c>
      <c r="H297" s="1086" t="s">
        <v>948</v>
      </c>
      <c r="I297" s="1079">
        <f>Table1[[#This Row],[Date]]</f>
        <v>41150</v>
      </c>
      <c r="J297" s="46"/>
      <c r="K297" s="46"/>
      <c r="L297" s="1098"/>
      <c r="M297" s="1098"/>
      <c r="N297" s="1098"/>
      <c r="O297" s="1098"/>
      <c r="P297" s="1098"/>
      <c r="Q297" s="1098"/>
      <c r="R297" s="1098"/>
      <c r="S297" s="1098"/>
      <c r="T297" s="1098"/>
      <c r="U297" s="1098"/>
      <c r="V297" s="1098"/>
      <c r="W297" s="1098"/>
      <c r="X297" s="1098"/>
      <c r="Y297" s="1098"/>
      <c r="Z297" s="1098"/>
      <c r="AA297" s="1098"/>
      <c r="AB297" s="1098"/>
      <c r="AC297" s="1098"/>
      <c r="AD297" s="1098"/>
    </row>
    <row r="298" spans="2:30">
      <c r="B298" s="1078">
        <v>296</v>
      </c>
      <c r="C298" s="1079">
        <v>41150</v>
      </c>
      <c r="D298" s="1098" t="s">
        <v>584</v>
      </c>
      <c r="E298" s="1098" t="s">
        <v>326</v>
      </c>
      <c r="F298" s="1076" t="s">
        <v>697</v>
      </c>
      <c r="G298" s="1086" t="s">
        <v>958</v>
      </c>
      <c r="H298" s="1086" t="s">
        <v>959</v>
      </c>
      <c r="I298" s="1079">
        <f>Table1[[#This Row],[Date]]</f>
        <v>41150</v>
      </c>
      <c r="J298" s="46"/>
      <c r="K298" s="46"/>
      <c r="L298" s="1098"/>
      <c r="M298" s="1098"/>
      <c r="N298" s="1098"/>
      <c r="O298" s="1098"/>
      <c r="P298" s="1098"/>
      <c r="Q298" s="1098"/>
      <c r="R298" s="1098"/>
      <c r="S298" s="1098"/>
      <c r="T298" s="1098"/>
      <c r="U298" s="1098"/>
      <c r="V298" s="1098"/>
      <c r="W298" s="1098"/>
      <c r="X298" s="1098"/>
      <c r="Y298" s="1098"/>
      <c r="Z298" s="1098"/>
      <c r="AA298" s="1098"/>
      <c r="AB298" s="1098"/>
      <c r="AC298" s="1098"/>
      <c r="AD298" s="1098"/>
    </row>
    <row r="299" spans="2:30">
      <c r="B299" s="1078">
        <v>297</v>
      </c>
      <c r="C299" s="1079">
        <v>41150</v>
      </c>
      <c r="D299" s="1098" t="s">
        <v>584</v>
      </c>
      <c r="E299" s="1098" t="s">
        <v>370</v>
      </c>
      <c r="F299" s="1076" t="s">
        <v>957</v>
      </c>
      <c r="G299" s="1086" t="s">
        <v>895</v>
      </c>
      <c r="H299" s="1086" t="s">
        <v>956</v>
      </c>
      <c r="I299" s="1079">
        <f>Table1[[#This Row],[Date]]</f>
        <v>41150</v>
      </c>
      <c r="J299" s="46"/>
      <c r="K299" s="46"/>
      <c r="L299" s="1098"/>
      <c r="M299" s="1098"/>
      <c r="N299" s="1098"/>
      <c r="O299" s="1098"/>
      <c r="P299" s="1098"/>
      <c r="Q299" s="1098"/>
      <c r="R299" s="1098"/>
      <c r="S299" s="1098"/>
      <c r="T299" s="1098"/>
      <c r="U299" s="1098"/>
      <c r="V299" s="1098"/>
      <c r="W299" s="1098"/>
      <c r="X299" s="1098"/>
      <c r="Y299" s="1098"/>
      <c r="Z299" s="1098"/>
      <c r="AA299" s="1098"/>
      <c r="AB299" s="1098"/>
      <c r="AC299" s="1098"/>
      <c r="AD299" s="1098"/>
    </row>
    <row r="300" spans="2:30">
      <c r="B300" s="1078">
        <v>298</v>
      </c>
      <c r="C300" s="1079">
        <v>41150</v>
      </c>
      <c r="D300" s="1098" t="s">
        <v>584</v>
      </c>
      <c r="E300" s="1098" t="s">
        <v>370</v>
      </c>
      <c r="F300" s="1076" t="s">
        <v>697</v>
      </c>
      <c r="G300" s="1086" t="s">
        <v>947</v>
      </c>
      <c r="H300" s="1086" t="s">
        <v>948</v>
      </c>
      <c r="I300" s="1079">
        <f>Table1[[#This Row],[Date]]</f>
        <v>41150</v>
      </c>
      <c r="J300" s="46"/>
      <c r="K300" s="46"/>
      <c r="L300" s="1098"/>
      <c r="M300" s="1098"/>
      <c r="N300" s="1098"/>
      <c r="O300" s="1098"/>
      <c r="P300" s="1098"/>
      <c r="Q300" s="1098"/>
      <c r="R300" s="1098"/>
      <c r="S300" s="1098"/>
      <c r="T300" s="1098"/>
      <c r="U300" s="1098"/>
      <c r="V300" s="1098"/>
      <c r="W300" s="1098"/>
      <c r="X300" s="1098"/>
      <c r="Y300" s="1098"/>
      <c r="Z300" s="1098"/>
      <c r="AA300" s="1098"/>
      <c r="AB300" s="1098"/>
      <c r="AC300" s="1098"/>
      <c r="AD300" s="1098"/>
    </row>
    <row r="301" spans="2:30">
      <c r="B301" s="1078">
        <v>299</v>
      </c>
      <c r="C301" s="1079">
        <v>41150</v>
      </c>
      <c r="D301" s="1098" t="s">
        <v>584</v>
      </c>
      <c r="E301" s="1098" t="s">
        <v>370</v>
      </c>
      <c r="F301" s="1076" t="s">
        <v>697</v>
      </c>
      <c r="G301" s="1086" t="s">
        <v>895</v>
      </c>
      <c r="H301" s="1086" t="s">
        <v>956</v>
      </c>
      <c r="I301" s="1079">
        <f>Table1[[#This Row],[Date]]</f>
        <v>41150</v>
      </c>
      <c r="J301" s="46"/>
      <c r="K301" s="46"/>
      <c r="L301" s="1098"/>
      <c r="M301" s="1098"/>
      <c r="N301" s="1098"/>
      <c r="O301" s="1098"/>
      <c r="P301" s="1098"/>
      <c r="Q301" s="1098"/>
      <c r="R301" s="1098"/>
      <c r="S301" s="1098"/>
      <c r="T301" s="1098"/>
      <c r="U301" s="1098"/>
      <c r="V301" s="1098"/>
      <c r="W301" s="1098"/>
      <c r="X301" s="1098"/>
      <c r="Y301" s="1098"/>
      <c r="Z301" s="1098"/>
      <c r="AA301" s="1098"/>
      <c r="AB301" s="1098"/>
      <c r="AC301" s="1098"/>
      <c r="AD301" s="1098"/>
    </row>
    <row r="302" spans="2:30">
      <c r="B302" s="1078">
        <v>300</v>
      </c>
      <c r="C302" s="1079">
        <v>41150</v>
      </c>
      <c r="D302" s="1098" t="s">
        <v>584</v>
      </c>
      <c r="E302" s="1098" t="s">
        <v>329</v>
      </c>
      <c r="F302" s="1076" t="s">
        <v>957</v>
      </c>
      <c r="G302" s="1086" t="s">
        <v>895</v>
      </c>
      <c r="H302" s="1086" t="s">
        <v>956</v>
      </c>
      <c r="I302" s="1079">
        <f>Table1[[#This Row],[Date]]</f>
        <v>41150</v>
      </c>
      <c r="J302" s="46"/>
      <c r="K302" s="46"/>
      <c r="L302" s="1098"/>
      <c r="M302" s="1098"/>
      <c r="N302" s="1098"/>
      <c r="O302" s="1098"/>
      <c r="P302" s="1098"/>
      <c r="Q302" s="1098"/>
      <c r="R302" s="1098"/>
      <c r="S302" s="1098"/>
      <c r="T302" s="1098"/>
      <c r="U302" s="1098"/>
      <c r="V302" s="1098"/>
      <c r="W302" s="1098"/>
      <c r="X302" s="1098"/>
      <c r="Y302" s="1098"/>
      <c r="Z302" s="1098"/>
      <c r="AA302" s="1098"/>
      <c r="AB302" s="1098"/>
      <c r="AC302" s="1098"/>
      <c r="AD302" s="1098"/>
    </row>
    <row r="303" spans="2:30">
      <c r="B303" s="1078">
        <v>301</v>
      </c>
      <c r="C303" s="1079">
        <v>41150</v>
      </c>
      <c r="D303" s="1098" t="s">
        <v>584</v>
      </c>
      <c r="E303" s="1098" t="s">
        <v>329</v>
      </c>
      <c r="F303" s="1076" t="s">
        <v>697</v>
      </c>
      <c r="G303" s="1086" t="s">
        <v>947</v>
      </c>
      <c r="H303" s="1086" t="s">
        <v>948</v>
      </c>
      <c r="I303" s="1079">
        <f>Table1[[#This Row],[Date]]</f>
        <v>41150</v>
      </c>
      <c r="J303" s="46"/>
      <c r="K303" s="46"/>
      <c r="L303" s="1098"/>
      <c r="M303" s="1098"/>
      <c r="N303" s="1098"/>
      <c r="O303" s="1098"/>
      <c r="P303" s="1098"/>
      <c r="Q303" s="1098"/>
      <c r="R303" s="1098"/>
      <c r="S303" s="1098"/>
      <c r="T303" s="1098"/>
      <c r="U303" s="1098"/>
      <c r="V303" s="1098"/>
      <c r="W303" s="1098"/>
      <c r="X303" s="1098"/>
      <c r="Y303" s="1098"/>
      <c r="Z303" s="1098"/>
      <c r="AA303" s="1098"/>
      <c r="AB303" s="1098"/>
      <c r="AC303" s="1098"/>
      <c r="AD303" s="1098"/>
    </row>
    <row r="304" spans="2:30">
      <c r="B304" s="1078">
        <v>302</v>
      </c>
      <c r="C304" s="1079">
        <v>41150</v>
      </c>
      <c r="D304" s="1098" t="s">
        <v>584</v>
      </c>
      <c r="E304" s="1098" t="s">
        <v>329</v>
      </c>
      <c r="F304" s="1076" t="s">
        <v>697</v>
      </c>
      <c r="G304" s="1086" t="s">
        <v>895</v>
      </c>
      <c r="H304" s="1086" t="s">
        <v>956</v>
      </c>
      <c r="I304" s="1079">
        <f>Table1[[#This Row],[Date]]</f>
        <v>41150</v>
      </c>
      <c r="J304" s="46"/>
      <c r="K304" s="46"/>
      <c r="L304" s="1098"/>
      <c r="M304" s="1098"/>
      <c r="N304" s="1098"/>
      <c r="O304" s="1098"/>
      <c r="P304" s="1098"/>
      <c r="Q304" s="1098"/>
      <c r="R304" s="1098"/>
      <c r="S304" s="1098"/>
      <c r="T304" s="1098"/>
      <c r="U304" s="1098"/>
      <c r="V304" s="1098"/>
      <c r="W304" s="1098"/>
      <c r="X304" s="1098"/>
      <c r="Y304" s="1098"/>
      <c r="Z304" s="1098"/>
      <c r="AA304" s="1098"/>
      <c r="AB304" s="1098"/>
      <c r="AC304" s="1098"/>
      <c r="AD304" s="1098"/>
    </row>
    <row r="305" spans="2:30">
      <c r="B305" s="1078">
        <v>303</v>
      </c>
      <c r="C305" s="1079">
        <v>41150</v>
      </c>
      <c r="D305" s="1098" t="s">
        <v>584</v>
      </c>
      <c r="E305" s="1098" t="s">
        <v>442</v>
      </c>
      <c r="F305" s="1076" t="s">
        <v>696</v>
      </c>
      <c r="G305" s="1086" t="s">
        <v>774</v>
      </c>
      <c r="H305" s="1086" t="s">
        <v>869</v>
      </c>
      <c r="I305" s="1079">
        <f>Table1[[#This Row],[Date]]</f>
        <v>41150</v>
      </c>
      <c r="J305" s="46"/>
      <c r="K305" s="46"/>
      <c r="L305" s="1098"/>
      <c r="M305" s="1098"/>
      <c r="N305" s="1098"/>
      <c r="O305" s="1098"/>
      <c r="P305" s="1098"/>
      <c r="Q305" s="1098"/>
      <c r="R305" s="1098"/>
      <c r="S305" s="1098"/>
      <c r="T305" s="1098"/>
      <c r="U305" s="1098"/>
      <c r="V305" s="1098"/>
      <c r="W305" s="1098"/>
      <c r="X305" s="1098"/>
      <c r="Y305" s="1098"/>
      <c r="Z305" s="1098"/>
      <c r="AA305" s="1098"/>
      <c r="AB305" s="1098"/>
      <c r="AC305" s="1098"/>
      <c r="AD305" s="1098"/>
    </row>
    <row r="306" spans="2:30" ht="28.5">
      <c r="B306" s="1078">
        <v>304</v>
      </c>
      <c r="C306" s="1079">
        <v>41150</v>
      </c>
      <c r="D306" s="1098" t="s">
        <v>584</v>
      </c>
      <c r="E306" s="1098" t="s">
        <v>585</v>
      </c>
      <c r="F306" s="1076" t="s">
        <v>771</v>
      </c>
      <c r="G306" s="1086" t="s">
        <v>744</v>
      </c>
      <c r="H306" s="1086" t="s">
        <v>792</v>
      </c>
      <c r="I306" s="1079">
        <f>Table1[[#This Row],[Date]]</f>
        <v>41150</v>
      </c>
      <c r="J306" s="46"/>
      <c r="K306" s="46"/>
      <c r="L306" s="1098"/>
      <c r="M306" s="1098"/>
      <c r="N306" s="1098"/>
      <c r="O306" s="1098"/>
      <c r="P306" s="1098"/>
      <c r="Q306" s="1098"/>
      <c r="R306" s="1098"/>
      <c r="S306" s="1098"/>
      <c r="T306" s="1098"/>
      <c r="U306" s="1098"/>
      <c r="V306" s="1098"/>
      <c r="W306" s="1098"/>
      <c r="X306" s="1098"/>
      <c r="Y306" s="1098"/>
      <c r="Z306" s="1098"/>
      <c r="AA306" s="1098"/>
      <c r="AB306" s="1098"/>
      <c r="AC306" s="1098"/>
      <c r="AD306" s="1098"/>
    </row>
    <row r="307" spans="2:30" ht="28.5">
      <c r="B307" s="1078">
        <v>305</v>
      </c>
      <c r="C307" s="1079">
        <v>41150</v>
      </c>
      <c r="D307" s="1098" t="s">
        <v>584</v>
      </c>
      <c r="E307" s="1098" t="s">
        <v>585</v>
      </c>
      <c r="F307" s="1076" t="s">
        <v>649</v>
      </c>
      <c r="G307" s="1086" t="s">
        <v>934</v>
      </c>
      <c r="H307" s="1086" t="s">
        <v>961</v>
      </c>
      <c r="I307" s="1079">
        <f>Table1[[#This Row],[Date]]</f>
        <v>41150</v>
      </c>
      <c r="J307" s="46"/>
      <c r="K307" s="46"/>
      <c r="L307" s="1098"/>
      <c r="M307" s="1098"/>
      <c r="N307" s="1098"/>
      <c r="O307" s="1098"/>
      <c r="P307" s="1098"/>
      <c r="Q307" s="1098"/>
      <c r="R307" s="1098"/>
      <c r="S307" s="1098"/>
      <c r="T307" s="1098"/>
      <c r="U307" s="1098"/>
      <c r="V307" s="1098"/>
      <c r="W307" s="1098"/>
      <c r="X307" s="1098"/>
      <c r="Y307" s="1098"/>
      <c r="Z307" s="1098"/>
      <c r="AA307" s="1098"/>
      <c r="AB307" s="1098"/>
      <c r="AC307" s="1098"/>
      <c r="AD307" s="1098"/>
    </row>
    <row r="308" spans="2:30" ht="28.5">
      <c r="B308" s="1078">
        <v>306</v>
      </c>
      <c r="C308" s="1079">
        <v>41150</v>
      </c>
      <c r="D308" s="1098" t="s">
        <v>584</v>
      </c>
      <c r="E308" s="1098" t="s">
        <v>585</v>
      </c>
      <c r="F308" s="1076" t="s">
        <v>650</v>
      </c>
      <c r="G308" s="1086" t="s">
        <v>934</v>
      </c>
      <c r="H308" s="1086" t="s">
        <v>962</v>
      </c>
      <c r="I308" s="1079">
        <f>Table1[[#This Row],[Date]]</f>
        <v>41150</v>
      </c>
      <c r="J308" s="46"/>
      <c r="K308" s="46"/>
      <c r="L308" s="1098"/>
      <c r="M308" s="1098"/>
      <c r="N308" s="1098"/>
      <c r="O308" s="1098"/>
      <c r="P308" s="1098"/>
      <c r="Q308" s="1098"/>
      <c r="R308" s="1098"/>
      <c r="S308" s="1098"/>
      <c r="T308" s="1098"/>
      <c r="U308" s="1098"/>
      <c r="V308" s="1098"/>
      <c r="W308" s="1098"/>
      <c r="X308" s="1098"/>
      <c r="Y308" s="1098"/>
      <c r="Z308" s="1098"/>
      <c r="AA308" s="1098"/>
      <c r="AB308" s="1098"/>
      <c r="AC308" s="1098"/>
      <c r="AD308" s="1098"/>
    </row>
    <row r="309" spans="2:30" ht="28.5">
      <c r="B309" s="1078">
        <v>307</v>
      </c>
      <c r="C309" s="1079">
        <v>41150</v>
      </c>
      <c r="D309" s="1098" t="s">
        <v>584</v>
      </c>
      <c r="E309" s="1098" t="s">
        <v>585</v>
      </c>
      <c r="F309" s="1076" t="s">
        <v>651</v>
      </c>
      <c r="G309" s="1086" t="s">
        <v>934</v>
      </c>
      <c r="H309" s="1086" t="s">
        <v>963</v>
      </c>
      <c r="I309" s="1079">
        <f>Table1[[#This Row],[Date]]</f>
        <v>41150</v>
      </c>
      <c r="J309" s="46"/>
      <c r="K309" s="46"/>
      <c r="L309" s="1098"/>
      <c r="M309" s="1098"/>
      <c r="N309" s="1098"/>
      <c r="O309" s="1098"/>
      <c r="P309" s="1098"/>
      <c r="Q309" s="1098"/>
      <c r="R309" s="1098"/>
      <c r="S309" s="1098"/>
      <c r="T309" s="1098"/>
      <c r="U309" s="1098"/>
      <c r="V309" s="1098"/>
      <c r="W309" s="1098"/>
      <c r="X309" s="1098"/>
      <c r="Y309" s="1098"/>
      <c r="Z309" s="1098"/>
      <c r="AA309" s="1098"/>
      <c r="AB309" s="1098"/>
      <c r="AC309" s="1098"/>
      <c r="AD309" s="1098"/>
    </row>
    <row r="310" spans="2:30" ht="28.5">
      <c r="B310" s="1078">
        <v>308</v>
      </c>
      <c r="C310" s="1079">
        <v>41150</v>
      </c>
      <c r="D310" s="1098" t="s">
        <v>584</v>
      </c>
      <c r="E310" s="1098" t="s">
        <v>585</v>
      </c>
      <c r="F310" s="1076" t="s">
        <v>652</v>
      </c>
      <c r="G310" s="1086" t="s">
        <v>934</v>
      </c>
      <c r="H310" s="1086" t="s">
        <v>964</v>
      </c>
      <c r="I310" s="1079">
        <f>Table1[[#This Row],[Date]]</f>
        <v>41150</v>
      </c>
      <c r="J310" s="46"/>
      <c r="K310" s="46"/>
      <c r="L310" s="1098"/>
      <c r="M310" s="1098"/>
      <c r="N310" s="1098"/>
      <c r="O310" s="1098"/>
      <c r="P310" s="1098"/>
      <c r="Q310" s="1098"/>
      <c r="R310" s="1098"/>
      <c r="S310" s="1098"/>
      <c r="T310" s="1098"/>
      <c r="U310" s="1098"/>
      <c r="V310" s="1098"/>
      <c r="W310" s="1098"/>
      <c r="X310" s="1098"/>
      <c r="Y310" s="1098"/>
      <c r="Z310" s="1098"/>
      <c r="AA310" s="1098"/>
      <c r="AB310" s="1098"/>
      <c r="AC310" s="1098"/>
      <c r="AD310" s="1098"/>
    </row>
    <row r="311" spans="2:30" ht="28.5">
      <c r="B311" s="1078">
        <v>309</v>
      </c>
      <c r="C311" s="1079">
        <v>41150</v>
      </c>
      <c r="D311" s="1098" t="s">
        <v>584</v>
      </c>
      <c r="E311" s="1098" t="s">
        <v>585</v>
      </c>
      <c r="F311" s="1076" t="s">
        <v>653</v>
      </c>
      <c r="G311" s="1086" t="s">
        <v>934</v>
      </c>
      <c r="H311" s="1086" t="s">
        <v>965</v>
      </c>
      <c r="I311" s="1079">
        <f>Table1[[#This Row],[Date]]</f>
        <v>41150</v>
      </c>
      <c r="J311" s="46"/>
      <c r="K311" s="46"/>
      <c r="L311" s="1098"/>
      <c r="M311" s="1098"/>
      <c r="N311" s="1098"/>
      <c r="O311" s="1098"/>
      <c r="P311" s="1098"/>
      <c r="Q311" s="1098"/>
      <c r="R311" s="1098"/>
      <c r="S311" s="1098"/>
      <c r="T311" s="1098"/>
      <c r="U311" s="1098"/>
      <c r="V311" s="1098"/>
      <c r="W311" s="1098"/>
      <c r="X311" s="1098"/>
      <c r="Y311" s="1098"/>
      <c r="Z311" s="1098"/>
      <c r="AA311" s="1098"/>
      <c r="AB311" s="1098"/>
      <c r="AC311" s="1098"/>
      <c r="AD311" s="1098"/>
    </row>
    <row r="312" spans="2:30" ht="28.5">
      <c r="B312" s="1078">
        <v>310</v>
      </c>
      <c r="C312" s="1079">
        <v>41150</v>
      </c>
      <c r="D312" s="1098" t="s">
        <v>584</v>
      </c>
      <c r="E312" s="1098" t="s">
        <v>585</v>
      </c>
      <c r="F312" s="1076" t="s">
        <v>654</v>
      </c>
      <c r="G312" s="1086" t="s">
        <v>934</v>
      </c>
      <c r="H312" s="1086" t="s">
        <v>966</v>
      </c>
      <c r="I312" s="1079">
        <f>Table1[[#This Row],[Date]]</f>
        <v>41150</v>
      </c>
      <c r="J312" s="46"/>
      <c r="K312" s="46"/>
      <c r="L312" s="1098"/>
      <c r="M312" s="1098"/>
      <c r="N312" s="1098"/>
      <c r="O312" s="1098"/>
      <c r="P312" s="1098"/>
      <c r="Q312" s="1098"/>
      <c r="R312" s="1098"/>
      <c r="S312" s="1098"/>
      <c r="T312" s="1098"/>
      <c r="U312" s="1098"/>
      <c r="V312" s="1098"/>
      <c r="W312" s="1098"/>
      <c r="X312" s="1098"/>
      <c r="Y312" s="1098"/>
      <c r="Z312" s="1098"/>
      <c r="AA312" s="1098"/>
      <c r="AB312" s="1098"/>
      <c r="AC312" s="1098"/>
      <c r="AD312" s="1098"/>
    </row>
    <row r="313" spans="2:30" ht="28.5">
      <c r="B313" s="1078">
        <v>311</v>
      </c>
      <c r="C313" s="1079">
        <v>41150</v>
      </c>
      <c r="D313" s="1098" t="s">
        <v>584</v>
      </c>
      <c r="E313" s="1098" t="s">
        <v>585</v>
      </c>
      <c r="F313" s="1076" t="s">
        <v>655</v>
      </c>
      <c r="G313" s="1086" t="s">
        <v>934</v>
      </c>
      <c r="H313" s="1086" t="s">
        <v>967</v>
      </c>
      <c r="I313" s="1079">
        <f>Table1[[#This Row],[Date]]</f>
        <v>41150</v>
      </c>
      <c r="J313" s="46"/>
      <c r="K313" s="46"/>
      <c r="L313" s="1098"/>
      <c r="M313" s="1098"/>
      <c r="N313" s="1098"/>
      <c r="O313" s="1098"/>
      <c r="P313" s="1098"/>
      <c r="Q313" s="1098"/>
      <c r="R313" s="1098"/>
      <c r="S313" s="1098"/>
      <c r="T313" s="1098"/>
      <c r="U313" s="1098"/>
      <c r="V313" s="1098"/>
      <c r="W313" s="1098"/>
      <c r="X313" s="1098"/>
      <c r="Y313" s="1098"/>
      <c r="Z313" s="1098"/>
      <c r="AA313" s="1098"/>
      <c r="AB313" s="1098"/>
      <c r="AC313" s="1098"/>
      <c r="AD313" s="1098"/>
    </row>
    <row r="314" spans="2:30" ht="28.5">
      <c r="B314" s="1078">
        <v>312</v>
      </c>
      <c r="C314" s="1079">
        <v>41150</v>
      </c>
      <c r="D314" s="1098" t="s">
        <v>584</v>
      </c>
      <c r="E314" s="1098" t="s">
        <v>585</v>
      </c>
      <c r="F314" s="1076" t="s">
        <v>656</v>
      </c>
      <c r="G314" s="1086" t="s">
        <v>934</v>
      </c>
      <c r="H314" s="1086" t="s">
        <v>968</v>
      </c>
      <c r="I314" s="1079">
        <f>Table1[[#This Row],[Date]]</f>
        <v>41150</v>
      </c>
      <c r="J314" s="46"/>
      <c r="K314" s="46"/>
      <c r="L314" s="1098"/>
      <c r="M314" s="1098"/>
      <c r="N314" s="1098"/>
      <c r="O314" s="1098"/>
      <c r="P314" s="1098"/>
      <c r="Q314" s="1098"/>
      <c r="R314" s="1098"/>
      <c r="S314" s="1098"/>
      <c r="T314" s="1098"/>
      <c r="U314" s="1098"/>
      <c r="V314" s="1098"/>
      <c r="W314" s="1098"/>
      <c r="X314" s="1098"/>
      <c r="Y314" s="1098"/>
      <c r="Z314" s="1098"/>
      <c r="AA314" s="1098"/>
      <c r="AB314" s="1098"/>
      <c r="AC314" s="1098"/>
      <c r="AD314" s="1098"/>
    </row>
    <row r="315" spans="2:30" ht="28.5">
      <c r="B315" s="1078">
        <v>313</v>
      </c>
      <c r="C315" s="1079">
        <v>41150</v>
      </c>
      <c r="D315" s="1098" t="s">
        <v>584</v>
      </c>
      <c r="E315" s="1098" t="s">
        <v>368</v>
      </c>
      <c r="F315" s="1076" t="s">
        <v>970</v>
      </c>
      <c r="G315" s="1086" t="s">
        <v>971</v>
      </c>
      <c r="H315" s="1086" t="s">
        <v>972</v>
      </c>
      <c r="I315" s="1079">
        <f>Table1[[#This Row],[Date]]</f>
        <v>41150</v>
      </c>
      <c r="J315" s="46"/>
      <c r="K315" s="46"/>
      <c r="L315" s="1098"/>
      <c r="M315" s="1098"/>
      <c r="N315" s="1098"/>
      <c r="O315" s="1098"/>
      <c r="P315" s="1098"/>
      <c r="Q315" s="1098"/>
      <c r="R315" s="1098"/>
      <c r="S315" s="1098"/>
      <c r="T315" s="1098"/>
      <c r="U315" s="1098"/>
      <c r="V315" s="1098"/>
      <c r="W315" s="1098"/>
      <c r="X315" s="1098"/>
      <c r="Y315" s="1098"/>
      <c r="Z315" s="1098"/>
      <c r="AA315" s="1098"/>
      <c r="AB315" s="1098"/>
      <c r="AC315" s="1098"/>
      <c r="AD315" s="1098"/>
    </row>
    <row r="316" spans="2:30" ht="42.75">
      <c r="B316" s="1078">
        <v>314</v>
      </c>
      <c r="C316" s="1079">
        <v>41150</v>
      </c>
      <c r="D316" s="1098" t="s">
        <v>584</v>
      </c>
      <c r="E316" s="1098" t="s">
        <v>369</v>
      </c>
      <c r="F316" s="1076" t="s">
        <v>974</v>
      </c>
      <c r="G316" s="1086" t="s">
        <v>975</v>
      </c>
      <c r="H316" s="1086" t="s">
        <v>976</v>
      </c>
      <c r="I316" s="1079">
        <f>Table1[[#This Row],[Date]]</f>
        <v>41150</v>
      </c>
      <c r="J316" s="46"/>
      <c r="K316" s="46"/>
      <c r="L316" s="1098"/>
      <c r="M316" s="1098"/>
      <c r="N316" s="1098"/>
      <c r="O316" s="1098"/>
      <c r="P316" s="1098"/>
      <c r="Q316" s="1098"/>
      <c r="R316" s="1098"/>
      <c r="S316" s="1098"/>
      <c r="T316" s="1098"/>
      <c r="U316" s="1098"/>
      <c r="V316" s="1098"/>
      <c r="W316" s="1098"/>
      <c r="X316" s="1098"/>
      <c r="Y316" s="1098"/>
      <c r="Z316" s="1098"/>
      <c r="AA316" s="1098"/>
      <c r="AB316" s="1098"/>
      <c r="AC316" s="1098"/>
      <c r="AD316" s="1098"/>
    </row>
    <row r="317" spans="2:30" ht="42.75">
      <c r="B317" s="1078">
        <v>315</v>
      </c>
      <c r="C317" s="1079">
        <v>41150</v>
      </c>
      <c r="D317" s="1098" t="s">
        <v>584</v>
      </c>
      <c r="E317" s="1098" t="s">
        <v>369</v>
      </c>
      <c r="F317" s="1076" t="s">
        <v>977</v>
      </c>
      <c r="G317" s="1086" t="s">
        <v>975</v>
      </c>
      <c r="H317" s="1086" t="s">
        <v>976</v>
      </c>
      <c r="I317" s="1079">
        <f>Table1[[#This Row],[Date]]</f>
        <v>41150</v>
      </c>
      <c r="J317" s="46"/>
      <c r="K317" s="46"/>
      <c r="L317" s="1098"/>
      <c r="M317" s="1098"/>
      <c r="N317" s="1098"/>
      <c r="O317" s="1098"/>
      <c r="P317" s="1098"/>
      <c r="Q317" s="1098"/>
      <c r="R317" s="1098"/>
      <c r="S317" s="1098"/>
      <c r="T317" s="1098"/>
      <c r="U317" s="1098"/>
      <c r="V317" s="1098"/>
      <c r="W317" s="1098"/>
      <c r="X317" s="1098"/>
      <c r="Y317" s="1098"/>
      <c r="Z317" s="1098"/>
      <c r="AA317" s="1098"/>
      <c r="AB317" s="1098"/>
      <c r="AC317" s="1098"/>
      <c r="AD317" s="1098"/>
    </row>
    <row r="318" spans="2:30" ht="42.75">
      <c r="B318" s="1078">
        <v>316</v>
      </c>
      <c r="C318" s="1079">
        <v>41150</v>
      </c>
      <c r="D318" s="1098" t="s">
        <v>584</v>
      </c>
      <c r="E318" s="1098" t="s">
        <v>369</v>
      </c>
      <c r="F318" s="1076" t="s">
        <v>978</v>
      </c>
      <c r="G318" s="1086" t="s">
        <v>975</v>
      </c>
      <c r="H318" s="1086" t="s">
        <v>976</v>
      </c>
      <c r="I318" s="1079">
        <f>Table1[[#This Row],[Date]]</f>
        <v>41150</v>
      </c>
      <c r="J318" s="46"/>
      <c r="K318" s="46"/>
      <c r="L318" s="1098"/>
      <c r="M318" s="1098"/>
      <c r="N318" s="1098"/>
      <c r="O318" s="1098"/>
      <c r="P318" s="1098"/>
      <c r="Q318" s="1098"/>
      <c r="R318" s="1098"/>
      <c r="S318" s="1098"/>
      <c r="T318" s="1098"/>
      <c r="U318" s="1098"/>
      <c r="V318" s="1098"/>
      <c r="W318" s="1098"/>
      <c r="X318" s="1098"/>
      <c r="Y318" s="1098"/>
      <c r="Z318" s="1098"/>
      <c r="AA318" s="1098"/>
      <c r="AB318" s="1098"/>
      <c r="AC318" s="1098"/>
      <c r="AD318" s="1098"/>
    </row>
    <row r="319" spans="2:30" ht="42.75">
      <c r="B319" s="1078">
        <v>317</v>
      </c>
      <c r="C319" s="1079">
        <v>41150</v>
      </c>
      <c r="D319" s="1098" t="s">
        <v>584</v>
      </c>
      <c r="E319" s="1098" t="s">
        <v>369</v>
      </c>
      <c r="F319" s="1076" t="s">
        <v>979</v>
      </c>
      <c r="G319" s="1086" t="s">
        <v>975</v>
      </c>
      <c r="H319" s="1086" t="s">
        <v>976</v>
      </c>
      <c r="I319" s="1079">
        <f>Table1[[#This Row],[Date]]</f>
        <v>41150</v>
      </c>
      <c r="J319" s="46"/>
      <c r="K319" s="46"/>
      <c r="L319" s="1098"/>
      <c r="M319" s="1098"/>
      <c r="N319" s="1098"/>
      <c r="O319" s="1098"/>
      <c r="P319" s="1098"/>
      <c r="Q319" s="1098"/>
      <c r="R319" s="1098"/>
      <c r="S319" s="1098"/>
      <c r="T319" s="1098"/>
      <c r="U319" s="1098"/>
      <c r="V319" s="1098"/>
      <c r="W319" s="1098"/>
      <c r="X319" s="1098"/>
      <c r="Y319" s="1098"/>
      <c r="Z319" s="1098"/>
      <c r="AA319" s="1098"/>
      <c r="AB319" s="1098"/>
      <c r="AC319" s="1098"/>
      <c r="AD319" s="1098"/>
    </row>
    <row r="320" spans="2:30" ht="42.75">
      <c r="B320" s="1078">
        <v>318</v>
      </c>
      <c r="C320" s="1079">
        <v>41150</v>
      </c>
      <c r="D320" s="1098" t="s">
        <v>584</v>
      </c>
      <c r="E320" s="1098" t="s">
        <v>369</v>
      </c>
      <c r="F320" s="1076" t="s">
        <v>980</v>
      </c>
      <c r="G320" s="1086" t="s">
        <v>975</v>
      </c>
      <c r="H320" s="1086" t="s">
        <v>976</v>
      </c>
      <c r="I320" s="1079">
        <f>Table1[[#This Row],[Date]]</f>
        <v>41150</v>
      </c>
      <c r="J320" s="46"/>
      <c r="K320" s="46"/>
      <c r="L320" s="1098"/>
      <c r="M320" s="1098"/>
      <c r="N320" s="1098"/>
      <c r="O320" s="1098"/>
      <c r="P320" s="1098"/>
      <c r="Q320" s="1098"/>
      <c r="R320" s="1098"/>
      <c r="S320" s="1098"/>
      <c r="T320" s="1098"/>
      <c r="U320" s="1098"/>
      <c r="V320" s="1098"/>
      <c r="W320" s="1098"/>
      <c r="X320" s="1098"/>
      <c r="Y320" s="1098"/>
      <c r="Z320" s="1098"/>
      <c r="AA320" s="1098"/>
      <c r="AB320" s="1098"/>
      <c r="AC320" s="1098"/>
      <c r="AD320" s="1098"/>
    </row>
    <row r="321" spans="2:30" ht="42.75">
      <c r="B321" s="1078">
        <v>319</v>
      </c>
      <c r="C321" s="1079">
        <v>41150</v>
      </c>
      <c r="D321" s="1098" t="s">
        <v>584</v>
      </c>
      <c r="E321" s="1098" t="s">
        <v>369</v>
      </c>
      <c r="F321" s="1076" t="s">
        <v>981</v>
      </c>
      <c r="G321" s="1086" t="s">
        <v>975</v>
      </c>
      <c r="H321" s="1086" t="s">
        <v>976</v>
      </c>
      <c r="I321" s="1079">
        <f>Table1[[#This Row],[Date]]</f>
        <v>41150</v>
      </c>
      <c r="J321" s="46"/>
      <c r="K321" s="46"/>
      <c r="L321" s="1098"/>
      <c r="M321" s="1098"/>
      <c r="N321" s="1098"/>
      <c r="O321" s="1098"/>
      <c r="P321" s="1098"/>
      <c r="Q321" s="1098"/>
      <c r="R321" s="1098"/>
      <c r="S321" s="1098"/>
      <c r="T321" s="1098"/>
      <c r="U321" s="1098"/>
      <c r="V321" s="1098"/>
      <c r="W321" s="1098"/>
      <c r="X321" s="1098"/>
      <c r="Y321" s="1098"/>
      <c r="Z321" s="1098"/>
      <c r="AA321" s="1098"/>
      <c r="AB321" s="1098"/>
      <c r="AC321" s="1098"/>
      <c r="AD321" s="1098"/>
    </row>
    <row r="322" spans="2:30" ht="42.75">
      <c r="B322" s="1078">
        <v>320</v>
      </c>
      <c r="C322" s="1079">
        <v>41150</v>
      </c>
      <c r="D322" s="1098" t="s">
        <v>584</v>
      </c>
      <c r="E322" s="1098" t="s">
        <v>369</v>
      </c>
      <c r="F322" s="1076" t="s">
        <v>982</v>
      </c>
      <c r="G322" s="1086" t="s">
        <v>975</v>
      </c>
      <c r="H322" s="1086" t="s">
        <v>976</v>
      </c>
      <c r="I322" s="1079">
        <f>Table1[[#This Row],[Date]]</f>
        <v>41150</v>
      </c>
      <c r="J322" s="46"/>
      <c r="K322" s="46"/>
      <c r="L322" s="1098"/>
      <c r="M322" s="1098"/>
      <c r="N322" s="1098"/>
      <c r="O322" s="1098"/>
      <c r="P322" s="1098"/>
      <c r="Q322" s="1098"/>
      <c r="R322" s="1098"/>
      <c r="S322" s="1098"/>
      <c r="T322" s="1098"/>
      <c r="U322" s="1098"/>
      <c r="V322" s="1098"/>
      <c r="W322" s="1098"/>
      <c r="X322" s="1098"/>
      <c r="Y322" s="1098"/>
      <c r="Z322" s="1098"/>
      <c r="AA322" s="1098"/>
      <c r="AB322" s="1098"/>
      <c r="AC322" s="1098"/>
      <c r="AD322" s="1098"/>
    </row>
    <row r="323" spans="2:30" ht="42.75">
      <c r="B323" s="1078">
        <v>321</v>
      </c>
      <c r="C323" s="1079">
        <v>41150</v>
      </c>
      <c r="D323" s="1098" t="s">
        <v>584</v>
      </c>
      <c r="E323" s="1098" t="s">
        <v>369</v>
      </c>
      <c r="F323" s="1076" t="s">
        <v>983</v>
      </c>
      <c r="G323" s="1086" t="s">
        <v>975</v>
      </c>
      <c r="H323" s="1086" t="s">
        <v>976</v>
      </c>
      <c r="I323" s="1079">
        <f>Table1[[#This Row],[Date]]</f>
        <v>41150</v>
      </c>
      <c r="J323" s="46"/>
      <c r="K323" s="46"/>
      <c r="L323" s="1098"/>
      <c r="M323" s="1098"/>
      <c r="N323" s="1098"/>
      <c r="O323" s="1098"/>
      <c r="P323" s="1098"/>
      <c r="Q323" s="1098"/>
      <c r="R323" s="1098"/>
      <c r="S323" s="1098"/>
      <c r="T323" s="1098"/>
      <c r="U323" s="1098"/>
      <c r="V323" s="1098"/>
      <c r="W323" s="1098"/>
      <c r="X323" s="1098"/>
      <c r="Y323" s="1098"/>
      <c r="Z323" s="1098"/>
      <c r="AA323" s="1098"/>
      <c r="AB323" s="1098"/>
      <c r="AC323" s="1098"/>
      <c r="AD323" s="1098"/>
    </row>
    <row r="324" spans="2:30" ht="42.75">
      <c r="B324" s="1078">
        <v>322</v>
      </c>
      <c r="C324" s="1079">
        <v>41150</v>
      </c>
      <c r="D324" s="1098" t="s">
        <v>584</v>
      </c>
      <c r="E324" s="1098" t="s">
        <v>369</v>
      </c>
      <c r="F324" s="1076" t="s">
        <v>984</v>
      </c>
      <c r="G324" s="1086" t="s">
        <v>975</v>
      </c>
      <c r="H324" s="1086" t="s">
        <v>976</v>
      </c>
      <c r="I324" s="1079">
        <f>Table1[[#This Row],[Date]]</f>
        <v>41150</v>
      </c>
      <c r="J324" s="46"/>
      <c r="K324" s="46"/>
      <c r="L324" s="1098"/>
      <c r="M324" s="1098"/>
      <c r="N324" s="1098"/>
      <c r="O324" s="1098"/>
      <c r="P324" s="1098"/>
      <c r="Q324" s="1098"/>
      <c r="R324" s="1098"/>
      <c r="S324" s="1098"/>
      <c r="T324" s="1098"/>
      <c r="U324" s="1098"/>
      <c r="V324" s="1098"/>
      <c r="W324" s="1098"/>
      <c r="X324" s="1098"/>
      <c r="Y324" s="1098"/>
      <c r="Z324" s="1098"/>
      <c r="AA324" s="1098"/>
      <c r="AB324" s="1098"/>
      <c r="AC324" s="1098"/>
      <c r="AD324" s="1098"/>
    </row>
    <row r="325" spans="2:30" ht="42.75">
      <c r="B325" s="1078">
        <v>323</v>
      </c>
      <c r="C325" s="1079">
        <v>41150</v>
      </c>
      <c r="D325" s="1098" t="s">
        <v>584</v>
      </c>
      <c r="E325" s="1098" t="s">
        <v>369</v>
      </c>
      <c r="F325" s="1076" t="s">
        <v>985</v>
      </c>
      <c r="G325" s="1086" t="s">
        <v>975</v>
      </c>
      <c r="H325" s="1086" t="s">
        <v>976</v>
      </c>
      <c r="I325" s="1079">
        <f>Table1[[#This Row],[Date]]</f>
        <v>41150</v>
      </c>
      <c r="J325" s="46"/>
      <c r="K325" s="46"/>
      <c r="L325" s="1098"/>
      <c r="M325" s="1098"/>
      <c r="N325" s="1098"/>
      <c r="O325" s="1098"/>
      <c r="P325" s="1098"/>
      <c r="Q325" s="1098"/>
      <c r="R325" s="1098"/>
      <c r="S325" s="1098"/>
      <c r="T325" s="1098"/>
      <c r="U325" s="1098"/>
      <c r="V325" s="1098"/>
      <c r="W325" s="1098"/>
      <c r="X325" s="1098"/>
      <c r="Y325" s="1098"/>
      <c r="Z325" s="1098"/>
      <c r="AA325" s="1098"/>
      <c r="AB325" s="1098"/>
      <c r="AC325" s="1098"/>
      <c r="AD325" s="1098"/>
    </row>
    <row r="326" spans="2:30" ht="42.75">
      <c r="B326" s="1078">
        <v>324</v>
      </c>
      <c r="C326" s="1079">
        <v>41150</v>
      </c>
      <c r="D326" s="1098" t="s">
        <v>584</v>
      </c>
      <c r="E326" s="1098" t="s">
        <v>369</v>
      </c>
      <c r="F326" s="1076" t="s">
        <v>986</v>
      </c>
      <c r="G326" s="1086" t="s">
        <v>975</v>
      </c>
      <c r="H326" s="1086" t="s">
        <v>976</v>
      </c>
      <c r="I326" s="1079">
        <f>Table1[[#This Row],[Date]]</f>
        <v>41150</v>
      </c>
      <c r="J326" s="46"/>
      <c r="K326" s="46"/>
      <c r="L326" s="1098"/>
      <c r="M326" s="1098"/>
      <c r="N326" s="1098"/>
      <c r="O326" s="1098"/>
      <c r="P326" s="1098"/>
      <c r="Q326" s="1098"/>
      <c r="R326" s="1098"/>
      <c r="S326" s="1098"/>
      <c r="T326" s="1098"/>
      <c r="U326" s="1098"/>
      <c r="V326" s="1098"/>
      <c r="W326" s="1098"/>
      <c r="X326" s="1098"/>
      <c r="Y326" s="1098"/>
      <c r="Z326" s="1098"/>
      <c r="AA326" s="1098"/>
      <c r="AB326" s="1098"/>
      <c r="AC326" s="1098"/>
      <c r="AD326" s="1098"/>
    </row>
    <row r="327" spans="2:30" ht="28.5">
      <c r="B327" s="1078">
        <v>325</v>
      </c>
      <c r="C327" s="1079">
        <v>41150</v>
      </c>
      <c r="D327" s="1098" t="s">
        <v>584</v>
      </c>
      <c r="E327" s="1098" t="s">
        <v>350</v>
      </c>
      <c r="F327" s="1076" t="s">
        <v>987</v>
      </c>
      <c r="G327" s="1086" t="s">
        <v>988</v>
      </c>
      <c r="H327" s="1086" t="s">
        <v>989</v>
      </c>
      <c r="I327" s="1079">
        <f>Table1[[#This Row],[Date]]</f>
        <v>41150</v>
      </c>
      <c r="J327" s="46"/>
      <c r="K327" s="46"/>
      <c r="L327" s="1098"/>
      <c r="M327" s="1098"/>
      <c r="N327" s="1098"/>
      <c r="O327" s="1098"/>
      <c r="P327" s="1098"/>
      <c r="Q327" s="1098"/>
      <c r="R327" s="1098"/>
      <c r="S327" s="1098"/>
      <c r="T327" s="1098"/>
      <c r="U327" s="1098"/>
      <c r="V327" s="1098"/>
      <c r="W327" s="1098"/>
      <c r="X327" s="1098"/>
      <c r="Y327" s="1098"/>
      <c r="Z327" s="1098"/>
      <c r="AA327" s="1098"/>
      <c r="AB327" s="1098"/>
      <c r="AC327" s="1098"/>
      <c r="AD327" s="1098"/>
    </row>
    <row r="328" spans="2:30" ht="28.5">
      <c r="B328" s="1078">
        <v>326</v>
      </c>
      <c r="C328" s="1079">
        <v>41150</v>
      </c>
      <c r="D328" s="1098" t="s">
        <v>584</v>
      </c>
      <c r="E328" s="1098" t="s">
        <v>100</v>
      </c>
      <c r="F328" s="1076" t="s">
        <v>987</v>
      </c>
      <c r="G328" s="1086" t="s">
        <v>991</v>
      </c>
      <c r="H328" s="1086" t="s">
        <v>992</v>
      </c>
      <c r="I328" s="1079">
        <f>Table1[[#This Row],[Date]]</f>
        <v>41150</v>
      </c>
      <c r="J328" s="46"/>
      <c r="K328" s="46"/>
      <c r="L328" s="1098"/>
      <c r="M328" s="1098"/>
      <c r="N328" s="1098"/>
      <c r="O328" s="1098"/>
      <c r="P328" s="1098"/>
      <c r="Q328" s="1098"/>
      <c r="R328" s="1098"/>
      <c r="S328" s="1098"/>
      <c r="T328" s="1098"/>
      <c r="U328" s="1098"/>
      <c r="V328" s="1098"/>
      <c r="W328" s="1098"/>
      <c r="X328" s="1098"/>
      <c r="Y328" s="1098"/>
      <c r="Z328" s="1098"/>
      <c r="AA328" s="1098"/>
      <c r="AB328" s="1098"/>
      <c r="AC328" s="1098"/>
      <c r="AD328" s="1098"/>
    </row>
    <row r="329" spans="2:30" ht="28.5">
      <c r="B329" s="1078">
        <v>327</v>
      </c>
      <c r="C329" s="1079">
        <v>41150</v>
      </c>
      <c r="D329" s="1098" t="s">
        <v>584</v>
      </c>
      <c r="E329" s="1098" t="s">
        <v>101</v>
      </c>
      <c r="F329" s="1076" t="s">
        <v>970</v>
      </c>
      <c r="G329" s="1086" t="s">
        <v>990</v>
      </c>
      <c r="H329" s="1086" t="s">
        <v>989</v>
      </c>
      <c r="I329" s="1079">
        <f>Table1[[#This Row],[Date]]</f>
        <v>41150</v>
      </c>
      <c r="J329" s="46"/>
      <c r="K329" s="46"/>
      <c r="L329" s="1098"/>
      <c r="M329" s="1098"/>
      <c r="N329" s="1098"/>
      <c r="O329" s="1098"/>
      <c r="P329" s="1098"/>
      <c r="Q329" s="1098"/>
      <c r="R329" s="1098"/>
      <c r="S329" s="1098"/>
      <c r="T329" s="1098"/>
      <c r="U329" s="1098"/>
      <c r="V329" s="1098"/>
      <c r="W329" s="1098"/>
      <c r="X329" s="1098"/>
      <c r="Y329" s="1098"/>
      <c r="Z329" s="1098"/>
      <c r="AA329" s="1098"/>
      <c r="AB329" s="1098"/>
      <c r="AC329" s="1098"/>
      <c r="AD329" s="1098"/>
    </row>
    <row r="330" spans="2:30" ht="28.5">
      <c r="B330" s="1078">
        <v>328</v>
      </c>
      <c r="C330" s="1079">
        <v>41150</v>
      </c>
      <c r="D330" s="1098" t="s">
        <v>584</v>
      </c>
      <c r="E330" s="1098" t="s">
        <v>298</v>
      </c>
      <c r="F330" s="1076" t="s">
        <v>987</v>
      </c>
      <c r="G330" s="1086" t="s">
        <v>988</v>
      </c>
      <c r="H330" s="1086" t="s">
        <v>989</v>
      </c>
      <c r="I330" s="1079">
        <f>Table1[[#This Row],[Date]]</f>
        <v>41150</v>
      </c>
      <c r="J330" s="46"/>
      <c r="K330" s="46"/>
      <c r="L330" s="1098"/>
      <c r="M330" s="1098"/>
      <c r="N330" s="1098"/>
      <c r="O330" s="1098"/>
      <c r="P330" s="1098"/>
      <c r="Q330" s="1098"/>
      <c r="R330" s="1098"/>
      <c r="S330" s="1098"/>
      <c r="T330" s="1098"/>
      <c r="U330" s="1098"/>
      <c r="V330" s="1098"/>
      <c r="W330" s="1098"/>
      <c r="X330" s="1098"/>
      <c r="Y330" s="1098"/>
      <c r="Z330" s="1098"/>
      <c r="AA330" s="1098"/>
      <c r="AB330" s="1098"/>
      <c r="AC330" s="1098"/>
      <c r="AD330" s="1098"/>
    </row>
    <row r="331" spans="2:30" ht="28.5">
      <c r="B331" s="1078">
        <v>329</v>
      </c>
      <c r="C331" s="1079">
        <v>41150</v>
      </c>
      <c r="D331" s="1098" t="s">
        <v>584</v>
      </c>
      <c r="E331" s="1098" t="s">
        <v>327</v>
      </c>
      <c r="F331" s="1076" t="s">
        <v>904</v>
      </c>
      <c r="G331" s="1086" t="s">
        <v>993</v>
      </c>
      <c r="H331" s="1086" t="s">
        <v>994</v>
      </c>
      <c r="I331" s="1079">
        <f>Table1[[#This Row],[Date]]</f>
        <v>41150</v>
      </c>
      <c r="J331" s="46"/>
      <c r="K331" s="46"/>
      <c r="L331" s="1098"/>
      <c r="M331" s="1098"/>
      <c r="N331" s="1098"/>
      <c r="O331" s="1098"/>
      <c r="P331" s="1098"/>
      <c r="Q331" s="1098"/>
      <c r="R331" s="1098"/>
      <c r="S331" s="1098"/>
      <c r="T331" s="1098"/>
      <c r="U331" s="1098"/>
      <c r="V331" s="1098"/>
      <c r="W331" s="1098"/>
      <c r="X331" s="1098"/>
      <c r="Y331" s="1098"/>
      <c r="Z331" s="1098"/>
      <c r="AA331" s="1098"/>
      <c r="AB331" s="1098"/>
      <c r="AC331" s="1098"/>
      <c r="AD331" s="1098"/>
    </row>
    <row r="332" spans="2:30" ht="28.5">
      <c r="B332" s="1078">
        <v>330</v>
      </c>
      <c r="C332" s="1079">
        <v>41150</v>
      </c>
      <c r="D332" s="1098" t="s">
        <v>584</v>
      </c>
      <c r="E332" s="1098" t="s">
        <v>326</v>
      </c>
      <c r="F332" s="1076" t="s">
        <v>904</v>
      </c>
      <c r="G332" s="1086" t="s">
        <v>996</v>
      </c>
      <c r="H332" s="1086" t="s">
        <v>995</v>
      </c>
      <c r="I332" s="1079">
        <f>Table1[[#This Row],[Date]]</f>
        <v>41150</v>
      </c>
      <c r="J332" s="46"/>
      <c r="K332" s="46"/>
      <c r="L332" s="1098"/>
      <c r="M332" s="1098"/>
      <c r="N332" s="1098"/>
      <c r="O332" s="1098"/>
      <c r="P332" s="1098"/>
      <c r="Q332" s="1098"/>
      <c r="R332" s="1098"/>
      <c r="S332" s="1098"/>
      <c r="T332" s="1098"/>
      <c r="U332" s="1098"/>
      <c r="V332" s="1098"/>
      <c r="W332" s="1098"/>
      <c r="X332" s="1098"/>
      <c r="Y332" s="1098"/>
      <c r="Z332" s="1098"/>
      <c r="AA332" s="1098"/>
      <c r="AB332" s="1098"/>
      <c r="AC332" s="1098"/>
      <c r="AD332" s="1098"/>
    </row>
    <row r="333" spans="2:30" ht="28.5">
      <c r="B333" s="1078">
        <v>331</v>
      </c>
      <c r="C333" s="1079">
        <v>41150</v>
      </c>
      <c r="D333" s="1098" t="s">
        <v>584</v>
      </c>
      <c r="E333" s="1098" t="s">
        <v>370</v>
      </c>
      <c r="F333" s="1076" t="s">
        <v>904</v>
      </c>
      <c r="G333" s="1086" t="s">
        <v>997</v>
      </c>
      <c r="H333" s="1086" t="s">
        <v>989</v>
      </c>
      <c r="I333" s="1079">
        <f>Table1[[#This Row],[Date]]</f>
        <v>41150</v>
      </c>
      <c r="J333" s="46"/>
      <c r="K333" s="46"/>
      <c r="L333" s="1098"/>
      <c r="M333" s="1098"/>
      <c r="N333" s="1098"/>
      <c r="O333" s="1098"/>
      <c r="P333" s="1098"/>
      <c r="Q333" s="1098"/>
      <c r="R333" s="1098"/>
      <c r="S333" s="1098"/>
      <c r="T333" s="1098"/>
      <c r="U333" s="1098"/>
      <c r="V333" s="1098"/>
      <c r="W333" s="1098"/>
      <c r="X333" s="1098"/>
      <c r="Y333" s="1098"/>
      <c r="Z333" s="1098"/>
      <c r="AA333" s="1098"/>
      <c r="AB333" s="1098"/>
      <c r="AC333" s="1098"/>
      <c r="AD333" s="1098"/>
    </row>
    <row r="334" spans="2:30" ht="28.5">
      <c r="B334" s="1078">
        <v>332</v>
      </c>
      <c r="C334" s="1079">
        <v>41150</v>
      </c>
      <c r="D334" s="1098" t="s">
        <v>584</v>
      </c>
      <c r="E334" s="1098" t="s">
        <v>329</v>
      </c>
      <c r="F334" s="1076" t="s">
        <v>890</v>
      </c>
      <c r="G334" s="1086" t="s">
        <v>998</v>
      </c>
      <c r="H334" s="1086" t="s">
        <v>999</v>
      </c>
      <c r="I334" s="1079">
        <f>Table1[[#This Row],[Date]]</f>
        <v>41150</v>
      </c>
      <c r="J334" s="46"/>
      <c r="K334" s="46"/>
      <c r="L334" s="1098"/>
      <c r="M334" s="1098"/>
      <c r="N334" s="1098"/>
      <c r="O334" s="1098"/>
      <c r="P334" s="1098"/>
      <c r="Q334" s="1098"/>
      <c r="R334" s="1098"/>
      <c r="S334" s="1098"/>
      <c r="T334" s="1098"/>
      <c r="U334" s="1098"/>
      <c r="V334" s="1098"/>
      <c r="W334" s="1098"/>
      <c r="X334" s="1098"/>
      <c r="Y334" s="1098"/>
      <c r="Z334" s="1098"/>
      <c r="AA334" s="1098"/>
      <c r="AB334" s="1098"/>
      <c r="AC334" s="1098"/>
      <c r="AD334" s="1098"/>
    </row>
    <row r="335" spans="2:30" ht="42.75">
      <c r="B335" s="1078">
        <v>333</v>
      </c>
      <c r="C335" s="1079">
        <v>41150</v>
      </c>
      <c r="D335" s="1104" t="s">
        <v>556</v>
      </c>
      <c r="E335" s="1104" t="s">
        <v>442</v>
      </c>
      <c r="F335" s="1076" t="s">
        <v>1000</v>
      </c>
      <c r="G335" s="1086" t="s">
        <v>1001</v>
      </c>
      <c r="H335" s="1086" t="s">
        <v>1002</v>
      </c>
      <c r="I335" s="1079">
        <f>Table1[[#This Row],[Date]]</f>
        <v>41150</v>
      </c>
      <c r="J335" s="46"/>
      <c r="K335" s="46"/>
      <c r="L335" s="1098"/>
      <c r="M335" s="1098"/>
      <c r="N335" s="1098"/>
      <c r="O335" s="1098"/>
      <c r="P335" s="1098"/>
      <c r="Q335" s="1098"/>
      <c r="R335" s="1098"/>
      <c r="S335" s="1098"/>
      <c r="T335" s="1098"/>
      <c r="U335" s="1098"/>
      <c r="V335" s="1098"/>
      <c r="W335" s="1098"/>
      <c r="X335" s="1098"/>
      <c r="Y335" s="1098"/>
      <c r="Z335" s="1098"/>
      <c r="AA335" s="1098"/>
      <c r="AB335" s="1098"/>
      <c r="AC335" s="1098"/>
      <c r="AD335" s="1098"/>
    </row>
    <row r="336" spans="2:30" ht="28.5">
      <c r="B336" s="1078">
        <v>334</v>
      </c>
      <c r="C336" s="1079">
        <v>41150</v>
      </c>
      <c r="D336" s="1118" t="s">
        <v>556</v>
      </c>
      <c r="E336" s="1118" t="s">
        <v>369</v>
      </c>
      <c r="F336" s="1121" t="s">
        <v>1004</v>
      </c>
      <c r="G336" s="1086" t="s">
        <v>1003</v>
      </c>
      <c r="H336" s="1086" t="s">
        <v>1005</v>
      </c>
      <c r="I336" s="1079">
        <f>Table1[[#This Row],[Date]]</f>
        <v>41150</v>
      </c>
      <c r="J336" s="46"/>
      <c r="K336" s="46"/>
      <c r="L336" s="1098"/>
      <c r="M336" s="1098"/>
      <c r="N336" s="1098"/>
      <c r="O336" s="1098"/>
      <c r="P336" s="1098"/>
      <c r="Q336" s="1098"/>
      <c r="R336" s="1098"/>
      <c r="S336" s="1098"/>
      <c r="T336" s="1098"/>
      <c r="U336" s="1098"/>
      <c r="V336" s="1098"/>
      <c r="W336" s="1098"/>
      <c r="X336" s="1098"/>
      <c r="Y336" s="1098"/>
      <c r="Z336" s="1098"/>
      <c r="AA336" s="1098"/>
      <c r="AB336" s="1098"/>
      <c r="AC336" s="1098"/>
      <c r="AD336" s="1098"/>
    </row>
    <row r="337" spans="1:34" s="1118" customFormat="1" ht="28.5">
      <c r="A337" s="1077"/>
      <c r="B337" s="1078"/>
      <c r="C337" s="1079">
        <v>41150</v>
      </c>
      <c r="D337" s="1118" t="s">
        <v>556</v>
      </c>
      <c r="E337" s="1118" t="s">
        <v>369</v>
      </c>
      <c r="F337" s="1121" t="s">
        <v>1009</v>
      </c>
      <c r="G337" s="1086" t="s">
        <v>1010</v>
      </c>
      <c r="H337" s="1086" t="s">
        <v>1011</v>
      </c>
      <c r="I337" s="1079">
        <f>Table1[[#This Row],[Date]]</f>
        <v>41150</v>
      </c>
      <c r="J337" s="46"/>
      <c r="K337" s="46"/>
      <c r="AE337" s="1076"/>
      <c r="AF337" s="1076"/>
      <c r="AG337" s="1076"/>
      <c r="AH337" s="1076"/>
    </row>
    <row r="338" spans="1:34" ht="28.5">
      <c r="B338" s="1078">
        <v>335</v>
      </c>
      <c r="C338" s="1079">
        <v>41150</v>
      </c>
      <c r="D338" s="1118" t="s">
        <v>556</v>
      </c>
      <c r="E338" s="1118" t="s">
        <v>350</v>
      </c>
      <c r="F338" s="1076" t="s">
        <v>1006</v>
      </c>
      <c r="G338" s="1086" t="s">
        <v>1003</v>
      </c>
      <c r="H338" s="1086" t="s">
        <v>1005</v>
      </c>
      <c r="I338" s="1079">
        <f>Table1[[#This Row],[Date]]</f>
        <v>41150</v>
      </c>
      <c r="J338" s="46"/>
      <c r="K338" s="46"/>
      <c r="L338" s="1098"/>
      <c r="M338" s="1098"/>
      <c r="N338" s="1098"/>
      <c r="O338" s="1098"/>
      <c r="P338" s="1098"/>
      <c r="Q338" s="1098"/>
      <c r="R338" s="1098"/>
      <c r="S338" s="1098"/>
      <c r="T338" s="1098"/>
      <c r="U338" s="1098"/>
      <c r="V338" s="1098"/>
      <c r="W338" s="1098"/>
      <c r="X338" s="1098"/>
      <c r="Y338" s="1098"/>
      <c r="Z338" s="1098"/>
      <c r="AA338" s="1098"/>
      <c r="AB338" s="1098"/>
      <c r="AC338" s="1098"/>
      <c r="AD338" s="1098"/>
    </row>
    <row r="339" spans="1:34" ht="42.75">
      <c r="B339" s="1078">
        <v>336</v>
      </c>
      <c r="C339" s="1079">
        <v>41150</v>
      </c>
      <c r="D339" s="1118" t="s">
        <v>556</v>
      </c>
      <c r="E339" s="1118" t="s">
        <v>101</v>
      </c>
      <c r="F339" s="1121" t="s">
        <v>1007</v>
      </c>
      <c r="G339" s="1086" t="s">
        <v>1003</v>
      </c>
      <c r="H339" s="1086" t="s">
        <v>1005</v>
      </c>
      <c r="I339" s="1079">
        <f>Table1[[#This Row],[Date]]</f>
        <v>41150</v>
      </c>
      <c r="J339" s="46"/>
      <c r="K339" s="46"/>
      <c r="L339" s="1098"/>
      <c r="M339" s="1098"/>
      <c r="N339" s="1098"/>
      <c r="O339" s="1098"/>
      <c r="P339" s="1098"/>
      <c r="Q339" s="1098"/>
      <c r="R339" s="1098"/>
      <c r="S339" s="1098"/>
      <c r="T339" s="1098"/>
      <c r="U339" s="1098"/>
      <c r="V339" s="1098"/>
      <c r="W339" s="1098"/>
      <c r="X339" s="1098"/>
      <c r="Y339" s="1098"/>
      <c r="Z339" s="1098"/>
      <c r="AA339" s="1098"/>
      <c r="AB339" s="1098"/>
      <c r="AC339" s="1098"/>
      <c r="AD339" s="1098"/>
    </row>
    <row r="340" spans="1:34" ht="28.5">
      <c r="B340" s="1078">
        <v>337</v>
      </c>
      <c r="C340" s="1079">
        <v>41150</v>
      </c>
      <c r="D340" s="1118" t="s">
        <v>556</v>
      </c>
      <c r="E340" s="1118" t="s">
        <v>298</v>
      </c>
      <c r="F340" s="1076" t="s">
        <v>1008</v>
      </c>
      <c r="G340" s="1086" t="s">
        <v>1003</v>
      </c>
      <c r="H340" s="1086" t="s">
        <v>1005</v>
      </c>
      <c r="I340" s="1079">
        <f>Table1[[#This Row],[Date]]</f>
        <v>41150</v>
      </c>
      <c r="J340" s="46"/>
      <c r="K340" s="46"/>
      <c r="L340" s="1098"/>
      <c r="M340" s="1098"/>
      <c r="N340" s="1098"/>
      <c r="O340" s="1098"/>
      <c r="P340" s="1098"/>
      <c r="Q340" s="1098"/>
      <c r="R340" s="1098"/>
      <c r="S340" s="1098"/>
      <c r="T340" s="1098"/>
      <c r="U340" s="1098"/>
      <c r="V340" s="1098"/>
      <c r="W340" s="1098"/>
      <c r="X340" s="1098"/>
      <c r="Y340" s="1098"/>
      <c r="Z340" s="1098"/>
      <c r="AA340" s="1098"/>
      <c r="AB340" s="1098"/>
      <c r="AC340" s="1098"/>
      <c r="AD340" s="1098"/>
    </row>
    <row r="341" spans="1:34" ht="28.5">
      <c r="B341" s="1078">
        <v>338</v>
      </c>
      <c r="C341" s="1079">
        <v>41150</v>
      </c>
      <c r="D341" s="1118" t="s">
        <v>556</v>
      </c>
      <c r="E341" s="1118" t="s">
        <v>102</v>
      </c>
      <c r="F341" s="1121" t="s">
        <v>1012</v>
      </c>
      <c r="G341" s="1086" t="s">
        <v>1003</v>
      </c>
      <c r="H341" s="1086" t="s">
        <v>1005</v>
      </c>
      <c r="I341" s="1079">
        <f>Table1[[#This Row],[Date]]</f>
        <v>41150</v>
      </c>
      <c r="J341" s="46"/>
      <c r="K341" s="46"/>
      <c r="L341" s="1098"/>
      <c r="M341" s="1098"/>
      <c r="N341" s="1098"/>
      <c r="O341" s="1098"/>
      <c r="P341" s="1098"/>
      <c r="Q341" s="1098"/>
      <c r="R341" s="1098"/>
      <c r="S341" s="1098"/>
      <c r="T341" s="1098"/>
      <c r="U341" s="1098"/>
      <c r="V341" s="1098"/>
      <c r="W341" s="1098"/>
      <c r="X341" s="1098"/>
      <c r="Y341" s="1098"/>
      <c r="Z341" s="1098"/>
      <c r="AA341" s="1098"/>
      <c r="AB341" s="1098"/>
      <c r="AC341" s="1098"/>
      <c r="AD341" s="1098"/>
    </row>
    <row r="342" spans="1:34" ht="28.5">
      <c r="B342" s="1078">
        <v>339</v>
      </c>
      <c r="C342" s="1079">
        <v>41150</v>
      </c>
      <c r="D342" s="1118" t="s">
        <v>556</v>
      </c>
      <c r="E342" s="1118" t="s">
        <v>370</v>
      </c>
      <c r="F342" s="1076" t="s">
        <v>1013</v>
      </c>
      <c r="G342" s="1086" t="s">
        <v>1003</v>
      </c>
      <c r="H342" s="1086" t="s">
        <v>1005</v>
      </c>
      <c r="I342" s="1079">
        <f>Table1[[#This Row],[Date]]</f>
        <v>41150</v>
      </c>
      <c r="J342" s="46"/>
      <c r="K342" s="46"/>
      <c r="L342" s="1098"/>
      <c r="M342" s="1098"/>
      <c r="N342" s="1098"/>
      <c r="O342" s="1098"/>
      <c r="P342" s="1098"/>
      <c r="Q342" s="1098"/>
      <c r="R342" s="1098"/>
      <c r="S342" s="1098"/>
      <c r="T342" s="1098"/>
      <c r="U342" s="1098"/>
      <c r="V342" s="1098"/>
      <c r="W342" s="1098"/>
      <c r="X342" s="1098"/>
      <c r="Y342" s="1098"/>
      <c r="Z342" s="1098"/>
      <c r="AA342" s="1098"/>
      <c r="AB342" s="1098"/>
      <c r="AC342" s="1098"/>
      <c r="AD342" s="1098"/>
    </row>
    <row r="343" spans="1:34" ht="28.5">
      <c r="B343" s="1078">
        <v>340</v>
      </c>
      <c r="C343" s="1079">
        <v>41150</v>
      </c>
      <c r="D343" s="1118" t="s">
        <v>556</v>
      </c>
      <c r="E343" s="1118" t="s">
        <v>329</v>
      </c>
      <c r="F343" s="1076" t="s">
        <v>1014</v>
      </c>
      <c r="G343" s="1086" t="s">
        <v>1003</v>
      </c>
      <c r="H343" s="1086" t="s">
        <v>1005</v>
      </c>
      <c r="I343" s="1079">
        <f>Table1[[#This Row],[Date]]</f>
        <v>41150</v>
      </c>
      <c r="J343" s="46"/>
      <c r="K343" s="46"/>
      <c r="L343" s="1098"/>
      <c r="M343" s="1098"/>
      <c r="N343" s="1098"/>
      <c r="O343" s="1098"/>
      <c r="P343" s="1098"/>
      <c r="Q343" s="1098"/>
      <c r="R343" s="1098"/>
      <c r="S343" s="1098"/>
      <c r="T343" s="1098"/>
      <c r="U343" s="1098"/>
      <c r="V343" s="1098"/>
      <c r="W343" s="1098"/>
      <c r="X343" s="1098"/>
      <c r="Y343" s="1098"/>
      <c r="Z343" s="1098"/>
      <c r="AA343" s="1098"/>
      <c r="AB343" s="1098"/>
      <c r="AC343" s="1098"/>
      <c r="AD343" s="1098"/>
    </row>
    <row r="344" spans="1:34" ht="28.5">
      <c r="A344" s="1138"/>
      <c r="B344" s="1139">
        <v>341</v>
      </c>
      <c r="C344" s="1140">
        <v>41150</v>
      </c>
      <c r="D344" s="1119" t="s">
        <v>584</v>
      </c>
      <c r="E344" s="1119" t="s">
        <v>298</v>
      </c>
      <c r="F344" s="1076" t="s">
        <v>1016</v>
      </c>
      <c r="G344" s="1086" t="s">
        <v>1018</v>
      </c>
      <c r="H344" s="1086" t="s">
        <v>1019</v>
      </c>
      <c r="J344" s="46"/>
      <c r="K344" s="46"/>
      <c r="L344" s="1098"/>
      <c r="M344" s="1098"/>
      <c r="N344" s="1098"/>
      <c r="O344" s="1098"/>
      <c r="P344" s="1098"/>
      <c r="Q344" s="1098"/>
      <c r="R344" s="1098"/>
      <c r="S344" s="1098"/>
      <c r="T344" s="1098"/>
      <c r="U344" s="1098"/>
      <c r="V344" s="1098"/>
      <c r="W344" s="1098"/>
      <c r="X344" s="1098"/>
      <c r="Y344" s="1098"/>
      <c r="Z344" s="1098"/>
      <c r="AA344" s="1098"/>
      <c r="AB344" s="1098"/>
      <c r="AC344" s="1098"/>
      <c r="AD344" s="1098"/>
    </row>
    <row r="345" spans="1:34" ht="28.5">
      <c r="A345" s="1138"/>
      <c r="B345" s="1139">
        <v>342</v>
      </c>
      <c r="C345" s="1140">
        <v>41150</v>
      </c>
      <c r="D345" s="1119" t="s">
        <v>584</v>
      </c>
      <c r="E345" s="1119" t="s">
        <v>298</v>
      </c>
      <c r="F345" s="1076" t="s">
        <v>1017</v>
      </c>
      <c r="G345" s="1086" t="s">
        <v>1018</v>
      </c>
      <c r="H345" s="1086" t="s">
        <v>1019</v>
      </c>
      <c r="J345" s="46"/>
      <c r="K345" s="46"/>
      <c r="L345" s="1098"/>
      <c r="M345" s="1098"/>
      <c r="N345" s="1098"/>
      <c r="O345" s="1098"/>
      <c r="P345" s="1098"/>
      <c r="Q345" s="1098"/>
      <c r="R345" s="1098"/>
      <c r="S345" s="1098"/>
      <c r="T345" s="1098"/>
      <c r="U345" s="1098"/>
      <c r="V345" s="1098"/>
      <c r="W345" s="1098"/>
      <c r="X345" s="1098"/>
      <c r="Y345" s="1098"/>
      <c r="Z345" s="1098"/>
      <c r="AA345" s="1098"/>
      <c r="AB345" s="1098"/>
      <c r="AC345" s="1098"/>
      <c r="AD345" s="1098"/>
    </row>
    <row r="346" spans="1:34">
      <c r="A346" s="1135">
        <v>1</v>
      </c>
      <c r="B346" s="1136">
        <v>343</v>
      </c>
      <c r="C346" s="1137">
        <v>41150</v>
      </c>
      <c r="D346" s="1098"/>
      <c r="E346" s="1098"/>
      <c r="G346" s="1086" t="s">
        <v>1015</v>
      </c>
      <c r="J346" s="46"/>
      <c r="K346" s="46"/>
      <c r="L346" s="1098"/>
      <c r="M346" s="1098"/>
      <c r="N346" s="1098"/>
      <c r="O346" s="1098"/>
      <c r="P346" s="1098"/>
      <c r="Q346" s="1098"/>
      <c r="R346" s="1098"/>
      <c r="S346" s="1098"/>
      <c r="T346" s="1098"/>
      <c r="U346" s="1098"/>
      <c r="V346" s="1098"/>
      <c r="W346" s="1098"/>
      <c r="X346" s="1098"/>
      <c r="Y346" s="1098"/>
      <c r="Z346" s="1098"/>
      <c r="AA346" s="1098"/>
      <c r="AB346" s="1098"/>
      <c r="AC346" s="1098"/>
      <c r="AD346" s="1098"/>
    </row>
    <row r="347" spans="1:34">
      <c r="B347" s="1078">
        <v>344</v>
      </c>
      <c r="D347" s="1098"/>
      <c r="E347" s="1098"/>
      <c r="J347" s="46"/>
      <c r="K347" s="46"/>
      <c r="L347" s="1098"/>
      <c r="M347" s="1098"/>
      <c r="N347" s="1098"/>
      <c r="O347" s="1098"/>
      <c r="P347" s="1098"/>
      <c r="Q347" s="1098"/>
      <c r="R347" s="1098"/>
      <c r="S347" s="1098"/>
      <c r="T347" s="1098"/>
      <c r="U347" s="1098"/>
      <c r="V347" s="1098"/>
      <c r="W347" s="1098"/>
      <c r="X347" s="1098"/>
      <c r="Y347" s="1098"/>
      <c r="Z347" s="1098"/>
      <c r="AA347" s="1098"/>
      <c r="AB347" s="1098"/>
      <c r="AC347" s="1098"/>
      <c r="AD347" s="1098"/>
    </row>
    <row r="348" spans="1:34">
      <c r="B348" s="1078">
        <v>345</v>
      </c>
      <c r="D348" s="1098"/>
      <c r="E348" s="1098"/>
      <c r="J348" s="46"/>
      <c r="K348" s="46"/>
      <c r="L348" s="1098"/>
      <c r="M348" s="1098"/>
      <c r="N348" s="1098"/>
      <c r="O348" s="1098"/>
      <c r="P348" s="1098"/>
      <c r="Q348" s="1098"/>
      <c r="R348" s="1098"/>
      <c r="S348" s="1098"/>
      <c r="T348" s="1098"/>
      <c r="U348" s="1098"/>
      <c r="V348" s="1098"/>
      <c r="W348" s="1098"/>
      <c r="X348" s="1098"/>
      <c r="Y348" s="1098"/>
      <c r="Z348" s="1098"/>
      <c r="AA348" s="1098"/>
      <c r="AB348" s="1098"/>
      <c r="AC348" s="1098"/>
      <c r="AD348" s="1098"/>
    </row>
    <row r="349" spans="1:34">
      <c r="B349" s="1078">
        <v>346</v>
      </c>
      <c r="D349" s="1098"/>
      <c r="E349" s="1098"/>
      <c r="J349" s="46"/>
      <c r="K349" s="46"/>
      <c r="L349" s="1098"/>
      <c r="M349" s="1098"/>
      <c r="N349" s="1098"/>
      <c r="O349" s="1098"/>
      <c r="P349" s="1098"/>
      <c r="Q349" s="1098"/>
      <c r="R349" s="1098"/>
      <c r="S349" s="1098"/>
      <c r="T349" s="1098"/>
      <c r="U349" s="1098"/>
      <c r="V349" s="1098"/>
      <c r="W349" s="1098"/>
      <c r="X349" s="1098"/>
      <c r="Y349" s="1098"/>
      <c r="Z349" s="1098"/>
      <c r="AA349" s="1098"/>
      <c r="AB349" s="1098"/>
      <c r="AC349" s="1098"/>
      <c r="AD349" s="1098"/>
    </row>
    <row r="350" spans="1:34">
      <c r="B350" s="1078">
        <v>347</v>
      </c>
      <c r="D350" s="1098"/>
      <c r="E350" s="1098"/>
      <c r="J350" s="46"/>
      <c r="K350" s="46"/>
      <c r="L350" s="1098"/>
      <c r="M350" s="1098"/>
      <c r="N350" s="1098"/>
      <c r="O350" s="1098"/>
      <c r="P350" s="1098"/>
      <c r="Q350" s="1098"/>
      <c r="R350" s="1098"/>
      <c r="S350" s="1098"/>
      <c r="T350" s="1098"/>
      <c r="U350" s="1098"/>
      <c r="V350" s="1098"/>
      <c r="W350" s="1098"/>
      <c r="X350" s="1098"/>
      <c r="Y350" s="1098"/>
      <c r="Z350" s="1098"/>
      <c r="AA350" s="1098"/>
      <c r="AB350" s="1098"/>
      <c r="AC350" s="1098"/>
      <c r="AD350" s="1098"/>
    </row>
    <row r="351" spans="1:34">
      <c r="B351" s="1078">
        <v>348</v>
      </c>
      <c r="D351" s="1098"/>
      <c r="E351" s="1098"/>
      <c r="J351" s="46"/>
      <c r="K351" s="46"/>
      <c r="L351" s="1098"/>
      <c r="M351" s="1098"/>
      <c r="N351" s="1098"/>
      <c r="O351" s="1098"/>
      <c r="P351" s="1098"/>
      <c r="Q351" s="1098"/>
      <c r="R351" s="1098"/>
      <c r="S351" s="1098"/>
      <c r="T351" s="1098"/>
      <c r="U351" s="1098"/>
      <c r="V351" s="1098"/>
      <c r="W351" s="1098"/>
      <c r="X351" s="1098"/>
      <c r="Y351" s="1098"/>
      <c r="Z351" s="1098"/>
      <c r="AA351" s="1098"/>
      <c r="AB351" s="1098"/>
      <c r="AC351" s="1098"/>
      <c r="AD351" s="1098"/>
    </row>
    <row r="352" spans="1:34">
      <c r="B352" s="1078">
        <v>349</v>
      </c>
      <c r="D352" s="1098"/>
      <c r="E352" s="1098"/>
      <c r="J352" s="46"/>
      <c r="K352" s="46"/>
      <c r="L352" s="1098"/>
      <c r="M352" s="1098"/>
      <c r="N352" s="1098"/>
      <c r="O352" s="1098"/>
      <c r="P352" s="1098"/>
      <c r="Q352" s="1098"/>
      <c r="R352" s="1098"/>
      <c r="S352" s="1098"/>
      <c r="T352" s="1098"/>
      <c r="U352" s="1098"/>
      <c r="V352" s="1098"/>
      <c r="W352" s="1098"/>
      <c r="X352" s="1098"/>
      <c r="Y352" s="1098"/>
      <c r="Z352" s="1098"/>
      <c r="AA352" s="1098"/>
      <c r="AB352" s="1098"/>
      <c r="AC352" s="1098"/>
      <c r="AD352" s="1098"/>
    </row>
    <row r="353" spans="2:30">
      <c r="B353" s="1078">
        <v>350</v>
      </c>
      <c r="D353" s="1098"/>
      <c r="E353" s="1098"/>
      <c r="J353" s="46"/>
      <c r="K353" s="46"/>
      <c r="L353" s="1098"/>
      <c r="M353" s="1098"/>
      <c r="N353" s="1098"/>
      <c r="O353" s="1098"/>
      <c r="P353" s="1098"/>
      <c r="Q353" s="1098"/>
      <c r="R353" s="1098"/>
      <c r="S353" s="1098"/>
      <c r="T353" s="1098"/>
      <c r="U353" s="1098"/>
      <c r="V353" s="1098"/>
      <c r="W353" s="1098"/>
      <c r="X353" s="1098"/>
      <c r="Y353" s="1098"/>
      <c r="Z353" s="1098"/>
      <c r="AA353" s="1098"/>
      <c r="AB353" s="1098"/>
      <c r="AC353" s="1098"/>
      <c r="AD353" s="1098"/>
    </row>
    <row r="354" spans="2:30">
      <c r="B354" s="1078">
        <v>351</v>
      </c>
      <c r="D354" s="1098"/>
      <c r="E354" s="1098"/>
      <c r="J354" s="46"/>
      <c r="K354" s="46"/>
      <c r="L354" s="1098"/>
      <c r="M354" s="1098"/>
      <c r="N354" s="1098"/>
      <c r="O354" s="1098"/>
      <c r="P354" s="1098"/>
      <c r="Q354" s="1098"/>
      <c r="R354" s="1098"/>
      <c r="S354" s="1098"/>
      <c r="T354" s="1098"/>
      <c r="U354" s="1098"/>
      <c r="V354" s="1098"/>
      <c r="W354" s="1098"/>
      <c r="X354" s="1098"/>
      <c r="Y354" s="1098"/>
      <c r="Z354" s="1098"/>
      <c r="AA354" s="1098"/>
      <c r="AB354" s="1098"/>
      <c r="AC354" s="1098"/>
      <c r="AD354" s="1098"/>
    </row>
    <row r="355" spans="2:30">
      <c r="B355" s="1078">
        <v>352</v>
      </c>
      <c r="D355" s="1098"/>
      <c r="E355" s="1098"/>
      <c r="J355" s="46"/>
      <c r="K355" s="46"/>
      <c r="L355" s="1098"/>
      <c r="M355" s="1098"/>
      <c r="N355" s="1098"/>
      <c r="O355" s="1098"/>
      <c r="P355" s="1098"/>
      <c r="Q355" s="1098"/>
      <c r="R355" s="1098"/>
      <c r="S355" s="1098"/>
      <c r="T355" s="1098"/>
      <c r="U355" s="1098"/>
      <c r="V355" s="1098"/>
      <c r="W355" s="1098"/>
      <c r="X355" s="1098"/>
      <c r="Y355" s="1098"/>
      <c r="Z355" s="1098"/>
      <c r="AA355" s="1098"/>
      <c r="AB355" s="1098"/>
      <c r="AC355" s="1098"/>
      <c r="AD355" s="1098"/>
    </row>
    <row r="356" spans="2:30">
      <c r="B356" s="1078">
        <v>353</v>
      </c>
      <c r="D356" s="1098"/>
      <c r="E356" s="1098"/>
      <c r="J356" s="46"/>
      <c r="K356" s="46"/>
      <c r="L356" s="1098"/>
      <c r="M356" s="1098"/>
      <c r="N356" s="1098"/>
      <c r="O356" s="1098"/>
      <c r="P356" s="1098"/>
      <c r="Q356" s="1098"/>
      <c r="R356" s="1098"/>
      <c r="S356" s="1098"/>
      <c r="T356" s="1098"/>
      <c r="U356" s="1098"/>
      <c r="V356" s="1098"/>
      <c r="W356" s="1098"/>
      <c r="X356" s="1098"/>
      <c r="Y356" s="1098"/>
      <c r="Z356" s="1098"/>
      <c r="AA356" s="1098"/>
      <c r="AB356" s="1098"/>
      <c r="AC356" s="1098"/>
      <c r="AD356" s="1098"/>
    </row>
    <row r="357" spans="2:30">
      <c r="B357" s="1078">
        <v>354</v>
      </c>
      <c r="D357" s="1098"/>
      <c r="E357" s="1098"/>
      <c r="J357" s="46"/>
      <c r="K357" s="46"/>
      <c r="L357" s="1098"/>
      <c r="M357" s="1098"/>
      <c r="N357" s="1098"/>
      <c r="O357" s="1098"/>
      <c r="P357" s="1098"/>
      <c r="Q357" s="1098"/>
      <c r="R357" s="1098"/>
      <c r="S357" s="1098"/>
      <c r="T357" s="1098"/>
      <c r="U357" s="1098"/>
      <c r="V357" s="1098"/>
      <c r="W357" s="1098"/>
      <c r="X357" s="1098"/>
      <c r="Y357" s="1098"/>
      <c r="Z357" s="1098"/>
      <c r="AA357" s="1098"/>
      <c r="AB357" s="1098"/>
      <c r="AC357" s="1098"/>
      <c r="AD357" s="1098"/>
    </row>
    <row r="358" spans="2:30">
      <c r="B358" s="1078">
        <v>355</v>
      </c>
      <c r="D358" s="1098"/>
      <c r="E358" s="1098"/>
      <c r="J358" s="46"/>
      <c r="K358" s="46"/>
      <c r="L358" s="1098"/>
      <c r="M358" s="1098"/>
      <c r="N358" s="1098"/>
      <c r="O358" s="1098"/>
      <c r="P358" s="1098"/>
      <c r="Q358" s="1098"/>
      <c r="R358" s="1098"/>
      <c r="S358" s="1098"/>
      <c r="T358" s="1098"/>
      <c r="U358" s="1098"/>
      <c r="V358" s="1098"/>
      <c r="W358" s="1098"/>
      <c r="X358" s="1098"/>
      <c r="Y358" s="1098"/>
      <c r="Z358" s="1098"/>
      <c r="AA358" s="1098"/>
      <c r="AB358" s="1098"/>
      <c r="AC358" s="1098"/>
      <c r="AD358" s="1098"/>
    </row>
    <row r="359" spans="2:30">
      <c r="B359" s="1078">
        <v>356</v>
      </c>
      <c r="D359" s="1098"/>
      <c r="E359" s="1098"/>
      <c r="J359" s="46"/>
      <c r="K359" s="46"/>
      <c r="L359" s="1098"/>
      <c r="M359" s="1098"/>
      <c r="N359" s="1098"/>
      <c r="O359" s="1098"/>
      <c r="P359" s="1098"/>
      <c r="Q359" s="1098"/>
      <c r="R359" s="1098"/>
      <c r="S359" s="1098"/>
      <c r="T359" s="1098"/>
      <c r="U359" s="1098"/>
      <c r="V359" s="1098"/>
      <c r="W359" s="1098"/>
      <c r="X359" s="1098"/>
      <c r="Y359" s="1098"/>
      <c r="Z359" s="1098"/>
      <c r="AA359" s="1098"/>
      <c r="AB359" s="1098"/>
      <c r="AC359" s="1098"/>
      <c r="AD359" s="1098"/>
    </row>
    <row r="360" spans="2:30">
      <c r="B360" s="1078">
        <v>357</v>
      </c>
      <c r="D360" s="1098"/>
      <c r="E360" s="1098"/>
      <c r="J360" s="46"/>
      <c r="K360" s="46"/>
      <c r="L360" s="1098"/>
      <c r="M360" s="1098"/>
      <c r="N360" s="1098"/>
      <c r="O360" s="1098"/>
      <c r="P360" s="1098"/>
      <c r="Q360" s="1098"/>
      <c r="R360" s="1098"/>
      <c r="S360" s="1098"/>
      <c r="T360" s="1098"/>
      <c r="U360" s="1098"/>
      <c r="V360" s="1098"/>
      <c r="W360" s="1098"/>
      <c r="X360" s="1098"/>
      <c r="Y360" s="1098"/>
      <c r="Z360" s="1098"/>
      <c r="AA360" s="1098"/>
      <c r="AB360" s="1098"/>
      <c r="AC360" s="1098"/>
      <c r="AD360" s="1098"/>
    </row>
    <row r="361" spans="2:30">
      <c r="B361" s="1078">
        <v>358</v>
      </c>
      <c r="D361" s="1098"/>
      <c r="E361" s="1098"/>
      <c r="J361" s="46"/>
      <c r="K361" s="46"/>
      <c r="L361" s="1098"/>
      <c r="M361" s="1098"/>
      <c r="N361" s="1098"/>
      <c r="O361" s="1098"/>
      <c r="P361" s="1098"/>
      <c r="Q361" s="1098"/>
      <c r="R361" s="1098"/>
      <c r="S361" s="1098"/>
      <c r="T361" s="1098"/>
      <c r="U361" s="1098"/>
      <c r="V361" s="1098"/>
      <c r="W361" s="1098"/>
      <c r="X361" s="1098"/>
      <c r="Y361" s="1098"/>
      <c r="Z361" s="1098"/>
      <c r="AA361" s="1098"/>
      <c r="AB361" s="1098"/>
      <c r="AC361" s="1098"/>
      <c r="AD361" s="1098"/>
    </row>
    <row r="362" spans="2:30">
      <c r="B362" s="1078">
        <v>359</v>
      </c>
      <c r="D362" s="1098"/>
      <c r="E362" s="1098"/>
      <c r="J362" s="46"/>
      <c r="K362" s="46"/>
      <c r="L362" s="1098"/>
      <c r="M362" s="1098"/>
      <c r="N362" s="1098"/>
      <c r="O362" s="1098"/>
      <c r="P362" s="1098"/>
      <c r="Q362" s="1098"/>
      <c r="R362" s="1098"/>
      <c r="S362" s="1098"/>
      <c r="T362" s="1098"/>
      <c r="U362" s="1098"/>
      <c r="V362" s="1098"/>
      <c r="W362" s="1098"/>
      <c r="X362" s="1098"/>
      <c r="Y362" s="1098"/>
      <c r="Z362" s="1098"/>
      <c r="AA362" s="1098"/>
      <c r="AB362" s="1098"/>
      <c r="AC362" s="1098"/>
      <c r="AD362" s="1098"/>
    </row>
    <row r="363" spans="2:30">
      <c r="B363" s="1078">
        <v>360</v>
      </c>
      <c r="D363" s="1098"/>
      <c r="E363" s="1098"/>
      <c r="J363" s="46"/>
      <c r="K363" s="46"/>
      <c r="L363" s="1098"/>
      <c r="M363" s="1098"/>
      <c r="N363" s="1098"/>
      <c r="O363" s="1098"/>
      <c r="P363" s="1098"/>
      <c r="Q363" s="1098"/>
      <c r="R363" s="1098"/>
      <c r="S363" s="1098"/>
      <c r="T363" s="1098"/>
      <c r="U363" s="1098"/>
      <c r="V363" s="1098"/>
      <c r="W363" s="1098"/>
      <c r="X363" s="1098"/>
      <c r="Y363" s="1098"/>
      <c r="Z363" s="1098"/>
      <c r="AA363" s="1098"/>
      <c r="AB363" s="1098"/>
      <c r="AC363" s="1098"/>
      <c r="AD363" s="1098"/>
    </row>
    <row r="364" spans="2:30">
      <c r="B364" s="1078">
        <v>361</v>
      </c>
      <c r="D364" s="1098"/>
      <c r="E364" s="1098"/>
      <c r="J364" s="46"/>
      <c r="K364" s="46"/>
      <c r="L364" s="1098"/>
      <c r="M364" s="1098"/>
      <c r="N364" s="1098"/>
      <c r="O364" s="1098"/>
      <c r="P364" s="1098"/>
      <c r="Q364" s="1098"/>
      <c r="R364" s="1098"/>
      <c r="S364" s="1098"/>
      <c r="T364" s="1098"/>
      <c r="U364" s="1098"/>
      <c r="V364" s="1098"/>
      <c r="W364" s="1098"/>
      <c r="X364" s="1098"/>
      <c r="Y364" s="1098"/>
      <c r="Z364" s="1098"/>
      <c r="AA364" s="1098"/>
      <c r="AB364" s="1098"/>
      <c r="AC364" s="1098"/>
      <c r="AD364" s="1098"/>
    </row>
    <row r="365" spans="2:30">
      <c r="B365" s="1078">
        <v>362</v>
      </c>
      <c r="D365" s="1098"/>
      <c r="E365" s="1098"/>
      <c r="J365" s="46"/>
      <c r="K365" s="46"/>
      <c r="L365" s="1098"/>
      <c r="M365" s="1098"/>
      <c r="N365" s="1098"/>
      <c r="O365" s="1098"/>
      <c r="P365" s="1098"/>
      <c r="Q365" s="1098"/>
      <c r="R365" s="1098"/>
      <c r="S365" s="1098"/>
      <c r="T365" s="1098"/>
      <c r="U365" s="1098"/>
      <c r="V365" s="1098"/>
      <c r="W365" s="1098"/>
      <c r="X365" s="1098"/>
      <c r="Y365" s="1098"/>
      <c r="Z365" s="1098"/>
      <c r="AA365" s="1098"/>
      <c r="AB365" s="1098"/>
      <c r="AC365" s="1098"/>
      <c r="AD365" s="1098"/>
    </row>
    <row r="366" spans="2:30">
      <c r="B366" s="1078">
        <v>363</v>
      </c>
      <c r="D366" s="1098"/>
      <c r="E366" s="1098"/>
      <c r="J366" s="46"/>
      <c r="K366" s="46"/>
      <c r="L366" s="1098"/>
      <c r="M366" s="1098"/>
      <c r="N366" s="1098"/>
      <c r="O366" s="1098"/>
      <c r="P366" s="1098"/>
      <c r="Q366" s="1098"/>
      <c r="R366" s="1098"/>
      <c r="S366" s="1098"/>
      <c r="T366" s="1098"/>
      <c r="U366" s="1098"/>
      <c r="V366" s="1098"/>
      <c r="W366" s="1098"/>
      <c r="X366" s="1098"/>
      <c r="Y366" s="1098"/>
      <c r="Z366" s="1098"/>
      <c r="AA366" s="1098"/>
      <c r="AB366" s="1098"/>
      <c r="AC366" s="1098"/>
      <c r="AD366" s="1098"/>
    </row>
    <row r="367" spans="2:30">
      <c r="B367" s="1078">
        <v>364</v>
      </c>
      <c r="D367" s="1098"/>
      <c r="E367" s="1098"/>
      <c r="J367" s="46"/>
      <c r="K367" s="46"/>
      <c r="L367" s="1098"/>
      <c r="M367" s="1098"/>
      <c r="N367" s="1098"/>
      <c r="O367" s="1098"/>
      <c r="P367" s="1098"/>
      <c r="Q367" s="1098"/>
      <c r="R367" s="1098"/>
      <c r="S367" s="1098"/>
      <c r="T367" s="1098"/>
      <c r="U367" s="1098"/>
      <c r="V367" s="1098"/>
      <c r="W367" s="1098"/>
      <c r="X367" s="1098"/>
      <c r="Y367" s="1098"/>
      <c r="Z367" s="1098"/>
      <c r="AA367" s="1098"/>
      <c r="AB367" s="1098"/>
      <c r="AC367" s="1098"/>
      <c r="AD367" s="1098"/>
    </row>
    <row r="368" spans="2:30">
      <c r="B368" s="1078">
        <v>365</v>
      </c>
      <c r="D368" s="1098"/>
      <c r="E368" s="1098"/>
      <c r="J368" s="46"/>
      <c r="K368" s="46"/>
      <c r="L368" s="1098"/>
      <c r="M368" s="1098"/>
      <c r="N368" s="1098"/>
      <c r="O368" s="1098"/>
      <c r="P368" s="1098"/>
      <c r="Q368" s="1098"/>
      <c r="R368" s="1098"/>
      <c r="S368" s="1098"/>
      <c r="T368" s="1098"/>
      <c r="U368" s="1098"/>
      <c r="V368" s="1098"/>
      <c r="W368" s="1098"/>
      <c r="X368" s="1098"/>
      <c r="Y368" s="1098"/>
      <c r="Z368" s="1098"/>
      <c r="AA368" s="1098"/>
      <c r="AB368" s="1098"/>
      <c r="AC368" s="1098"/>
      <c r="AD368" s="1098"/>
    </row>
    <row r="369" spans="2:30">
      <c r="B369" s="1078">
        <v>366</v>
      </c>
      <c r="D369" s="1098"/>
      <c r="E369" s="1098"/>
      <c r="J369" s="46"/>
      <c r="K369" s="46"/>
      <c r="L369" s="1098"/>
      <c r="M369" s="1098"/>
      <c r="N369" s="1098"/>
      <c r="O369" s="1098"/>
      <c r="P369" s="1098"/>
      <c r="Q369" s="1098"/>
      <c r="R369" s="1098"/>
      <c r="S369" s="1098"/>
      <c r="T369" s="1098"/>
      <c r="U369" s="1098"/>
      <c r="V369" s="1098"/>
      <c r="W369" s="1098"/>
      <c r="X369" s="1098"/>
      <c r="Y369" s="1098"/>
      <c r="Z369" s="1098"/>
      <c r="AA369" s="1098"/>
      <c r="AB369" s="1098"/>
      <c r="AC369" s="1098"/>
      <c r="AD369" s="1098"/>
    </row>
    <row r="370" spans="2:30">
      <c r="B370" s="1078">
        <v>367</v>
      </c>
      <c r="D370" s="1098"/>
      <c r="E370" s="1098"/>
      <c r="J370" s="46"/>
      <c r="K370" s="46"/>
      <c r="L370" s="1098"/>
      <c r="M370" s="1098"/>
      <c r="N370" s="1098"/>
      <c r="O370" s="1098"/>
      <c r="P370" s="1098"/>
      <c r="Q370" s="1098"/>
      <c r="R370" s="1098"/>
      <c r="S370" s="1098"/>
      <c r="T370" s="1098"/>
      <c r="U370" s="1098"/>
      <c r="V370" s="1098"/>
      <c r="W370" s="1098"/>
      <c r="X370" s="1098"/>
      <c r="Y370" s="1098"/>
      <c r="Z370" s="1098"/>
      <c r="AA370" s="1098"/>
      <c r="AB370" s="1098"/>
      <c r="AC370" s="1098"/>
      <c r="AD370" s="1098"/>
    </row>
    <row r="371" spans="2:30">
      <c r="B371" s="1078">
        <v>368</v>
      </c>
      <c r="D371" s="1098"/>
      <c r="E371" s="1098"/>
      <c r="J371" s="46"/>
      <c r="K371" s="46"/>
      <c r="L371" s="1098"/>
      <c r="M371" s="1098"/>
      <c r="N371" s="1098"/>
      <c r="O371" s="1098"/>
      <c r="P371" s="1098"/>
      <c r="Q371" s="1098"/>
      <c r="R371" s="1098"/>
      <c r="S371" s="1098"/>
      <c r="T371" s="1098"/>
      <c r="U371" s="1098"/>
      <c r="V371" s="1098"/>
      <c r="W371" s="1098"/>
      <c r="X371" s="1098"/>
      <c r="Y371" s="1098"/>
      <c r="Z371" s="1098"/>
      <c r="AA371" s="1098"/>
      <c r="AB371" s="1098"/>
      <c r="AC371" s="1098"/>
      <c r="AD371" s="1098"/>
    </row>
    <row r="372" spans="2:30">
      <c r="B372" s="1078">
        <v>369</v>
      </c>
      <c r="D372" s="1098"/>
      <c r="E372" s="1098"/>
      <c r="J372" s="46"/>
      <c r="K372" s="46"/>
      <c r="L372" s="1098"/>
      <c r="M372" s="1098"/>
      <c r="N372" s="1098"/>
      <c r="O372" s="1098"/>
      <c r="P372" s="1098"/>
      <c r="Q372" s="1098"/>
      <c r="R372" s="1098"/>
      <c r="S372" s="1098"/>
      <c r="T372" s="1098"/>
      <c r="U372" s="1098"/>
      <c r="V372" s="1098"/>
      <c r="W372" s="1098"/>
      <c r="X372" s="1098"/>
      <c r="Y372" s="1098"/>
      <c r="Z372" s="1098"/>
      <c r="AA372" s="1098"/>
      <c r="AB372" s="1098"/>
      <c r="AC372" s="1098"/>
      <c r="AD372" s="1098"/>
    </row>
    <row r="373" spans="2:30">
      <c r="B373" s="1078">
        <v>370</v>
      </c>
      <c r="D373" s="1098"/>
      <c r="E373" s="1098"/>
      <c r="J373" s="46"/>
      <c r="K373" s="46"/>
      <c r="L373" s="1098"/>
      <c r="M373" s="1098"/>
      <c r="N373" s="1098"/>
      <c r="O373" s="1098"/>
      <c r="P373" s="1098"/>
      <c r="Q373" s="1098"/>
      <c r="R373" s="1098"/>
      <c r="S373" s="1098"/>
      <c r="T373" s="1098"/>
      <c r="U373" s="1098"/>
      <c r="V373" s="1098"/>
      <c r="W373" s="1098"/>
      <c r="X373" s="1098"/>
      <c r="Y373" s="1098"/>
      <c r="Z373" s="1098"/>
      <c r="AA373" s="1098"/>
      <c r="AB373" s="1098"/>
      <c r="AC373" s="1098"/>
      <c r="AD373" s="1098"/>
    </row>
    <row r="374" spans="2:30">
      <c r="B374" s="1078">
        <v>371</v>
      </c>
      <c r="D374" s="1098"/>
      <c r="E374" s="1098"/>
      <c r="J374" s="46"/>
      <c r="K374" s="46"/>
      <c r="L374" s="1098"/>
      <c r="M374" s="1098"/>
      <c r="N374" s="1098"/>
      <c r="O374" s="1098"/>
      <c r="P374" s="1098"/>
      <c r="Q374" s="1098"/>
      <c r="R374" s="1098"/>
      <c r="S374" s="1098"/>
      <c r="T374" s="1098"/>
      <c r="U374" s="1098"/>
      <c r="V374" s="1098"/>
      <c r="W374" s="1098"/>
      <c r="X374" s="1098"/>
      <c r="Y374" s="1098"/>
      <c r="Z374" s="1098"/>
      <c r="AA374" s="1098"/>
      <c r="AB374" s="1098"/>
      <c r="AC374" s="1098"/>
      <c r="AD374" s="1098"/>
    </row>
    <row r="375" spans="2:30">
      <c r="B375" s="1078">
        <v>372</v>
      </c>
      <c r="D375" s="1098"/>
      <c r="E375" s="1098"/>
      <c r="J375" s="46"/>
      <c r="K375" s="46"/>
      <c r="L375" s="1098"/>
      <c r="M375" s="1098"/>
      <c r="N375" s="1098"/>
      <c r="O375" s="1098"/>
      <c r="P375" s="1098"/>
      <c r="Q375" s="1098"/>
      <c r="R375" s="1098"/>
      <c r="S375" s="1098"/>
      <c r="T375" s="1098"/>
      <c r="U375" s="1098"/>
      <c r="V375" s="1098"/>
      <c r="W375" s="1098"/>
      <c r="X375" s="1098"/>
      <c r="Y375" s="1098"/>
      <c r="Z375" s="1098"/>
      <c r="AA375" s="1098"/>
      <c r="AB375" s="1098"/>
      <c r="AC375" s="1098"/>
      <c r="AD375" s="1098"/>
    </row>
    <row r="376" spans="2:30">
      <c r="B376" s="1078">
        <v>373</v>
      </c>
      <c r="D376" s="1098"/>
      <c r="E376" s="1098"/>
      <c r="J376" s="46"/>
      <c r="K376" s="46"/>
      <c r="L376" s="1098"/>
      <c r="M376" s="1098"/>
      <c r="N376" s="1098"/>
      <c r="O376" s="1098"/>
      <c r="P376" s="1098"/>
      <c r="Q376" s="1098"/>
      <c r="R376" s="1098"/>
      <c r="S376" s="1098"/>
      <c r="T376" s="1098"/>
      <c r="U376" s="1098"/>
      <c r="V376" s="1098"/>
      <c r="W376" s="1098"/>
      <c r="X376" s="1098"/>
      <c r="Y376" s="1098"/>
      <c r="Z376" s="1098"/>
      <c r="AA376" s="1098"/>
      <c r="AB376" s="1098"/>
      <c r="AC376" s="1098"/>
      <c r="AD376" s="1098"/>
    </row>
    <row r="377" spans="2:30">
      <c r="B377" s="1078">
        <v>374</v>
      </c>
      <c r="D377" s="1098"/>
      <c r="E377" s="1098"/>
      <c r="J377" s="46"/>
      <c r="K377" s="46"/>
      <c r="L377" s="1098"/>
      <c r="M377" s="1098"/>
      <c r="N377" s="1098"/>
      <c r="O377" s="1098"/>
      <c r="P377" s="1098"/>
      <c r="Q377" s="1098"/>
      <c r="R377" s="1098"/>
      <c r="S377" s="1098"/>
      <c r="T377" s="1098"/>
      <c r="U377" s="1098"/>
      <c r="V377" s="1098"/>
      <c r="W377" s="1098"/>
      <c r="X377" s="1098"/>
      <c r="Y377" s="1098"/>
      <c r="Z377" s="1098"/>
      <c r="AA377" s="1098"/>
      <c r="AB377" s="1098"/>
      <c r="AC377" s="1098"/>
      <c r="AD377" s="1098"/>
    </row>
    <row r="378" spans="2:30">
      <c r="B378" s="1078">
        <v>375</v>
      </c>
      <c r="D378" s="1098"/>
      <c r="E378" s="1098"/>
      <c r="J378" s="46"/>
      <c r="K378" s="46"/>
      <c r="L378" s="1098"/>
      <c r="M378" s="1098"/>
      <c r="N378" s="1098"/>
      <c r="O378" s="1098"/>
      <c r="P378" s="1098"/>
      <c r="Q378" s="1098"/>
      <c r="R378" s="1098"/>
      <c r="S378" s="1098"/>
      <c r="T378" s="1098"/>
      <c r="U378" s="1098"/>
      <c r="V378" s="1098"/>
      <c r="W378" s="1098"/>
      <c r="X378" s="1098"/>
      <c r="Y378" s="1098"/>
      <c r="Z378" s="1098"/>
      <c r="AA378" s="1098"/>
      <c r="AB378" s="1098"/>
      <c r="AC378" s="1098"/>
      <c r="AD378" s="1098"/>
    </row>
    <row r="379" spans="2:30">
      <c r="B379" s="1078">
        <v>376</v>
      </c>
      <c r="D379" s="1098"/>
      <c r="E379" s="1098"/>
      <c r="J379" s="46"/>
      <c r="K379" s="46"/>
      <c r="L379" s="1098"/>
      <c r="M379" s="1098"/>
      <c r="N379" s="1098"/>
      <c r="O379" s="1098"/>
      <c r="P379" s="1098"/>
      <c r="Q379" s="1098"/>
      <c r="R379" s="1098"/>
      <c r="S379" s="1098"/>
      <c r="T379" s="1098"/>
      <c r="U379" s="1098"/>
      <c r="V379" s="1098"/>
      <c r="W379" s="1098"/>
      <c r="X379" s="1098"/>
      <c r="Y379" s="1098"/>
      <c r="Z379" s="1098"/>
      <c r="AA379" s="1098"/>
      <c r="AB379" s="1098"/>
      <c r="AC379" s="1098"/>
      <c r="AD379" s="1098"/>
    </row>
    <row r="380" spans="2:30">
      <c r="B380" s="1078">
        <v>377</v>
      </c>
      <c r="D380" s="1098"/>
      <c r="E380" s="1098"/>
      <c r="J380" s="46"/>
      <c r="K380" s="46"/>
      <c r="L380" s="1098"/>
      <c r="M380" s="1098"/>
      <c r="N380" s="1098"/>
      <c r="O380" s="1098"/>
      <c r="P380" s="1098"/>
      <c r="Q380" s="1098"/>
      <c r="R380" s="1098"/>
      <c r="S380" s="1098"/>
      <c r="T380" s="1098"/>
      <c r="U380" s="1098"/>
      <c r="V380" s="1098"/>
      <c r="W380" s="1098"/>
      <c r="X380" s="1098"/>
      <c r="Y380" s="1098"/>
      <c r="Z380" s="1098"/>
      <c r="AA380" s="1098"/>
      <c r="AB380" s="1098"/>
      <c r="AC380" s="1098"/>
      <c r="AD380" s="1098"/>
    </row>
    <row r="381" spans="2:30">
      <c r="B381" s="1078">
        <v>378</v>
      </c>
      <c r="D381" s="1098"/>
      <c r="E381" s="1098"/>
      <c r="J381" s="46"/>
      <c r="K381" s="46"/>
      <c r="L381" s="1098"/>
      <c r="M381" s="1098"/>
      <c r="N381" s="1098"/>
      <c r="O381" s="1098"/>
      <c r="P381" s="1098"/>
      <c r="Q381" s="1098"/>
      <c r="R381" s="1098"/>
      <c r="S381" s="1098"/>
      <c r="T381" s="1098"/>
      <c r="U381" s="1098"/>
      <c r="V381" s="1098"/>
      <c r="W381" s="1098"/>
      <c r="X381" s="1098"/>
      <c r="Y381" s="1098"/>
      <c r="Z381" s="1098"/>
      <c r="AA381" s="1098"/>
      <c r="AB381" s="1098"/>
      <c r="AC381" s="1098"/>
      <c r="AD381" s="1098"/>
    </row>
    <row r="382" spans="2:30">
      <c r="B382" s="1078">
        <v>379</v>
      </c>
      <c r="D382" s="1098"/>
      <c r="E382" s="1098"/>
      <c r="J382" s="46"/>
      <c r="K382" s="46"/>
      <c r="L382" s="1098"/>
      <c r="M382" s="1098"/>
      <c r="N382" s="1098"/>
      <c r="O382" s="1098"/>
      <c r="P382" s="1098"/>
      <c r="Q382" s="1098"/>
      <c r="R382" s="1098"/>
      <c r="S382" s="1098"/>
      <c r="T382" s="1098"/>
      <c r="U382" s="1098"/>
      <c r="V382" s="1098"/>
      <c r="W382" s="1098"/>
      <c r="X382" s="1098"/>
      <c r="Y382" s="1098"/>
      <c r="Z382" s="1098"/>
      <c r="AA382" s="1098"/>
      <c r="AB382" s="1098"/>
      <c r="AC382" s="1098"/>
      <c r="AD382" s="1098"/>
    </row>
    <row r="383" spans="2:30">
      <c r="B383" s="1078">
        <v>380</v>
      </c>
      <c r="D383" s="1098"/>
      <c r="E383" s="1098"/>
      <c r="J383" s="46"/>
      <c r="K383" s="46"/>
      <c r="L383" s="1098"/>
      <c r="M383" s="1098"/>
      <c r="N383" s="1098"/>
      <c r="O383" s="1098"/>
      <c r="P383" s="1098"/>
      <c r="Q383" s="1098"/>
      <c r="R383" s="1098"/>
      <c r="S383" s="1098"/>
      <c r="T383" s="1098"/>
      <c r="U383" s="1098"/>
      <c r="V383" s="1098"/>
      <c r="W383" s="1098"/>
      <c r="X383" s="1098"/>
      <c r="Y383" s="1098"/>
      <c r="Z383" s="1098"/>
      <c r="AA383" s="1098"/>
      <c r="AB383" s="1098"/>
      <c r="AC383" s="1098"/>
      <c r="AD383" s="1098"/>
    </row>
    <row r="384" spans="2:30">
      <c r="B384" s="1078">
        <v>381</v>
      </c>
      <c r="D384" s="1098"/>
      <c r="E384" s="1098"/>
      <c r="J384" s="46"/>
      <c r="K384" s="46"/>
      <c r="L384" s="1098"/>
      <c r="M384" s="1098"/>
      <c r="N384" s="1098"/>
      <c r="O384" s="1098"/>
      <c r="P384" s="1098"/>
      <c r="Q384" s="1098"/>
      <c r="R384" s="1098"/>
      <c r="S384" s="1098"/>
      <c r="T384" s="1098"/>
      <c r="U384" s="1098"/>
      <c r="V384" s="1098"/>
      <c r="W384" s="1098"/>
      <c r="X384" s="1098"/>
      <c r="Y384" s="1098"/>
      <c r="Z384" s="1098"/>
      <c r="AA384" s="1098"/>
      <c r="AB384" s="1098"/>
      <c r="AC384" s="1098"/>
      <c r="AD384" s="1098"/>
    </row>
    <row r="385" spans="2:30">
      <c r="B385" s="1078">
        <v>382</v>
      </c>
      <c r="D385" s="1098"/>
      <c r="E385" s="1098"/>
      <c r="J385" s="46"/>
      <c r="K385" s="46"/>
      <c r="L385" s="1098"/>
      <c r="M385" s="1098"/>
      <c r="N385" s="1098"/>
      <c r="O385" s="1098"/>
      <c r="P385" s="1098"/>
      <c r="Q385" s="1098"/>
      <c r="R385" s="1098"/>
      <c r="S385" s="1098"/>
      <c r="T385" s="1098"/>
      <c r="U385" s="1098"/>
      <c r="V385" s="1098"/>
      <c r="W385" s="1098"/>
      <c r="X385" s="1098"/>
      <c r="Y385" s="1098"/>
      <c r="Z385" s="1098"/>
      <c r="AA385" s="1098"/>
      <c r="AB385" s="1098"/>
      <c r="AC385" s="1098"/>
      <c r="AD385" s="1098"/>
    </row>
    <row r="386" spans="2:30">
      <c r="B386" s="1078">
        <v>383</v>
      </c>
      <c r="D386" s="1098"/>
      <c r="E386" s="1098"/>
      <c r="J386" s="46"/>
      <c r="K386" s="46"/>
      <c r="L386" s="1098"/>
      <c r="M386" s="1098"/>
      <c r="N386" s="1098"/>
      <c r="O386" s="1098"/>
      <c r="P386" s="1098"/>
      <c r="Q386" s="1098"/>
      <c r="R386" s="1098"/>
      <c r="S386" s="1098"/>
      <c r="T386" s="1098"/>
      <c r="U386" s="1098"/>
      <c r="V386" s="1098"/>
      <c r="W386" s="1098"/>
      <c r="X386" s="1098"/>
      <c r="Y386" s="1098"/>
      <c r="Z386" s="1098"/>
      <c r="AA386" s="1098"/>
      <c r="AB386" s="1098"/>
      <c r="AC386" s="1098"/>
      <c r="AD386" s="1098"/>
    </row>
    <row r="387" spans="2:30">
      <c r="B387" s="1078">
        <v>384</v>
      </c>
      <c r="D387" s="1098"/>
      <c r="E387" s="1098"/>
      <c r="J387" s="46"/>
      <c r="K387" s="46"/>
      <c r="L387" s="1098"/>
      <c r="M387" s="1098"/>
      <c r="N387" s="1098"/>
      <c r="O387" s="1098"/>
      <c r="P387" s="1098"/>
      <c r="Q387" s="1098"/>
      <c r="R387" s="1098"/>
      <c r="S387" s="1098"/>
      <c r="T387" s="1098"/>
      <c r="U387" s="1098"/>
      <c r="V387" s="1098"/>
      <c r="W387" s="1098"/>
      <c r="X387" s="1098"/>
      <c r="Y387" s="1098"/>
      <c r="Z387" s="1098"/>
      <c r="AA387" s="1098"/>
      <c r="AB387" s="1098"/>
      <c r="AC387" s="1098"/>
      <c r="AD387" s="1098"/>
    </row>
    <row r="388" spans="2:30">
      <c r="B388" s="1078">
        <v>385</v>
      </c>
      <c r="D388" s="1098"/>
      <c r="E388" s="1098"/>
      <c r="J388" s="46"/>
      <c r="K388" s="46"/>
      <c r="L388" s="1098"/>
      <c r="M388" s="1098"/>
      <c r="N388" s="1098"/>
      <c r="O388" s="1098"/>
      <c r="P388" s="1098"/>
      <c r="Q388" s="1098"/>
      <c r="R388" s="1098"/>
      <c r="S388" s="1098"/>
      <c r="T388" s="1098"/>
      <c r="U388" s="1098"/>
      <c r="V388" s="1098"/>
      <c r="W388" s="1098"/>
      <c r="X388" s="1098"/>
      <c r="Y388" s="1098"/>
      <c r="Z388" s="1098"/>
      <c r="AA388" s="1098"/>
      <c r="AB388" s="1098"/>
      <c r="AC388" s="1098"/>
      <c r="AD388" s="1098"/>
    </row>
    <row r="389" spans="2:30">
      <c r="B389" s="1078">
        <v>386</v>
      </c>
      <c r="D389" s="1098"/>
      <c r="E389" s="1098"/>
      <c r="J389" s="46"/>
      <c r="K389" s="46"/>
      <c r="L389" s="1098"/>
      <c r="M389" s="1098"/>
      <c r="N389" s="1098"/>
      <c r="O389" s="1098"/>
      <c r="P389" s="1098"/>
      <c r="Q389" s="1098"/>
      <c r="R389" s="1098"/>
      <c r="S389" s="1098"/>
      <c r="T389" s="1098"/>
      <c r="U389" s="1098"/>
      <c r="V389" s="1098"/>
      <c r="W389" s="1098"/>
      <c r="X389" s="1098"/>
      <c r="Y389" s="1098"/>
      <c r="Z389" s="1098"/>
      <c r="AA389" s="1098"/>
      <c r="AB389" s="1098"/>
      <c r="AC389" s="1098"/>
      <c r="AD389" s="1098"/>
    </row>
    <row r="390" spans="2:30">
      <c r="B390" s="1078">
        <v>387</v>
      </c>
      <c r="D390" s="1098"/>
      <c r="E390" s="1098"/>
      <c r="J390" s="46"/>
      <c r="K390" s="46"/>
      <c r="L390" s="1098"/>
      <c r="M390" s="1098"/>
      <c r="N390" s="1098"/>
      <c r="O390" s="1098"/>
      <c r="P390" s="1098"/>
      <c r="Q390" s="1098"/>
      <c r="R390" s="1098"/>
      <c r="S390" s="1098"/>
      <c r="T390" s="1098"/>
      <c r="U390" s="1098"/>
      <c r="V390" s="1098"/>
      <c r="W390" s="1098"/>
      <c r="X390" s="1098"/>
      <c r="Y390" s="1098"/>
      <c r="Z390" s="1098"/>
      <c r="AA390" s="1098"/>
      <c r="AB390" s="1098"/>
      <c r="AC390" s="1098"/>
      <c r="AD390" s="1098"/>
    </row>
    <row r="391" spans="2:30">
      <c r="B391" s="1078">
        <v>388</v>
      </c>
      <c r="D391" s="1098"/>
      <c r="E391" s="1098"/>
      <c r="J391" s="46"/>
      <c r="K391" s="46"/>
      <c r="L391" s="1098"/>
      <c r="M391" s="1098"/>
      <c r="N391" s="1098"/>
      <c r="O391" s="1098"/>
      <c r="P391" s="1098"/>
      <c r="Q391" s="1098"/>
      <c r="R391" s="1098"/>
      <c r="S391" s="1098"/>
      <c r="T391" s="1098"/>
      <c r="U391" s="1098"/>
      <c r="V391" s="1098"/>
      <c r="W391" s="1098"/>
      <c r="X391" s="1098"/>
      <c r="Y391" s="1098"/>
      <c r="Z391" s="1098"/>
      <c r="AA391" s="1098"/>
      <c r="AB391" s="1098"/>
      <c r="AC391" s="1098"/>
      <c r="AD391" s="1098"/>
    </row>
    <row r="392" spans="2:30">
      <c r="B392" s="1078">
        <v>389</v>
      </c>
      <c r="D392" s="1098"/>
      <c r="E392" s="1098"/>
      <c r="J392" s="46"/>
      <c r="K392" s="46"/>
      <c r="L392" s="1098"/>
      <c r="M392" s="1098"/>
      <c r="N392" s="1098"/>
      <c r="O392" s="1098"/>
      <c r="P392" s="1098"/>
      <c r="Q392" s="1098"/>
      <c r="R392" s="1098"/>
      <c r="S392" s="1098"/>
      <c r="T392" s="1098"/>
      <c r="U392" s="1098"/>
      <c r="V392" s="1098"/>
      <c r="W392" s="1098"/>
      <c r="X392" s="1098"/>
      <c r="Y392" s="1098"/>
      <c r="Z392" s="1098"/>
      <c r="AA392" s="1098"/>
      <c r="AB392" s="1098"/>
      <c r="AC392" s="1098"/>
      <c r="AD392" s="1098"/>
    </row>
    <row r="393" spans="2:30">
      <c r="B393" s="1078">
        <v>390</v>
      </c>
      <c r="D393" s="1098"/>
      <c r="E393" s="1098"/>
      <c r="J393" s="46"/>
      <c r="K393" s="46"/>
      <c r="L393" s="1098"/>
      <c r="M393" s="1098"/>
      <c r="N393" s="1098"/>
      <c r="O393" s="1098"/>
      <c r="P393" s="1098"/>
      <c r="Q393" s="1098"/>
      <c r="R393" s="1098"/>
      <c r="S393" s="1098"/>
      <c r="T393" s="1098"/>
      <c r="U393" s="1098"/>
      <c r="V393" s="1098"/>
      <c r="W393" s="1098"/>
      <c r="X393" s="1098"/>
      <c r="Y393" s="1098"/>
      <c r="Z393" s="1098"/>
      <c r="AA393" s="1098"/>
      <c r="AB393" s="1098"/>
      <c r="AC393" s="1098"/>
      <c r="AD393" s="1098"/>
    </row>
    <row r="394" spans="2:30">
      <c r="B394" s="1078">
        <v>391</v>
      </c>
      <c r="D394" s="1098"/>
      <c r="E394" s="1098"/>
      <c r="J394" s="46"/>
      <c r="K394" s="46"/>
      <c r="L394" s="1098"/>
      <c r="M394" s="1098"/>
      <c r="N394" s="1098"/>
      <c r="O394" s="1098"/>
      <c r="P394" s="1098"/>
      <c r="Q394" s="1098"/>
      <c r="R394" s="1098"/>
      <c r="S394" s="1098"/>
      <c r="T394" s="1098"/>
      <c r="U394" s="1098"/>
      <c r="V394" s="1098"/>
      <c r="W394" s="1098"/>
      <c r="X394" s="1098"/>
      <c r="Y394" s="1098"/>
      <c r="Z394" s="1098"/>
      <c r="AA394" s="1098"/>
      <c r="AB394" s="1098"/>
      <c r="AC394" s="1098"/>
      <c r="AD394" s="1098"/>
    </row>
    <row r="395" spans="2:30">
      <c r="B395" s="1078">
        <v>392</v>
      </c>
      <c r="D395" s="1098"/>
      <c r="E395" s="1098"/>
      <c r="J395" s="46"/>
      <c r="K395" s="46"/>
      <c r="L395" s="1098"/>
      <c r="M395" s="1098"/>
      <c r="N395" s="1098"/>
      <c r="O395" s="1098"/>
      <c r="P395" s="1098"/>
      <c r="Q395" s="1098"/>
      <c r="R395" s="1098"/>
      <c r="S395" s="1098"/>
      <c r="T395" s="1098"/>
      <c r="U395" s="1098"/>
      <c r="V395" s="1098"/>
      <c r="W395" s="1098"/>
      <c r="X395" s="1098"/>
      <c r="Y395" s="1098"/>
      <c r="Z395" s="1098"/>
      <c r="AA395" s="1098"/>
      <c r="AB395" s="1098"/>
      <c r="AC395" s="1098"/>
      <c r="AD395" s="1098"/>
    </row>
    <row r="396" spans="2:30">
      <c r="B396" s="1078">
        <v>393</v>
      </c>
      <c r="D396" s="1098"/>
      <c r="E396" s="1098"/>
      <c r="J396" s="46"/>
      <c r="K396" s="46"/>
      <c r="L396" s="1098"/>
      <c r="M396" s="1098"/>
      <c r="N396" s="1098"/>
      <c r="O396" s="1098"/>
      <c r="P396" s="1098"/>
      <c r="Q396" s="1098"/>
      <c r="R396" s="1098"/>
      <c r="S396" s="1098"/>
      <c r="T396" s="1098"/>
      <c r="U396" s="1098"/>
      <c r="V396" s="1098"/>
      <c r="W396" s="1098"/>
      <c r="X396" s="1098"/>
      <c r="Y396" s="1098"/>
      <c r="Z396" s="1098"/>
      <c r="AA396" s="1098"/>
      <c r="AB396" s="1098"/>
      <c r="AC396" s="1098"/>
      <c r="AD396" s="1098"/>
    </row>
    <row r="397" spans="2:30">
      <c r="B397" s="1078">
        <v>394</v>
      </c>
      <c r="D397" s="1098"/>
      <c r="E397" s="1098"/>
      <c r="J397" s="46"/>
      <c r="K397" s="46"/>
      <c r="L397" s="1098"/>
      <c r="M397" s="1098"/>
      <c r="N397" s="1098"/>
      <c r="O397" s="1098"/>
      <c r="P397" s="1098"/>
      <c r="Q397" s="1098"/>
      <c r="R397" s="1098"/>
      <c r="S397" s="1098"/>
      <c r="T397" s="1098"/>
      <c r="U397" s="1098"/>
      <c r="V397" s="1098"/>
      <c r="W397" s="1098"/>
      <c r="X397" s="1098"/>
      <c r="Y397" s="1098"/>
      <c r="Z397" s="1098"/>
      <c r="AA397" s="1098"/>
      <c r="AB397" s="1098"/>
      <c r="AC397" s="1098"/>
      <c r="AD397" s="1098"/>
    </row>
    <row r="398" spans="2:30">
      <c r="B398" s="1078">
        <v>395</v>
      </c>
      <c r="D398" s="1098"/>
      <c r="E398" s="1098"/>
      <c r="J398" s="46"/>
      <c r="K398" s="46"/>
      <c r="L398" s="1098"/>
      <c r="M398" s="1098"/>
      <c r="N398" s="1098"/>
      <c r="O398" s="1098"/>
      <c r="P398" s="1098"/>
      <c r="Q398" s="1098"/>
      <c r="R398" s="1098"/>
      <c r="S398" s="1098"/>
      <c r="T398" s="1098"/>
      <c r="U398" s="1098"/>
      <c r="V398" s="1098"/>
      <c r="W398" s="1098"/>
      <c r="X398" s="1098"/>
      <c r="Y398" s="1098"/>
      <c r="Z398" s="1098"/>
      <c r="AA398" s="1098"/>
      <c r="AB398" s="1098"/>
      <c r="AC398" s="1098"/>
      <c r="AD398" s="1098"/>
    </row>
    <row r="399" spans="2:30">
      <c r="B399" s="1078">
        <v>396</v>
      </c>
      <c r="D399" s="1098"/>
      <c r="E399" s="1098"/>
      <c r="J399" s="46"/>
      <c r="K399" s="46"/>
      <c r="L399" s="1098"/>
      <c r="M399" s="1098"/>
      <c r="N399" s="1098"/>
      <c r="O399" s="1098"/>
      <c r="P399" s="1098"/>
      <c r="Q399" s="1098"/>
      <c r="R399" s="1098"/>
      <c r="S399" s="1098"/>
      <c r="T399" s="1098"/>
      <c r="U399" s="1098"/>
      <c r="V399" s="1098"/>
      <c r="W399" s="1098"/>
      <c r="X399" s="1098"/>
      <c r="Y399" s="1098"/>
      <c r="Z399" s="1098"/>
      <c r="AA399" s="1098"/>
      <c r="AB399" s="1098"/>
      <c r="AC399" s="1098"/>
      <c r="AD399" s="1098"/>
    </row>
    <row r="400" spans="2:30">
      <c r="B400" s="1078">
        <v>397</v>
      </c>
      <c r="D400" s="1098"/>
      <c r="E400" s="1098"/>
      <c r="J400" s="46"/>
      <c r="K400" s="46"/>
      <c r="L400" s="1098"/>
      <c r="M400" s="1098"/>
      <c r="N400" s="1098"/>
      <c r="O400" s="1098"/>
      <c r="P400" s="1098"/>
      <c r="Q400" s="1098"/>
      <c r="R400" s="1098"/>
      <c r="S400" s="1098"/>
      <c r="T400" s="1098"/>
      <c r="U400" s="1098"/>
      <c r="V400" s="1098"/>
      <c r="W400" s="1098"/>
      <c r="X400" s="1098"/>
      <c r="Y400" s="1098"/>
      <c r="Z400" s="1098"/>
      <c r="AA400" s="1098"/>
      <c r="AB400" s="1098"/>
      <c r="AC400" s="1098"/>
      <c r="AD400" s="1098"/>
    </row>
    <row r="401" spans="2:30">
      <c r="B401" s="1078">
        <v>398</v>
      </c>
      <c r="D401" s="1098"/>
      <c r="E401" s="1098"/>
      <c r="J401" s="46"/>
      <c r="K401" s="46"/>
      <c r="L401" s="1098"/>
      <c r="M401" s="1098"/>
      <c r="N401" s="1098"/>
      <c r="O401" s="1098"/>
      <c r="P401" s="1098"/>
      <c r="Q401" s="1098"/>
      <c r="R401" s="1098"/>
      <c r="S401" s="1098"/>
      <c r="T401" s="1098"/>
      <c r="U401" s="1098"/>
      <c r="V401" s="1098"/>
      <c r="W401" s="1098"/>
      <c r="X401" s="1098"/>
      <c r="Y401" s="1098"/>
      <c r="Z401" s="1098"/>
      <c r="AA401" s="1098"/>
      <c r="AB401" s="1098"/>
      <c r="AC401" s="1098"/>
      <c r="AD401" s="1098"/>
    </row>
    <row r="402" spans="2:30">
      <c r="B402" s="1078">
        <v>399</v>
      </c>
      <c r="D402" s="1098"/>
      <c r="E402" s="1098"/>
      <c r="J402" s="46"/>
      <c r="K402" s="46"/>
      <c r="L402" s="1098"/>
      <c r="M402" s="1098"/>
      <c r="N402" s="1098"/>
      <c r="O402" s="1098"/>
      <c r="P402" s="1098"/>
      <c r="Q402" s="1098"/>
      <c r="R402" s="1098"/>
      <c r="S402" s="1098"/>
      <c r="T402" s="1098"/>
      <c r="U402" s="1098"/>
      <c r="V402" s="1098"/>
      <c r="W402" s="1098"/>
      <c r="X402" s="1098"/>
      <c r="Y402" s="1098"/>
      <c r="Z402" s="1098"/>
      <c r="AA402" s="1098"/>
      <c r="AB402" s="1098"/>
      <c r="AC402" s="1098"/>
      <c r="AD402" s="1098"/>
    </row>
    <row r="403" spans="2:30">
      <c r="B403" s="1078">
        <v>400</v>
      </c>
      <c r="D403" s="1098"/>
      <c r="E403" s="1098"/>
      <c r="J403" s="46"/>
      <c r="K403" s="46"/>
      <c r="L403" s="1098"/>
      <c r="M403" s="1098"/>
      <c r="N403" s="1098"/>
      <c r="O403" s="1098"/>
      <c r="P403" s="1098"/>
      <c r="Q403" s="1098"/>
      <c r="R403" s="1098"/>
      <c r="S403" s="1098"/>
      <c r="T403" s="1098"/>
      <c r="U403" s="1098"/>
      <c r="V403" s="1098"/>
      <c r="W403" s="1098"/>
      <c r="X403" s="1098"/>
      <c r="Y403" s="1098"/>
      <c r="Z403" s="1098"/>
      <c r="AA403" s="1098"/>
      <c r="AB403" s="1098"/>
      <c r="AC403" s="1098"/>
      <c r="AD403" s="1098"/>
    </row>
    <row r="404" spans="2:30">
      <c r="B404" s="1078">
        <v>401</v>
      </c>
      <c r="D404" s="1098"/>
      <c r="E404" s="1098"/>
      <c r="J404" s="46"/>
      <c r="K404" s="46"/>
      <c r="L404" s="1098"/>
      <c r="M404" s="1098"/>
      <c r="N404" s="1098"/>
      <c r="O404" s="1098"/>
      <c r="P404" s="1098"/>
      <c r="Q404" s="1098"/>
      <c r="R404" s="1098"/>
      <c r="S404" s="1098"/>
      <c r="T404" s="1098"/>
      <c r="U404" s="1098"/>
      <c r="V404" s="1098"/>
      <c r="W404" s="1098"/>
      <c r="X404" s="1098"/>
      <c r="Y404" s="1098"/>
      <c r="Z404" s="1098"/>
      <c r="AA404" s="1098"/>
      <c r="AB404" s="1098"/>
      <c r="AC404" s="1098"/>
      <c r="AD404" s="1098"/>
    </row>
    <row r="405" spans="2:30">
      <c r="B405" s="1078">
        <v>402</v>
      </c>
      <c r="D405" s="1098"/>
      <c r="E405" s="1098"/>
      <c r="J405" s="46"/>
      <c r="K405" s="46"/>
      <c r="L405" s="1098"/>
      <c r="M405" s="1098"/>
      <c r="N405" s="1098"/>
      <c r="O405" s="1098"/>
      <c r="P405" s="1098"/>
      <c r="Q405" s="1098"/>
      <c r="R405" s="1098"/>
      <c r="S405" s="1098"/>
      <c r="T405" s="1098"/>
      <c r="U405" s="1098"/>
      <c r="V405" s="1098"/>
      <c r="W405" s="1098"/>
      <c r="X405" s="1098"/>
      <c r="Y405" s="1098"/>
      <c r="Z405" s="1098"/>
      <c r="AA405" s="1098"/>
      <c r="AB405" s="1098"/>
      <c r="AC405" s="1098"/>
      <c r="AD405" s="1098"/>
    </row>
    <row r="406" spans="2:30">
      <c r="B406" s="1078">
        <v>403</v>
      </c>
      <c r="D406" s="1098"/>
      <c r="E406" s="1098"/>
      <c r="J406" s="46"/>
      <c r="K406" s="46"/>
      <c r="L406" s="1098"/>
      <c r="M406" s="1098"/>
      <c r="N406" s="1098"/>
      <c r="O406" s="1098"/>
      <c r="P406" s="1098"/>
      <c r="Q406" s="1098"/>
      <c r="R406" s="1098"/>
      <c r="S406" s="1098"/>
      <c r="T406" s="1098"/>
      <c r="U406" s="1098"/>
      <c r="V406" s="1098"/>
      <c r="W406" s="1098"/>
      <c r="X406" s="1098"/>
      <c r="Y406" s="1098"/>
      <c r="Z406" s="1098"/>
      <c r="AA406" s="1098"/>
      <c r="AB406" s="1098"/>
      <c r="AC406" s="1098"/>
      <c r="AD406" s="1098"/>
    </row>
    <row r="407" spans="2:30">
      <c r="B407" s="1078">
        <v>404</v>
      </c>
      <c r="D407" s="1098"/>
      <c r="E407" s="1098"/>
      <c r="J407" s="46"/>
      <c r="K407" s="46"/>
      <c r="L407" s="1098"/>
      <c r="M407" s="1098"/>
      <c r="N407" s="1098"/>
      <c r="O407" s="1098"/>
      <c r="P407" s="1098"/>
      <c r="Q407" s="1098"/>
      <c r="R407" s="1098"/>
      <c r="S407" s="1098"/>
      <c r="T407" s="1098"/>
      <c r="U407" s="1098"/>
      <c r="V407" s="1098"/>
      <c r="W407" s="1098"/>
      <c r="X407" s="1098"/>
      <c r="Y407" s="1098"/>
      <c r="Z407" s="1098"/>
      <c r="AA407" s="1098"/>
      <c r="AB407" s="1098"/>
      <c r="AC407" s="1098"/>
      <c r="AD407" s="1098"/>
    </row>
    <row r="408" spans="2:30">
      <c r="B408" s="1078">
        <v>405</v>
      </c>
      <c r="D408" s="1098"/>
      <c r="E408" s="1098"/>
      <c r="J408" s="46"/>
      <c r="K408" s="46"/>
      <c r="L408" s="1098"/>
      <c r="M408" s="1098"/>
      <c r="N408" s="1098"/>
      <c r="O408" s="1098"/>
      <c r="P408" s="1098"/>
      <c r="Q408" s="1098"/>
      <c r="R408" s="1098"/>
      <c r="S408" s="1098"/>
      <c r="T408" s="1098"/>
      <c r="U408" s="1098"/>
      <c r="V408" s="1098"/>
      <c r="W408" s="1098"/>
      <c r="X408" s="1098"/>
      <c r="Y408" s="1098"/>
      <c r="Z408" s="1098"/>
      <c r="AA408" s="1098"/>
      <c r="AB408" s="1098"/>
      <c r="AC408" s="1098"/>
      <c r="AD408" s="1098"/>
    </row>
    <row r="409" spans="2:30">
      <c r="B409" s="1078">
        <v>406</v>
      </c>
      <c r="D409" s="1098"/>
      <c r="E409" s="1098"/>
      <c r="J409" s="46"/>
      <c r="K409" s="46"/>
      <c r="L409" s="1098"/>
      <c r="M409" s="1098"/>
      <c r="N409" s="1098"/>
      <c r="O409" s="1098"/>
      <c r="P409" s="1098"/>
      <c r="Q409" s="1098"/>
      <c r="R409" s="1098"/>
      <c r="S409" s="1098"/>
      <c r="T409" s="1098"/>
      <c r="U409" s="1098"/>
      <c r="V409" s="1098"/>
      <c r="W409" s="1098"/>
      <c r="X409" s="1098"/>
      <c r="Y409" s="1098"/>
      <c r="Z409" s="1098"/>
      <c r="AA409" s="1098"/>
      <c r="AB409" s="1098"/>
      <c r="AC409" s="1098"/>
      <c r="AD409" s="1098"/>
    </row>
    <row r="410" spans="2:30">
      <c r="B410" s="1078">
        <v>407</v>
      </c>
      <c r="D410" s="1098"/>
      <c r="E410" s="1098"/>
      <c r="J410" s="46"/>
      <c r="K410" s="46"/>
      <c r="L410" s="1098"/>
      <c r="M410" s="1098"/>
      <c r="N410" s="1098"/>
      <c r="O410" s="1098"/>
      <c r="P410" s="1098"/>
      <c r="Q410" s="1098"/>
      <c r="R410" s="1098"/>
      <c r="S410" s="1098"/>
      <c r="T410" s="1098"/>
      <c r="U410" s="1098"/>
      <c r="V410" s="1098"/>
      <c r="W410" s="1098"/>
      <c r="X410" s="1098"/>
      <c r="Y410" s="1098"/>
      <c r="Z410" s="1098"/>
      <c r="AA410" s="1098"/>
      <c r="AB410" s="1098"/>
      <c r="AC410" s="1098"/>
      <c r="AD410" s="1098"/>
    </row>
    <row r="411" spans="2:30">
      <c r="B411" s="1078">
        <v>408</v>
      </c>
      <c r="D411" s="1098"/>
      <c r="E411" s="1098"/>
      <c r="J411" s="46"/>
      <c r="K411" s="46"/>
      <c r="L411" s="1098"/>
      <c r="M411" s="1098"/>
      <c r="N411" s="1098"/>
      <c r="O411" s="1098"/>
      <c r="P411" s="1098"/>
      <c r="Q411" s="1098"/>
      <c r="R411" s="1098"/>
      <c r="S411" s="1098"/>
      <c r="T411" s="1098"/>
      <c r="U411" s="1098"/>
      <c r="V411" s="1098"/>
      <c r="W411" s="1098"/>
      <c r="X411" s="1098"/>
      <c r="Y411" s="1098"/>
      <c r="Z411" s="1098"/>
      <c r="AA411" s="1098"/>
      <c r="AB411" s="1098"/>
      <c r="AC411" s="1098"/>
      <c r="AD411" s="1098"/>
    </row>
    <row r="412" spans="2:30">
      <c r="B412" s="1078">
        <v>409</v>
      </c>
      <c r="D412" s="1098"/>
      <c r="E412" s="1098"/>
      <c r="J412" s="46"/>
      <c r="K412" s="46"/>
      <c r="L412" s="1098"/>
      <c r="M412" s="1098"/>
      <c r="N412" s="1098"/>
      <c r="O412" s="1098"/>
      <c r="P412" s="1098"/>
      <c r="Q412" s="1098"/>
      <c r="R412" s="1098"/>
      <c r="S412" s="1098"/>
      <c r="T412" s="1098"/>
      <c r="U412" s="1098"/>
      <c r="V412" s="1098"/>
      <c r="W412" s="1098"/>
      <c r="X412" s="1098"/>
      <c r="Y412" s="1098"/>
      <c r="Z412" s="1098"/>
      <c r="AA412" s="1098"/>
      <c r="AB412" s="1098"/>
      <c r="AC412" s="1098"/>
      <c r="AD412" s="1098"/>
    </row>
    <row r="413" spans="2:30">
      <c r="B413" s="1078">
        <v>410</v>
      </c>
      <c r="D413" s="1098"/>
      <c r="E413" s="1098"/>
      <c r="J413" s="46"/>
      <c r="K413" s="46"/>
      <c r="L413" s="1098"/>
      <c r="M413" s="1098"/>
      <c r="N413" s="1098"/>
      <c r="O413" s="1098"/>
      <c r="P413" s="1098"/>
      <c r="Q413" s="1098"/>
      <c r="R413" s="1098"/>
      <c r="S413" s="1098"/>
      <c r="T413" s="1098"/>
      <c r="U413" s="1098"/>
      <c r="V413" s="1098"/>
      <c r="W413" s="1098"/>
      <c r="X413" s="1098"/>
      <c r="Y413" s="1098"/>
      <c r="Z413" s="1098"/>
      <c r="AA413" s="1098"/>
      <c r="AB413" s="1098"/>
      <c r="AC413" s="1098"/>
      <c r="AD413" s="1098"/>
    </row>
    <row r="414" spans="2:30">
      <c r="B414" s="1078">
        <v>411</v>
      </c>
      <c r="D414" s="1098"/>
      <c r="E414" s="1098"/>
      <c r="J414" s="46"/>
      <c r="K414" s="46"/>
      <c r="L414" s="1098"/>
      <c r="M414" s="1098"/>
      <c r="N414" s="1098"/>
      <c r="O414" s="1098"/>
      <c r="P414" s="1098"/>
      <c r="Q414" s="1098"/>
      <c r="R414" s="1098"/>
      <c r="S414" s="1098"/>
      <c r="T414" s="1098"/>
      <c r="U414" s="1098"/>
      <c r="V414" s="1098"/>
      <c r="W414" s="1098"/>
      <c r="X414" s="1098"/>
      <c r="Y414" s="1098"/>
      <c r="Z414" s="1098"/>
      <c r="AA414" s="1098"/>
      <c r="AB414" s="1098"/>
      <c r="AC414" s="1098"/>
      <c r="AD414" s="1098"/>
    </row>
    <row r="415" spans="2:30">
      <c r="B415" s="1078">
        <v>412</v>
      </c>
      <c r="D415" s="1098"/>
      <c r="E415" s="1098"/>
      <c r="J415" s="46"/>
      <c r="K415" s="46"/>
      <c r="L415" s="1098"/>
      <c r="M415" s="1098"/>
      <c r="N415" s="1098"/>
      <c r="O415" s="1098"/>
      <c r="P415" s="1098"/>
      <c r="Q415" s="1098"/>
      <c r="R415" s="1098"/>
      <c r="S415" s="1098"/>
      <c r="T415" s="1098"/>
      <c r="U415" s="1098"/>
      <c r="V415" s="1098"/>
      <c r="W415" s="1098"/>
      <c r="X415" s="1098"/>
      <c r="Y415" s="1098"/>
      <c r="Z415" s="1098"/>
      <c r="AA415" s="1098"/>
      <c r="AB415" s="1098"/>
      <c r="AC415" s="1098"/>
      <c r="AD415" s="1098"/>
    </row>
    <row r="416" spans="2:30">
      <c r="B416" s="1078">
        <v>413</v>
      </c>
      <c r="D416" s="1098"/>
      <c r="E416" s="1098"/>
      <c r="J416" s="46"/>
      <c r="K416" s="46"/>
      <c r="L416" s="1098"/>
      <c r="M416" s="1098"/>
      <c r="N416" s="1098"/>
      <c r="O416" s="1098"/>
      <c r="P416" s="1098"/>
      <c r="Q416" s="1098"/>
      <c r="R416" s="1098"/>
      <c r="S416" s="1098"/>
      <c r="T416" s="1098"/>
      <c r="U416" s="1098"/>
      <c r="V416" s="1098"/>
      <c r="W416" s="1098"/>
      <c r="X416" s="1098"/>
      <c r="Y416" s="1098"/>
      <c r="Z416" s="1098"/>
      <c r="AA416" s="1098"/>
      <c r="AB416" s="1098"/>
      <c r="AC416" s="1098"/>
      <c r="AD416" s="1098"/>
    </row>
    <row r="417" spans="2:30">
      <c r="B417" s="1078">
        <v>414</v>
      </c>
      <c r="D417" s="1098"/>
      <c r="E417" s="1098"/>
      <c r="J417" s="46"/>
      <c r="K417" s="46"/>
      <c r="L417" s="1098"/>
      <c r="M417" s="1098"/>
      <c r="N417" s="1098"/>
      <c r="O417" s="1098"/>
      <c r="P417" s="1098"/>
      <c r="Q417" s="1098"/>
      <c r="R417" s="1098"/>
      <c r="S417" s="1098"/>
      <c r="T417" s="1098"/>
      <c r="U417" s="1098"/>
      <c r="V417" s="1098"/>
      <c r="W417" s="1098"/>
      <c r="X417" s="1098"/>
      <c r="Y417" s="1098"/>
      <c r="Z417" s="1098"/>
      <c r="AA417" s="1098"/>
      <c r="AB417" s="1098"/>
      <c r="AC417" s="1098"/>
      <c r="AD417" s="1098"/>
    </row>
    <row r="418" spans="2:30">
      <c r="B418" s="1078">
        <v>415</v>
      </c>
      <c r="D418" s="1098"/>
      <c r="E418" s="1098"/>
      <c r="J418" s="46"/>
      <c r="K418" s="46"/>
      <c r="L418" s="1098"/>
      <c r="M418" s="1098"/>
      <c r="N418" s="1098"/>
      <c r="O418" s="1098"/>
      <c r="P418" s="1098"/>
      <c r="Q418" s="1098"/>
      <c r="R418" s="1098"/>
      <c r="S418" s="1098"/>
      <c r="T418" s="1098"/>
      <c r="U418" s="1098"/>
      <c r="V418" s="1098"/>
      <c r="W418" s="1098"/>
      <c r="X418" s="1098"/>
      <c r="Y418" s="1098"/>
      <c r="Z418" s="1098"/>
      <c r="AA418" s="1098"/>
      <c r="AB418" s="1098"/>
      <c r="AC418" s="1098"/>
      <c r="AD418" s="1098"/>
    </row>
    <row r="419" spans="2:30">
      <c r="B419" s="1078">
        <v>416</v>
      </c>
      <c r="D419" s="1098"/>
      <c r="E419" s="1098"/>
      <c r="J419" s="46"/>
      <c r="K419" s="46"/>
      <c r="L419" s="1098"/>
      <c r="M419" s="1098"/>
      <c r="N419" s="1098"/>
      <c r="O419" s="1098"/>
      <c r="P419" s="1098"/>
      <c r="Q419" s="1098"/>
      <c r="R419" s="1098"/>
      <c r="S419" s="1098"/>
      <c r="T419" s="1098"/>
      <c r="U419" s="1098"/>
      <c r="V419" s="1098"/>
      <c r="W419" s="1098"/>
      <c r="X419" s="1098"/>
      <c r="Y419" s="1098"/>
      <c r="Z419" s="1098"/>
      <c r="AA419" s="1098"/>
      <c r="AB419" s="1098"/>
      <c r="AC419" s="1098"/>
      <c r="AD419" s="1098"/>
    </row>
    <row r="420" spans="2:30">
      <c r="B420" s="1078">
        <v>417</v>
      </c>
      <c r="D420" s="1098"/>
      <c r="E420" s="1098"/>
      <c r="J420" s="46"/>
      <c r="K420" s="46"/>
      <c r="L420" s="1098"/>
      <c r="M420" s="1098"/>
      <c r="N420" s="1098"/>
      <c r="O420" s="1098"/>
      <c r="P420" s="1098"/>
      <c r="Q420" s="1098"/>
      <c r="R420" s="1098"/>
      <c r="S420" s="1098"/>
      <c r="T420" s="1098"/>
      <c r="U420" s="1098"/>
      <c r="V420" s="1098"/>
      <c r="W420" s="1098"/>
      <c r="X420" s="1098"/>
      <c r="Y420" s="1098"/>
      <c r="Z420" s="1098"/>
      <c r="AA420" s="1098"/>
      <c r="AB420" s="1098"/>
      <c r="AC420" s="1098"/>
      <c r="AD420" s="1098"/>
    </row>
    <row r="421" spans="2:30">
      <c r="B421" s="1078">
        <v>418</v>
      </c>
      <c r="D421" s="1098"/>
      <c r="E421" s="1098"/>
      <c r="J421" s="46"/>
      <c r="K421" s="46"/>
      <c r="L421" s="1098"/>
      <c r="M421" s="1098"/>
      <c r="N421" s="1098"/>
      <c r="O421" s="1098"/>
      <c r="P421" s="1098"/>
      <c r="Q421" s="1098"/>
      <c r="R421" s="1098"/>
      <c r="S421" s="1098"/>
      <c r="T421" s="1098"/>
      <c r="U421" s="1098"/>
      <c r="V421" s="1098"/>
      <c r="W421" s="1098"/>
      <c r="X421" s="1098"/>
      <c r="Y421" s="1098"/>
      <c r="Z421" s="1098"/>
      <c r="AA421" s="1098"/>
      <c r="AB421" s="1098"/>
      <c r="AC421" s="1098"/>
      <c r="AD421" s="1098"/>
    </row>
    <row r="422" spans="2:30">
      <c r="J422" s="46"/>
      <c r="K422" s="46"/>
    </row>
  </sheetData>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09"/>
  <sheetViews>
    <sheetView showGridLines="0" zoomScaleNormal="100" workbookViewId="0">
      <selection activeCell="D2" sqref="D2:H2"/>
    </sheetView>
  </sheetViews>
  <sheetFormatPr defaultColWidth="5.625" defaultRowHeight="14.25" outlineLevelCol="1"/>
  <cols>
    <col min="1" max="1" width="13.75" style="380" customWidth="1"/>
    <col min="2" max="2" width="2.625" style="160" customWidth="1"/>
    <col min="3" max="3" width="2.625" style="826" customWidth="1"/>
    <col min="4" max="8" width="7.125" customWidth="1"/>
    <col min="9" max="9" width="7.5" customWidth="1"/>
    <col min="10"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hidden="1" customWidth="1" outlineLevel="1"/>
    <col min="35" max="35" width="5.625" style="160" hidden="1" customWidth="1" outlineLevel="1"/>
    <col min="36" max="37" width="9.875" style="160" hidden="1" customWidth="1" outlineLevel="1"/>
    <col min="38" max="38" width="5.625" style="160" collapsed="1"/>
    <col min="39" max="50" width="5.625" style="160"/>
    <col min="51" max="51" width="23.5" style="160" customWidth="1"/>
    <col min="52" max="53" width="34.5" style="160" customWidth="1"/>
  </cols>
  <sheetData>
    <row r="1" spans="2:53" s="159" customFormat="1" ht="21" customHeight="1">
      <c r="B1" s="557" t="s">
        <v>0</v>
      </c>
      <c r="C1" s="817"/>
      <c r="D1" s="557"/>
      <c r="E1" s="557"/>
      <c r="F1" s="557"/>
      <c r="G1" s="557"/>
      <c r="H1" s="557"/>
      <c r="I1" s="557"/>
      <c r="J1" s="557"/>
      <c r="K1" s="557"/>
      <c r="L1" s="557"/>
      <c r="M1" s="817"/>
      <c r="N1" s="557"/>
      <c r="O1" s="557"/>
      <c r="P1" s="557"/>
      <c r="Q1" s="557"/>
      <c r="R1" s="557"/>
      <c r="S1" s="557"/>
      <c r="T1" s="557"/>
      <c r="U1" s="557"/>
      <c r="V1" s="557"/>
      <c r="W1" s="557"/>
      <c r="X1" s="557"/>
      <c r="Y1" s="557"/>
      <c r="Z1" s="176"/>
      <c r="AA1" s="176"/>
      <c r="AB1" s="176"/>
      <c r="AC1" s="176"/>
      <c r="AD1" s="176"/>
      <c r="AE1" s="176"/>
      <c r="AF1" s="176"/>
      <c r="AG1" s="514"/>
      <c r="AH1" s="489"/>
      <c r="AI1" s="67"/>
      <c r="AJ1" s="67"/>
      <c r="AK1" s="67"/>
      <c r="AX1" s="160"/>
      <c r="AY1" s="160"/>
      <c r="AZ1" s="160"/>
    </row>
    <row r="2" spans="2:53" s="74" customFormat="1" ht="21" customHeight="1">
      <c r="B2" s="558"/>
      <c r="C2" s="818" t="s">
        <v>0</v>
      </c>
      <c r="D2" s="1163" t="s">
        <v>125</v>
      </c>
      <c r="E2" s="1163"/>
      <c r="F2" s="1163"/>
      <c r="G2" s="1163"/>
      <c r="H2" s="1163"/>
      <c r="I2" s="419"/>
      <c r="J2" s="419"/>
      <c r="K2" s="419"/>
      <c r="L2" s="1165">
        <f ca="1">TODAY()</f>
        <v>41163</v>
      </c>
      <c r="M2" s="1165"/>
      <c r="N2" s="1165"/>
      <c r="O2" s="1165"/>
      <c r="P2" s="1165"/>
      <c r="Q2" s="1165"/>
      <c r="R2" s="1165"/>
      <c r="S2" s="1165"/>
      <c r="T2" s="1165"/>
      <c r="U2" s="1165"/>
      <c r="V2" s="1165"/>
      <c r="W2" s="1165"/>
      <c r="X2" s="420"/>
      <c r="Y2" s="557"/>
      <c r="Z2" s="515"/>
      <c r="AA2" s="515"/>
      <c r="AB2" s="515"/>
      <c r="AC2" s="515"/>
      <c r="AD2" s="515"/>
      <c r="AE2" s="515"/>
      <c r="AF2" s="515"/>
      <c r="AG2" s="514"/>
      <c r="AH2" s="489"/>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8"/>
      <c r="C3" s="819"/>
      <c r="D3" s="37" t="s">
        <v>0</v>
      </c>
      <c r="E3" s="278" t="s">
        <v>0</v>
      </c>
      <c r="F3" s="278"/>
      <c r="G3" s="278"/>
      <c r="H3" s="278"/>
      <c r="I3" s="278"/>
      <c r="J3" s="10"/>
      <c r="K3" s="1145" t="s">
        <v>421</v>
      </c>
      <c r="L3" s="1145"/>
      <c r="M3" s="1145"/>
      <c r="N3" s="1145"/>
      <c r="O3" s="1145"/>
      <c r="P3" s="1145"/>
      <c r="Q3" s="1145"/>
      <c r="R3" s="1145"/>
      <c r="S3" s="1145"/>
      <c r="T3" s="1145"/>
      <c r="U3" s="1145"/>
      <c r="V3" s="1145"/>
      <c r="W3" s="1145"/>
      <c r="X3" s="421"/>
      <c r="Y3" s="557"/>
      <c r="Z3" s="517" t="s">
        <v>0</v>
      </c>
      <c r="AA3" s="517"/>
      <c r="AB3" s="517"/>
      <c r="AC3" s="517"/>
      <c r="AD3" s="517"/>
      <c r="AE3" s="517"/>
      <c r="AF3" s="517"/>
      <c r="AG3" s="516"/>
      <c r="AH3" s="490"/>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8"/>
      <c r="C4" s="819"/>
      <c r="D4" s="1169" t="str">
        <f>C.2Name</f>
        <v>Address federal air quality regulations in Oregon rules</v>
      </c>
      <c r="E4" s="1169"/>
      <c r="F4" s="1169"/>
      <c r="G4" s="1169"/>
      <c r="H4" s="1169"/>
      <c r="I4" s="1169"/>
      <c r="J4" s="1169"/>
      <c r="K4" s="1169"/>
      <c r="L4" s="1169"/>
      <c r="M4" s="1169"/>
      <c r="N4" s="1169"/>
      <c r="O4" s="1169"/>
      <c r="P4" s="1169"/>
      <c r="Q4" s="1169"/>
      <c r="R4" s="1169"/>
      <c r="S4" s="1169"/>
      <c r="T4" s="1169"/>
      <c r="U4" s="1169"/>
      <c r="V4" s="1169"/>
      <c r="W4" s="1169"/>
      <c r="X4" s="422"/>
      <c r="Y4" s="557"/>
      <c r="AG4" s="518"/>
      <c r="AH4" s="491"/>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8"/>
      <c r="C5" s="819"/>
      <c r="D5" s="1168" t="str">
        <f>C.4Program&amp;" - "&amp;IF(C.4Media="cross media",C.4Media,C.4Media&amp;" quality")</f>
        <v>Program Operations - air quality</v>
      </c>
      <c r="E5" s="1168"/>
      <c r="F5" s="1168"/>
      <c r="G5" s="1168"/>
      <c r="H5" s="1168"/>
      <c r="I5" s="1168"/>
      <c r="J5" s="1168"/>
      <c r="K5" s="1168"/>
      <c r="L5" s="1168"/>
      <c r="M5" s="1168"/>
      <c r="N5" s="1168"/>
      <c r="O5" s="1168"/>
      <c r="P5" s="1168"/>
      <c r="Q5" s="1168"/>
      <c r="R5" s="1168"/>
      <c r="S5" s="1168"/>
      <c r="T5" s="1168"/>
      <c r="U5" s="1168"/>
      <c r="V5" s="1168"/>
      <c r="W5" s="1168"/>
      <c r="X5" s="422"/>
      <c r="Y5" s="557"/>
      <c r="Z5" s="517"/>
      <c r="AA5" s="517"/>
      <c r="AB5" s="517"/>
      <c r="AC5" s="517"/>
      <c r="AD5" s="517"/>
      <c r="AE5" s="517"/>
      <c r="AF5" s="517"/>
      <c r="AG5" s="518"/>
      <c r="AH5" s="491"/>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8"/>
      <c r="C6" s="819"/>
      <c r="D6" s="1164" t="s">
        <v>214</v>
      </c>
      <c r="E6" s="1164"/>
      <c r="F6" s="1164"/>
      <c r="G6" s="1164"/>
      <c r="H6" s="1164"/>
      <c r="I6" s="1166" t="s">
        <v>374</v>
      </c>
      <c r="J6" s="1167"/>
      <c r="K6" s="1167"/>
      <c r="L6" s="1167"/>
      <c r="M6" s="1170" t="s">
        <v>448</v>
      </c>
      <c r="N6" s="842"/>
      <c r="O6" s="503"/>
      <c r="P6" s="503"/>
      <c r="Q6" s="503"/>
      <c r="R6" s="503"/>
      <c r="S6" s="503"/>
      <c r="T6" s="503"/>
      <c r="U6" s="503"/>
      <c r="V6" s="503"/>
      <c r="W6" s="503"/>
      <c r="X6" s="422"/>
      <c r="Y6" s="557"/>
      <c r="Z6" s="517"/>
      <c r="AA6" s="517"/>
      <c r="AB6" s="517"/>
      <c r="AC6" s="517"/>
      <c r="AD6" s="517"/>
      <c r="AE6" s="517"/>
      <c r="AF6" s="517"/>
      <c r="AG6" s="518"/>
      <c r="AH6" s="491"/>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9"/>
      <c r="C7" s="499"/>
      <c r="D7" s="1173" t="str">
        <f>C.2Summary</f>
        <v xml:space="preserve">The proposed rules would adopt new and amended federal air quality regulations and related permit rules. </v>
      </c>
      <c r="E7" s="1173"/>
      <c r="F7" s="1173"/>
      <c r="G7" s="1173"/>
      <c r="H7" s="1173"/>
      <c r="I7" s="511">
        <v>1</v>
      </c>
      <c r="J7" s="1174" t="s">
        <v>408</v>
      </c>
      <c r="K7" s="1174"/>
      <c r="L7" s="1174"/>
      <c r="M7" s="1170"/>
      <c r="N7" s="120"/>
      <c r="O7" s="120"/>
      <c r="P7" s="120"/>
      <c r="Q7" s="120"/>
      <c r="R7" s="120"/>
      <c r="S7" s="120"/>
      <c r="T7" s="120"/>
      <c r="U7" s="120"/>
      <c r="V7" s="120"/>
      <c r="W7" s="120"/>
      <c r="X7" s="423"/>
      <c r="Y7" s="557"/>
      <c r="Z7" s="176"/>
      <c r="AA7" s="176"/>
      <c r="AB7" s="176"/>
      <c r="AC7" s="176"/>
      <c r="AD7" s="176"/>
      <c r="AE7" s="176"/>
      <c r="AF7" s="176"/>
      <c r="AG7" s="176"/>
      <c r="AH7" s="492"/>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9"/>
      <c r="C8" s="499"/>
      <c r="D8" s="1173"/>
      <c r="E8" s="1173"/>
      <c r="F8" s="1173"/>
      <c r="G8" s="1173"/>
      <c r="H8" s="1173"/>
      <c r="I8" s="511">
        <v>2</v>
      </c>
      <c r="J8" s="1172" t="s">
        <v>368</v>
      </c>
      <c r="K8" s="1172"/>
      <c r="L8" s="1172"/>
      <c r="M8" s="1171"/>
      <c r="N8" s="1175" t="s">
        <v>220</v>
      </c>
      <c r="O8" s="1175"/>
      <c r="P8" s="1175"/>
      <c r="Q8" s="1175"/>
      <c r="R8" s="1175"/>
      <c r="S8" s="1175"/>
      <c r="T8" s="1175"/>
      <c r="U8" s="1175"/>
      <c r="V8" s="1175"/>
      <c r="W8" s="1175"/>
      <c r="X8" s="423"/>
      <c r="Y8" s="557"/>
      <c r="Z8" s="176"/>
      <c r="AA8" s="176"/>
      <c r="AB8" s="176"/>
      <c r="AC8" s="176"/>
      <c r="AD8" s="176"/>
      <c r="AE8" s="176"/>
      <c r="AF8" s="176"/>
      <c r="AG8" s="176"/>
      <c r="AH8" s="492"/>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9"/>
      <c r="C9" s="499"/>
      <c r="D9" s="1173"/>
      <c r="E9" s="1173"/>
      <c r="F9" s="1173"/>
      <c r="G9" s="1173"/>
      <c r="H9" s="1173"/>
      <c r="I9" s="511">
        <v>3</v>
      </c>
      <c r="J9" s="1176" t="s">
        <v>369</v>
      </c>
      <c r="K9" s="1177"/>
      <c r="L9" s="1073"/>
      <c r="M9" s="841"/>
      <c r="N9" s="132">
        <v>1</v>
      </c>
      <c r="O9" s="133">
        <v>2</v>
      </c>
      <c r="P9" s="134">
        <v>3</v>
      </c>
      <c r="Q9" s="135">
        <v>4</v>
      </c>
      <c r="R9" s="136">
        <v>5</v>
      </c>
      <c r="S9" s="137">
        <v>6</v>
      </c>
      <c r="T9" s="138">
        <v>7</v>
      </c>
      <c r="U9" s="139">
        <v>8</v>
      </c>
      <c r="V9" s="140">
        <v>9</v>
      </c>
      <c r="W9" s="141">
        <v>10</v>
      </c>
      <c r="X9" s="423"/>
      <c r="Y9" s="557"/>
      <c r="Z9" s="176"/>
      <c r="AA9" s="176"/>
      <c r="AB9" s="176"/>
      <c r="AC9" s="176"/>
      <c r="AD9" s="176"/>
      <c r="AE9" s="176"/>
      <c r="AF9" s="176"/>
      <c r="AG9" s="176"/>
      <c r="AH9" s="498">
        <f>IF(C.3ComplexityRating=1,0,C.3ComplexityRating*2)</f>
        <v>6</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9"/>
      <c r="C10" s="499"/>
      <c r="D10" s="1173"/>
      <c r="E10" s="1173"/>
      <c r="F10" s="1173"/>
      <c r="G10" s="1173"/>
      <c r="H10" s="1173"/>
      <c r="I10" s="511">
        <v>4</v>
      </c>
      <c r="J10" s="1072" t="s">
        <v>350</v>
      </c>
      <c r="K10" s="1073"/>
      <c r="L10" s="1073"/>
      <c r="M10" s="841">
        <f>C.4SeverityRating</f>
        <v>3</v>
      </c>
      <c r="N10" s="132">
        <v>1</v>
      </c>
      <c r="O10" s="133">
        <v>2</v>
      </c>
      <c r="P10" s="134">
        <v>3</v>
      </c>
      <c r="Q10" s="135">
        <v>4</v>
      </c>
      <c r="R10" s="136">
        <v>5</v>
      </c>
      <c r="S10" s="137">
        <v>6</v>
      </c>
      <c r="T10" s="138">
        <v>7</v>
      </c>
      <c r="U10" s="139">
        <v>8</v>
      </c>
      <c r="V10" s="140">
        <v>9</v>
      </c>
      <c r="W10" s="141">
        <v>10</v>
      </c>
      <c r="X10" s="423"/>
      <c r="Y10" s="557"/>
      <c r="Z10" s="176"/>
      <c r="AA10" s="176"/>
      <c r="AB10" s="176"/>
      <c r="AC10" s="176"/>
      <c r="AD10" s="176"/>
      <c r="AE10" s="176"/>
      <c r="AF10" s="176"/>
      <c r="AG10" s="176"/>
      <c r="AH10" s="498">
        <f>C.4ComplexityRating</f>
        <v>5</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9"/>
      <c r="C11" s="499"/>
      <c r="D11" s="1173"/>
      <c r="E11" s="1173"/>
      <c r="F11" s="1173"/>
      <c r="G11" s="1173"/>
      <c r="H11" s="1173"/>
      <c r="I11" s="511">
        <v>5</v>
      </c>
      <c r="J11" s="1176" t="s">
        <v>100</v>
      </c>
      <c r="K11" s="1177"/>
      <c r="L11" s="1073"/>
      <c r="M11" s="841">
        <f>C.5SeverityRating</f>
        <v>5</v>
      </c>
      <c r="N11" s="132">
        <v>1</v>
      </c>
      <c r="O11" s="133">
        <v>2</v>
      </c>
      <c r="P11" s="134">
        <v>3</v>
      </c>
      <c r="Q11" s="135">
        <v>4</v>
      </c>
      <c r="R11" s="136">
        <v>5</v>
      </c>
      <c r="S11" s="137">
        <v>6</v>
      </c>
      <c r="T11" s="138">
        <v>7</v>
      </c>
      <c r="U11" s="139">
        <v>8</v>
      </c>
      <c r="V11" s="140">
        <v>9</v>
      </c>
      <c r="W11" s="141">
        <v>10</v>
      </c>
      <c r="X11" s="423"/>
      <c r="Y11" s="557"/>
      <c r="Z11" s="176"/>
      <c r="AA11" s="176"/>
      <c r="AB11" s="176"/>
      <c r="AC11" s="176"/>
      <c r="AD11" s="176"/>
      <c r="AE11" s="176"/>
      <c r="AF11" s="176"/>
      <c r="AG11" s="176"/>
      <c r="AH11" s="498">
        <f>C.5ComplexityRating</f>
        <v>5</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9"/>
      <c r="C12" s="499"/>
      <c r="D12" s="1173"/>
      <c r="E12" s="1173"/>
      <c r="F12" s="1173"/>
      <c r="G12" s="1173"/>
      <c r="H12" s="1173"/>
      <c r="I12" s="511">
        <v>6</v>
      </c>
      <c r="J12" s="1072" t="s">
        <v>101</v>
      </c>
      <c r="K12" s="1073"/>
      <c r="L12" s="1073"/>
      <c r="M12" s="841"/>
      <c r="N12" s="132">
        <v>1</v>
      </c>
      <c r="O12" s="133">
        <v>2</v>
      </c>
      <c r="P12" s="134">
        <v>3</v>
      </c>
      <c r="Q12" s="135">
        <v>4</v>
      </c>
      <c r="R12" s="136">
        <v>5</v>
      </c>
      <c r="S12" s="137">
        <v>6</v>
      </c>
      <c r="T12" s="138">
        <v>7</v>
      </c>
      <c r="U12" s="139">
        <v>8</v>
      </c>
      <c r="V12" s="140">
        <v>9</v>
      </c>
      <c r="W12" s="142">
        <v>10</v>
      </c>
      <c r="X12" s="423"/>
      <c r="Y12" s="557"/>
      <c r="Z12" s="176"/>
      <c r="AA12" s="176"/>
      <c r="AB12" s="176"/>
      <c r="AC12" s="176"/>
      <c r="AD12" s="176"/>
      <c r="AE12" s="176"/>
      <c r="AF12" s="176"/>
      <c r="AG12" s="176"/>
      <c r="AH12" s="498">
        <f>C.6ComplexityRating</f>
        <v>3</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9"/>
      <c r="C13" s="499"/>
      <c r="D13" s="1173"/>
      <c r="E13" s="1173"/>
      <c r="F13" s="1173"/>
      <c r="G13" s="1173"/>
      <c r="H13" s="1173"/>
      <c r="I13" s="511">
        <v>7</v>
      </c>
      <c r="J13" s="1176" t="s">
        <v>298</v>
      </c>
      <c r="K13" s="1177"/>
      <c r="L13" s="1073"/>
      <c r="M13" s="841">
        <f>C.7SeverityRating</f>
        <v>1</v>
      </c>
      <c r="N13" s="132">
        <v>1</v>
      </c>
      <c r="O13" s="133">
        <v>2</v>
      </c>
      <c r="P13" s="134">
        <v>3</v>
      </c>
      <c r="Q13" s="135">
        <v>4</v>
      </c>
      <c r="R13" s="136">
        <v>5</v>
      </c>
      <c r="S13" s="137">
        <v>6</v>
      </c>
      <c r="T13" s="138">
        <v>7</v>
      </c>
      <c r="U13" s="139">
        <v>8</v>
      </c>
      <c r="V13" s="140">
        <v>9</v>
      </c>
      <c r="W13" s="141">
        <v>10</v>
      </c>
      <c r="X13" s="423"/>
      <c r="Y13" s="557"/>
      <c r="Z13" s="176"/>
      <c r="AA13" s="176"/>
      <c r="AB13" s="176"/>
      <c r="AC13" s="176"/>
      <c r="AD13" s="176"/>
      <c r="AE13" s="176"/>
      <c r="AF13" s="176"/>
      <c r="AG13" s="176"/>
      <c r="AH13" s="498">
        <f>C.7ComplexityRating</f>
        <v>3</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9"/>
      <c r="C14" s="499"/>
      <c r="D14" s="1173"/>
      <c r="E14" s="1173"/>
      <c r="F14" s="1173"/>
      <c r="G14" s="1173"/>
      <c r="H14" s="1173"/>
      <c r="I14" s="511">
        <v>8</v>
      </c>
      <c r="J14" s="1072" t="s">
        <v>102</v>
      </c>
      <c r="K14" s="1073"/>
      <c r="L14" s="1073"/>
      <c r="M14" s="841">
        <f>C.8SeverityRating</f>
        <v>5</v>
      </c>
      <c r="N14" s="132">
        <v>1</v>
      </c>
      <c r="O14" s="133">
        <v>2</v>
      </c>
      <c r="P14" s="134">
        <v>3</v>
      </c>
      <c r="Q14" s="135">
        <v>4</v>
      </c>
      <c r="R14" s="136">
        <v>5</v>
      </c>
      <c r="S14" s="137">
        <v>6</v>
      </c>
      <c r="T14" s="138">
        <v>7</v>
      </c>
      <c r="U14" s="139">
        <v>8</v>
      </c>
      <c r="V14" s="140">
        <v>9</v>
      </c>
      <c r="W14" s="141">
        <v>10</v>
      </c>
      <c r="X14" s="423"/>
      <c r="Y14" s="557"/>
      <c r="Z14" s="176"/>
      <c r="AA14" s="176"/>
      <c r="AB14" s="176"/>
      <c r="AC14" s="176"/>
      <c r="AD14" s="176"/>
      <c r="AE14" s="176"/>
      <c r="AF14" s="176"/>
      <c r="AG14" s="176"/>
      <c r="AH14" s="498">
        <f>C.8SeverityRating</f>
        <v>5</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9"/>
      <c r="C15" s="499"/>
      <c r="D15" s="1173"/>
      <c r="E15" s="1173"/>
      <c r="F15" s="1173"/>
      <c r="G15" s="1173"/>
      <c r="H15" s="1173"/>
      <c r="I15" s="511">
        <v>9</v>
      </c>
      <c r="J15" s="1176" t="s">
        <v>327</v>
      </c>
      <c r="K15" s="1177"/>
      <c r="L15" s="1073"/>
      <c r="M15" s="834"/>
      <c r="N15" s="132">
        <v>1</v>
      </c>
      <c r="O15" s="133">
        <v>2</v>
      </c>
      <c r="P15" s="134">
        <v>3</v>
      </c>
      <c r="Q15" s="135">
        <v>4</v>
      </c>
      <c r="R15" s="136">
        <v>5</v>
      </c>
      <c r="S15" s="137">
        <v>6</v>
      </c>
      <c r="T15" s="138">
        <v>7</v>
      </c>
      <c r="U15" s="139">
        <v>8</v>
      </c>
      <c r="V15" s="140">
        <v>9</v>
      </c>
      <c r="W15" s="141">
        <v>10</v>
      </c>
      <c r="X15" s="423"/>
      <c r="Y15" s="557"/>
      <c r="Z15" s="176"/>
      <c r="AA15" s="176"/>
      <c r="AB15" s="176"/>
      <c r="AC15" s="176"/>
      <c r="AD15" s="176"/>
      <c r="AE15" s="176"/>
      <c r="AF15" s="176"/>
      <c r="AG15" s="176"/>
      <c r="AH15" s="498">
        <f>C.9ComplexityRating</f>
        <v>6</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9"/>
      <c r="C16" s="499"/>
      <c r="D16" s="1173"/>
      <c r="E16" s="1173"/>
      <c r="F16" s="1173"/>
      <c r="G16" s="1173"/>
      <c r="H16" s="1173"/>
      <c r="I16" s="511">
        <v>10</v>
      </c>
      <c r="J16" s="1072" t="s">
        <v>326</v>
      </c>
      <c r="K16" s="1073"/>
      <c r="L16" s="1073"/>
      <c r="M16" s="834"/>
      <c r="N16" s="132">
        <v>1</v>
      </c>
      <c r="O16" s="133">
        <v>2</v>
      </c>
      <c r="P16" s="134">
        <v>3</v>
      </c>
      <c r="Q16" s="135">
        <v>4</v>
      </c>
      <c r="R16" s="136">
        <v>5</v>
      </c>
      <c r="S16" s="137">
        <v>6</v>
      </c>
      <c r="T16" s="138">
        <v>7</v>
      </c>
      <c r="U16" s="139">
        <v>8</v>
      </c>
      <c r="V16" s="140">
        <v>9</v>
      </c>
      <c r="W16" s="141">
        <v>10</v>
      </c>
      <c r="X16" s="423"/>
      <c r="Y16" s="557"/>
      <c r="Z16" s="176"/>
      <c r="AA16" s="176"/>
      <c r="AB16" s="176"/>
      <c r="AC16" s="176"/>
      <c r="AD16" s="176"/>
      <c r="AE16" s="176"/>
      <c r="AF16" s="176"/>
      <c r="AG16" s="176"/>
      <c r="AH16" s="498">
        <f>C.10ComplexityRating</f>
        <v>3</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9"/>
      <c r="C17" s="499"/>
      <c r="D17" s="1173"/>
      <c r="E17" s="1173"/>
      <c r="F17" s="1173"/>
      <c r="G17" s="1173"/>
      <c r="H17" s="1173"/>
      <c r="I17" s="511">
        <v>11</v>
      </c>
      <c r="J17" s="1072" t="s">
        <v>370</v>
      </c>
      <c r="K17" s="1073"/>
      <c r="L17" s="1073"/>
      <c r="M17" s="834"/>
      <c r="N17" s="132">
        <v>1</v>
      </c>
      <c r="O17" s="133">
        <v>2</v>
      </c>
      <c r="P17" s="134">
        <v>3</v>
      </c>
      <c r="Q17" s="135">
        <v>4</v>
      </c>
      <c r="R17" s="136">
        <v>5</v>
      </c>
      <c r="S17" s="137">
        <v>6</v>
      </c>
      <c r="T17" s="138">
        <v>7</v>
      </c>
      <c r="U17" s="139">
        <v>8</v>
      </c>
      <c r="V17" s="140">
        <v>9</v>
      </c>
      <c r="W17" s="141">
        <v>10</v>
      </c>
      <c r="X17" s="423"/>
      <c r="Y17" s="557"/>
      <c r="Z17" s="176"/>
      <c r="AA17" s="176"/>
      <c r="AB17" s="176"/>
      <c r="AC17" s="176"/>
      <c r="AD17" s="176"/>
      <c r="AE17" s="176"/>
      <c r="AF17" s="176"/>
      <c r="AG17" s="176"/>
      <c r="AH17" s="498">
        <f>C.11ComplexityRating</f>
        <v>3</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9"/>
      <c r="C18" s="499"/>
      <c r="D18" s="1173"/>
      <c r="E18" s="1173"/>
      <c r="F18" s="1173"/>
      <c r="G18" s="1173"/>
      <c r="H18" s="1173"/>
      <c r="I18" s="511">
        <v>12</v>
      </c>
      <c r="J18" s="1176" t="s">
        <v>329</v>
      </c>
      <c r="K18" s="1177"/>
      <c r="L18" s="1073"/>
      <c r="M18" s="834"/>
      <c r="N18" s="132">
        <v>1</v>
      </c>
      <c r="O18" s="133">
        <v>2</v>
      </c>
      <c r="P18" s="134">
        <v>3</v>
      </c>
      <c r="Q18" s="135">
        <v>4</v>
      </c>
      <c r="R18" s="136">
        <v>5</v>
      </c>
      <c r="S18" s="137">
        <v>6</v>
      </c>
      <c r="T18" s="138">
        <v>7</v>
      </c>
      <c r="U18" s="139">
        <v>8</v>
      </c>
      <c r="V18" s="140">
        <v>9</v>
      </c>
      <c r="W18" s="141">
        <v>10</v>
      </c>
      <c r="X18" s="423"/>
      <c r="Y18" s="557"/>
      <c r="Z18" s="176"/>
      <c r="AA18" s="176"/>
      <c r="AB18" s="176"/>
      <c r="AC18" s="176"/>
      <c r="AD18" s="176"/>
      <c r="AE18" s="176"/>
      <c r="AF18" s="176"/>
      <c r="AG18" s="176"/>
      <c r="AH18" s="498">
        <f>C.12ComplexityRating</f>
        <v>5</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9"/>
      <c r="C19" s="499"/>
      <c r="D19" s="792"/>
      <c r="E19" s="792"/>
      <c r="F19" s="792"/>
      <c r="G19" s="792"/>
      <c r="H19" s="792"/>
      <c r="I19" s="511"/>
      <c r="J19" s="512"/>
      <c r="K19" s="512"/>
      <c r="L19" s="512"/>
      <c r="M19" s="248"/>
      <c r="N19" s="542"/>
      <c r="O19" s="543"/>
      <c r="P19" s="544"/>
      <c r="Q19" s="545"/>
      <c r="R19" s="546"/>
      <c r="S19" s="547"/>
      <c r="T19" s="548"/>
      <c r="U19" s="549"/>
      <c r="V19" s="550"/>
      <c r="W19" s="551"/>
      <c r="X19" s="423"/>
      <c r="Y19" s="557"/>
      <c r="Z19" s="176"/>
      <c r="AA19" s="176"/>
      <c r="AB19" s="176"/>
      <c r="AC19" s="176"/>
      <c r="AD19" s="176"/>
      <c r="AE19" s="176"/>
      <c r="AF19" s="176"/>
      <c r="AG19" s="176"/>
      <c r="AH19" s="513"/>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9"/>
      <c r="C20" s="1161" t="s">
        <v>104</v>
      </c>
      <c r="D20" s="1162"/>
      <c r="E20" s="1162"/>
      <c r="F20" s="1162"/>
      <c r="G20" s="1162"/>
      <c r="H20" s="152"/>
      <c r="I20" s="1178" t="s">
        <v>233</v>
      </c>
      <c r="J20" s="1179"/>
      <c r="K20" s="1179"/>
      <c r="L20" s="151"/>
      <c r="M20" s="839"/>
      <c r="N20" s="151"/>
      <c r="O20" s="151"/>
      <c r="P20" s="151"/>
      <c r="Q20" s="151"/>
      <c r="R20" s="151"/>
      <c r="S20" s="151"/>
      <c r="T20" s="151"/>
      <c r="U20" s="151"/>
      <c r="V20" s="151"/>
      <c r="W20" s="151"/>
      <c r="X20" s="423"/>
      <c r="Y20" s="557"/>
      <c r="Z20" s="176"/>
      <c r="AA20" s="176"/>
      <c r="AB20" s="176"/>
      <c r="AC20" s="176"/>
      <c r="AD20" s="176"/>
      <c r="AE20" s="176"/>
      <c r="AF20" s="176"/>
      <c r="AG20" s="176"/>
      <c r="AH20" s="492"/>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9"/>
      <c r="C21" s="820"/>
      <c r="D21" s="1160" t="s">
        <v>0</v>
      </c>
      <c r="E21" s="1160"/>
      <c r="F21" s="1160"/>
      <c r="G21" s="1160"/>
      <c r="H21" s="1160"/>
      <c r="I21" s="1160"/>
      <c r="J21" s="1160"/>
      <c r="K21" s="1160"/>
      <c r="L21" s="1160"/>
      <c r="M21" s="1160"/>
      <c r="N21" s="1160"/>
      <c r="O21" s="1160"/>
      <c r="P21" s="1160"/>
      <c r="Q21" s="1160"/>
      <c r="R21" s="1160"/>
      <c r="S21" s="1160"/>
      <c r="T21" s="1160"/>
      <c r="U21" s="1160"/>
      <c r="V21" s="148"/>
      <c r="W21" s="148"/>
      <c r="X21" s="423"/>
      <c r="Y21" s="557"/>
      <c r="Z21" s="176"/>
      <c r="AA21" s="176"/>
      <c r="AB21" s="176"/>
      <c r="AC21" s="176"/>
      <c r="AD21" s="176"/>
      <c r="AE21" s="176"/>
      <c r="AF21" s="176"/>
      <c r="AG21" s="176"/>
      <c r="AH21" s="492"/>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9"/>
      <c r="C22" s="820"/>
      <c r="D22" s="1180">
        <f>C.6SStartYr</f>
        <v>2013</v>
      </c>
      <c r="E22" s="1181"/>
      <c r="F22" s="1181"/>
      <c r="G22" s="1182"/>
      <c r="H22" s="1180">
        <f>D22+1</f>
        <v>2014</v>
      </c>
      <c r="I22" s="1181"/>
      <c r="J22" s="1181"/>
      <c r="K22" s="1182"/>
      <c r="L22" s="1180">
        <f>D22+2</f>
        <v>2015</v>
      </c>
      <c r="M22" s="1181"/>
      <c r="N22" s="1181"/>
      <c r="O22" s="1181"/>
      <c r="P22" s="1181"/>
      <c r="Q22" s="1181"/>
      <c r="R22" s="1181"/>
      <c r="S22" s="1181"/>
      <c r="T22" s="1181"/>
      <c r="U22" s="1182"/>
      <c r="V22" s="148"/>
      <c r="W22" s="148"/>
      <c r="X22" s="423"/>
      <c r="Y22" s="557"/>
      <c r="Z22" s="176" t="s">
        <v>0</v>
      </c>
      <c r="AA22" s="176"/>
      <c r="AB22" s="176"/>
      <c r="AC22" s="176"/>
      <c r="AD22" s="176"/>
      <c r="AE22" s="176"/>
      <c r="AF22" s="176"/>
      <c r="AG22" s="176"/>
      <c r="AH22" s="55"/>
      <c r="AI22" s="495"/>
      <c r="AJ22" s="495"/>
      <c r="AK22" s="495"/>
      <c r="AL22" s="165"/>
      <c r="AM22" s="165"/>
      <c r="AN22" s="165"/>
      <c r="AO22" s="165"/>
      <c r="AP22" s="165"/>
      <c r="AQ22" s="165"/>
      <c r="AR22" s="163"/>
      <c r="AS22" s="163"/>
      <c r="AT22" s="163"/>
      <c r="AU22" s="163"/>
      <c r="AV22" s="163"/>
      <c r="AW22" s="163"/>
      <c r="AX22" s="163"/>
      <c r="AY22" s="163"/>
      <c r="AZ22" s="163"/>
      <c r="BA22" s="163"/>
    </row>
    <row r="23" spans="2:53" s="66" customFormat="1" ht="12.75" customHeight="1">
      <c r="B23" s="559"/>
      <c r="C23" s="820"/>
      <c r="D23" s="125" t="s">
        <v>56</v>
      </c>
      <c r="E23" s="150" t="s">
        <v>195</v>
      </c>
      <c r="F23" s="150" t="s">
        <v>209</v>
      </c>
      <c r="G23" s="150" t="s">
        <v>191</v>
      </c>
      <c r="H23" s="125" t="s">
        <v>56</v>
      </c>
      <c r="I23" s="150" t="s">
        <v>195</v>
      </c>
      <c r="J23" s="150" t="s">
        <v>209</v>
      </c>
      <c r="K23" s="150" t="s">
        <v>191</v>
      </c>
      <c r="L23" s="125" t="s">
        <v>56</v>
      </c>
      <c r="M23" s="840" t="s">
        <v>195</v>
      </c>
      <c r="N23" s="1156" t="s">
        <v>209</v>
      </c>
      <c r="O23" s="1157"/>
      <c r="P23" s="1157"/>
      <c r="Q23" s="1157"/>
      <c r="R23" s="1156" t="s">
        <v>191</v>
      </c>
      <c r="S23" s="1157"/>
      <c r="T23" s="1157"/>
      <c r="U23" s="1158"/>
      <c r="V23" s="148"/>
      <c r="W23" s="148"/>
      <c r="X23" s="423"/>
      <c r="Y23" s="557"/>
      <c r="Z23" s="176"/>
      <c r="AA23" s="176"/>
      <c r="AB23" s="176"/>
      <c r="AC23" s="176"/>
      <c r="AD23" s="176"/>
      <c r="AE23" s="176"/>
      <c r="AF23" s="176"/>
      <c r="AG23" s="176"/>
      <c r="AH23" s="495" t="s">
        <v>0</v>
      </c>
      <c r="AI23" s="495"/>
      <c r="AJ23" s="495"/>
      <c r="AK23" s="495"/>
      <c r="AL23" s="163"/>
      <c r="AM23" s="163"/>
      <c r="AN23" s="163"/>
      <c r="AO23" s="163"/>
      <c r="AP23" s="163"/>
      <c r="AQ23" s="163"/>
      <c r="AR23" s="163"/>
      <c r="AS23" s="163"/>
      <c r="AT23" s="163"/>
      <c r="AU23" s="163"/>
      <c r="AV23" s="163"/>
      <c r="AW23" s="163"/>
      <c r="AX23" s="163"/>
      <c r="AY23" s="163"/>
      <c r="AZ23" s="163"/>
      <c r="BA23" s="163"/>
    </row>
    <row r="24" spans="2:53" s="66" customFormat="1" ht="15.75" customHeight="1">
      <c r="B24" s="559"/>
      <c r="C24" s="820"/>
      <c r="D24" s="155" t="str">
        <f>IF(AND(C.6SStartYr=$D$22,C.6SStartQtr=1),"&lt;Start","")</f>
        <v/>
      </c>
      <c r="E24" s="410" t="str">
        <f>IF(D24="Effective&gt;","",IF(AND(C.6SStartYr=$D$22,C.6SStartQtr=2),"&lt;Start",IF(AND(C.6SEffectiveYr=$D$22,C.6SEffectiveQtr=2),"Effective&gt;",IF(OR(D24="&lt;Start",D24="---"),"---",""))))</f>
        <v>&lt;Start</v>
      </c>
      <c r="F24" s="410" t="str">
        <f>IF(E24="Effective&gt;","",IF(AND(C.6SStartYr=$D$22,C.6SStartQtr=3),"&lt;Start",IF(AND(C.6SEffectiveYr=$D$22,C.6SEffectiveQtr=3),"Effective&gt;",IF(OR(E24="&lt;Start",E24="---"),"---",""))))</f>
        <v>---</v>
      </c>
      <c r="G24" s="410" t="str">
        <f>IF(F24="Effective&gt;","",IF(AND(C.6SStartYr=$D$22,C.6SStartQtr=4),"&lt;Start",IF(AND(C.6SEffectiveYr=$D$22,C.6SEffectiveQtr=4),"Effective&gt;",IF(OR(F24="&lt;Start",F24="---"),"---",""))))</f>
        <v>Effective&gt;</v>
      </c>
      <c r="H24" s="155" t="str">
        <f>IF(G24="Effective&gt;","",IF(AND(C.6SStartYr=$H$22,C.6SStartQtr=1),"&lt;Start",IF(AND(C.6SEffectiveYr=$H$22,C.6SEffectiveQtr=1),"Effective&gt;",IF(OR(G24="&lt;Start",G24="---"),"---",""))))</f>
        <v/>
      </c>
      <c r="I24" s="410" t="str">
        <f>IF(H24="Effective&gt;","",IF(AND(C.6SStartYr=$H$22,C.6SStartQtr=2),"&lt;Start",IF(AND(C.6SEffectiveYr=$H$22,C.6SEffectiveQtr=2),"Effective&gt;",IF(OR(H24="&lt;Start",H24="---"),"---",""))))</f>
        <v/>
      </c>
      <c r="J24" s="410" t="str">
        <f>IF(I24="End&gt;","",IF(AND(C.6SStartYr=$H$22,C.6SStartQtr=3),"&lt;Start",IF(AND(C.6SEffectiveYr=$H$22,C.6SEffectiveQtr=3),"Effective&gt;",IF(OR(I24="&lt;Start",I24="---"),"---",""))))</f>
        <v/>
      </c>
      <c r="K24" s="410"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8" t="str">
        <f>IF(L24="Effective&gt;","",IF(AND(C.6SStartYr=$L$22,C.6SStartQtr=2),"&lt;Start",IF(AND(C.6SEffectiveYr=$L$22,C.6SEffectiveQtr=2),"Effective&gt;",IF(OR(L24="&lt;Start",L24="---"),"---",""))))</f>
        <v/>
      </c>
      <c r="N24" s="1148" t="str">
        <f>IF(M24="Effective&gt;","",IF(AND(C.6SStartYr=$L$22,C.6SStartQtr=3),"&lt;Start",IF(AND(C.6SEffectiveYr=$L$22,C.6SEffectiveQtr=3),"Effective&gt;",IF(OR(M24="&lt;Start",M24="---"),"---",""))))</f>
        <v/>
      </c>
      <c r="O24" s="1148"/>
      <c r="P24" s="1148"/>
      <c r="Q24" s="1148"/>
      <c r="R24" s="1148" t="str">
        <f>IF(N24="Effective&gt;","",IF(AND(C.6SStartYr=$L$22,C.6SStartQtr=4),"&lt;Start",IF(AND(C.6SEffectiveYr=$L$22,C.6SEffectiveQtr=4),"Effective&gt;",IF(OR(N24="&lt;Start",N24="---"),"---",""))))</f>
        <v/>
      </c>
      <c r="S24" s="1148"/>
      <c r="T24" s="1148"/>
      <c r="U24" s="1148"/>
      <c r="V24" s="1153"/>
      <c r="W24" s="1154"/>
      <c r="X24" s="1155"/>
      <c r="Y24" s="557"/>
      <c r="Z24" s="176"/>
      <c r="AA24" s="176"/>
      <c r="AB24" s="176"/>
      <c r="AC24" s="176"/>
      <c r="AD24" s="176"/>
      <c r="AE24" s="176"/>
      <c r="AF24" s="176"/>
      <c r="AG24" s="176"/>
      <c r="AH24" s="496" t="s">
        <v>0</v>
      </c>
      <c r="AI24" s="496"/>
      <c r="AJ24" s="496"/>
      <c r="AK24" s="496"/>
      <c r="AL24" s="163"/>
      <c r="AM24" s="163"/>
      <c r="AN24" s="163"/>
      <c r="AO24" s="163"/>
      <c r="AP24" s="163"/>
      <c r="AQ24" s="163"/>
      <c r="AR24" s="163"/>
      <c r="AS24" s="163"/>
      <c r="AT24" s="163"/>
      <c r="AU24" s="163"/>
      <c r="AV24" s="163"/>
      <c r="AW24" s="163"/>
      <c r="AX24" s="163"/>
      <c r="AY24" s="163"/>
      <c r="AZ24" s="163"/>
      <c r="BA24" s="163"/>
    </row>
    <row r="25" spans="2:53" s="66" customFormat="1" ht="15.75" customHeight="1">
      <c r="B25" s="559"/>
      <c r="C25" s="820"/>
      <c r="D25" s="155" t="str">
        <f>IF(AND(C.6SACStartYr=$D$22,C.6SACStartQtr=1,C.6SACEndYr=$D$22,C.7SACEndQtr=1),"&lt;AdvCom&gt;",IF(AND(C.6SACStartYr=$D$22,C.6SACStartQtr=1),"&lt;AdvCom",""))</f>
        <v>&lt;AdvCom&gt;</v>
      </c>
      <c r="E25" s="410" t="str">
        <f>IF(OR(D25="&lt;AdvCom&gt;",D25="End&gt;"),"",IF(AND(C.6SACStartYr=$D$22,C.6SACStartQtr=2,C.6SACEndYr=$D$22,C.7SACEndQtr=2),"&lt;AdvCom&gt;",IF(AND(C.6SACStartYr=$D$22,C.6SACStartQtr=2),"&lt;AdvCom",IF(AND(C.6SACEndYr=$D$22,C.7SACEndQtr=2),"End&gt;",IF(OR(D25="&lt;AdvCom",D25="---"),"---","")))))</f>
        <v/>
      </c>
      <c r="F25" s="410" t="str">
        <f>IF(OR(E25="&lt;AdvCom&gt;",E25="End&gt;"),"",IF(AND(C.6SACStartYr=$D$22,C.6SACStartQtr=3,C.6SACEndYr=$D$22,C.7SACEndQtr=3),"&lt;AdvCom&gt;",IF(AND(C.6SACStartYr=$D$22,C.6SACStartQtr=3),"&lt;AdvCom",IF(AND(C.6SACEndYr=$D$22,C.7SACEndQtr=3),"End&gt;",IF(OR(E25="&lt;AdvCom",E25="---"),"---","")))))</f>
        <v/>
      </c>
      <c r="G25" s="410"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10" t="str">
        <f>IF(OR(H25="&lt;AdvCom&gt;",H25="End&gt;"),"",IF(AND(C.6SACStartYr=$H$22,C.6SACStartQtr=2,C.6SACEndYr=$H$22,C.7SACEndQtr=2),"&lt;AdvCom&gt;",IF(AND(C.6SACStartYr=$H$22,C.6SACStartQtr=2),"&lt;AdvCom",IF(AND(C.6SACEndYr=$H$22,C.7SACEndQtr=2),"End&gt;",IF(OR(H25="&lt;AdvCom",H25="---"),"---","")))))</f>
        <v/>
      </c>
      <c r="J25" s="410" t="str">
        <f>IF(OR(H25="&lt;AdvCom&gt;",H25="End&gt;"),"",IF(AND(C.6SACStartYr=$H$22,C.6SACStartQtr=3,C.6SACEndYr=$H$22,C.7SACEndQtr=3),"&lt;AdvCom&gt;",IF(AND(C.6SACStartYr=$H$22,C.6SACStartQtr=3),"&lt;AdvCom",IF(AND(C.6SACEndYr=$H$22,C.7SACEndQtr=3),"End&gt;",IF(OR(H25="&lt;AdvCom",H25="---"),"---","")))))</f>
        <v/>
      </c>
      <c r="K25" s="411"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8" t="str">
        <f>IF(OR(L25="&lt;AdvCom&gt;",L25="End&gt;"),"",IF(AND(C.6SACStartYr=$L$22,C.6SACStartQtr=2,C.6SACEndYr=$L$22,C.7SACEndQtr=2),"&lt;AdvCom&gt;",IF(AND(C.6SACStartYr=$L$22,C.6SACStartQtr=2),"&lt;AdvCom",IF(AND(C.6SACEndYr=$L$22,C.7SACEndQtr=2),"End&gt;",IF(OR(L25="&lt;AdvCom",L25="---"),"---","")))))</f>
        <v/>
      </c>
      <c r="N25" s="1148" t="str">
        <f>IF(OR(M25="&lt;AdvCom&gt;",M25="End&gt;"),"",IF(AND(C.6SACStartYr=$L$22,C.6SACStartQtr=2,C.6SACEndYr=$L$22,C.7SACEndQtr=3),"&lt;AdvCom&gt;",IF(AND(C.6SACStartYr=$L$22,C.6SACStartQtr=3),"&lt;AdvCom",IF(AND(C.6SACEndYr=$L$22,C.7SACEndQtr=3),"End&gt;",IF(OR(M25="&lt;AdvCom",M25="---"),"---","")))))</f>
        <v/>
      </c>
      <c r="O25" s="1148"/>
      <c r="P25" s="1148"/>
      <c r="Q25" s="1148"/>
      <c r="R25" s="1148" t="str">
        <f>IF(OR(N25="&lt;AdvCom&gt;",N25="End&gt;"),"",IF(AND(C.6SACStartYr=$L$22,C.6SACStartQtr=4,C.6SACEndYr=$L$22,C.7SACEndQtr=4),"&lt;AdvCom&gt;",IF(AND(C.6SACStartYr=$L$22,C.6SACStartQtr=4),"&lt;AdvCom",IF(AND(C.6SACEndYr=$L$22,C.7SACEndQtr=4),"End&gt;",IF(OR(N25="&lt;AdvCom",N25="---"),"---","")))))</f>
        <v/>
      </c>
      <c r="S25" s="1148"/>
      <c r="T25" s="1148"/>
      <c r="U25" s="1149"/>
      <c r="V25" s="149"/>
      <c r="W25" s="148"/>
      <c r="X25" s="423"/>
      <c r="Y25" s="557"/>
      <c r="Z25" s="176"/>
      <c r="AA25" s="176"/>
      <c r="AB25" s="176"/>
      <c r="AC25" s="176"/>
      <c r="AD25" s="176"/>
      <c r="AE25" s="176"/>
      <c r="AF25" s="176"/>
      <c r="AG25" s="176"/>
      <c r="AH25" s="492"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9"/>
      <c r="C26" s="820"/>
      <c r="D26" s="155" t="str">
        <f>IF(AND(C.6SNoticeStartYr=$D$22,C.6SNoticeStartQtr=1,C.6SNoticeEndYr=$D$22,C.6SNoticeEndQtr=1),"&lt;Notice&gt;",IF(AND(C.6SNoticeStartYr=$D$22,C.6SNoticeStartQtr=1),"&lt;Notice",""))</f>
        <v/>
      </c>
      <c r="E26" s="410" t="str">
        <f>IF(OR(D26="&lt;Notice&gt;",D26="End&gt;"),"",IF(AND(C.6SNoticeStartYr=$D$22,C.6SNoticeStartQtr=2,C.6SNoticeEndYr=$D$22,C.6SNoticeEndQtr=2),"&lt;Notice&gt;",IF(AND(C.6SNoticeStartYr=$D$22,C.6SNoticeStartQtr=2),"&lt;Notice",IF(AND(C.6SNoticeEndYr=$D$22,C.6SNoticeEndQtr=2),"End&gt;",IF(OR(D26="&lt;Notice",D26="---"),"---","")))))</f>
        <v/>
      </c>
      <c r="F26" s="410" t="str">
        <f>IF(OR(E26="&lt;Notice&gt;",E26="End&gt;"),"",IF(AND(C.6SNoticeStartYr=$D$22,C.6SNoticeStartQtr=3,C.6SNoticeEndYr=$D$22,C.6SNoticeEndQtr=3),"&lt;Notice&gt;",IF(AND(C.6SNoticeStartYr=$D$22,C.6SNoticeStartQtr=3),"&lt;ANotice",IF(AND(C.6SNoticeEndYr=$D$22,C.6SNoticeEndQtr=3),"End&gt;",IF(OR(E26="&lt;Notice",E26="---"),"---","")))))</f>
        <v>&lt;Notice&gt;</v>
      </c>
      <c r="G26" s="410" t="str">
        <f>IF(OR(F26="&lt;Notice&gt;",F26="End&gt;"),"",IF(AND(C.6SNoticeStartYr=$D$22,C.6SNoticeStartQtr=4,C.6SNoticeEndYr=$D$22,C.6SNoticeEndQtr=4),"&lt;Notice&gt;",IF(AND(C.6SNoticeStartYr=$D$22,C.6SNoticeStartQtr=4),"&lt;Notice",IF(AND(C.6SNoticeEndYr=$D$22,C.6SNoticeEndQtr=4),"End&gt;",IF(OR(F26="&lt;Notice",F26="---"),"---","")))))</f>
        <v/>
      </c>
      <c r="H26" s="155" t="str">
        <f>IF(OR(G26="&lt;Notice&gt;",G26="End&gt;"),"",IF(AND(C.6SNoticeStartYr=$H$22,C.6SNoticeStartQtr=1,C.6SNoticeEndYr=$H$22,C.6SNoticeEndQtr=1),"&lt;Notice&gt;",IF(AND(C.6SNoticeStartYr=$H$22,C.6SNoticeStartQtr=1),"&lt;Notice",IF(AND(C.6SNoticeEndYr=$H$22,C.6SNoticeEndQtr=1),"End&gt;",IF(OR(G26="&lt;Notice",G26="---"),"---","")))))</f>
        <v/>
      </c>
      <c r="I26" s="410" t="str">
        <f>IF(OR(H26="&lt;Notice&gt;",H26="End&gt;"),"",IF(AND(C.6SNoticeStartYr=$H$22,C.6SNoticeStartQtr=2,C.6SNoticeEndYr=$H$22,C.6SNoticeEndQtr=2),"&lt;Notice&gt;",IF(AND(C.6SNoticeStartYr=$H$22,C.6SNoticeStartQtr=2),"&lt;Notice",IF(AND(C.6SNoticeEndYr=$H$22,C.6SNoticeEndQtr=2),"End&gt;",IF(OR(H26="&lt;Notice",H26="---"),"---","")))))</f>
        <v/>
      </c>
      <c r="J26" s="410" t="str">
        <f>IF(OR(I26="&lt;Notice&gt;",I26="End&gt;"),"",IF(AND(C.6SNoticeStartYr=$H$22,C.6SNoticeStartQtr=3,C.6SNoticeEndYr=$H$22,C.6SNoticeEndQtr=3),"&lt;Notice&gt;",IF(AND(C.6SNoticeStartYr=$H$22,C.6SNoticeStartQtr=3),"&lt;Notice",IF(AND(C.6SNoticeEndYr=$H$22,C.6SNoticeEndQtr=3),"End&gt;",IF(OR(I26="&lt;Notice",I26="---"),"---","")))))</f>
        <v/>
      </c>
      <c r="K26" s="411"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8" t="str">
        <f>IF(OR(L26="&lt;Notice&gt;",L26="End&gt;"),"",IF(AND(C.6SNoticeStartYr=$L$22,C.6SNoticeStartQtr=2,C.6SNoticeEndYr=$L$22,C.6SNoticeEndQtr=2),"&lt;Notice&gt;",IF(AND(C.6SNoticeStartYr=$L$22,C.6SNoticeStartQtr=2),"&lt;Notice",IF(AND(C.6SNoticeEndYr=$L$22,C.6SNoticeEndQtr=2),"End&gt;",IF(OR(L26="&lt;Notice",L26="---"),"---","")))))</f>
        <v/>
      </c>
      <c r="N26" s="1148" t="str">
        <f>IF(OR(M26="&lt;Notice&gt;",M26="End&gt;"),"",IF(AND(C.6SNoticeStartYr=$L$22,C.6SNoticeStartQtr=3,C.6SNoticeEndYr=$L$22,C.6SNoticeEndQtr=3),"&lt;Notice&gt;",IF(AND(C.6SNoticeStartYr=$L$22,C.6SNoticeStartQtr=3),"&lt;Notice",IF(AND(C.6SNoticeEndYr=$L$22,C.6SNoticeEndQtr=3),"End&gt;",IF(OR(M26="&lt;Notice",M26="---"),"---","")))))</f>
        <v/>
      </c>
      <c r="O26" s="1148"/>
      <c r="P26" s="1148"/>
      <c r="Q26" s="1148"/>
      <c r="R26" s="1148" t="str">
        <f>IF(OR(N26="&lt;Notice&gt;",N26="End&gt;"),"",IF(AND(C.6SNoticeStartYr=$L$22,C.6SNoticeStartQtr=4,C.6SNoticeEndYr=$L$22,C.6SNoticeEndQtr=4),"&lt;Notice&gt;",IF(AND(C.6SNoticeStartYr=$L$22,C.6SNoticeStartQtr=4),"&lt;Notice",IF(AND(C.6SNoticeEndYr=$L$22,C.6SNoticeEndQtr=4),"End&gt;",IF(OR(N26="&lt;Notice",N26="---"),"---","")))))</f>
        <v/>
      </c>
      <c r="S26" s="1148"/>
      <c r="T26" s="1148"/>
      <c r="U26" s="1149"/>
      <c r="V26" s="149"/>
      <c r="W26" s="148"/>
      <c r="X26" s="423"/>
      <c r="Y26" s="557"/>
      <c r="Z26" s="176"/>
      <c r="AA26" s="176"/>
      <c r="AB26" s="176"/>
      <c r="AC26" s="176"/>
      <c r="AD26" s="176"/>
      <c r="AE26" s="176"/>
      <c r="AF26" s="176"/>
      <c r="AG26" s="176"/>
      <c r="AH26" s="492"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9"/>
      <c r="C27" s="820"/>
      <c r="D27" s="155" t="str">
        <f>IF(AND(C.6SEQCYr=$D$22,C.6SEQCQtr=1),"EQC","")</f>
        <v/>
      </c>
      <c r="E27" s="410" t="str">
        <f>IF(AND(C.6SEQCYr=$D$22,C.6SEQCQtr=2),"EQC","")</f>
        <v/>
      </c>
      <c r="F27" s="410" t="str">
        <f>IF(AND(C.6SEQCYr=$D$22,C.6SEQCQtr=3),"EQC","")</f>
        <v/>
      </c>
      <c r="G27" s="410" t="str">
        <f>IF(AND(C.6SEQCYr=$D$22,C.6SEQCQtr=4),"EQC","")</f>
        <v>EQC</v>
      </c>
      <c r="H27" s="155" t="str">
        <f>IF(AND(C.6SEQCYr=$H$22,C.6SEQCQtr=1),"EQC","")</f>
        <v/>
      </c>
      <c r="I27" s="410" t="str">
        <f>IF(AND(C.6SEQCYr=$H$22,C.6SEQCQtr=2),"EQC","")</f>
        <v/>
      </c>
      <c r="J27" s="410" t="str">
        <f>IF(AND(C.6SEQCYr=$H$22,C.6SEQCQtr=3),"EQC","")</f>
        <v/>
      </c>
      <c r="K27" s="410" t="str">
        <f>IF(AND(C.6SEQCYr=$H$22,C.6SEQCQtr=4),"EQC","")</f>
        <v/>
      </c>
      <c r="L27" s="156" t="str">
        <f>IF(AND(C.6SEQCYr=$L$22,C.6SEQCQtr="1"),"EQC","")</f>
        <v/>
      </c>
      <c r="M27" s="809" t="str">
        <f>IF(AND(C.6SEQCYr=$L$22,C.6SEQCQtr="2"),"EQC","")</f>
        <v/>
      </c>
      <c r="N27" s="1150" t="str">
        <f>IF(AND(C.6SEQCYr=$L$22,C.6SEQCQtr="3"),"EQC","")</f>
        <v/>
      </c>
      <c r="O27" s="1150"/>
      <c r="P27" s="1150"/>
      <c r="Q27" s="1150"/>
      <c r="R27" s="1150" t="str">
        <f>IF(AND(C.6SEQCYr=$L$22,C.6SEQCQtr="4"),"EQC","")</f>
        <v/>
      </c>
      <c r="S27" s="1150"/>
      <c r="T27" s="1150"/>
      <c r="U27" s="1151"/>
      <c r="V27" s="149"/>
      <c r="W27" s="148"/>
      <c r="X27" s="423"/>
      <c r="Y27" s="557"/>
      <c r="Z27" s="176"/>
      <c r="AA27" s="176"/>
      <c r="AB27" s="176"/>
      <c r="AC27" s="176"/>
      <c r="AD27" s="176"/>
      <c r="AE27" s="176"/>
      <c r="AF27" s="176"/>
      <c r="AG27" s="176"/>
      <c r="AH27" s="497"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9"/>
      <c r="C28" s="801">
        <f>C.5SeverityRating</f>
        <v>5</v>
      </c>
      <c r="D28" s="978" t="s">
        <v>100</v>
      </c>
      <c r="E28" s="978"/>
      <c r="F28" s="978"/>
      <c r="G28" s="978"/>
      <c r="H28" s="978"/>
      <c r="I28" s="813" t="s">
        <v>236</v>
      </c>
      <c r="K28" s="787"/>
      <c r="L28" s="787"/>
      <c r="M28" s="835"/>
      <c r="N28" s="814"/>
      <c r="O28" s="814"/>
      <c r="P28" s="814"/>
      <c r="Q28" s="814"/>
      <c r="R28" s="814"/>
      <c r="S28" s="814"/>
      <c r="T28" s="814"/>
      <c r="U28" s="814"/>
      <c r="V28" s="814"/>
      <c r="W28" s="814"/>
      <c r="X28" s="618"/>
      <c r="Y28" s="557"/>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9"/>
      <c r="C29" s="829"/>
      <c r="D29" s="1189" t="str">
        <f>C.5Summary</f>
        <v>The proposed rules address an environmental problem directly. The environmental reach of the proposal is statewide The proposal aligns with 2 actions identified in the 2011-2015 EPA Strategic Plan  and with 3 actions identified in the Natural Step.The environmental consequence of doing nothing is: delay in public health protection..</v>
      </c>
      <c r="E29" s="1189"/>
      <c r="F29" s="1189"/>
      <c r="G29" s="1189"/>
      <c r="H29" s="120"/>
      <c r="I29" s="996" t="s">
        <v>130</v>
      </c>
      <c r="K29" s="788"/>
      <c r="L29" s="828">
        <f>C.2ComplianceRating</f>
        <v>0</v>
      </c>
      <c r="M29" s="1187" t="str">
        <f>'2Basics'!AA52</f>
        <v>not involved</v>
      </c>
      <c r="N29" s="1187"/>
      <c r="O29" s="1187"/>
      <c r="P29" s="1187"/>
      <c r="Q29" s="1187"/>
      <c r="R29" s="1187"/>
      <c r="S29" s="1187"/>
      <c r="T29" s="1187"/>
      <c r="U29" s="1187"/>
      <c r="V29" s="1187"/>
      <c r="W29" s="872"/>
      <c r="X29" s="619"/>
      <c r="Y29" s="557"/>
      <c r="Z29" s="176"/>
      <c r="AB29" s="811"/>
      <c r="AC29" s="811"/>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9" customFormat="1" ht="15.75" customHeight="1">
      <c r="B30" s="559"/>
      <c r="D30" s="1189"/>
      <c r="E30" s="1189"/>
      <c r="F30" s="1189"/>
      <c r="G30" s="1189"/>
      <c r="I30" s="997" t="s">
        <v>131</v>
      </c>
      <c r="J30" s="120"/>
      <c r="K30" s="812"/>
      <c r="L30" s="830">
        <f>C.2PenaltyRating</f>
        <v>0</v>
      </c>
      <c r="M30" s="1188" t="str">
        <f>C.2Penalties</f>
        <v>not involved</v>
      </c>
      <c r="N30" s="1188"/>
      <c r="O30" s="1188"/>
      <c r="P30" s="1188"/>
      <c r="Q30" s="1188"/>
      <c r="R30" s="1188"/>
      <c r="S30" s="1188"/>
      <c r="T30" s="1188"/>
      <c r="U30" s="1188"/>
      <c r="V30" s="1188"/>
      <c r="W30" s="872"/>
      <c r="X30" s="619"/>
      <c r="Y30" s="557"/>
      <c r="Z30" s="176"/>
      <c r="AB30" s="791"/>
      <c r="AC30" s="791"/>
      <c r="AG30" s="176"/>
      <c r="AH30" s="55"/>
      <c r="AI30" s="850"/>
      <c r="AJ30" s="146"/>
      <c r="AK30" s="146"/>
      <c r="AL30" s="163"/>
      <c r="AM30" s="163"/>
      <c r="AN30" s="163"/>
      <c r="AO30" s="163"/>
      <c r="AP30" s="163"/>
      <c r="AQ30" s="163"/>
      <c r="AR30" s="163"/>
      <c r="AS30" s="163"/>
      <c r="AT30" s="163"/>
      <c r="AU30" s="163"/>
      <c r="AV30" s="163"/>
      <c r="AW30" s="163"/>
      <c r="AX30" s="163"/>
      <c r="AY30" s="163"/>
      <c r="AZ30" s="163"/>
      <c r="BA30" s="163"/>
    </row>
    <row r="31" spans="2:53" s="849" customFormat="1" ht="15.75" customHeight="1">
      <c r="B31" s="559"/>
      <c r="C31" s="829"/>
      <c r="D31" s="1189"/>
      <c r="E31" s="1189"/>
      <c r="F31" s="1189"/>
      <c r="G31" s="1189"/>
      <c r="H31" s="120"/>
      <c r="I31" s="997" t="s">
        <v>447</v>
      </c>
      <c r="J31" s="120"/>
      <c r="K31" s="831"/>
      <c r="L31" s="830">
        <f>C.2PermitEtAlRating</f>
        <v>0</v>
      </c>
      <c r="M31" s="873" t="str">
        <f>C.2PermitEtAl</f>
        <v>not involved</v>
      </c>
      <c r="N31" s="872"/>
      <c r="O31" s="872"/>
      <c r="P31" s="872"/>
      <c r="Q31" s="872"/>
      <c r="R31" s="872"/>
      <c r="S31" s="872"/>
      <c r="T31" s="872"/>
      <c r="U31" s="872"/>
      <c r="V31" s="872"/>
      <c r="W31" s="872"/>
      <c r="X31" s="619"/>
      <c r="Y31" s="557"/>
      <c r="Z31" s="176" t="s">
        <v>0</v>
      </c>
      <c r="AB31" s="791"/>
      <c r="AC31" s="791"/>
      <c r="AG31" s="176"/>
      <c r="AH31" s="55"/>
      <c r="AI31" s="850"/>
      <c r="AJ31" s="146"/>
      <c r="AK31" s="146"/>
      <c r="AL31" s="163"/>
      <c r="AM31" s="163"/>
      <c r="AN31" s="163"/>
      <c r="AO31" s="163"/>
      <c r="AP31" s="163"/>
      <c r="AQ31" s="163"/>
      <c r="AR31" s="163"/>
      <c r="AS31" s="163"/>
      <c r="AT31" s="163"/>
      <c r="AU31" s="163"/>
      <c r="AV31" s="163"/>
      <c r="AW31" s="163"/>
      <c r="AX31" s="163"/>
      <c r="AY31" s="163"/>
      <c r="AZ31" s="163"/>
      <c r="BA31" s="163"/>
    </row>
    <row r="32" spans="2:53" s="849" customFormat="1" ht="15.75" customHeight="1">
      <c r="B32" s="559"/>
      <c r="C32" s="829"/>
      <c r="D32" s="1189"/>
      <c r="E32" s="1189"/>
      <c r="F32" s="1189"/>
      <c r="G32" s="1189"/>
      <c r="H32" s="120"/>
      <c r="I32" s="998" t="s">
        <v>2</v>
      </c>
      <c r="J32" s="859"/>
      <c r="K32" s="831"/>
      <c r="L32" s="830">
        <f>'7Financial'!AA19</f>
        <v>0</v>
      </c>
      <c r="M32" s="1186" t="str">
        <f>C.7Fee</f>
        <v>not involved</v>
      </c>
      <c r="N32" s="1186"/>
      <c r="O32" s="1186"/>
      <c r="P32" s="1186"/>
      <c r="Q32" s="1186"/>
      <c r="R32" s="977"/>
      <c r="S32" s="977"/>
      <c r="T32" s="977"/>
      <c r="U32" s="977"/>
      <c r="V32" s="977"/>
      <c r="W32" s="977"/>
      <c r="X32" s="619"/>
      <c r="Y32" s="557"/>
      <c r="Z32" s="176"/>
      <c r="AA32" s="791"/>
      <c r="AB32" s="791"/>
      <c r="AC32" s="791"/>
      <c r="AD32" s="794"/>
      <c r="AE32" s="788"/>
      <c r="AG32" s="176"/>
      <c r="AH32" s="55"/>
      <c r="AI32" s="850"/>
      <c r="AJ32" s="146"/>
      <c r="AK32" s="146"/>
      <c r="AL32" s="163"/>
      <c r="AM32" s="163"/>
      <c r="AN32" s="163"/>
      <c r="AO32" s="163"/>
      <c r="AP32" s="163"/>
      <c r="AQ32" s="163"/>
      <c r="AR32" s="163"/>
      <c r="AS32" s="163"/>
      <c r="AT32" s="163"/>
      <c r="AU32" s="163"/>
      <c r="AV32" s="163"/>
      <c r="AW32" s="163"/>
      <c r="AX32" s="163"/>
      <c r="AY32" s="163"/>
      <c r="AZ32" s="163"/>
      <c r="BA32" s="163"/>
    </row>
    <row r="33" spans="1:53" s="849" customFormat="1" ht="15.75" customHeight="1">
      <c r="B33" s="559"/>
      <c r="C33" s="829"/>
      <c r="D33" s="1189"/>
      <c r="E33" s="1189"/>
      <c r="F33" s="1189"/>
      <c r="G33" s="1189"/>
      <c r="H33" s="120"/>
      <c r="I33" s="999" t="s">
        <v>145</v>
      </c>
      <c r="J33" s="859"/>
      <c r="K33" s="831"/>
      <c r="L33" s="832">
        <f>C.2SIPRating</f>
        <v>7</v>
      </c>
      <c r="M33" s="874" t="str">
        <f>C.2StateImplementatonPlan</f>
        <v>involved</v>
      </c>
      <c r="N33" s="875"/>
      <c r="O33" s="876"/>
      <c r="P33" s="876"/>
      <c r="Q33" s="876"/>
      <c r="R33" s="876"/>
      <c r="S33" s="876"/>
      <c r="T33" s="876"/>
      <c r="U33" s="876"/>
      <c r="V33" s="859"/>
      <c r="W33" s="859"/>
      <c r="X33" s="619"/>
      <c r="Y33" s="557"/>
      <c r="Z33" s="176"/>
      <c r="AA33" s="791"/>
      <c r="AB33" s="791"/>
      <c r="AC33" s="791"/>
      <c r="AD33" s="794"/>
      <c r="AE33" s="788"/>
      <c r="AG33" s="176"/>
      <c r="AH33" s="55"/>
      <c r="AI33" s="850"/>
      <c r="AJ33" s="146"/>
      <c r="AK33" s="146"/>
      <c r="AL33" s="163"/>
      <c r="AM33" s="163"/>
      <c r="AN33" s="163"/>
      <c r="AO33" s="163"/>
      <c r="AP33" s="163"/>
      <c r="AQ33" s="163"/>
      <c r="AR33" s="163"/>
      <c r="AS33" s="163"/>
      <c r="AT33" s="163"/>
      <c r="AU33" s="163"/>
      <c r="AV33" s="163"/>
      <c r="AW33" s="163"/>
      <c r="AX33" s="163"/>
      <c r="AY33" s="163"/>
      <c r="AZ33" s="163"/>
      <c r="BA33" s="163"/>
    </row>
    <row r="34" spans="1:53" s="849" customFormat="1" ht="69" customHeight="1">
      <c r="B34" s="559"/>
      <c r="C34" s="829"/>
      <c r="D34" s="1189"/>
      <c r="E34" s="1189"/>
      <c r="F34" s="1189"/>
      <c r="G34" s="1189"/>
      <c r="H34" s="120"/>
      <c r="I34" s="999" t="s">
        <v>144</v>
      </c>
      <c r="J34" s="859"/>
      <c r="K34" s="831"/>
      <c r="L34" s="832">
        <f>C.2LandUseRating</f>
        <v>7</v>
      </c>
      <c r="M34" s="874" t="str">
        <f>C.2LandUse</f>
        <v>involved</v>
      </c>
      <c r="N34" s="875"/>
      <c r="O34" s="876"/>
      <c r="P34" s="876"/>
      <c r="Q34" s="876"/>
      <c r="R34" s="876"/>
      <c r="S34" s="876"/>
      <c r="T34" s="876"/>
      <c r="U34" s="876"/>
      <c r="V34" s="859"/>
      <c r="W34" s="859"/>
      <c r="X34" s="619"/>
      <c r="Y34" s="557"/>
      <c r="Z34" s="176"/>
      <c r="AA34" s="791"/>
      <c r="AB34" s="791"/>
      <c r="AC34" s="791"/>
      <c r="AD34" s="794"/>
      <c r="AE34" s="788"/>
      <c r="AG34" s="176"/>
      <c r="AH34" s="55"/>
      <c r="AI34" s="850"/>
      <c r="AJ34" s="146"/>
      <c r="AK34" s="146"/>
      <c r="AL34" s="163"/>
      <c r="AM34" s="163"/>
      <c r="AN34" s="163"/>
      <c r="AO34" s="163"/>
      <c r="AP34" s="163"/>
      <c r="AQ34" s="163"/>
      <c r="AR34" s="163"/>
      <c r="AS34" s="163"/>
      <c r="AT34" s="163"/>
      <c r="AU34" s="163"/>
      <c r="AV34" s="163"/>
      <c r="AW34" s="163"/>
      <c r="AX34" s="163"/>
      <c r="AY34" s="163"/>
      <c r="AZ34" s="163"/>
      <c r="BA34" s="163"/>
    </row>
    <row r="35" spans="1:53" s="8" customFormat="1" ht="33.75" customHeight="1">
      <c r="B35" s="560"/>
      <c r="C35" s="499"/>
      <c r="D35" s="1159" t="s">
        <v>206</v>
      </c>
      <c r="E35" s="1159"/>
      <c r="F35" s="1159"/>
      <c r="G35" s="1159"/>
      <c r="H35" s="1159" t="s">
        <v>207</v>
      </c>
      <c r="I35" s="1159"/>
      <c r="J35" s="1159"/>
      <c r="K35" s="1159"/>
      <c r="L35" s="1159" t="s">
        <v>208</v>
      </c>
      <c r="M35" s="1159"/>
      <c r="N35" s="1159"/>
      <c r="O35" s="1159"/>
      <c r="P35" s="1159"/>
      <c r="Q35" s="1159"/>
      <c r="R35" s="1159"/>
      <c r="S35" s="1159"/>
      <c r="T35" s="1159"/>
      <c r="U35" s="1159"/>
      <c r="V35" s="1159"/>
      <c r="W35" s="500"/>
      <c r="X35" s="423"/>
      <c r="Y35" s="557"/>
      <c r="Z35" s="519"/>
      <c r="AA35" s="519"/>
      <c r="AB35" s="519"/>
      <c r="AC35" s="519"/>
      <c r="AD35" s="519"/>
      <c r="AE35" s="519"/>
      <c r="AF35" s="519"/>
      <c r="AG35" s="519"/>
      <c r="AH35" s="496"/>
      <c r="AI35" s="501"/>
      <c r="AJ35" s="17"/>
      <c r="AK35" s="17"/>
      <c r="AL35" s="502"/>
      <c r="AM35" s="502"/>
      <c r="AN35" s="502"/>
      <c r="AO35" s="502"/>
      <c r="AP35" s="502"/>
      <c r="AQ35" s="502"/>
      <c r="AR35" s="502"/>
      <c r="AS35" s="502"/>
      <c r="AT35" s="502"/>
      <c r="AU35" s="502"/>
      <c r="AV35" s="502"/>
      <c r="AW35" s="502"/>
      <c r="AX35" s="502"/>
      <c r="AY35" s="502"/>
      <c r="AZ35" s="502"/>
      <c r="BA35" s="502"/>
    </row>
    <row r="36" spans="1:53" s="66" customFormat="1" ht="14.25" customHeight="1">
      <c r="B36" s="559"/>
      <c r="C36" s="499"/>
      <c r="D36" s="1152" t="s">
        <v>215</v>
      </c>
      <c r="E36" s="1152"/>
      <c r="F36" s="1152"/>
      <c r="G36" s="1152"/>
      <c r="H36" s="1152" t="s">
        <v>234</v>
      </c>
      <c r="I36" s="1152"/>
      <c r="J36" s="1152"/>
      <c r="K36" s="1152"/>
      <c r="L36" s="1152" t="s">
        <v>235</v>
      </c>
      <c r="M36" s="1152"/>
      <c r="N36" s="1152"/>
      <c r="O36" s="1152"/>
      <c r="P36" s="1152"/>
      <c r="Q36" s="1152"/>
      <c r="R36" s="1152"/>
      <c r="S36" s="1152"/>
      <c r="T36" s="1152"/>
      <c r="U36" s="1152"/>
      <c r="V36" s="1152"/>
      <c r="W36" s="412"/>
      <c r="X36" s="423"/>
      <c r="Y36" s="557"/>
      <c r="Z36" s="176"/>
      <c r="AA36" s="176"/>
      <c r="AB36" s="176"/>
      <c r="AC36" s="176"/>
      <c r="AD36" s="176"/>
      <c r="AE36" s="176"/>
      <c r="AF36" s="176"/>
      <c r="AG36" s="176"/>
      <c r="AH36" s="492"/>
      <c r="AI36" s="147"/>
      <c r="AJ36" s="146"/>
      <c r="AK36" s="146"/>
      <c r="AL36" s="163"/>
      <c r="AM36" s="163"/>
      <c r="AN36" s="163"/>
      <c r="AO36" s="163"/>
      <c r="AP36" s="163"/>
      <c r="AQ36" s="163"/>
      <c r="AR36" s="163"/>
      <c r="AS36" s="163"/>
      <c r="AT36" s="163"/>
      <c r="AU36" s="163"/>
      <c r="AV36" s="163"/>
      <c r="AW36" s="163"/>
      <c r="AX36" s="163"/>
      <c r="AY36" s="163"/>
      <c r="AZ36" s="163"/>
      <c r="BA36" s="163"/>
    </row>
    <row r="37" spans="1:53" s="2" customFormat="1" ht="61.5" customHeight="1">
      <c r="B37" s="561"/>
      <c r="C37" s="424"/>
      <c r="D37" s="1185" t="str">
        <f>C.2Ideal</f>
        <v>Addressing changes to federal air quality regulations and reducing DEQ's workload and the regulatory burden on businesses.</v>
      </c>
      <c r="E37" s="1185"/>
      <c r="F37" s="1185"/>
      <c r="G37" s="1185"/>
      <c r="H37" s="1184" t="str">
        <f>C.2Reality</f>
        <v>Adopt new federal air quality regulations and reduce the number of permits.</v>
      </c>
      <c r="I37" s="1184"/>
      <c r="J37" s="1184"/>
      <c r="K37" s="1184"/>
      <c r="L37" s="1183" t="str">
        <f>C.2Consequences</f>
        <v>Emissions reductions and fuel savings will not happen.</v>
      </c>
      <c r="M37" s="1183"/>
      <c r="N37" s="1183"/>
      <c r="O37" s="1183"/>
      <c r="P37" s="1183"/>
      <c r="Q37" s="1183"/>
      <c r="R37" s="1183"/>
      <c r="S37" s="1183"/>
      <c r="T37" s="1183"/>
      <c r="U37" s="1183"/>
      <c r="V37" s="1183"/>
      <c r="W37" s="1183"/>
      <c r="X37" s="425"/>
      <c r="Y37" s="557"/>
      <c r="Z37" s="520"/>
      <c r="AA37" s="520"/>
      <c r="AB37" s="520"/>
      <c r="AC37" s="520"/>
      <c r="AD37" s="520"/>
      <c r="AE37" s="520"/>
      <c r="AF37" s="520"/>
      <c r="AG37" s="520"/>
      <c r="AH37" s="493"/>
      <c r="AI37" s="147"/>
      <c r="AJ37" s="494" t="s">
        <v>0</v>
      </c>
      <c r="AK37" s="494"/>
      <c r="AL37" s="164"/>
      <c r="AM37" s="164"/>
      <c r="AN37" s="164"/>
      <c r="AO37" s="164"/>
      <c r="AP37" s="164"/>
      <c r="AQ37" s="164"/>
      <c r="AR37" s="164"/>
      <c r="AS37" s="164"/>
      <c r="AT37" s="164"/>
      <c r="AU37" s="164"/>
      <c r="AV37" s="164"/>
      <c r="AW37" s="164"/>
      <c r="AX37" s="164"/>
      <c r="AY37" s="164"/>
      <c r="AZ37" s="164"/>
      <c r="BA37" s="164"/>
    </row>
    <row r="38" spans="1:53" s="66" customFormat="1" ht="30" customHeight="1">
      <c r="B38" s="559"/>
      <c r="C38" s="821"/>
      <c r="D38" s="1147" t="s">
        <v>423</v>
      </c>
      <c r="E38" s="1147"/>
      <c r="F38" s="1147"/>
      <c r="G38" s="1147"/>
      <c r="H38" s="1147" t="s">
        <v>424</v>
      </c>
      <c r="I38" s="1147"/>
      <c r="J38" s="1147"/>
      <c r="K38" s="1147"/>
      <c r="L38" s="815" t="s">
        <v>446</v>
      </c>
      <c r="M38" s="9"/>
      <c r="X38" s="616"/>
      <c r="Y38" s="557"/>
      <c r="Z38" s="176" t="s">
        <v>0</v>
      </c>
      <c r="AB38" s="635"/>
      <c r="AC38" s="635"/>
      <c r="AD38" s="635"/>
      <c r="AE38" s="635"/>
      <c r="AF38" s="635"/>
      <c r="AG38" s="635"/>
      <c r="AH38" s="635"/>
      <c r="AI38" s="635"/>
      <c r="AJ38" s="635"/>
      <c r="AK38" s="635"/>
      <c r="AL38" s="163"/>
      <c r="AM38" s="163"/>
      <c r="AN38" s="163"/>
      <c r="AO38" s="163"/>
      <c r="AP38" s="163"/>
      <c r="AQ38" s="163"/>
      <c r="AR38" s="163"/>
      <c r="AS38" s="163"/>
      <c r="AT38" s="163"/>
      <c r="AU38" s="163"/>
      <c r="AV38" s="163"/>
      <c r="AW38" s="163"/>
      <c r="AX38" s="163"/>
      <c r="AY38" s="163"/>
      <c r="AZ38" s="163"/>
      <c r="BA38" s="163"/>
    </row>
    <row r="39" spans="1:53" s="2" customFormat="1" ht="50.25" customHeight="1">
      <c r="B39" s="561"/>
      <c r="C39" s="424"/>
      <c r="D39" s="1194">
        <f>C.2Alternatives</f>
        <v>0</v>
      </c>
      <c r="E39" s="1194"/>
      <c r="F39" s="1194"/>
      <c r="G39" s="1194"/>
      <c r="H39" s="1146" t="str">
        <f>C.2Research</f>
        <v>Outreach to potential owner or operators of stationary internal combustion engines</v>
      </c>
      <c r="I39" s="1146"/>
      <c r="J39" s="1146"/>
      <c r="K39" s="1146"/>
      <c r="L39" s="1190">
        <f>C.2Models</f>
        <v>0</v>
      </c>
      <c r="M39" s="1190"/>
      <c r="N39" s="1190"/>
      <c r="O39" s="1190"/>
      <c r="P39" s="1190"/>
      <c r="Q39" s="1190"/>
      <c r="R39" s="1190"/>
      <c r="S39" s="1190"/>
      <c r="T39" s="1190"/>
      <c r="U39" s="1190"/>
      <c r="V39" s="1190"/>
      <c r="W39" s="1190"/>
      <c r="X39" s="425"/>
      <c r="Y39" s="557"/>
      <c r="Z39" s="520"/>
      <c r="AA39" s="129"/>
      <c r="AB39" s="816"/>
      <c r="AC39" s="816"/>
      <c r="AD39" s="816"/>
      <c r="AE39" s="816"/>
      <c r="AF39" s="816"/>
      <c r="AG39" s="816"/>
      <c r="AH39" s="816"/>
      <c r="AI39" s="816"/>
      <c r="AJ39" s="816"/>
      <c r="AK39" s="816"/>
      <c r="AL39" s="164"/>
      <c r="AM39" s="164"/>
      <c r="AN39" s="164"/>
      <c r="AO39" s="164"/>
      <c r="AP39" s="164"/>
      <c r="AQ39" s="164"/>
      <c r="AR39" s="164"/>
      <c r="AS39" s="164"/>
      <c r="AT39" s="164"/>
      <c r="AU39" s="164"/>
      <c r="AV39" s="164"/>
      <c r="AW39" s="164"/>
      <c r="AX39" s="164"/>
      <c r="AY39" s="164"/>
      <c r="AZ39" s="164"/>
      <c r="BA39" s="164"/>
    </row>
    <row r="40" spans="1:53" s="66" customFormat="1" ht="15.75" customHeight="1">
      <c r="B40" s="559"/>
      <c r="C40" s="827">
        <f>C.3Interest</f>
        <v>6</v>
      </c>
      <c r="D40" s="813" t="s">
        <v>422</v>
      </c>
      <c r="F40" s="816"/>
      <c r="G40" s="816"/>
      <c r="I40" s="813" t="s">
        <v>228</v>
      </c>
      <c r="M40" s="182"/>
      <c r="N40" s="814"/>
      <c r="O40" s="814"/>
      <c r="P40" s="814"/>
      <c r="Q40" s="814"/>
      <c r="R40" s="814"/>
      <c r="S40" s="814"/>
      <c r="T40" s="814"/>
      <c r="U40" s="814"/>
      <c r="V40" s="814"/>
      <c r="W40" s="814"/>
      <c r="X40" s="617"/>
      <c r="Y40" s="557"/>
      <c r="Z40" s="176"/>
      <c r="AB40" s="8"/>
      <c r="AC40" s="810"/>
      <c r="AG40" s="176"/>
      <c r="AH40" s="55"/>
      <c r="AI40" s="147"/>
      <c r="AJ40" s="146"/>
      <c r="AK40" s="146"/>
      <c r="AL40" s="163"/>
      <c r="AM40" s="163"/>
      <c r="AN40" s="163"/>
      <c r="AO40" s="163"/>
      <c r="AP40" s="163"/>
      <c r="AQ40" s="163"/>
      <c r="AR40" s="163"/>
      <c r="AS40" s="163"/>
      <c r="AT40" s="163"/>
      <c r="AU40" s="163"/>
      <c r="AV40" s="163"/>
      <c r="AW40" s="163"/>
      <c r="AX40" s="163"/>
      <c r="AY40" s="163"/>
      <c r="AZ40" s="163"/>
      <c r="BA40" s="163"/>
    </row>
    <row r="41" spans="1:53" s="66" customFormat="1" ht="15.75" customHeight="1">
      <c r="B41" s="559"/>
      <c r="C41" s="821"/>
      <c r="D41" s="1189" t="str">
        <f>C.3Summary</f>
        <v>Interest in this proposal is medium. DEQ does not plan to appoint an advisory committee. We plan to ask the committee to provide advice.</v>
      </c>
      <c r="E41" s="1189"/>
      <c r="F41" s="1189"/>
      <c r="G41" s="1189"/>
      <c r="I41" s="860" t="str">
        <f>'3Stakeholders'!D8</f>
        <v>Business</v>
      </c>
      <c r="J41" s="861"/>
      <c r="K41" s="877">
        <f>'3Stakeholders'!AB8</f>
        <v>0</v>
      </c>
      <c r="L41" s="1191" t="str">
        <f>'3Stakeholders'!AA8</f>
        <v xml:space="preserve">not affected </v>
      </c>
      <c r="M41" s="1192"/>
      <c r="N41" s="1192"/>
      <c r="O41" s="1192"/>
      <c r="P41" s="1192"/>
      <c r="Q41" s="1192"/>
      <c r="R41" s="1192"/>
      <c r="S41" s="1192"/>
      <c r="T41" s="1192"/>
      <c r="U41" s="1192"/>
      <c r="V41" s="1192"/>
      <c r="W41" s="1192"/>
      <c r="X41" s="1193"/>
      <c r="Y41" s="557"/>
      <c r="Z41" s="176"/>
      <c r="AB41" s="8"/>
      <c r="AG41" s="176"/>
      <c r="AH41" s="55"/>
      <c r="AI41" s="147"/>
      <c r="AJ41" s="146"/>
      <c r="AK41" s="146"/>
      <c r="AL41" s="163"/>
      <c r="AM41" s="163"/>
      <c r="AN41" s="163"/>
      <c r="AO41" s="163"/>
      <c r="AP41" s="163"/>
      <c r="AQ41" s="163"/>
      <c r="AR41" s="163"/>
      <c r="AS41" s="163"/>
      <c r="AT41" s="163"/>
      <c r="AU41" s="163"/>
      <c r="AV41" s="163"/>
      <c r="AW41" s="163"/>
      <c r="AX41" s="163"/>
      <c r="AY41" s="163"/>
      <c r="AZ41" s="163"/>
      <c r="BA41" s="163"/>
    </row>
    <row r="42" spans="1:53" s="66" customFormat="1" ht="15.75" customHeight="1">
      <c r="B42" s="559"/>
      <c r="C42" s="821"/>
      <c r="D42" s="1189"/>
      <c r="E42" s="1189"/>
      <c r="F42" s="1189"/>
      <c r="G42" s="1189"/>
      <c r="I42" s="860" t="str">
        <f>'3Stakeholders'!D9</f>
        <v>Manufacturing</v>
      </c>
      <c r="J42" s="861"/>
      <c r="K42" s="877">
        <f>'3Stakeholders'!AB9</f>
        <v>0</v>
      </c>
      <c r="L42" s="864" t="str">
        <f>'3Stakeholders'!AA9</f>
        <v xml:space="preserve">not affected </v>
      </c>
      <c r="M42" s="865"/>
      <c r="N42" s="866"/>
      <c r="O42" s="866"/>
      <c r="P42" s="866"/>
      <c r="Q42" s="866"/>
      <c r="R42" s="866"/>
      <c r="S42" s="866"/>
      <c r="T42" s="866"/>
      <c r="U42" s="866"/>
      <c r="V42" s="866"/>
      <c r="W42" s="866"/>
      <c r="X42" s="867"/>
      <c r="Y42" s="557"/>
      <c r="Z42" s="176"/>
      <c r="AB42" s="8"/>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1:53" s="66" customFormat="1" ht="15.75" customHeight="1">
      <c r="B43" s="559"/>
      <c r="C43" s="821"/>
      <c r="D43" s="1189"/>
      <c r="E43" s="1189"/>
      <c r="F43" s="1189"/>
      <c r="G43" s="1189"/>
      <c r="I43" s="860" t="str">
        <f>'3Stakeholders'!D10</f>
        <v>City/county/state</v>
      </c>
      <c r="J43" s="861"/>
      <c r="K43" s="877">
        <f>'3Stakeholders'!AB10</f>
        <v>0</v>
      </c>
      <c r="L43" s="864" t="str">
        <f>'3Stakeholders'!AA10</f>
        <v xml:space="preserve">not affected </v>
      </c>
      <c r="M43" s="865"/>
      <c r="N43" s="866"/>
      <c r="O43" s="866"/>
      <c r="P43" s="866"/>
      <c r="Q43" s="866"/>
      <c r="R43" s="866"/>
      <c r="S43" s="866"/>
      <c r="T43" s="866"/>
      <c r="U43" s="866"/>
      <c r="V43" s="866"/>
      <c r="W43" s="866"/>
      <c r="X43" s="868"/>
      <c r="Y43" s="557"/>
      <c r="Z43" s="176"/>
      <c r="AB43" s="8"/>
      <c r="AC43" s="810"/>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1:53" s="66" customFormat="1" ht="15.75" customHeight="1">
      <c r="B44" s="559"/>
      <c r="C44" s="821"/>
      <c r="D44" s="1189"/>
      <c r="E44" s="1189"/>
      <c r="F44" s="1189"/>
      <c r="G44" s="1189"/>
      <c r="I44" s="860" t="str">
        <f>'3Stakeholders'!D11</f>
        <v>Individuals</v>
      </c>
      <c r="J44" s="861"/>
      <c r="K44" s="877">
        <f>'3Stakeholders'!AB11</f>
        <v>0</v>
      </c>
      <c r="L44" s="864" t="str">
        <f>'3Stakeholders'!AA11</f>
        <v xml:space="preserve">not affected </v>
      </c>
      <c r="M44" s="865"/>
      <c r="N44" s="866"/>
      <c r="O44" s="866"/>
      <c r="P44" s="866"/>
      <c r="Q44" s="866"/>
      <c r="R44" s="866"/>
      <c r="S44" s="866"/>
      <c r="T44" s="866"/>
      <c r="U44" s="866"/>
      <c r="V44" s="866"/>
      <c r="W44" s="866"/>
      <c r="X44" s="869"/>
      <c r="Y44" s="557"/>
      <c r="Z44" s="176"/>
      <c r="AB44" s="8"/>
      <c r="AC44" s="810"/>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1:53" s="66" customFormat="1" ht="15.75" customHeight="1">
      <c r="B45" s="559"/>
      <c r="C45" s="821"/>
      <c r="D45" s="1189"/>
      <c r="E45" s="1189"/>
      <c r="F45" s="1189"/>
      <c r="G45" s="1189"/>
      <c r="I45" s="860" t="str">
        <f>'3Stakeholders'!D12</f>
        <v>Custom entry</v>
      </c>
      <c r="J45" s="861"/>
      <c r="K45" s="877">
        <f>'3Stakeholders'!AB12</f>
        <v>0</v>
      </c>
      <c r="L45" s="864" t="str">
        <f>'3Stakeholders'!AA12</f>
        <v xml:space="preserve">not affected </v>
      </c>
      <c r="M45" s="865"/>
      <c r="N45" s="866"/>
      <c r="O45" s="866"/>
      <c r="P45" s="866"/>
      <c r="Q45" s="866"/>
      <c r="R45" s="866"/>
      <c r="S45" s="866"/>
      <c r="T45" s="866"/>
      <c r="U45" s="866"/>
      <c r="V45" s="866"/>
      <c r="W45" s="866"/>
      <c r="X45" s="869"/>
      <c r="Y45" s="557"/>
      <c r="Z45" s="176"/>
      <c r="AB45" s="8"/>
      <c r="AC45" s="649"/>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1:53" s="66" customFormat="1" ht="15.75" customHeight="1">
      <c r="B46" s="559"/>
      <c r="C46" s="821"/>
      <c r="D46" s="1189"/>
      <c r="E46" s="1189"/>
      <c r="F46" s="1189"/>
      <c r="G46" s="1189"/>
      <c r="I46" s="862" t="str">
        <f>'3Stakeholders'!D13</f>
        <v>Custom entry</v>
      </c>
      <c r="J46" s="863"/>
      <c r="K46" s="877">
        <f>'3Stakeholders'!AB13</f>
        <v>0</v>
      </c>
      <c r="L46" s="864" t="str">
        <f>'3Stakeholders'!AA13</f>
        <v xml:space="preserve">not affected </v>
      </c>
      <c r="M46" s="870"/>
      <c r="N46" s="866"/>
      <c r="O46" s="866"/>
      <c r="P46" s="866"/>
      <c r="Q46" s="866"/>
      <c r="R46" s="866"/>
      <c r="S46" s="866"/>
      <c r="T46" s="866"/>
      <c r="U46" s="866"/>
      <c r="V46" s="866"/>
      <c r="W46" s="866"/>
      <c r="X46" s="871"/>
      <c r="Y46" s="557"/>
      <c r="Z46" s="640"/>
      <c r="AB46" s="813"/>
      <c r="AC46" s="813"/>
      <c r="AD46" s="813"/>
      <c r="AE46" s="813"/>
      <c r="AF46" s="813"/>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1:53" s="6" customFormat="1" ht="36.75" customHeight="1">
      <c r="A47" s="66"/>
      <c r="B47" s="559"/>
      <c r="C47" s="833"/>
      <c r="D47" s="294"/>
      <c r="E47" s="294"/>
      <c r="F47" s="294"/>
      <c r="G47" s="294"/>
      <c r="H47" s="294"/>
      <c r="I47" s="294"/>
      <c r="J47" s="1143">
        <f ca="1">TODAY()</f>
        <v>41163</v>
      </c>
      <c r="K47" s="1143"/>
      <c r="L47" s="1143"/>
      <c r="M47" s="1143"/>
      <c r="N47" s="1143"/>
      <c r="O47" s="1143"/>
      <c r="P47" s="1143"/>
      <c r="Q47" s="1143"/>
      <c r="R47" s="1143"/>
      <c r="S47" s="1143"/>
      <c r="T47" s="1143"/>
      <c r="U47" s="1143"/>
      <c r="V47" s="1143"/>
      <c r="W47" s="1143"/>
      <c r="X47" s="1144"/>
      <c r="Y47" s="557"/>
      <c r="Z47" s="176"/>
      <c r="AA47" s="176"/>
      <c r="AB47" s="176"/>
      <c r="AC47" s="176"/>
      <c r="AD47" s="176"/>
      <c r="AE47" s="176"/>
      <c r="AF47" s="176"/>
      <c r="AG47" s="176"/>
      <c r="AH47" s="147"/>
      <c r="AI47" s="147"/>
      <c r="AJ47" s="147"/>
      <c r="AK47" s="147"/>
      <c r="AL47" s="163"/>
      <c r="AM47" s="163"/>
      <c r="AN47" s="163"/>
      <c r="AO47" s="163"/>
      <c r="AP47" s="163"/>
      <c r="AQ47" s="163"/>
      <c r="AR47" s="163"/>
      <c r="AS47" s="163"/>
      <c r="AT47" s="163"/>
      <c r="AU47" s="163"/>
      <c r="AV47" s="163"/>
      <c r="AW47" s="163"/>
      <c r="AX47" s="163"/>
      <c r="AY47" s="163"/>
      <c r="AZ47" s="163"/>
      <c r="BA47" s="163"/>
    </row>
    <row r="48" spans="1:53" s="66" customFormat="1" ht="36.75" customHeight="1">
      <c r="B48" s="559"/>
      <c r="C48" s="560"/>
      <c r="D48" s="559"/>
      <c r="E48" s="559"/>
      <c r="F48" s="559"/>
      <c r="G48" s="559"/>
      <c r="H48" s="559"/>
      <c r="I48" s="559"/>
      <c r="J48" s="559" t="s">
        <v>0</v>
      </c>
      <c r="K48" s="559"/>
      <c r="L48" s="559"/>
      <c r="M48" s="836"/>
      <c r="N48" s="559"/>
      <c r="O48" s="559"/>
      <c r="P48" s="559"/>
      <c r="Q48" s="559"/>
      <c r="R48" s="559"/>
      <c r="S48" s="559"/>
      <c r="T48" s="559"/>
      <c r="U48" s="559"/>
      <c r="V48" s="559"/>
      <c r="W48" s="559"/>
      <c r="X48" s="559"/>
      <c r="Y48" s="559"/>
      <c r="Z48" s="176"/>
      <c r="AA48" s="176"/>
      <c r="AB48" s="176"/>
      <c r="AC48" s="176"/>
      <c r="AD48" s="176"/>
      <c r="AE48" s="176"/>
      <c r="AF48" s="176"/>
      <c r="AG48" s="176"/>
      <c r="AH48" s="147"/>
      <c r="AI48" s="147"/>
      <c r="AJ48" s="147"/>
      <c r="AK48" s="147"/>
      <c r="AL48" s="163"/>
      <c r="AM48" s="163"/>
      <c r="AN48" s="163"/>
      <c r="AO48" s="163"/>
      <c r="AP48" s="163"/>
      <c r="AQ48" s="163"/>
      <c r="AR48" s="163"/>
      <c r="AS48" s="163"/>
      <c r="AT48" s="163"/>
      <c r="AU48" s="163"/>
      <c r="AV48" s="163"/>
      <c r="AW48" s="163"/>
      <c r="AX48" s="163"/>
      <c r="AY48" s="163"/>
      <c r="AZ48" s="163"/>
      <c r="BA48" s="163"/>
    </row>
    <row r="49" spans="3:33" ht="15.75" customHeight="1">
      <c r="C49" s="72"/>
      <c r="J49" s="45"/>
      <c r="K49" s="45"/>
      <c r="L49" s="45"/>
      <c r="M49" s="837"/>
      <c r="N49" s="45"/>
      <c r="O49" s="45"/>
      <c r="P49" s="45"/>
      <c r="Q49" s="45"/>
      <c r="R49" s="45"/>
      <c r="S49" s="45"/>
      <c r="T49" s="45"/>
      <c r="U49" s="45"/>
      <c r="V49" s="45"/>
      <c r="W49" s="45"/>
      <c r="X49" s="118"/>
    </row>
    <row r="50" spans="3:33" ht="15">
      <c r="C50" s="822"/>
      <c r="J50" s="45"/>
      <c r="K50" s="45"/>
      <c r="L50" s="45"/>
      <c r="M50" s="837"/>
      <c r="N50" s="45"/>
      <c r="O50" s="45"/>
      <c r="P50" s="45"/>
      <c r="Q50" s="45"/>
      <c r="R50" s="45"/>
      <c r="S50" s="45"/>
      <c r="T50" s="45"/>
      <c r="U50" s="45"/>
      <c r="V50" s="45"/>
      <c r="W50" s="45"/>
      <c r="X50" s="118"/>
    </row>
    <row r="51" spans="3:33" ht="15">
      <c r="C51" s="823"/>
      <c r="J51" s="118"/>
      <c r="K51" s="118"/>
      <c r="L51" s="118"/>
      <c r="M51" s="838"/>
      <c r="N51" s="118"/>
      <c r="O51" s="118"/>
      <c r="P51" s="118"/>
      <c r="Q51" s="118"/>
      <c r="R51" s="118"/>
      <c r="S51" s="118"/>
      <c r="T51" s="118"/>
      <c r="U51" s="118"/>
      <c r="V51" s="118"/>
      <c r="W51" s="118"/>
      <c r="X51" s="118"/>
    </row>
    <row r="52" spans="3:33" ht="15">
      <c r="C52" s="823"/>
      <c r="J52" s="118"/>
      <c r="K52" s="118"/>
      <c r="L52" s="118"/>
      <c r="M52" s="838"/>
      <c r="N52" s="118"/>
      <c r="O52" s="118"/>
      <c r="P52" s="118"/>
      <c r="Q52" s="118"/>
      <c r="R52" s="118"/>
      <c r="S52" s="118"/>
      <c r="T52" s="118"/>
      <c r="U52" s="118"/>
      <c r="V52" s="118"/>
      <c r="W52" s="118"/>
      <c r="X52" s="118"/>
    </row>
    <row r="53" spans="3:33">
      <c r="C53" s="824"/>
      <c r="D53" s="118"/>
      <c r="E53" s="118"/>
      <c r="F53" s="118"/>
      <c r="G53" s="118"/>
      <c r="H53" s="118"/>
      <c r="I53" s="118"/>
      <c r="J53" s="118"/>
      <c r="K53" s="118"/>
      <c r="L53" s="118"/>
      <c r="M53" s="838"/>
      <c r="N53" s="118"/>
      <c r="O53" s="118"/>
      <c r="P53" s="118"/>
      <c r="Q53" s="118"/>
      <c r="R53" s="118"/>
      <c r="S53" s="118"/>
      <c r="T53" s="118"/>
      <c r="U53" s="118"/>
      <c r="V53" s="118"/>
      <c r="W53" s="118"/>
      <c r="X53" s="118"/>
    </row>
    <row r="54" spans="3:33">
      <c r="C54" s="824"/>
      <c r="D54" s="118"/>
      <c r="E54" s="118"/>
      <c r="F54" s="118"/>
      <c r="G54" s="118"/>
      <c r="H54" s="118"/>
      <c r="I54" s="118"/>
      <c r="J54" s="118"/>
      <c r="K54" s="118"/>
      <c r="L54" s="118"/>
      <c r="M54" s="838"/>
      <c r="N54" s="118"/>
      <c r="O54" s="118"/>
      <c r="P54" s="118"/>
      <c r="Q54" s="118"/>
      <c r="R54" s="118"/>
      <c r="S54" s="118"/>
      <c r="T54" s="118"/>
      <c r="U54" s="118"/>
      <c r="V54" s="118"/>
      <c r="W54" s="118"/>
      <c r="X54" s="118"/>
    </row>
    <row r="55" spans="3:33">
      <c r="C55" s="824"/>
      <c r="D55" s="130"/>
      <c r="E55" s="130"/>
      <c r="F55" s="130"/>
      <c r="G55" s="130"/>
      <c r="H55" s="130"/>
      <c r="I55" s="130"/>
      <c r="J55" s="118"/>
      <c r="K55" s="118"/>
      <c r="L55" s="118"/>
      <c r="M55" s="838"/>
      <c r="N55" s="118"/>
      <c r="O55" s="118"/>
      <c r="P55" s="118"/>
      <c r="Q55" s="118"/>
      <c r="R55" s="118"/>
      <c r="S55" s="118"/>
      <c r="T55" s="118"/>
      <c r="U55" s="118"/>
      <c r="V55" s="118"/>
      <c r="W55" s="118"/>
      <c r="X55" s="118"/>
    </row>
    <row r="56" spans="3:33" s="160" customFormat="1">
      <c r="C56" s="825"/>
      <c r="M56" s="247"/>
      <c r="Y56" s="176"/>
      <c r="Z56" s="176"/>
      <c r="AA56" s="176"/>
      <c r="AB56" s="176"/>
      <c r="AC56" s="176"/>
      <c r="AD56" s="176"/>
      <c r="AE56" s="176"/>
      <c r="AF56" s="176"/>
      <c r="AG56" s="176"/>
    </row>
    <row r="57" spans="3:33" s="160" customFormat="1">
      <c r="C57" s="825"/>
      <c r="M57" s="247"/>
      <c r="Y57" s="176"/>
      <c r="Z57" s="176"/>
      <c r="AA57" s="176"/>
      <c r="AB57" s="176"/>
      <c r="AC57" s="176"/>
      <c r="AD57" s="176"/>
      <c r="AE57" s="176"/>
      <c r="AF57" s="176"/>
      <c r="AG57" s="176"/>
    </row>
    <row r="58" spans="3:33" s="160" customFormat="1">
      <c r="C58" s="825"/>
      <c r="M58" s="247"/>
      <c r="Y58" s="176"/>
      <c r="Z58" s="176"/>
      <c r="AA58" s="176"/>
      <c r="AB58" s="176"/>
      <c r="AC58" s="176"/>
      <c r="AD58" s="176"/>
      <c r="AE58" s="176"/>
      <c r="AF58" s="176"/>
      <c r="AG58" s="176"/>
    </row>
    <row r="59" spans="3:33" s="160" customFormat="1">
      <c r="C59" s="825"/>
      <c r="M59" s="247"/>
      <c r="Y59" s="176"/>
      <c r="Z59" s="176"/>
      <c r="AA59" s="176"/>
      <c r="AB59" s="176"/>
      <c r="AC59" s="176"/>
      <c r="AD59" s="176"/>
      <c r="AE59" s="176"/>
      <c r="AF59" s="176"/>
      <c r="AG59" s="176"/>
    </row>
    <row r="60" spans="3:33" s="160" customFormat="1">
      <c r="C60" s="825"/>
      <c r="M60" s="247"/>
      <c r="Y60" s="176"/>
      <c r="Z60" s="176"/>
      <c r="AA60" s="176"/>
      <c r="AB60" s="176"/>
      <c r="AC60" s="176"/>
      <c r="AD60" s="176"/>
      <c r="AE60" s="176"/>
      <c r="AF60" s="176"/>
      <c r="AG60" s="176"/>
    </row>
    <row r="61" spans="3:33" s="160" customFormat="1">
      <c r="C61" s="825"/>
      <c r="M61" s="247"/>
      <c r="Y61" s="176"/>
      <c r="Z61" s="176"/>
      <c r="AA61" s="176"/>
      <c r="AB61" s="176"/>
      <c r="AC61" s="176"/>
      <c r="AD61" s="176"/>
      <c r="AE61" s="176"/>
      <c r="AF61" s="176"/>
      <c r="AG61" s="176"/>
    </row>
    <row r="62" spans="3:33" s="160" customFormat="1">
      <c r="C62" s="825"/>
      <c r="M62" s="247"/>
      <c r="Y62" s="176"/>
      <c r="Z62" s="176"/>
      <c r="AA62" s="176"/>
      <c r="AB62" s="176"/>
      <c r="AC62" s="176"/>
      <c r="AD62" s="176"/>
      <c r="AE62" s="176"/>
      <c r="AF62" s="176"/>
      <c r="AG62" s="176"/>
    </row>
    <row r="63" spans="3:33" s="160" customFormat="1">
      <c r="C63" s="825"/>
      <c r="M63" s="247"/>
      <c r="Y63" s="176"/>
      <c r="Z63" s="176"/>
      <c r="AA63" s="176"/>
      <c r="AB63" s="176"/>
      <c r="AC63" s="176"/>
      <c r="AD63" s="176"/>
      <c r="AE63" s="176"/>
      <c r="AF63" s="176"/>
      <c r="AG63" s="176"/>
    </row>
    <row r="64" spans="3:33" s="160" customFormat="1">
      <c r="C64" s="825"/>
      <c r="M64" s="247"/>
      <c r="Y64" s="176"/>
      <c r="Z64" s="176"/>
      <c r="AA64" s="176"/>
      <c r="AB64" s="176"/>
      <c r="AC64" s="176"/>
      <c r="AD64" s="176"/>
      <c r="AE64" s="176"/>
      <c r="AF64" s="176"/>
      <c r="AG64" s="176"/>
    </row>
    <row r="65" spans="3:33" s="160" customFormat="1">
      <c r="C65" s="825"/>
      <c r="M65" s="247"/>
      <c r="Y65" s="176"/>
      <c r="Z65" s="176"/>
      <c r="AA65" s="176"/>
      <c r="AB65" s="176"/>
      <c r="AC65" s="176"/>
      <c r="AD65" s="176"/>
      <c r="AE65" s="176"/>
      <c r="AF65" s="176"/>
      <c r="AG65" s="176"/>
    </row>
    <row r="66" spans="3:33" s="160" customFormat="1">
      <c r="C66" s="825"/>
      <c r="M66" s="247"/>
      <c r="Y66" s="176"/>
      <c r="Z66" s="176"/>
      <c r="AA66" s="176"/>
      <c r="AB66" s="176"/>
      <c r="AC66" s="176"/>
      <c r="AD66" s="176"/>
      <c r="AE66" s="176"/>
      <c r="AF66" s="176"/>
      <c r="AG66" s="176"/>
    </row>
    <row r="67" spans="3:33" s="160" customFormat="1">
      <c r="C67" s="825"/>
      <c r="M67" s="247"/>
      <c r="Y67" s="176"/>
      <c r="Z67" s="176"/>
      <c r="AA67" s="176"/>
      <c r="AB67" s="176"/>
      <c r="AC67" s="176"/>
      <c r="AD67" s="176"/>
      <c r="AE67" s="176"/>
      <c r="AF67" s="176"/>
      <c r="AG67" s="176"/>
    </row>
    <row r="68" spans="3:33" s="160" customFormat="1">
      <c r="C68" s="825"/>
      <c r="M68" s="247"/>
      <c r="Y68" s="176"/>
      <c r="Z68" s="176"/>
      <c r="AA68" s="176"/>
      <c r="AB68" s="176"/>
      <c r="AC68" s="176"/>
      <c r="AD68" s="176"/>
      <c r="AE68" s="176"/>
      <c r="AF68" s="176"/>
      <c r="AG68" s="176"/>
    </row>
    <row r="69" spans="3:33" s="160" customFormat="1">
      <c r="C69" s="825"/>
      <c r="M69" s="247"/>
      <c r="Y69" s="176"/>
      <c r="Z69" s="176"/>
      <c r="AA69" s="176"/>
      <c r="AB69" s="176"/>
      <c r="AC69" s="176"/>
      <c r="AD69" s="176"/>
      <c r="AE69" s="176"/>
      <c r="AF69" s="176"/>
      <c r="AG69" s="176"/>
    </row>
    <row r="70" spans="3:33" s="160" customFormat="1">
      <c r="C70" s="825"/>
      <c r="M70" s="247"/>
      <c r="Y70" s="176"/>
      <c r="Z70" s="176"/>
      <c r="AA70" s="176"/>
      <c r="AB70" s="176"/>
      <c r="AC70" s="176"/>
      <c r="AD70" s="176"/>
      <c r="AE70" s="176"/>
      <c r="AF70" s="176"/>
      <c r="AG70" s="176"/>
    </row>
    <row r="71" spans="3:33" s="160" customFormat="1">
      <c r="C71" s="825"/>
      <c r="M71" s="247"/>
      <c r="Y71" s="176"/>
      <c r="Z71" s="176"/>
      <c r="AA71" s="176"/>
      <c r="AB71" s="176"/>
      <c r="AC71" s="176"/>
      <c r="AD71" s="176"/>
      <c r="AE71" s="176"/>
      <c r="AF71" s="176"/>
      <c r="AG71" s="176"/>
    </row>
    <row r="72" spans="3:33" s="160" customFormat="1">
      <c r="C72" s="825"/>
      <c r="M72" s="247"/>
      <c r="Y72" s="176"/>
      <c r="Z72" s="176"/>
      <c r="AA72" s="176"/>
      <c r="AB72" s="176"/>
      <c r="AC72" s="176"/>
      <c r="AD72" s="176"/>
      <c r="AE72" s="176"/>
      <c r="AF72" s="176"/>
      <c r="AG72" s="176"/>
    </row>
    <row r="73" spans="3:33" s="160" customFormat="1">
      <c r="C73" s="825"/>
      <c r="M73" s="247"/>
      <c r="Y73" s="176"/>
      <c r="Z73" s="176"/>
      <c r="AA73" s="176"/>
      <c r="AB73" s="176"/>
      <c r="AC73" s="176"/>
      <c r="AD73" s="176"/>
      <c r="AE73" s="176"/>
      <c r="AF73" s="176"/>
      <c r="AG73" s="176"/>
    </row>
    <row r="74" spans="3:33" s="160" customFormat="1">
      <c r="C74" s="825"/>
      <c r="M74" s="247"/>
      <c r="Y74" s="176"/>
      <c r="Z74" s="176"/>
      <c r="AA74" s="176"/>
      <c r="AB74" s="176"/>
      <c r="AC74" s="176"/>
      <c r="AD74" s="176"/>
      <c r="AE74" s="176"/>
      <c r="AF74" s="176"/>
      <c r="AG74" s="176"/>
    </row>
    <row r="75" spans="3:33" s="160" customFormat="1">
      <c r="C75" s="825"/>
      <c r="M75" s="247"/>
      <c r="Y75" s="176"/>
      <c r="Z75" s="176"/>
      <c r="AA75" s="176"/>
      <c r="AB75" s="176"/>
      <c r="AC75" s="176"/>
      <c r="AD75" s="176"/>
      <c r="AE75" s="176"/>
      <c r="AF75" s="176"/>
      <c r="AG75" s="176"/>
    </row>
    <row r="76" spans="3:33" s="160" customFormat="1">
      <c r="C76" s="825"/>
      <c r="M76" s="247"/>
      <c r="Y76" s="176"/>
      <c r="Z76" s="176"/>
      <c r="AA76" s="176"/>
      <c r="AB76" s="176"/>
      <c r="AC76" s="176"/>
      <c r="AD76" s="176"/>
      <c r="AE76" s="176"/>
      <c r="AF76" s="176"/>
      <c r="AG76" s="176"/>
    </row>
    <row r="77" spans="3:33" s="160" customFormat="1">
      <c r="C77" s="825"/>
      <c r="M77" s="247"/>
      <c r="Y77" s="176"/>
      <c r="Z77" s="176"/>
      <c r="AA77" s="176"/>
      <c r="AB77" s="176"/>
      <c r="AC77" s="176"/>
      <c r="AD77" s="176"/>
      <c r="AE77" s="176"/>
      <c r="AF77" s="176"/>
      <c r="AG77" s="176"/>
    </row>
    <row r="78" spans="3:33" s="160" customFormat="1">
      <c r="C78" s="825"/>
      <c r="M78" s="247"/>
      <c r="Y78" s="176"/>
      <c r="Z78" s="176"/>
      <c r="AA78" s="176"/>
      <c r="AB78" s="176"/>
      <c r="AC78" s="176"/>
      <c r="AD78" s="176"/>
      <c r="AE78" s="176"/>
      <c r="AF78" s="176"/>
      <c r="AG78" s="176"/>
    </row>
    <row r="79" spans="3:33" s="160" customFormat="1">
      <c r="C79" s="825"/>
      <c r="M79" s="247"/>
      <c r="Y79" s="176"/>
      <c r="Z79" s="176"/>
      <c r="AA79" s="176"/>
      <c r="AB79" s="176"/>
      <c r="AC79" s="176"/>
      <c r="AD79" s="176"/>
      <c r="AE79" s="176"/>
      <c r="AF79" s="176"/>
      <c r="AG79" s="176"/>
    </row>
    <row r="80" spans="3:33" s="160" customFormat="1">
      <c r="C80" s="825"/>
      <c r="M80" s="247"/>
      <c r="Y80" s="176"/>
      <c r="Z80" s="176"/>
      <c r="AA80" s="176"/>
      <c r="AB80" s="176"/>
      <c r="AC80" s="176"/>
      <c r="AD80" s="176"/>
      <c r="AE80" s="176"/>
      <c r="AF80" s="176"/>
      <c r="AG80" s="176"/>
    </row>
    <row r="81" spans="3:33" s="160" customFormat="1">
      <c r="C81" s="825"/>
      <c r="M81" s="247"/>
      <c r="Y81" s="176"/>
      <c r="Z81" s="176"/>
      <c r="AA81" s="176"/>
      <c r="AB81" s="176"/>
      <c r="AC81" s="176"/>
      <c r="AD81" s="176"/>
      <c r="AE81" s="176"/>
      <c r="AF81" s="176"/>
      <c r="AG81" s="176"/>
    </row>
    <row r="82" spans="3:33" s="160" customFormat="1">
      <c r="C82" s="825"/>
      <c r="M82" s="247"/>
      <c r="Y82" s="176"/>
      <c r="Z82" s="176"/>
      <c r="AA82" s="176"/>
      <c r="AB82" s="176"/>
      <c r="AC82" s="176"/>
      <c r="AD82" s="176"/>
      <c r="AE82" s="176"/>
      <c r="AF82" s="176"/>
      <c r="AG82" s="176"/>
    </row>
    <row r="83" spans="3:33" s="160" customFormat="1">
      <c r="C83" s="825"/>
      <c r="M83" s="247"/>
      <c r="Y83" s="176"/>
      <c r="Z83" s="176"/>
      <c r="AA83" s="176"/>
      <c r="AB83" s="176"/>
      <c r="AC83" s="176"/>
      <c r="AD83" s="176"/>
      <c r="AE83" s="176"/>
      <c r="AF83" s="176"/>
      <c r="AG83" s="176"/>
    </row>
    <row r="84" spans="3:33" s="160" customFormat="1">
      <c r="C84" s="825"/>
      <c r="M84" s="247"/>
      <c r="Y84" s="176"/>
      <c r="Z84" s="176"/>
      <c r="AA84" s="176"/>
      <c r="AB84" s="176"/>
      <c r="AC84" s="176"/>
      <c r="AD84" s="176"/>
      <c r="AE84" s="176"/>
      <c r="AF84" s="176"/>
      <c r="AG84" s="176"/>
    </row>
    <row r="85" spans="3:33" s="160" customFormat="1">
      <c r="C85" s="825"/>
      <c r="M85" s="247"/>
      <c r="Y85" s="176"/>
      <c r="Z85" s="176"/>
      <c r="AA85" s="176"/>
      <c r="AB85" s="176"/>
      <c r="AC85" s="176"/>
      <c r="AD85" s="176"/>
      <c r="AE85" s="176"/>
      <c r="AF85" s="176"/>
      <c r="AG85" s="176"/>
    </row>
    <row r="86" spans="3:33" s="160" customFormat="1">
      <c r="C86" s="825"/>
      <c r="M86" s="247"/>
      <c r="Y86" s="176"/>
      <c r="Z86" s="176"/>
      <c r="AA86" s="176"/>
      <c r="AB86" s="176"/>
      <c r="AC86" s="176"/>
      <c r="AD86" s="176"/>
      <c r="AE86" s="176"/>
      <c r="AF86" s="176"/>
      <c r="AG86" s="176"/>
    </row>
    <row r="87" spans="3:33" s="160" customFormat="1">
      <c r="C87" s="825"/>
      <c r="M87" s="247"/>
      <c r="Y87" s="176"/>
      <c r="Z87" s="176"/>
      <c r="AA87" s="176"/>
      <c r="AB87" s="176"/>
      <c r="AC87" s="176"/>
      <c r="AD87" s="176"/>
      <c r="AE87" s="176"/>
      <c r="AF87" s="176"/>
      <c r="AG87" s="176"/>
    </row>
    <row r="88" spans="3:33" s="160" customFormat="1">
      <c r="C88" s="825"/>
      <c r="M88" s="247"/>
      <c r="Y88" s="176"/>
      <c r="Z88" s="176"/>
      <c r="AA88" s="176"/>
      <c r="AB88" s="176"/>
      <c r="AC88" s="176"/>
      <c r="AD88" s="176"/>
      <c r="AE88" s="176"/>
      <c r="AF88" s="176"/>
      <c r="AG88" s="176"/>
    </row>
    <row r="89" spans="3:33" s="160" customFormat="1">
      <c r="C89" s="825"/>
      <c r="M89" s="247"/>
      <c r="Y89" s="176"/>
      <c r="Z89" s="176"/>
      <c r="AA89" s="176"/>
      <c r="AB89" s="176"/>
      <c r="AC89" s="176"/>
      <c r="AD89" s="176"/>
      <c r="AE89" s="176"/>
      <c r="AF89" s="176"/>
      <c r="AG89" s="176"/>
    </row>
    <row r="90" spans="3:33" s="160" customFormat="1">
      <c r="C90" s="825"/>
      <c r="M90" s="247"/>
      <c r="Y90" s="176"/>
      <c r="Z90" s="176"/>
      <c r="AA90" s="176"/>
      <c r="AB90" s="176"/>
      <c r="AC90" s="176"/>
      <c r="AD90" s="176"/>
      <c r="AE90" s="176"/>
      <c r="AF90" s="176"/>
      <c r="AG90" s="176"/>
    </row>
    <row r="91" spans="3:33" s="160" customFormat="1">
      <c r="C91" s="825"/>
      <c r="M91" s="247"/>
      <c r="Y91" s="176"/>
      <c r="Z91" s="176"/>
      <c r="AA91" s="176"/>
      <c r="AB91" s="176"/>
      <c r="AC91" s="176"/>
      <c r="AD91" s="176"/>
      <c r="AE91" s="176"/>
      <c r="AF91" s="176"/>
      <c r="AG91" s="176"/>
    </row>
    <row r="92" spans="3:33" s="160" customFormat="1">
      <c r="C92" s="825"/>
      <c r="M92" s="247"/>
      <c r="Y92" s="176"/>
      <c r="Z92" s="176"/>
      <c r="AA92" s="176"/>
      <c r="AB92" s="176"/>
      <c r="AC92" s="176"/>
      <c r="AD92" s="176"/>
      <c r="AE92" s="176"/>
      <c r="AF92" s="176"/>
      <c r="AG92" s="176"/>
    </row>
    <row r="93" spans="3:33" s="160" customFormat="1">
      <c r="C93" s="825"/>
      <c r="M93" s="247"/>
      <c r="Y93" s="176"/>
      <c r="Z93" s="176"/>
      <c r="AA93" s="176"/>
      <c r="AB93" s="176"/>
      <c r="AC93" s="176"/>
      <c r="AD93" s="176"/>
      <c r="AE93" s="176"/>
      <c r="AF93" s="176"/>
      <c r="AG93" s="176"/>
    </row>
    <row r="94" spans="3:33" s="160" customFormat="1">
      <c r="C94" s="825"/>
      <c r="M94" s="247"/>
      <c r="Y94" s="176"/>
      <c r="Z94" s="176"/>
      <c r="AA94" s="176"/>
      <c r="AB94" s="176"/>
      <c r="AC94" s="176"/>
      <c r="AD94" s="176"/>
      <c r="AE94" s="176"/>
      <c r="AF94" s="176"/>
      <c r="AG94" s="176"/>
    </row>
    <row r="95" spans="3:33" s="160" customFormat="1">
      <c r="C95" s="825"/>
      <c r="M95" s="247"/>
      <c r="Y95" s="176"/>
      <c r="Z95" s="176"/>
      <c r="AA95" s="176"/>
      <c r="AB95" s="176"/>
      <c r="AC95" s="176"/>
      <c r="AD95" s="176"/>
      <c r="AE95" s="176"/>
      <c r="AF95" s="176"/>
      <c r="AG95" s="176"/>
    </row>
    <row r="96" spans="3:33" s="160" customFormat="1">
      <c r="C96" s="825"/>
      <c r="M96" s="247"/>
      <c r="Y96" s="176"/>
      <c r="Z96" s="176"/>
      <c r="AA96" s="176"/>
      <c r="AB96" s="176"/>
      <c r="AC96" s="176"/>
      <c r="AD96" s="176"/>
      <c r="AE96" s="176"/>
      <c r="AF96" s="176"/>
      <c r="AG96" s="176"/>
    </row>
    <row r="97" spans="3:33" s="160" customFormat="1">
      <c r="C97" s="825"/>
      <c r="M97" s="247"/>
      <c r="Y97" s="176"/>
      <c r="Z97" s="176"/>
      <c r="AA97" s="176"/>
      <c r="AB97" s="176"/>
      <c r="AC97" s="176"/>
      <c r="AD97" s="176"/>
      <c r="AE97" s="176"/>
      <c r="AF97" s="176"/>
      <c r="AG97" s="176"/>
    </row>
    <row r="98" spans="3:33" s="160" customFormat="1">
      <c r="C98" s="825"/>
      <c r="M98" s="247"/>
      <c r="Y98" s="176"/>
      <c r="Z98" s="176"/>
      <c r="AA98" s="176"/>
      <c r="AB98" s="176"/>
      <c r="AC98" s="176"/>
      <c r="AD98" s="176"/>
      <c r="AE98" s="176"/>
      <c r="AF98" s="176"/>
      <c r="AG98" s="176"/>
    </row>
    <row r="99" spans="3:33" s="160" customFormat="1">
      <c r="C99" s="825"/>
      <c r="M99" s="247"/>
      <c r="Y99" s="176"/>
      <c r="Z99" s="176"/>
      <c r="AA99" s="176"/>
      <c r="AB99" s="176"/>
      <c r="AC99" s="176"/>
      <c r="AD99" s="176"/>
      <c r="AE99" s="176"/>
      <c r="AF99" s="176"/>
      <c r="AG99" s="176"/>
    </row>
    <row r="100" spans="3:33" s="160" customFormat="1">
      <c r="C100" s="825"/>
      <c r="M100" s="247"/>
      <c r="Y100" s="176"/>
      <c r="Z100" s="176"/>
      <c r="AA100" s="176"/>
      <c r="AB100" s="176"/>
      <c r="AC100" s="176"/>
      <c r="AD100" s="176"/>
      <c r="AE100" s="176"/>
      <c r="AF100" s="176"/>
      <c r="AG100" s="176"/>
    </row>
    <row r="101" spans="3:33" s="160" customFormat="1">
      <c r="C101" s="825"/>
      <c r="M101" s="247"/>
      <c r="Y101" s="176"/>
      <c r="Z101" s="176"/>
      <c r="AA101" s="176"/>
      <c r="AB101" s="176"/>
      <c r="AC101" s="176"/>
      <c r="AD101" s="176"/>
      <c r="AE101" s="176"/>
      <c r="AF101" s="176"/>
      <c r="AG101" s="176"/>
    </row>
    <row r="102" spans="3:33" s="160" customFormat="1">
      <c r="C102" s="825"/>
      <c r="M102" s="247"/>
      <c r="Y102" s="176"/>
      <c r="Z102" s="176"/>
      <c r="AA102" s="176"/>
      <c r="AB102" s="176"/>
      <c r="AC102" s="176"/>
      <c r="AD102" s="176"/>
      <c r="AE102" s="176"/>
      <c r="AF102" s="176"/>
      <c r="AG102" s="176"/>
    </row>
    <row r="103" spans="3:33" s="160" customFormat="1">
      <c r="C103" s="825"/>
      <c r="M103" s="247"/>
      <c r="Y103" s="176"/>
      <c r="Z103" s="176"/>
      <c r="AA103" s="176"/>
      <c r="AB103" s="176"/>
      <c r="AC103" s="176"/>
      <c r="AD103" s="176"/>
      <c r="AE103" s="176"/>
      <c r="AF103" s="176"/>
      <c r="AG103" s="176"/>
    </row>
    <row r="104" spans="3:33" s="160" customFormat="1">
      <c r="C104" s="825"/>
      <c r="M104" s="247"/>
      <c r="Y104" s="176"/>
      <c r="Z104" s="176"/>
      <c r="AA104" s="176"/>
      <c r="AB104" s="176"/>
      <c r="AC104" s="176"/>
      <c r="AD104" s="176"/>
      <c r="AE104" s="176"/>
      <c r="AF104" s="176"/>
      <c r="AG104" s="176"/>
    </row>
    <row r="105" spans="3:33" s="160" customFormat="1">
      <c r="C105" s="825"/>
      <c r="M105" s="247"/>
      <c r="Y105" s="176"/>
      <c r="Z105" s="176"/>
      <c r="AA105" s="176"/>
      <c r="AB105" s="176"/>
      <c r="AC105" s="176"/>
      <c r="AD105" s="176"/>
      <c r="AE105" s="176"/>
      <c r="AF105" s="176"/>
      <c r="AG105" s="176"/>
    </row>
    <row r="106" spans="3:33" s="160" customFormat="1">
      <c r="C106" s="825"/>
      <c r="M106" s="247"/>
      <c r="Y106" s="176"/>
      <c r="Z106" s="176"/>
      <c r="AA106" s="176"/>
      <c r="AB106" s="176"/>
      <c r="AC106" s="176"/>
      <c r="AD106" s="176"/>
      <c r="AE106" s="176"/>
      <c r="AF106" s="176"/>
      <c r="AG106" s="176"/>
    </row>
    <row r="107" spans="3:33" s="160" customFormat="1">
      <c r="C107" s="825"/>
      <c r="M107" s="247"/>
      <c r="Y107" s="176"/>
      <c r="Z107" s="176"/>
      <c r="AA107" s="176"/>
      <c r="AB107" s="176"/>
      <c r="AC107" s="176"/>
      <c r="AD107" s="176"/>
      <c r="AE107" s="176"/>
      <c r="AF107" s="176"/>
      <c r="AG107" s="176"/>
    </row>
    <row r="108" spans="3:33" s="160" customFormat="1">
      <c r="C108" s="825"/>
      <c r="M108" s="247"/>
      <c r="Y108" s="176"/>
      <c r="Z108" s="176"/>
      <c r="AA108" s="176"/>
      <c r="AB108" s="176"/>
      <c r="AC108" s="176"/>
      <c r="AD108" s="176"/>
      <c r="AE108" s="176"/>
      <c r="AF108" s="176"/>
      <c r="AG108" s="176"/>
    </row>
    <row r="109" spans="3:33" s="160" customFormat="1">
      <c r="C109" s="825"/>
      <c r="M109" s="247"/>
      <c r="Y109" s="176"/>
      <c r="Z109" s="176"/>
      <c r="AA109" s="176"/>
      <c r="AB109" s="176"/>
      <c r="AC109" s="176"/>
      <c r="AD109" s="176"/>
      <c r="AE109" s="176"/>
      <c r="AF109" s="176"/>
      <c r="AG109" s="176"/>
    </row>
    <row r="110" spans="3:33" s="160" customFormat="1">
      <c r="C110" s="825"/>
      <c r="M110" s="247"/>
      <c r="Y110" s="176"/>
      <c r="Z110" s="176"/>
      <c r="AA110" s="176"/>
      <c r="AB110" s="176"/>
      <c r="AC110" s="176"/>
      <c r="AD110" s="176"/>
      <c r="AE110" s="176"/>
      <c r="AF110" s="176"/>
      <c r="AG110" s="176"/>
    </row>
    <row r="111" spans="3:33" s="160" customFormat="1">
      <c r="C111" s="825"/>
      <c r="M111" s="247"/>
      <c r="Y111" s="176"/>
      <c r="Z111" s="176"/>
      <c r="AA111" s="176"/>
      <c r="AB111" s="176"/>
      <c r="AC111" s="176"/>
      <c r="AD111" s="176"/>
      <c r="AE111" s="176"/>
      <c r="AF111" s="176"/>
      <c r="AG111" s="176"/>
    </row>
    <row r="112" spans="3:33" s="160" customFormat="1">
      <c r="C112" s="825"/>
      <c r="M112" s="247"/>
      <c r="Y112" s="176"/>
      <c r="Z112" s="176"/>
      <c r="AA112" s="176"/>
      <c r="AB112" s="176"/>
      <c r="AC112" s="176"/>
      <c r="AD112" s="176"/>
      <c r="AE112" s="176"/>
      <c r="AF112" s="176"/>
      <c r="AG112" s="176"/>
    </row>
    <row r="113" spans="3:33" s="160" customFormat="1">
      <c r="C113" s="825"/>
      <c r="M113" s="247"/>
      <c r="Y113" s="176"/>
      <c r="Z113" s="176"/>
      <c r="AA113" s="176"/>
      <c r="AB113" s="176"/>
      <c r="AC113" s="176"/>
      <c r="AD113" s="176"/>
      <c r="AE113" s="176"/>
      <c r="AF113" s="176"/>
      <c r="AG113" s="176"/>
    </row>
    <row r="114" spans="3:33" s="160" customFormat="1">
      <c r="C114" s="825"/>
      <c r="M114" s="247"/>
      <c r="Y114" s="176"/>
      <c r="Z114" s="176"/>
      <c r="AA114" s="176"/>
      <c r="AB114" s="176"/>
      <c r="AC114" s="176"/>
      <c r="AD114" s="176"/>
      <c r="AE114" s="176"/>
      <c r="AF114" s="176"/>
      <c r="AG114" s="176"/>
    </row>
    <row r="115" spans="3:33" s="160" customFormat="1">
      <c r="C115" s="825"/>
      <c r="M115" s="247"/>
      <c r="Y115" s="176"/>
      <c r="Z115" s="176"/>
      <c r="AA115" s="176"/>
      <c r="AB115" s="176"/>
      <c r="AC115" s="176"/>
      <c r="AD115" s="176"/>
      <c r="AE115" s="176"/>
      <c r="AF115" s="176"/>
      <c r="AG115" s="176"/>
    </row>
    <row r="116" spans="3:33" s="160" customFormat="1">
      <c r="C116" s="825"/>
      <c r="M116" s="247"/>
      <c r="Y116" s="176"/>
      <c r="Z116" s="176"/>
      <c r="AA116" s="176"/>
      <c r="AB116" s="176"/>
      <c r="AC116" s="176"/>
      <c r="AD116" s="176"/>
      <c r="AE116" s="176"/>
      <c r="AF116" s="176"/>
      <c r="AG116" s="176"/>
    </row>
    <row r="117" spans="3:33" s="160" customFormat="1">
      <c r="C117" s="825"/>
      <c r="M117" s="247"/>
      <c r="Y117" s="176"/>
      <c r="Z117" s="176"/>
      <c r="AA117" s="176"/>
      <c r="AB117" s="176"/>
      <c r="AC117" s="176"/>
      <c r="AD117" s="176"/>
      <c r="AE117" s="176"/>
      <c r="AF117" s="176"/>
      <c r="AG117" s="176"/>
    </row>
    <row r="118" spans="3:33" s="160" customFormat="1">
      <c r="C118" s="825"/>
      <c r="M118" s="247"/>
      <c r="Y118" s="176"/>
      <c r="Z118" s="176"/>
      <c r="AA118" s="176"/>
      <c r="AB118" s="176"/>
      <c r="AC118" s="176"/>
      <c r="AD118" s="176"/>
      <c r="AE118" s="176"/>
      <c r="AF118" s="176"/>
      <c r="AG118" s="176"/>
    </row>
    <row r="119" spans="3:33" s="160" customFormat="1">
      <c r="C119" s="825"/>
      <c r="M119" s="247"/>
      <c r="Y119" s="176"/>
      <c r="Z119" s="176"/>
      <c r="AA119" s="176"/>
      <c r="AB119" s="176"/>
      <c r="AC119" s="176"/>
      <c r="AD119" s="176"/>
      <c r="AE119" s="176"/>
      <c r="AF119" s="176"/>
      <c r="AG119" s="176"/>
    </row>
    <row r="120" spans="3:33" s="160" customFormat="1">
      <c r="C120" s="825"/>
      <c r="M120" s="247"/>
      <c r="Y120" s="176"/>
      <c r="Z120" s="176"/>
      <c r="AA120" s="176"/>
      <c r="AB120" s="176"/>
      <c r="AC120" s="176"/>
      <c r="AD120" s="176"/>
      <c r="AE120" s="176"/>
      <c r="AF120" s="176"/>
      <c r="AG120" s="176"/>
    </row>
    <row r="121" spans="3:33" s="160" customFormat="1">
      <c r="C121" s="825"/>
      <c r="M121" s="247"/>
      <c r="Y121" s="176"/>
      <c r="Z121" s="176"/>
      <c r="AA121" s="176"/>
      <c r="AB121" s="176"/>
      <c r="AC121" s="176"/>
      <c r="AD121" s="176"/>
      <c r="AE121" s="176"/>
      <c r="AF121" s="176"/>
      <c r="AG121" s="176"/>
    </row>
    <row r="122" spans="3:33" s="160" customFormat="1">
      <c r="C122" s="825"/>
      <c r="M122" s="247"/>
      <c r="Y122" s="176"/>
      <c r="Z122" s="176"/>
      <c r="AA122" s="176"/>
      <c r="AB122" s="176"/>
      <c r="AC122" s="176"/>
      <c r="AD122" s="176"/>
      <c r="AE122" s="176"/>
      <c r="AF122" s="176"/>
      <c r="AG122" s="176"/>
    </row>
    <row r="123" spans="3:33" s="160" customFormat="1">
      <c r="C123" s="825"/>
      <c r="M123" s="247"/>
      <c r="Y123" s="176"/>
      <c r="Z123" s="176"/>
      <c r="AA123" s="176"/>
      <c r="AB123" s="176"/>
      <c r="AC123" s="176"/>
      <c r="AD123" s="176"/>
      <c r="AE123" s="176"/>
      <c r="AF123" s="176"/>
      <c r="AG123" s="176"/>
    </row>
    <row r="124" spans="3:33" s="160" customFormat="1">
      <c r="C124" s="825"/>
      <c r="M124" s="247"/>
      <c r="Y124" s="176"/>
      <c r="Z124" s="176"/>
      <c r="AA124" s="176"/>
      <c r="AB124" s="176"/>
      <c r="AC124" s="176"/>
      <c r="AD124" s="176"/>
      <c r="AE124" s="176"/>
      <c r="AF124" s="176"/>
      <c r="AG124" s="176"/>
    </row>
    <row r="125" spans="3:33" s="160" customFormat="1">
      <c r="C125" s="825"/>
      <c r="M125" s="247"/>
      <c r="Y125" s="176"/>
      <c r="Z125" s="176"/>
      <c r="AA125" s="176"/>
      <c r="AB125" s="176"/>
      <c r="AC125" s="176"/>
      <c r="AD125" s="176"/>
      <c r="AE125" s="176"/>
      <c r="AF125" s="176"/>
      <c r="AG125" s="176"/>
    </row>
    <row r="126" spans="3:33" s="160" customFormat="1">
      <c r="C126" s="825"/>
      <c r="M126" s="247"/>
      <c r="Y126" s="176"/>
      <c r="Z126" s="176"/>
      <c r="AA126" s="176"/>
      <c r="AB126" s="176"/>
      <c r="AC126" s="176"/>
      <c r="AD126" s="176"/>
      <c r="AE126" s="176"/>
      <c r="AF126" s="176"/>
      <c r="AG126" s="176"/>
    </row>
    <row r="127" spans="3:33" s="160" customFormat="1">
      <c r="C127" s="825"/>
      <c r="M127" s="247"/>
      <c r="Y127" s="176"/>
      <c r="Z127" s="176"/>
      <c r="AA127" s="176"/>
      <c r="AB127" s="176"/>
      <c r="AC127" s="176"/>
      <c r="AD127" s="176"/>
      <c r="AE127" s="176"/>
      <c r="AF127" s="176"/>
      <c r="AG127" s="176"/>
    </row>
    <row r="128" spans="3:33" s="160" customFormat="1">
      <c r="C128" s="825"/>
      <c r="M128" s="247"/>
      <c r="Y128" s="176"/>
      <c r="Z128" s="176"/>
      <c r="AA128" s="176"/>
      <c r="AB128" s="176"/>
      <c r="AC128" s="176"/>
      <c r="AD128" s="176"/>
      <c r="AE128" s="176"/>
      <c r="AF128" s="176"/>
      <c r="AG128" s="176"/>
    </row>
    <row r="129" spans="3:33" s="160" customFormat="1">
      <c r="C129" s="825"/>
      <c r="M129" s="247"/>
      <c r="Y129" s="176"/>
      <c r="Z129" s="176"/>
      <c r="AA129" s="176"/>
      <c r="AB129" s="176"/>
      <c r="AC129" s="176"/>
      <c r="AD129" s="176"/>
      <c r="AE129" s="176"/>
      <c r="AF129" s="176"/>
      <c r="AG129" s="176"/>
    </row>
    <row r="130" spans="3:33" s="160" customFormat="1">
      <c r="C130" s="825"/>
      <c r="M130" s="247"/>
      <c r="Y130" s="176"/>
      <c r="Z130" s="176"/>
      <c r="AA130" s="176"/>
      <c r="AB130" s="176"/>
      <c r="AC130" s="176"/>
      <c r="AD130" s="176"/>
      <c r="AE130" s="176"/>
      <c r="AF130" s="176"/>
      <c r="AG130" s="176"/>
    </row>
    <row r="131" spans="3:33" s="160" customFormat="1">
      <c r="C131" s="825"/>
      <c r="M131" s="247"/>
      <c r="Y131" s="176"/>
      <c r="Z131" s="176"/>
      <c r="AA131" s="176"/>
      <c r="AB131" s="176"/>
      <c r="AC131" s="176"/>
      <c r="AD131" s="176"/>
      <c r="AE131" s="176"/>
      <c r="AF131" s="176"/>
      <c r="AG131" s="176"/>
    </row>
    <row r="132" spans="3:33" s="160" customFormat="1">
      <c r="C132" s="825"/>
      <c r="M132" s="247"/>
      <c r="Y132" s="176"/>
      <c r="Z132" s="176"/>
      <c r="AA132" s="176"/>
      <c r="AB132" s="176"/>
      <c r="AC132" s="176"/>
      <c r="AD132" s="176"/>
      <c r="AE132" s="176"/>
      <c r="AF132" s="176"/>
      <c r="AG132" s="176"/>
    </row>
    <row r="133" spans="3:33" s="160" customFormat="1">
      <c r="C133" s="825"/>
      <c r="M133" s="247"/>
      <c r="Y133" s="176"/>
      <c r="Z133" s="176"/>
      <c r="AA133" s="176"/>
      <c r="AB133" s="176"/>
      <c r="AC133" s="176"/>
      <c r="AD133" s="176"/>
      <c r="AE133" s="176"/>
      <c r="AF133" s="176"/>
      <c r="AG133" s="176"/>
    </row>
    <row r="134" spans="3:33" s="160" customFormat="1">
      <c r="C134" s="825"/>
      <c r="M134" s="247"/>
      <c r="Y134" s="176"/>
      <c r="Z134" s="176"/>
      <c r="AA134" s="176"/>
      <c r="AB134" s="176"/>
      <c r="AC134" s="176"/>
      <c r="AD134" s="176"/>
      <c r="AE134" s="176"/>
      <c r="AF134" s="176"/>
      <c r="AG134" s="176"/>
    </row>
    <row r="135" spans="3:33" s="160" customFormat="1">
      <c r="C135" s="825"/>
      <c r="M135" s="247"/>
      <c r="Y135" s="176"/>
      <c r="Z135" s="176"/>
      <c r="AA135" s="176"/>
      <c r="AB135" s="176"/>
      <c r="AC135" s="176"/>
      <c r="AD135" s="176"/>
      <c r="AE135" s="176"/>
      <c r="AF135" s="176"/>
      <c r="AG135" s="176"/>
    </row>
    <row r="136" spans="3:33" s="160" customFormat="1">
      <c r="C136" s="825"/>
      <c r="M136" s="247"/>
      <c r="Y136" s="176"/>
      <c r="Z136" s="176"/>
      <c r="AA136" s="176"/>
      <c r="AB136" s="176"/>
      <c r="AC136" s="176"/>
      <c r="AD136" s="176"/>
      <c r="AE136" s="176"/>
      <c r="AF136" s="176"/>
      <c r="AG136" s="176"/>
    </row>
    <row r="137" spans="3:33" s="160" customFormat="1">
      <c r="C137" s="825"/>
      <c r="M137" s="247"/>
      <c r="Y137" s="176"/>
      <c r="Z137" s="176"/>
      <c r="AA137" s="176"/>
      <c r="AB137" s="176"/>
      <c r="AC137" s="176"/>
      <c r="AD137" s="176"/>
      <c r="AE137" s="176"/>
      <c r="AF137" s="176"/>
      <c r="AG137" s="176"/>
    </row>
    <row r="138" spans="3:33" s="160" customFormat="1">
      <c r="C138" s="825"/>
      <c r="M138" s="247"/>
      <c r="Y138" s="176"/>
      <c r="Z138" s="176"/>
      <c r="AA138" s="176"/>
      <c r="AB138" s="176"/>
      <c r="AC138" s="176"/>
      <c r="AD138" s="176"/>
      <c r="AE138" s="176"/>
      <c r="AF138" s="176"/>
      <c r="AG138" s="176"/>
    </row>
    <row r="139" spans="3:33" s="160" customFormat="1">
      <c r="C139" s="825"/>
      <c r="M139" s="247"/>
      <c r="Y139" s="176"/>
      <c r="Z139" s="176"/>
      <c r="AA139" s="176"/>
      <c r="AB139" s="176"/>
      <c r="AC139" s="176"/>
      <c r="AD139" s="176"/>
      <c r="AE139" s="176"/>
      <c r="AF139" s="176"/>
      <c r="AG139" s="176"/>
    </row>
    <row r="140" spans="3:33" s="160" customFormat="1">
      <c r="C140" s="825"/>
      <c r="M140" s="247"/>
      <c r="Y140" s="176"/>
      <c r="Z140" s="176"/>
      <c r="AA140" s="176"/>
      <c r="AB140" s="176"/>
      <c r="AC140" s="176"/>
      <c r="AD140" s="176"/>
      <c r="AE140" s="176"/>
      <c r="AF140" s="176"/>
      <c r="AG140" s="176"/>
    </row>
    <row r="141" spans="3:33" s="160" customFormat="1">
      <c r="C141" s="825"/>
      <c r="M141" s="247"/>
      <c r="Y141" s="176"/>
      <c r="Z141" s="176"/>
      <c r="AA141" s="176"/>
      <c r="AB141" s="176"/>
      <c r="AC141" s="176"/>
      <c r="AD141" s="176"/>
      <c r="AE141" s="176"/>
      <c r="AF141" s="176"/>
      <c r="AG141" s="176"/>
    </row>
    <row r="142" spans="3:33" s="160" customFormat="1">
      <c r="C142" s="825"/>
      <c r="M142" s="247"/>
      <c r="Y142" s="176"/>
      <c r="Z142" s="176"/>
      <c r="AA142" s="176"/>
      <c r="AB142" s="176"/>
      <c r="AC142" s="176"/>
      <c r="AD142" s="176"/>
      <c r="AE142" s="176"/>
      <c r="AF142" s="176"/>
      <c r="AG142" s="176"/>
    </row>
    <row r="143" spans="3:33" s="160" customFormat="1">
      <c r="C143" s="825"/>
      <c r="M143" s="247"/>
      <c r="Y143" s="176"/>
      <c r="Z143" s="176"/>
      <c r="AA143" s="176"/>
      <c r="AB143" s="176"/>
      <c r="AC143" s="176"/>
      <c r="AD143" s="176"/>
      <c r="AE143" s="176"/>
      <c r="AF143" s="176"/>
      <c r="AG143" s="176"/>
    </row>
    <row r="144" spans="3:33" s="160" customFormat="1">
      <c r="C144" s="825"/>
      <c r="M144" s="247"/>
      <c r="Y144" s="176"/>
      <c r="Z144" s="176"/>
      <c r="AA144" s="176"/>
      <c r="AB144" s="176"/>
      <c r="AC144" s="176"/>
      <c r="AD144" s="176"/>
      <c r="AE144" s="176"/>
      <c r="AF144" s="176"/>
      <c r="AG144" s="176"/>
    </row>
    <row r="145" spans="3:33" s="160" customFormat="1">
      <c r="C145" s="825"/>
      <c r="M145" s="247"/>
      <c r="Y145" s="176"/>
      <c r="Z145" s="176"/>
      <c r="AA145" s="176"/>
      <c r="AB145" s="176"/>
      <c r="AC145" s="176"/>
      <c r="AD145" s="176"/>
      <c r="AE145" s="176"/>
      <c r="AF145" s="176"/>
      <c r="AG145" s="176"/>
    </row>
    <row r="146" spans="3:33" s="160" customFormat="1">
      <c r="C146" s="825"/>
      <c r="M146" s="247"/>
      <c r="Y146" s="176"/>
      <c r="Z146" s="176"/>
      <c r="AA146" s="176"/>
      <c r="AB146" s="176"/>
      <c r="AC146" s="176"/>
      <c r="AD146" s="176"/>
      <c r="AE146" s="176"/>
      <c r="AF146" s="176"/>
      <c r="AG146" s="176"/>
    </row>
    <row r="147" spans="3:33" s="160" customFormat="1">
      <c r="C147" s="825"/>
      <c r="M147" s="247"/>
      <c r="Y147" s="176"/>
      <c r="Z147" s="176"/>
      <c r="AA147" s="176"/>
      <c r="AB147" s="176"/>
      <c r="AC147" s="176"/>
      <c r="AD147" s="176"/>
      <c r="AE147" s="176"/>
      <c r="AF147" s="176"/>
      <c r="AG147" s="176"/>
    </row>
    <row r="148" spans="3:33" s="160" customFormat="1">
      <c r="C148" s="825"/>
      <c r="M148" s="247"/>
      <c r="Y148" s="176"/>
      <c r="Z148" s="176"/>
      <c r="AA148" s="176"/>
      <c r="AB148" s="176"/>
      <c r="AC148" s="176"/>
      <c r="AD148" s="176"/>
      <c r="AE148" s="176"/>
      <c r="AF148" s="176"/>
      <c r="AG148" s="176"/>
    </row>
    <row r="149" spans="3:33" s="160" customFormat="1">
      <c r="C149" s="825"/>
      <c r="M149" s="247"/>
      <c r="Y149" s="176"/>
      <c r="Z149" s="176"/>
      <c r="AA149" s="176"/>
      <c r="AB149" s="176"/>
      <c r="AC149" s="176"/>
      <c r="AD149" s="176"/>
      <c r="AE149" s="176"/>
      <c r="AF149" s="176"/>
      <c r="AG149" s="176"/>
    </row>
    <row r="150" spans="3:33" s="160" customFormat="1">
      <c r="C150" s="825"/>
      <c r="M150" s="247"/>
      <c r="Y150" s="176"/>
      <c r="Z150" s="176"/>
      <c r="AA150" s="176"/>
      <c r="AB150" s="176"/>
      <c r="AC150" s="176"/>
      <c r="AD150" s="176"/>
      <c r="AE150" s="176"/>
      <c r="AF150" s="176"/>
      <c r="AG150" s="176"/>
    </row>
    <row r="151" spans="3:33" s="160" customFormat="1">
      <c r="C151" s="825"/>
      <c r="M151" s="247"/>
      <c r="Y151" s="176"/>
      <c r="Z151" s="176"/>
      <c r="AA151" s="176"/>
      <c r="AB151" s="176"/>
      <c r="AC151" s="176"/>
      <c r="AD151" s="176"/>
      <c r="AE151" s="176"/>
      <c r="AF151" s="176"/>
      <c r="AG151" s="176"/>
    </row>
    <row r="152" spans="3:33" s="160" customFormat="1">
      <c r="C152" s="825"/>
      <c r="M152" s="247"/>
      <c r="Y152" s="176"/>
      <c r="Z152" s="176"/>
      <c r="AA152" s="176"/>
      <c r="AB152" s="176"/>
      <c r="AC152" s="176"/>
      <c r="AD152" s="176"/>
      <c r="AE152" s="176"/>
      <c r="AF152" s="176"/>
      <c r="AG152" s="176"/>
    </row>
    <row r="153" spans="3:33" s="160" customFormat="1">
      <c r="C153" s="825"/>
      <c r="M153" s="247"/>
      <c r="Y153" s="176"/>
      <c r="Z153" s="176"/>
      <c r="AA153" s="176"/>
      <c r="AB153" s="176"/>
      <c r="AC153" s="176"/>
      <c r="AD153" s="176"/>
      <c r="AE153" s="176"/>
      <c r="AF153" s="176"/>
      <c r="AG153" s="176"/>
    </row>
    <row r="154" spans="3:33" s="160" customFormat="1">
      <c r="C154" s="825"/>
      <c r="M154" s="247"/>
      <c r="Y154" s="176"/>
      <c r="Z154" s="176"/>
      <c r="AA154" s="176"/>
      <c r="AB154" s="176"/>
      <c r="AC154" s="176"/>
      <c r="AD154" s="176"/>
      <c r="AE154" s="176"/>
      <c r="AF154" s="176"/>
      <c r="AG154" s="176"/>
    </row>
    <row r="155" spans="3:33" s="160" customFormat="1">
      <c r="C155" s="825"/>
      <c r="M155" s="247"/>
      <c r="Y155" s="176"/>
      <c r="Z155" s="176"/>
      <c r="AA155" s="176"/>
      <c r="AB155" s="176"/>
      <c r="AC155" s="176"/>
      <c r="AD155" s="176"/>
      <c r="AE155" s="176"/>
      <c r="AF155" s="176"/>
      <c r="AG155" s="176"/>
    </row>
    <row r="156" spans="3:33" s="160" customFormat="1">
      <c r="C156" s="825"/>
      <c r="M156" s="247"/>
      <c r="Y156" s="176"/>
      <c r="Z156" s="176"/>
      <c r="AA156" s="176"/>
      <c r="AB156" s="176"/>
      <c r="AC156" s="176"/>
      <c r="AD156" s="176"/>
      <c r="AE156" s="176"/>
      <c r="AF156" s="176"/>
      <c r="AG156" s="176"/>
    </row>
    <row r="157" spans="3:33" s="160" customFormat="1">
      <c r="C157" s="825"/>
      <c r="M157" s="247"/>
      <c r="Y157" s="176"/>
      <c r="Z157" s="176"/>
      <c r="AA157" s="176"/>
      <c r="AB157" s="176"/>
      <c r="AC157" s="176"/>
      <c r="AD157" s="176"/>
      <c r="AE157" s="176"/>
      <c r="AF157" s="176"/>
      <c r="AG157" s="176"/>
    </row>
    <row r="158" spans="3:33" s="160" customFormat="1">
      <c r="C158" s="825"/>
      <c r="M158" s="247"/>
      <c r="Y158" s="176"/>
      <c r="Z158" s="176"/>
      <c r="AA158" s="176"/>
      <c r="AB158" s="176"/>
      <c r="AC158" s="176"/>
      <c r="AD158" s="176"/>
      <c r="AE158" s="176"/>
      <c r="AF158" s="176"/>
      <c r="AG158" s="176"/>
    </row>
    <row r="159" spans="3:33" s="160" customFormat="1">
      <c r="C159" s="825"/>
      <c r="M159" s="247"/>
      <c r="Y159" s="176"/>
      <c r="Z159" s="176"/>
      <c r="AA159" s="176"/>
      <c r="AB159" s="176"/>
      <c r="AC159" s="176"/>
      <c r="AD159" s="176"/>
      <c r="AE159" s="176"/>
      <c r="AF159" s="176"/>
      <c r="AG159" s="176"/>
    </row>
    <row r="160" spans="3:33" s="160" customFormat="1">
      <c r="C160" s="825"/>
      <c r="M160" s="247"/>
      <c r="Y160" s="176"/>
      <c r="Z160" s="176"/>
      <c r="AA160" s="176"/>
      <c r="AB160" s="176"/>
      <c r="AC160" s="176"/>
      <c r="AD160" s="176"/>
      <c r="AE160" s="176"/>
      <c r="AF160" s="176"/>
      <c r="AG160" s="176"/>
    </row>
    <row r="161" spans="3:33" s="160" customFormat="1">
      <c r="C161" s="825"/>
      <c r="M161" s="247"/>
      <c r="Y161" s="176"/>
      <c r="Z161" s="176"/>
      <c r="AA161" s="176"/>
      <c r="AB161" s="176"/>
      <c r="AC161" s="176"/>
      <c r="AD161" s="176"/>
      <c r="AE161" s="176"/>
      <c r="AF161" s="176"/>
      <c r="AG161" s="176"/>
    </row>
    <row r="162" spans="3:33" s="160" customFormat="1">
      <c r="C162" s="825"/>
      <c r="M162" s="247"/>
      <c r="Y162" s="176"/>
      <c r="Z162" s="176"/>
      <c r="AA162" s="176"/>
      <c r="AB162" s="176"/>
      <c r="AC162" s="176"/>
      <c r="AD162" s="176"/>
      <c r="AE162" s="176"/>
      <c r="AF162" s="176"/>
      <c r="AG162" s="176"/>
    </row>
    <row r="163" spans="3:33" s="160" customFormat="1">
      <c r="C163" s="825"/>
      <c r="M163" s="247"/>
      <c r="Y163" s="176"/>
      <c r="Z163" s="176"/>
      <c r="AA163" s="176"/>
      <c r="AB163" s="176"/>
      <c r="AC163" s="176"/>
      <c r="AD163" s="176"/>
      <c r="AE163" s="176"/>
      <c r="AF163" s="176"/>
      <c r="AG163" s="176"/>
    </row>
    <row r="164" spans="3:33" s="160" customFormat="1">
      <c r="C164" s="825"/>
      <c r="M164" s="247"/>
      <c r="Y164" s="176"/>
      <c r="Z164" s="176"/>
      <c r="AA164" s="176"/>
      <c r="AB164" s="176"/>
      <c r="AC164" s="176"/>
      <c r="AD164" s="176"/>
      <c r="AE164" s="176"/>
      <c r="AF164" s="176"/>
      <c r="AG164" s="176"/>
    </row>
    <row r="165" spans="3:33" s="160" customFormat="1">
      <c r="C165" s="825"/>
      <c r="M165" s="247"/>
      <c r="Y165" s="176"/>
      <c r="Z165" s="176"/>
      <c r="AA165" s="176"/>
      <c r="AB165" s="176"/>
      <c r="AC165" s="176"/>
      <c r="AD165" s="176"/>
      <c r="AE165" s="176"/>
      <c r="AF165" s="176"/>
      <c r="AG165" s="176"/>
    </row>
    <row r="166" spans="3:33" s="160" customFormat="1">
      <c r="C166" s="825"/>
      <c r="M166" s="247"/>
      <c r="Y166" s="176"/>
      <c r="Z166" s="176"/>
      <c r="AA166" s="176"/>
      <c r="AB166" s="176"/>
      <c r="AC166" s="176"/>
      <c r="AD166" s="176"/>
      <c r="AE166" s="176"/>
      <c r="AF166" s="176"/>
      <c r="AG166" s="176"/>
    </row>
    <row r="167" spans="3:33" s="160" customFormat="1">
      <c r="C167" s="825"/>
      <c r="M167" s="247"/>
      <c r="Y167" s="176"/>
      <c r="Z167" s="176"/>
      <c r="AA167" s="176"/>
      <c r="AB167" s="176"/>
      <c r="AC167" s="176"/>
      <c r="AD167" s="176"/>
      <c r="AE167" s="176"/>
      <c r="AF167" s="176"/>
      <c r="AG167" s="176"/>
    </row>
    <row r="168" spans="3:33" s="160" customFormat="1">
      <c r="C168" s="825"/>
      <c r="M168" s="247"/>
      <c r="Y168" s="176"/>
      <c r="Z168" s="176"/>
      <c r="AA168" s="176"/>
      <c r="AB168" s="176"/>
      <c r="AC168" s="176"/>
      <c r="AD168" s="176"/>
      <c r="AE168" s="176"/>
      <c r="AF168" s="176"/>
      <c r="AG168" s="176"/>
    </row>
    <row r="169" spans="3:33" s="160" customFormat="1">
      <c r="C169" s="825"/>
      <c r="M169" s="247"/>
      <c r="Y169" s="176"/>
      <c r="Z169" s="176"/>
      <c r="AA169" s="176"/>
      <c r="AB169" s="176"/>
      <c r="AC169" s="176"/>
      <c r="AD169" s="176"/>
      <c r="AE169" s="176"/>
      <c r="AF169" s="176"/>
      <c r="AG169" s="176"/>
    </row>
    <row r="170" spans="3:33" s="160" customFormat="1">
      <c r="C170" s="825"/>
      <c r="M170" s="247"/>
      <c r="Y170" s="176"/>
      <c r="Z170" s="176"/>
      <c r="AA170" s="176"/>
      <c r="AB170" s="176"/>
      <c r="AC170" s="176"/>
      <c r="AD170" s="176"/>
      <c r="AE170" s="176"/>
      <c r="AF170" s="176"/>
      <c r="AG170" s="176"/>
    </row>
    <row r="171" spans="3:33" s="160" customFormat="1">
      <c r="C171" s="825"/>
      <c r="M171" s="247"/>
      <c r="Y171" s="176"/>
      <c r="Z171" s="176"/>
      <c r="AA171" s="176"/>
      <c r="AB171" s="176"/>
      <c r="AC171" s="176"/>
      <c r="AD171" s="176"/>
      <c r="AE171" s="176"/>
      <c r="AF171" s="176"/>
      <c r="AG171" s="176"/>
    </row>
    <row r="172" spans="3:33" s="160" customFormat="1">
      <c r="C172" s="825"/>
      <c r="M172" s="247"/>
      <c r="Y172" s="176"/>
      <c r="Z172" s="176"/>
      <c r="AA172" s="176"/>
      <c r="AB172" s="176"/>
      <c r="AC172" s="176"/>
      <c r="AD172" s="176"/>
      <c r="AE172" s="176"/>
      <c r="AF172" s="176"/>
      <c r="AG172" s="176"/>
    </row>
    <row r="173" spans="3:33" s="160" customFormat="1">
      <c r="C173" s="825"/>
      <c r="M173" s="247"/>
      <c r="Y173" s="176"/>
      <c r="Z173" s="176"/>
      <c r="AA173" s="176"/>
      <c r="AB173" s="176"/>
      <c r="AC173" s="176"/>
      <c r="AD173" s="176"/>
      <c r="AE173" s="176"/>
      <c r="AF173" s="176"/>
      <c r="AG173" s="176"/>
    </row>
    <row r="174" spans="3:33" s="160" customFormat="1">
      <c r="C174" s="825"/>
      <c r="M174" s="247"/>
      <c r="Y174" s="176"/>
      <c r="Z174" s="176"/>
      <c r="AA174" s="176"/>
      <c r="AB174" s="176"/>
      <c r="AC174" s="176"/>
      <c r="AD174" s="176"/>
      <c r="AE174" s="176"/>
      <c r="AF174" s="176"/>
      <c r="AG174" s="176"/>
    </row>
    <row r="175" spans="3:33" s="160" customFormat="1">
      <c r="C175" s="825"/>
      <c r="M175" s="247"/>
      <c r="Y175" s="176"/>
      <c r="Z175" s="176"/>
      <c r="AA175" s="176"/>
      <c r="AB175" s="176"/>
      <c r="AC175" s="176"/>
      <c r="AD175" s="176"/>
      <c r="AE175" s="176"/>
      <c r="AF175" s="176"/>
      <c r="AG175" s="176"/>
    </row>
    <row r="176" spans="3:33" s="160" customFormat="1">
      <c r="C176" s="825"/>
      <c r="M176" s="247"/>
      <c r="Y176" s="176"/>
      <c r="Z176" s="176"/>
      <c r="AA176" s="176"/>
      <c r="AB176" s="176"/>
      <c r="AC176" s="176"/>
      <c r="AD176" s="176"/>
      <c r="AE176" s="176"/>
      <c r="AF176" s="176"/>
      <c r="AG176" s="176"/>
    </row>
    <row r="177" spans="3:33" s="160" customFormat="1">
      <c r="C177" s="825"/>
      <c r="M177" s="247"/>
      <c r="Y177" s="176"/>
      <c r="Z177" s="176"/>
      <c r="AA177" s="176"/>
      <c r="AB177" s="176"/>
      <c r="AC177" s="176"/>
      <c r="AD177" s="176"/>
      <c r="AE177" s="176"/>
      <c r="AF177" s="176"/>
      <c r="AG177" s="176"/>
    </row>
    <row r="178" spans="3:33" s="160" customFormat="1">
      <c r="C178" s="825"/>
      <c r="M178" s="247"/>
      <c r="Y178" s="176"/>
      <c r="Z178" s="176"/>
      <c r="AA178" s="176"/>
      <c r="AB178" s="176"/>
      <c r="AC178" s="176"/>
      <c r="AD178" s="176"/>
      <c r="AE178" s="176"/>
      <c r="AF178" s="176"/>
      <c r="AG178" s="176"/>
    </row>
    <row r="179" spans="3:33" s="160" customFormat="1">
      <c r="C179" s="825"/>
      <c r="M179" s="247"/>
      <c r="Y179" s="176"/>
      <c r="Z179" s="176"/>
      <c r="AA179" s="176"/>
      <c r="AB179" s="176"/>
      <c r="AC179" s="176"/>
      <c r="AD179" s="176"/>
      <c r="AE179" s="176"/>
      <c r="AF179" s="176"/>
      <c r="AG179" s="176"/>
    </row>
    <row r="180" spans="3:33" s="160" customFormat="1">
      <c r="C180" s="825"/>
      <c r="M180" s="247"/>
      <c r="Y180" s="176"/>
      <c r="Z180" s="176"/>
      <c r="AA180" s="176"/>
      <c r="AB180" s="176"/>
      <c r="AC180" s="176"/>
      <c r="AD180" s="176"/>
      <c r="AE180" s="176"/>
      <c r="AF180" s="176"/>
      <c r="AG180" s="176"/>
    </row>
    <row r="181" spans="3:33" s="160" customFormat="1">
      <c r="C181" s="825"/>
      <c r="M181" s="247"/>
      <c r="Y181" s="176"/>
      <c r="Z181" s="176"/>
      <c r="AA181" s="176"/>
      <c r="AB181" s="176"/>
      <c r="AC181" s="176"/>
      <c r="AD181" s="176"/>
      <c r="AE181" s="176"/>
      <c r="AF181" s="176"/>
      <c r="AG181" s="176"/>
    </row>
    <row r="182" spans="3:33" s="160" customFormat="1">
      <c r="C182" s="825"/>
      <c r="M182" s="247"/>
      <c r="Y182" s="176"/>
      <c r="Z182" s="176"/>
      <c r="AA182" s="176"/>
      <c r="AB182" s="176"/>
      <c r="AC182" s="176"/>
      <c r="AD182" s="176"/>
      <c r="AE182" s="176"/>
      <c r="AF182" s="176"/>
      <c r="AG182" s="176"/>
    </row>
    <row r="183" spans="3:33" s="160" customFormat="1">
      <c r="C183" s="825"/>
      <c r="M183" s="247"/>
      <c r="Y183" s="176"/>
      <c r="Z183" s="176"/>
      <c r="AA183" s="176"/>
      <c r="AB183" s="176"/>
      <c r="AC183" s="176"/>
      <c r="AD183" s="176"/>
      <c r="AE183" s="176"/>
      <c r="AF183" s="176"/>
      <c r="AG183" s="176"/>
    </row>
    <row r="184" spans="3:33" s="160" customFormat="1">
      <c r="C184" s="825"/>
      <c r="M184" s="247"/>
      <c r="Y184" s="176"/>
      <c r="Z184" s="176"/>
      <c r="AA184" s="176"/>
      <c r="AB184" s="176"/>
      <c r="AC184" s="176"/>
      <c r="AD184" s="176"/>
      <c r="AE184" s="176"/>
      <c r="AF184" s="176"/>
      <c r="AG184" s="176"/>
    </row>
    <row r="185" spans="3:33" s="160" customFormat="1">
      <c r="C185" s="825"/>
      <c r="M185" s="247"/>
      <c r="Y185" s="176"/>
      <c r="Z185" s="176"/>
      <c r="AA185" s="176"/>
      <c r="AB185" s="176"/>
      <c r="AC185" s="176"/>
      <c r="AD185" s="176"/>
      <c r="AE185" s="176"/>
      <c r="AF185" s="176"/>
      <c r="AG185" s="176"/>
    </row>
    <row r="186" spans="3:33" s="160" customFormat="1">
      <c r="C186" s="825"/>
      <c r="M186" s="247"/>
      <c r="Y186" s="176"/>
      <c r="Z186" s="176"/>
      <c r="AA186" s="176"/>
      <c r="AB186" s="176"/>
      <c r="AC186" s="176"/>
      <c r="AD186" s="176"/>
      <c r="AE186" s="176"/>
      <c r="AF186" s="176"/>
      <c r="AG186" s="176"/>
    </row>
    <row r="187" spans="3:33" s="160" customFormat="1">
      <c r="C187" s="825"/>
      <c r="M187" s="247"/>
      <c r="Y187" s="176"/>
      <c r="Z187" s="176"/>
      <c r="AA187" s="176"/>
      <c r="AB187" s="176"/>
      <c r="AC187" s="176"/>
      <c r="AD187" s="176"/>
      <c r="AE187" s="176"/>
      <c r="AF187" s="176"/>
      <c r="AG187" s="176"/>
    </row>
    <row r="188" spans="3:33" s="160" customFormat="1">
      <c r="C188" s="825"/>
      <c r="M188" s="247"/>
      <c r="Y188" s="176"/>
      <c r="Z188" s="176"/>
      <c r="AA188" s="176"/>
      <c r="AB188" s="176"/>
      <c r="AC188" s="176"/>
      <c r="AD188" s="176"/>
      <c r="AE188" s="176"/>
      <c r="AF188" s="176"/>
      <c r="AG188" s="176"/>
    </row>
    <row r="189" spans="3:33" s="160" customFormat="1">
      <c r="C189" s="825"/>
      <c r="M189" s="247"/>
      <c r="Y189" s="176"/>
      <c r="Z189" s="176"/>
      <c r="AA189" s="176"/>
      <c r="AB189" s="176"/>
      <c r="AC189" s="176"/>
      <c r="AD189" s="176"/>
      <c r="AE189" s="176"/>
      <c r="AF189" s="176"/>
      <c r="AG189" s="176"/>
    </row>
    <row r="190" spans="3:33" s="160" customFormat="1">
      <c r="C190" s="825"/>
      <c r="M190" s="247"/>
      <c r="Y190" s="176"/>
      <c r="Z190" s="176"/>
      <c r="AA190" s="176"/>
      <c r="AB190" s="176"/>
      <c r="AC190" s="176"/>
      <c r="AD190" s="176"/>
      <c r="AE190" s="176"/>
      <c r="AF190" s="176"/>
      <c r="AG190" s="176"/>
    </row>
    <row r="191" spans="3:33" s="160" customFormat="1">
      <c r="C191" s="825"/>
      <c r="M191" s="247"/>
      <c r="Y191" s="176"/>
      <c r="Z191" s="176"/>
      <c r="AA191" s="176"/>
      <c r="AB191" s="176"/>
      <c r="AC191" s="176"/>
      <c r="AD191" s="176"/>
      <c r="AE191" s="176"/>
      <c r="AF191" s="176"/>
      <c r="AG191" s="176"/>
    </row>
    <row r="192" spans="3:33" s="160" customFormat="1">
      <c r="C192" s="825"/>
      <c r="M192" s="247"/>
      <c r="Y192" s="176"/>
      <c r="Z192" s="176"/>
      <c r="AA192" s="176"/>
      <c r="AB192" s="176"/>
      <c r="AC192" s="176"/>
      <c r="AD192" s="176"/>
      <c r="AE192" s="176"/>
      <c r="AF192" s="176"/>
      <c r="AG192" s="176"/>
    </row>
    <row r="193" spans="3:33" s="160" customFormat="1">
      <c r="C193" s="825"/>
      <c r="M193" s="247"/>
      <c r="Y193" s="176"/>
      <c r="Z193" s="176"/>
      <c r="AA193" s="176"/>
      <c r="AB193" s="176"/>
      <c r="AC193" s="176"/>
      <c r="AD193" s="176"/>
      <c r="AE193" s="176"/>
      <c r="AF193" s="176"/>
      <c r="AG193" s="176"/>
    </row>
    <row r="194" spans="3:33" s="160" customFormat="1">
      <c r="C194" s="825"/>
      <c r="M194" s="247"/>
      <c r="Y194" s="176"/>
      <c r="Z194" s="176"/>
      <c r="AA194" s="176"/>
      <c r="AB194" s="176"/>
      <c r="AC194" s="176"/>
      <c r="AD194" s="176"/>
      <c r="AE194" s="176"/>
      <c r="AF194" s="176"/>
      <c r="AG194" s="176"/>
    </row>
    <row r="195" spans="3:33" s="160" customFormat="1">
      <c r="C195" s="825"/>
      <c r="M195" s="247"/>
      <c r="Y195" s="176"/>
      <c r="Z195" s="176"/>
      <c r="AA195" s="176"/>
      <c r="AB195" s="176"/>
      <c r="AC195" s="176"/>
      <c r="AD195" s="176"/>
      <c r="AE195" s="176"/>
      <c r="AF195" s="176"/>
      <c r="AG195" s="176"/>
    </row>
    <row r="196" spans="3:33" s="160" customFormat="1">
      <c r="C196" s="825"/>
      <c r="M196" s="247"/>
      <c r="Y196" s="176"/>
      <c r="Z196" s="176"/>
      <c r="AA196" s="176"/>
      <c r="AB196" s="176"/>
      <c r="AC196" s="176"/>
      <c r="AD196" s="176"/>
      <c r="AE196" s="176"/>
      <c r="AF196" s="176"/>
      <c r="AG196" s="176"/>
    </row>
    <row r="197" spans="3:33" s="160" customFormat="1">
      <c r="C197" s="825"/>
      <c r="M197" s="247"/>
      <c r="Y197" s="176"/>
      <c r="Z197" s="176"/>
      <c r="AA197" s="176"/>
      <c r="AB197" s="176"/>
      <c r="AC197" s="176"/>
      <c r="AD197" s="176"/>
      <c r="AE197" s="176"/>
      <c r="AF197" s="176"/>
      <c r="AG197" s="176"/>
    </row>
    <row r="198" spans="3:33" s="160" customFormat="1">
      <c r="C198" s="825"/>
      <c r="M198" s="247"/>
      <c r="Y198" s="176"/>
      <c r="Z198" s="176"/>
      <c r="AA198" s="176"/>
      <c r="AB198" s="176"/>
      <c r="AC198" s="176"/>
      <c r="AD198" s="176"/>
      <c r="AE198" s="176"/>
      <c r="AF198" s="176"/>
      <c r="AG198" s="176"/>
    </row>
    <row r="199" spans="3:33" s="160" customFormat="1">
      <c r="C199" s="825"/>
      <c r="M199" s="247"/>
      <c r="Y199" s="176"/>
      <c r="Z199" s="176"/>
      <c r="AA199" s="176"/>
      <c r="AB199" s="176"/>
      <c r="AC199" s="176"/>
      <c r="AD199" s="176"/>
      <c r="AE199" s="176"/>
      <c r="AF199" s="176"/>
      <c r="AG199" s="176"/>
    </row>
    <row r="200" spans="3:33" s="160" customFormat="1">
      <c r="C200" s="825"/>
      <c r="M200" s="247"/>
      <c r="Y200" s="176"/>
      <c r="Z200" s="176"/>
      <c r="AA200" s="176"/>
      <c r="AB200" s="176"/>
      <c r="AC200" s="176"/>
      <c r="AD200" s="176"/>
      <c r="AE200" s="176"/>
      <c r="AF200" s="176"/>
      <c r="AG200" s="176"/>
    </row>
    <row r="201" spans="3:33" s="160" customFormat="1">
      <c r="C201" s="825"/>
      <c r="M201" s="247"/>
      <c r="Y201" s="176"/>
      <c r="Z201" s="176"/>
      <c r="AA201" s="176"/>
      <c r="AB201" s="176"/>
      <c r="AC201" s="176"/>
      <c r="AD201" s="176"/>
      <c r="AE201" s="176"/>
      <c r="AF201" s="176"/>
      <c r="AG201" s="176"/>
    </row>
    <row r="202" spans="3:33" s="160" customFormat="1">
      <c r="C202" s="825"/>
      <c r="M202" s="247"/>
      <c r="Y202" s="176"/>
      <c r="Z202" s="176"/>
      <c r="AA202" s="176"/>
      <c r="AB202" s="176"/>
      <c r="AC202" s="176"/>
      <c r="AD202" s="176"/>
      <c r="AE202" s="176"/>
      <c r="AF202" s="176"/>
      <c r="AG202" s="176"/>
    </row>
    <row r="203" spans="3:33" s="160" customFormat="1">
      <c r="C203" s="825"/>
      <c r="M203" s="247"/>
      <c r="Y203" s="176"/>
      <c r="Z203" s="176"/>
      <c r="AA203" s="176"/>
      <c r="AB203" s="176"/>
      <c r="AC203" s="176"/>
      <c r="AD203" s="176"/>
      <c r="AE203" s="176"/>
      <c r="AF203" s="176"/>
      <c r="AG203" s="176"/>
    </row>
    <row r="204" spans="3:33" s="160" customFormat="1">
      <c r="C204" s="825"/>
      <c r="M204" s="247"/>
      <c r="Y204" s="176"/>
      <c r="Z204" s="176"/>
      <c r="AA204" s="176"/>
      <c r="AB204" s="176"/>
      <c r="AC204" s="176"/>
      <c r="AD204" s="176"/>
      <c r="AE204" s="176"/>
      <c r="AF204" s="176"/>
      <c r="AG204" s="176"/>
    </row>
    <row r="205" spans="3:33" s="160" customFormat="1">
      <c r="C205" s="825"/>
      <c r="M205" s="247"/>
      <c r="Y205" s="176"/>
      <c r="Z205" s="176"/>
      <c r="AA205" s="176"/>
      <c r="AB205" s="176"/>
      <c r="AC205" s="176"/>
      <c r="AD205" s="176"/>
      <c r="AE205" s="176"/>
      <c r="AF205" s="176"/>
      <c r="AG205" s="176"/>
    </row>
    <row r="206" spans="3:33" s="160" customFormat="1">
      <c r="C206" s="825"/>
      <c r="M206" s="247"/>
      <c r="Y206" s="176"/>
      <c r="Z206" s="176"/>
      <c r="AA206" s="176"/>
      <c r="AB206" s="176"/>
      <c r="AC206" s="176"/>
      <c r="AD206" s="176"/>
      <c r="AE206" s="176"/>
      <c r="AF206" s="176"/>
      <c r="AG206" s="176"/>
    </row>
    <row r="207" spans="3:33" s="160" customFormat="1">
      <c r="C207" s="825"/>
      <c r="M207" s="247"/>
      <c r="Y207" s="176"/>
      <c r="Z207" s="176"/>
      <c r="AA207" s="176"/>
      <c r="AB207" s="176"/>
      <c r="AC207" s="176"/>
      <c r="AD207" s="176"/>
      <c r="AE207" s="176"/>
      <c r="AF207" s="176"/>
      <c r="AG207" s="176"/>
    </row>
    <row r="208" spans="3:33" s="160" customFormat="1">
      <c r="C208" s="825"/>
      <c r="M208" s="247"/>
      <c r="Y208" s="176"/>
      <c r="Z208" s="176"/>
      <c r="AA208" s="176"/>
      <c r="AB208" s="176"/>
      <c r="AC208" s="176"/>
      <c r="AD208" s="176"/>
      <c r="AE208" s="176"/>
      <c r="AF208" s="176"/>
      <c r="AG208" s="176"/>
    </row>
    <row r="209" spans="3:33" s="160" customFormat="1">
      <c r="C209" s="825"/>
      <c r="M209" s="247"/>
      <c r="Y209" s="176"/>
      <c r="Z209" s="176"/>
      <c r="AA209" s="176"/>
      <c r="AB209" s="176"/>
      <c r="AC209" s="176"/>
      <c r="AD209" s="176"/>
      <c r="AE209" s="176"/>
      <c r="AF209" s="176"/>
      <c r="AG209" s="176"/>
    </row>
    <row r="210" spans="3:33" s="160" customFormat="1">
      <c r="C210" s="825"/>
      <c r="M210" s="247"/>
      <c r="Y210" s="176"/>
      <c r="Z210" s="176"/>
      <c r="AA210" s="176"/>
      <c r="AB210" s="176"/>
      <c r="AC210" s="176"/>
      <c r="AD210" s="176"/>
      <c r="AE210" s="176"/>
      <c r="AF210" s="176"/>
      <c r="AG210" s="176"/>
    </row>
    <row r="211" spans="3:33" s="160" customFormat="1">
      <c r="C211" s="825"/>
      <c r="M211" s="247"/>
      <c r="Y211" s="176"/>
      <c r="Z211" s="176"/>
      <c r="AA211" s="176"/>
      <c r="AB211" s="176"/>
      <c r="AC211" s="176"/>
      <c r="AD211" s="176"/>
      <c r="AE211" s="176"/>
      <c r="AF211" s="176"/>
      <c r="AG211" s="176"/>
    </row>
    <row r="212" spans="3:33" s="160" customFormat="1">
      <c r="C212" s="825"/>
      <c r="M212" s="247"/>
      <c r="Y212" s="176"/>
      <c r="Z212" s="176"/>
      <c r="AA212" s="176"/>
      <c r="AB212" s="176"/>
      <c r="AC212" s="176"/>
      <c r="AD212" s="176"/>
      <c r="AE212" s="176"/>
      <c r="AF212" s="176"/>
      <c r="AG212" s="176"/>
    </row>
    <row r="213" spans="3:33" s="160" customFormat="1">
      <c r="C213" s="825"/>
      <c r="M213" s="247"/>
      <c r="Y213" s="176"/>
      <c r="Z213" s="176"/>
      <c r="AA213" s="176"/>
      <c r="AB213" s="176"/>
      <c r="AC213" s="176"/>
      <c r="AD213" s="176"/>
      <c r="AE213" s="176"/>
      <c r="AF213" s="176"/>
      <c r="AG213" s="176"/>
    </row>
    <row r="214" spans="3:33" s="160" customFormat="1">
      <c r="C214" s="825"/>
      <c r="M214" s="247"/>
      <c r="Y214" s="176"/>
      <c r="Z214" s="176"/>
      <c r="AA214" s="176"/>
      <c r="AB214" s="176"/>
      <c r="AC214" s="176"/>
      <c r="AD214" s="176"/>
      <c r="AE214" s="176"/>
      <c r="AF214" s="176"/>
      <c r="AG214" s="176"/>
    </row>
    <row r="215" spans="3:33" s="160" customFormat="1">
      <c r="C215" s="825"/>
      <c r="M215" s="247"/>
      <c r="Y215" s="176"/>
      <c r="Z215" s="176"/>
      <c r="AA215" s="176"/>
      <c r="AB215" s="176"/>
      <c r="AC215" s="176"/>
      <c r="AD215" s="176"/>
      <c r="AE215" s="176"/>
      <c r="AF215" s="176"/>
      <c r="AG215" s="176"/>
    </row>
    <row r="216" spans="3:33" s="160" customFormat="1">
      <c r="C216" s="825"/>
      <c r="M216" s="247"/>
      <c r="Y216" s="176"/>
      <c r="Z216" s="176"/>
      <c r="AA216" s="176"/>
      <c r="AB216" s="176"/>
      <c r="AC216" s="176"/>
      <c r="AD216" s="176"/>
      <c r="AE216" s="176"/>
      <c r="AF216" s="176"/>
      <c r="AG216" s="176"/>
    </row>
    <row r="217" spans="3:33" s="160" customFormat="1">
      <c r="C217" s="825"/>
      <c r="M217" s="247"/>
      <c r="Y217" s="176"/>
      <c r="Z217" s="176"/>
      <c r="AA217" s="176"/>
      <c r="AB217" s="176"/>
      <c r="AC217" s="176"/>
      <c r="AD217" s="176"/>
      <c r="AE217" s="176"/>
      <c r="AF217" s="176"/>
      <c r="AG217" s="176"/>
    </row>
    <row r="218" spans="3:33" s="160" customFormat="1">
      <c r="C218" s="825"/>
      <c r="M218" s="247"/>
      <c r="Y218" s="176"/>
      <c r="Z218" s="176"/>
      <c r="AA218" s="176"/>
      <c r="AB218" s="176"/>
      <c r="AC218" s="176"/>
      <c r="AD218" s="176"/>
      <c r="AE218" s="176"/>
      <c r="AF218" s="176"/>
      <c r="AG218" s="176"/>
    </row>
    <row r="219" spans="3:33" s="160" customFormat="1">
      <c r="C219" s="825"/>
      <c r="M219" s="247"/>
      <c r="Y219" s="176"/>
      <c r="Z219" s="176"/>
      <c r="AA219" s="176"/>
      <c r="AB219" s="176"/>
      <c r="AC219" s="176"/>
      <c r="AD219" s="176"/>
      <c r="AE219" s="176"/>
      <c r="AF219" s="176"/>
      <c r="AG219" s="176"/>
    </row>
    <row r="220" spans="3:33" s="160" customFormat="1">
      <c r="C220" s="825"/>
      <c r="M220" s="247"/>
      <c r="Y220" s="176"/>
      <c r="Z220" s="176"/>
      <c r="AA220" s="176"/>
      <c r="AB220" s="176"/>
      <c r="AC220" s="176"/>
      <c r="AD220" s="176"/>
      <c r="AE220" s="176"/>
      <c r="AF220" s="176"/>
      <c r="AG220" s="176"/>
    </row>
    <row r="221" spans="3:33" s="160" customFormat="1">
      <c r="C221" s="825"/>
      <c r="M221" s="247"/>
      <c r="Y221" s="176"/>
      <c r="Z221" s="176"/>
      <c r="AA221" s="176"/>
      <c r="AB221" s="176"/>
      <c r="AC221" s="176"/>
      <c r="AD221" s="176"/>
      <c r="AE221" s="176"/>
      <c r="AF221" s="176"/>
      <c r="AG221" s="176"/>
    </row>
    <row r="222" spans="3:33" s="160" customFormat="1">
      <c r="C222" s="825"/>
      <c r="M222" s="247"/>
      <c r="Y222" s="176"/>
      <c r="Z222" s="176"/>
      <c r="AA222" s="176"/>
      <c r="AB222" s="176"/>
      <c r="AC222" s="176"/>
      <c r="AD222" s="176"/>
      <c r="AE222" s="176"/>
      <c r="AF222" s="176"/>
      <c r="AG222" s="176"/>
    </row>
    <row r="223" spans="3:33" s="160" customFormat="1">
      <c r="C223" s="825"/>
      <c r="M223" s="247"/>
      <c r="Y223" s="176"/>
      <c r="Z223" s="176"/>
      <c r="AA223" s="176"/>
      <c r="AB223" s="176"/>
      <c r="AC223" s="176"/>
      <c r="AD223" s="176"/>
      <c r="AE223" s="176"/>
      <c r="AF223" s="176"/>
      <c r="AG223" s="176"/>
    </row>
    <row r="224" spans="3:33" s="160" customFormat="1">
      <c r="C224" s="825"/>
      <c r="M224" s="247"/>
      <c r="Y224" s="176"/>
      <c r="Z224" s="176"/>
      <c r="AA224" s="176"/>
      <c r="AB224" s="176"/>
      <c r="AC224" s="176"/>
      <c r="AD224" s="176"/>
      <c r="AE224" s="176"/>
      <c r="AF224" s="176"/>
      <c r="AG224" s="176"/>
    </row>
    <row r="225" spans="3:33" s="160" customFormat="1">
      <c r="C225" s="825"/>
      <c r="M225" s="247"/>
      <c r="Y225" s="176"/>
      <c r="Z225" s="176"/>
      <c r="AA225" s="176"/>
      <c r="AB225" s="176"/>
      <c r="AC225" s="176"/>
      <c r="AD225" s="176"/>
      <c r="AE225" s="176"/>
      <c r="AF225" s="176"/>
      <c r="AG225" s="176"/>
    </row>
    <row r="226" spans="3:33" s="160" customFormat="1">
      <c r="C226" s="825"/>
      <c r="M226" s="247"/>
      <c r="Y226" s="176"/>
      <c r="Z226" s="176"/>
      <c r="AA226" s="176"/>
      <c r="AB226" s="176"/>
      <c r="AC226" s="176"/>
      <c r="AD226" s="176"/>
      <c r="AE226" s="176"/>
      <c r="AF226" s="176"/>
      <c r="AG226" s="176"/>
    </row>
    <row r="227" spans="3:33" s="160" customFormat="1">
      <c r="C227" s="825"/>
      <c r="M227" s="247"/>
      <c r="Y227" s="176"/>
      <c r="Z227" s="176"/>
      <c r="AA227" s="176"/>
      <c r="AB227" s="176"/>
      <c r="AC227" s="176"/>
      <c r="AD227" s="176"/>
      <c r="AE227" s="176"/>
      <c r="AF227" s="176"/>
      <c r="AG227" s="176"/>
    </row>
    <row r="228" spans="3:33" s="160" customFormat="1">
      <c r="C228" s="825"/>
      <c r="M228" s="247"/>
      <c r="Y228" s="176"/>
      <c r="Z228" s="176"/>
      <c r="AA228" s="176"/>
      <c r="AB228" s="176"/>
      <c r="AC228" s="176"/>
      <c r="AD228" s="176"/>
      <c r="AE228" s="176"/>
      <c r="AF228" s="176"/>
      <c r="AG228" s="176"/>
    </row>
    <row r="229" spans="3:33" s="160" customFormat="1">
      <c r="C229" s="825"/>
      <c r="M229" s="247"/>
      <c r="Y229" s="176"/>
      <c r="Z229" s="176"/>
      <c r="AA229" s="176"/>
      <c r="AB229" s="176"/>
      <c r="AC229" s="176"/>
      <c r="AD229" s="176"/>
      <c r="AE229" s="176"/>
      <c r="AF229" s="176"/>
      <c r="AG229" s="176"/>
    </row>
    <row r="230" spans="3:33" s="160" customFormat="1">
      <c r="C230" s="825"/>
      <c r="M230" s="247"/>
      <c r="Y230" s="176"/>
      <c r="Z230" s="176"/>
      <c r="AA230" s="176"/>
      <c r="AB230" s="176"/>
      <c r="AC230" s="176"/>
      <c r="AD230" s="176"/>
      <c r="AE230" s="176"/>
      <c r="AF230" s="176"/>
      <c r="AG230" s="176"/>
    </row>
    <row r="231" spans="3:33" s="160" customFormat="1">
      <c r="C231" s="825"/>
      <c r="M231" s="247"/>
      <c r="Y231" s="176"/>
      <c r="Z231" s="176"/>
      <c r="AA231" s="176"/>
      <c r="AB231" s="176"/>
      <c r="AC231" s="176"/>
      <c r="AD231" s="176"/>
      <c r="AE231" s="176"/>
      <c r="AF231" s="176"/>
      <c r="AG231" s="176"/>
    </row>
    <row r="232" spans="3:33" s="160" customFormat="1">
      <c r="C232" s="825"/>
      <c r="M232" s="247"/>
      <c r="Y232" s="176"/>
      <c r="Z232" s="176"/>
      <c r="AA232" s="176"/>
      <c r="AB232" s="176"/>
      <c r="AC232" s="176"/>
      <c r="AD232" s="176"/>
      <c r="AE232" s="176"/>
      <c r="AF232" s="176"/>
      <c r="AG232" s="176"/>
    </row>
    <row r="233" spans="3:33" s="160" customFormat="1">
      <c r="C233" s="825"/>
      <c r="M233" s="247"/>
      <c r="Y233" s="176"/>
      <c r="Z233" s="176"/>
      <c r="AA233" s="176"/>
      <c r="AB233" s="176"/>
      <c r="AC233" s="176"/>
      <c r="AD233" s="176"/>
      <c r="AE233" s="176"/>
      <c r="AF233" s="176"/>
      <c r="AG233" s="176"/>
    </row>
    <row r="234" spans="3:33" s="160" customFormat="1">
      <c r="C234" s="825"/>
      <c r="M234" s="247"/>
      <c r="Y234" s="176"/>
      <c r="Z234" s="176"/>
      <c r="AA234" s="176"/>
      <c r="AB234" s="176"/>
      <c r="AC234" s="176"/>
      <c r="AD234" s="176"/>
      <c r="AE234" s="176"/>
      <c r="AF234" s="176"/>
      <c r="AG234" s="176"/>
    </row>
    <row r="235" spans="3:33" s="160" customFormat="1">
      <c r="C235" s="825"/>
      <c r="M235" s="247"/>
      <c r="Y235" s="176"/>
      <c r="Z235" s="176"/>
      <c r="AA235" s="176"/>
      <c r="AB235" s="176"/>
      <c r="AC235" s="176"/>
      <c r="AD235" s="176"/>
      <c r="AE235" s="176"/>
      <c r="AF235" s="176"/>
      <c r="AG235" s="176"/>
    </row>
    <row r="236" spans="3:33" s="160" customFormat="1">
      <c r="C236" s="825"/>
      <c r="M236" s="247"/>
      <c r="Y236" s="176"/>
      <c r="Z236" s="176"/>
      <c r="AA236" s="176"/>
      <c r="AB236" s="176"/>
      <c r="AC236" s="176"/>
      <c r="AD236" s="176"/>
      <c r="AE236" s="176"/>
      <c r="AF236" s="176"/>
      <c r="AG236" s="176"/>
    </row>
    <row r="237" spans="3:33" s="160" customFormat="1">
      <c r="C237" s="825"/>
      <c r="M237" s="247"/>
      <c r="Y237" s="176"/>
      <c r="Z237" s="176"/>
      <c r="AA237" s="176"/>
      <c r="AB237" s="176"/>
      <c r="AC237" s="176"/>
      <c r="AD237" s="176"/>
      <c r="AE237" s="176"/>
      <c r="AF237" s="176"/>
      <c r="AG237" s="176"/>
    </row>
    <row r="238" spans="3:33" s="160" customFormat="1">
      <c r="C238" s="825"/>
      <c r="M238" s="247"/>
      <c r="Y238" s="176"/>
      <c r="Z238" s="176"/>
      <c r="AA238" s="176"/>
      <c r="AB238" s="176"/>
      <c r="AC238" s="176"/>
      <c r="AD238" s="176"/>
      <c r="AE238" s="176"/>
      <c r="AF238" s="176"/>
      <c r="AG238" s="176"/>
    </row>
    <row r="239" spans="3:33" s="160" customFormat="1">
      <c r="C239" s="825"/>
      <c r="M239" s="247"/>
      <c r="Y239" s="176"/>
      <c r="Z239" s="176"/>
      <c r="AA239" s="176"/>
      <c r="AB239" s="176"/>
      <c r="AC239" s="176"/>
      <c r="AD239" s="176"/>
      <c r="AE239" s="176"/>
      <c r="AF239" s="176"/>
      <c r="AG239" s="176"/>
    </row>
    <row r="240" spans="3:33" s="160" customFormat="1">
      <c r="C240" s="825"/>
      <c r="M240" s="247"/>
      <c r="Y240" s="176"/>
      <c r="Z240" s="176"/>
      <c r="AA240" s="176"/>
      <c r="AB240" s="176"/>
      <c r="AC240" s="176"/>
      <c r="AD240" s="176"/>
      <c r="AE240" s="176"/>
      <c r="AF240" s="176"/>
      <c r="AG240" s="176"/>
    </row>
    <row r="241" spans="3:33" s="160" customFormat="1">
      <c r="C241" s="825"/>
      <c r="M241" s="247"/>
      <c r="Y241" s="176"/>
      <c r="Z241" s="176"/>
      <c r="AA241" s="176"/>
      <c r="AB241" s="176"/>
      <c r="AC241" s="176"/>
      <c r="AD241" s="176"/>
      <c r="AE241" s="176"/>
      <c r="AF241" s="176"/>
      <c r="AG241" s="176"/>
    </row>
    <row r="242" spans="3:33" s="160" customFormat="1">
      <c r="C242" s="825"/>
      <c r="M242" s="247"/>
      <c r="Y242" s="176"/>
      <c r="Z242" s="176"/>
      <c r="AA242" s="176"/>
      <c r="AB242" s="176"/>
      <c r="AC242" s="176"/>
      <c r="AD242" s="176"/>
      <c r="AE242" s="176"/>
      <c r="AF242" s="176"/>
      <c r="AG242" s="176"/>
    </row>
    <row r="243" spans="3:33" s="160" customFormat="1">
      <c r="C243" s="825"/>
      <c r="M243" s="247"/>
      <c r="Y243" s="176"/>
      <c r="Z243" s="176"/>
      <c r="AA243" s="176"/>
      <c r="AB243" s="176"/>
      <c r="AC243" s="176"/>
      <c r="AD243" s="176"/>
      <c r="AE243" s="176"/>
      <c r="AF243" s="176"/>
      <c r="AG243" s="176"/>
    </row>
    <row r="244" spans="3:33" s="160" customFormat="1">
      <c r="C244" s="825"/>
      <c r="M244" s="247"/>
      <c r="Y244" s="176"/>
      <c r="Z244" s="176"/>
      <c r="AA244" s="176"/>
      <c r="AB244" s="176"/>
      <c r="AC244" s="176"/>
      <c r="AD244" s="176"/>
      <c r="AE244" s="176"/>
      <c r="AF244" s="176"/>
      <c r="AG244" s="176"/>
    </row>
    <row r="245" spans="3:33" s="160" customFormat="1">
      <c r="C245" s="825"/>
      <c r="M245" s="247"/>
      <c r="Y245" s="176"/>
      <c r="Z245" s="176"/>
      <c r="AA245" s="176"/>
      <c r="AB245" s="176"/>
      <c r="AC245" s="176"/>
      <c r="AD245" s="176"/>
      <c r="AE245" s="176"/>
      <c r="AF245" s="176"/>
      <c r="AG245" s="176"/>
    </row>
    <row r="246" spans="3:33" s="160" customFormat="1">
      <c r="C246" s="825"/>
      <c r="M246" s="247"/>
      <c r="Y246" s="176"/>
      <c r="Z246" s="176"/>
      <c r="AA246" s="176"/>
      <c r="AB246" s="176"/>
      <c r="AC246" s="176"/>
      <c r="AD246" s="176"/>
      <c r="AE246" s="176"/>
      <c r="AF246" s="176"/>
      <c r="AG246" s="176"/>
    </row>
    <row r="247" spans="3:33" s="160" customFormat="1">
      <c r="C247" s="825"/>
      <c r="M247" s="247"/>
      <c r="Y247" s="176"/>
      <c r="Z247" s="176"/>
      <c r="AA247" s="176"/>
      <c r="AB247" s="176"/>
      <c r="AC247" s="176"/>
      <c r="AD247" s="176"/>
      <c r="AE247" s="176"/>
      <c r="AF247" s="176"/>
      <c r="AG247" s="176"/>
    </row>
    <row r="248" spans="3:33" s="160" customFormat="1">
      <c r="C248" s="825"/>
      <c r="M248" s="247"/>
      <c r="Y248" s="176"/>
      <c r="Z248" s="176"/>
      <c r="AA248" s="176"/>
      <c r="AB248" s="176"/>
      <c r="AC248" s="176"/>
      <c r="AD248" s="176"/>
      <c r="AE248" s="176"/>
      <c r="AF248" s="176"/>
      <c r="AG248" s="176"/>
    </row>
    <row r="249" spans="3:33" s="160" customFormat="1">
      <c r="C249" s="825"/>
      <c r="M249" s="247"/>
      <c r="Y249" s="176"/>
      <c r="Z249" s="176"/>
      <c r="AA249" s="176"/>
      <c r="AB249" s="176"/>
      <c r="AC249" s="176"/>
      <c r="AD249" s="176"/>
      <c r="AE249" s="176"/>
      <c r="AF249" s="176"/>
      <c r="AG249" s="176"/>
    </row>
    <row r="250" spans="3:33" s="160" customFormat="1">
      <c r="C250" s="825"/>
      <c r="M250" s="247"/>
      <c r="Y250" s="176"/>
      <c r="Z250" s="176"/>
      <c r="AA250" s="176"/>
      <c r="AB250" s="176"/>
      <c r="AC250" s="176"/>
      <c r="AD250" s="176"/>
      <c r="AE250" s="176"/>
      <c r="AF250" s="176"/>
      <c r="AG250" s="176"/>
    </row>
    <row r="251" spans="3:33" s="160" customFormat="1">
      <c r="C251" s="825"/>
      <c r="M251" s="247"/>
      <c r="Y251" s="176"/>
      <c r="Z251" s="176"/>
      <c r="AA251" s="176"/>
      <c r="AB251" s="176"/>
      <c r="AC251" s="176"/>
      <c r="AD251" s="176"/>
      <c r="AE251" s="176"/>
      <c r="AF251" s="176"/>
      <c r="AG251" s="176"/>
    </row>
    <row r="252" spans="3:33" s="160" customFormat="1">
      <c r="C252" s="825"/>
      <c r="M252" s="247"/>
      <c r="Y252" s="176"/>
      <c r="Z252" s="176"/>
      <c r="AA252" s="176"/>
      <c r="AB252" s="176"/>
      <c r="AC252" s="176"/>
      <c r="AD252" s="176"/>
      <c r="AE252" s="176"/>
      <c r="AF252" s="176"/>
      <c r="AG252" s="176"/>
    </row>
    <row r="253" spans="3:33" s="160" customFormat="1">
      <c r="C253" s="825"/>
      <c r="M253" s="247"/>
      <c r="Y253" s="176"/>
      <c r="Z253" s="176"/>
      <c r="AA253" s="176"/>
      <c r="AB253" s="176"/>
      <c r="AC253" s="176"/>
      <c r="AD253" s="176"/>
      <c r="AE253" s="176"/>
      <c r="AF253" s="176"/>
      <c r="AG253" s="176"/>
    </row>
    <row r="254" spans="3:33" s="160" customFormat="1">
      <c r="C254" s="825"/>
      <c r="M254" s="247"/>
      <c r="Y254" s="176"/>
      <c r="Z254" s="176"/>
      <c r="AA254" s="176"/>
      <c r="AB254" s="176"/>
      <c r="AC254" s="176"/>
      <c r="AD254" s="176"/>
      <c r="AE254" s="176"/>
      <c r="AF254" s="176"/>
      <c r="AG254" s="176"/>
    </row>
    <row r="255" spans="3:33" s="160" customFormat="1">
      <c r="C255" s="825"/>
      <c r="M255" s="247"/>
      <c r="Y255" s="176"/>
      <c r="Z255" s="176"/>
      <c r="AA255" s="176"/>
      <c r="AB255" s="176"/>
      <c r="AC255" s="176"/>
      <c r="AD255" s="176"/>
      <c r="AE255" s="176"/>
      <c r="AF255" s="176"/>
      <c r="AG255" s="176"/>
    </row>
    <row r="256" spans="3:33" s="160" customFormat="1">
      <c r="C256" s="825"/>
      <c r="M256" s="247"/>
      <c r="Y256" s="176"/>
      <c r="Z256" s="176"/>
      <c r="AA256" s="176"/>
      <c r="AB256" s="176"/>
      <c r="AC256" s="176"/>
      <c r="AD256" s="176"/>
      <c r="AE256" s="176"/>
      <c r="AF256" s="176"/>
      <c r="AG256" s="176"/>
    </row>
    <row r="257" spans="3:33" s="160" customFormat="1">
      <c r="C257" s="825"/>
      <c r="M257" s="247"/>
      <c r="Y257" s="176"/>
      <c r="Z257" s="176"/>
      <c r="AA257" s="176"/>
      <c r="AB257" s="176"/>
      <c r="AC257" s="176"/>
      <c r="AD257" s="176"/>
      <c r="AE257" s="176"/>
      <c r="AF257" s="176"/>
      <c r="AG257" s="176"/>
    </row>
    <row r="258" spans="3:33" s="160" customFormat="1">
      <c r="C258" s="825"/>
      <c r="M258" s="247"/>
      <c r="Y258" s="176"/>
      <c r="Z258" s="176"/>
      <c r="AA258" s="176"/>
      <c r="AB258" s="176"/>
      <c r="AC258" s="176"/>
      <c r="AD258" s="176"/>
      <c r="AE258" s="176"/>
      <c r="AF258" s="176"/>
      <c r="AG258" s="176"/>
    </row>
    <row r="259" spans="3:33" s="160" customFormat="1">
      <c r="C259" s="825"/>
      <c r="M259" s="247"/>
      <c r="Y259" s="176"/>
      <c r="Z259" s="176"/>
      <c r="AA259" s="176"/>
      <c r="AB259" s="176"/>
      <c r="AC259" s="176"/>
      <c r="AD259" s="176"/>
      <c r="AE259" s="176"/>
      <c r="AF259" s="176"/>
      <c r="AG259" s="176"/>
    </row>
    <row r="260" spans="3:33" s="160" customFormat="1">
      <c r="C260" s="825"/>
      <c r="M260" s="247"/>
      <c r="Y260" s="176"/>
      <c r="Z260" s="176"/>
      <c r="AA260" s="176"/>
      <c r="AB260" s="176"/>
      <c r="AC260" s="176"/>
      <c r="AD260" s="176"/>
      <c r="AE260" s="176"/>
      <c r="AF260" s="176"/>
      <c r="AG260" s="176"/>
    </row>
    <row r="261" spans="3:33" s="160" customFormat="1">
      <c r="C261" s="825"/>
      <c r="M261" s="247"/>
      <c r="Y261" s="176"/>
      <c r="Z261" s="176"/>
      <c r="AA261" s="176"/>
      <c r="AB261" s="176"/>
      <c r="AC261" s="176"/>
      <c r="AD261" s="176"/>
      <c r="AE261" s="176"/>
      <c r="AF261" s="176"/>
      <c r="AG261" s="176"/>
    </row>
    <row r="262" spans="3:33" s="160" customFormat="1">
      <c r="C262" s="825"/>
      <c r="M262" s="247"/>
      <c r="Y262" s="176"/>
      <c r="Z262" s="176"/>
      <c r="AA262" s="176"/>
      <c r="AB262" s="176"/>
      <c r="AC262" s="176"/>
      <c r="AD262" s="176"/>
      <c r="AE262" s="176"/>
      <c r="AF262" s="176"/>
      <c r="AG262" s="176"/>
    </row>
    <row r="263" spans="3:33" s="160" customFormat="1">
      <c r="C263" s="825"/>
      <c r="M263" s="247"/>
      <c r="Y263" s="176"/>
      <c r="Z263" s="176"/>
      <c r="AA263" s="176"/>
      <c r="AB263" s="176"/>
      <c r="AC263" s="176"/>
      <c r="AD263" s="176"/>
      <c r="AE263" s="176"/>
      <c r="AF263" s="176"/>
      <c r="AG263" s="176"/>
    </row>
    <row r="264" spans="3:33" s="160" customFormat="1">
      <c r="C264" s="825"/>
      <c r="M264" s="247"/>
      <c r="Y264" s="176"/>
      <c r="Z264" s="176"/>
      <c r="AA264" s="176"/>
      <c r="AB264" s="176"/>
      <c r="AC264" s="176"/>
      <c r="AD264" s="176"/>
      <c r="AE264" s="176"/>
      <c r="AF264" s="176"/>
      <c r="AG264" s="176"/>
    </row>
    <row r="265" spans="3:33" s="160" customFormat="1">
      <c r="C265" s="825"/>
      <c r="M265" s="247"/>
      <c r="Y265" s="176"/>
      <c r="Z265" s="176"/>
      <c r="AA265" s="176"/>
      <c r="AB265" s="176"/>
      <c r="AC265" s="176"/>
      <c r="AD265" s="176"/>
      <c r="AE265" s="176"/>
      <c r="AF265" s="176"/>
      <c r="AG265" s="176"/>
    </row>
    <row r="266" spans="3:33" s="160" customFormat="1">
      <c r="C266" s="825"/>
      <c r="M266" s="247"/>
      <c r="Y266" s="176"/>
      <c r="Z266" s="176"/>
      <c r="AA266" s="176"/>
      <c r="AB266" s="176"/>
      <c r="AC266" s="176"/>
      <c r="AD266" s="176"/>
      <c r="AE266" s="176"/>
      <c r="AF266" s="176"/>
      <c r="AG266" s="176"/>
    </row>
    <row r="267" spans="3:33" s="160" customFormat="1">
      <c r="C267" s="825"/>
      <c r="M267" s="247"/>
      <c r="Y267" s="176"/>
      <c r="Z267" s="176"/>
      <c r="AA267" s="176"/>
      <c r="AB267" s="176"/>
      <c r="AC267" s="176"/>
      <c r="AD267" s="176"/>
      <c r="AE267" s="176"/>
      <c r="AF267" s="176"/>
      <c r="AG267" s="176"/>
    </row>
    <row r="268" spans="3:33" s="160" customFormat="1">
      <c r="C268" s="825"/>
      <c r="M268" s="247"/>
      <c r="Y268" s="176"/>
      <c r="Z268" s="176"/>
      <c r="AA268" s="176"/>
      <c r="AB268" s="176"/>
      <c r="AC268" s="176"/>
      <c r="AD268" s="176"/>
      <c r="AE268" s="176"/>
      <c r="AF268" s="176"/>
      <c r="AG268" s="176"/>
    </row>
    <row r="269" spans="3:33" s="160" customFormat="1">
      <c r="C269" s="825"/>
      <c r="M269" s="247"/>
      <c r="Y269" s="176"/>
      <c r="Z269" s="176"/>
      <c r="AA269" s="176"/>
      <c r="AB269" s="176"/>
      <c r="AC269" s="176"/>
      <c r="AD269" s="176"/>
      <c r="AE269" s="176"/>
      <c r="AF269" s="176"/>
      <c r="AG269" s="176"/>
    </row>
    <row r="270" spans="3:33" s="160" customFormat="1">
      <c r="C270" s="825"/>
      <c r="M270" s="247"/>
      <c r="Y270" s="176"/>
      <c r="Z270" s="176"/>
      <c r="AA270" s="176"/>
      <c r="AB270" s="176"/>
      <c r="AC270" s="176"/>
      <c r="AD270" s="176"/>
      <c r="AE270" s="176"/>
      <c r="AF270" s="176"/>
      <c r="AG270" s="176"/>
    </row>
    <row r="271" spans="3:33" s="160" customFormat="1">
      <c r="C271" s="825"/>
      <c r="M271" s="247"/>
      <c r="Y271" s="176"/>
      <c r="Z271" s="176"/>
      <c r="AA271" s="176"/>
      <c r="AB271" s="176"/>
      <c r="AC271" s="176"/>
      <c r="AD271" s="176"/>
      <c r="AE271" s="176"/>
      <c r="AF271" s="176"/>
      <c r="AG271" s="176"/>
    </row>
    <row r="272" spans="3:33" s="160" customFormat="1">
      <c r="C272" s="825"/>
      <c r="M272" s="247"/>
      <c r="Y272" s="176"/>
      <c r="Z272" s="176"/>
      <c r="AA272" s="176"/>
      <c r="AB272" s="176"/>
      <c r="AC272" s="176"/>
      <c r="AD272" s="176"/>
      <c r="AE272" s="176"/>
      <c r="AF272" s="176"/>
      <c r="AG272" s="176"/>
    </row>
    <row r="273" spans="3:33" s="160" customFormat="1">
      <c r="C273" s="825"/>
      <c r="M273" s="247"/>
      <c r="Y273" s="176"/>
      <c r="Z273" s="176"/>
      <c r="AA273" s="176"/>
      <c r="AB273" s="176"/>
      <c r="AC273" s="176"/>
      <c r="AD273" s="176"/>
      <c r="AE273" s="176"/>
      <c r="AF273" s="176"/>
      <c r="AG273" s="176"/>
    </row>
    <row r="274" spans="3:33" s="160" customFormat="1">
      <c r="C274" s="825"/>
      <c r="M274" s="247"/>
      <c r="Y274" s="176"/>
      <c r="Z274" s="176"/>
      <c r="AA274" s="176"/>
      <c r="AB274" s="176"/>
      <c r="AC274" s="176"/>
      <c r="AD274" s="176"/>
      <c r="AE274" s="176"/>
      <c r="AF274" s="176"/>
      <c r="AG274" s="176"/>
    </row>
    <row r="275" spans="3:33" s="160" customFormat="1">
      <c r="C275" s="825"/>
      <c r="M275" s="247"/>
      <c r="Y275" s="176"/>
      <c r="Z275" s="176"/>
      <c r="AA275" s="176"/>
      <c r="AB275" s="176"/>
      <c r="AC275" s="176"/>
      <c r="AD275" s="176"/>
      <c r="AE275" s="176"/>
      <c r="AF275" s="176"/>
      <c r="AG275" s="176"/>
    </row>
    <row r="276" spans="3:33" s="160" customFormat="1">
      <c r="C276" s="825"/>
      <c r="M276" s="247"/>
      <c r="Y276" s="176"/>
      <c r="Z276" s="176"/>
      <c r="AA276" s="176"/>
      <c r="AB276" s="176"/>
      <c r="AC276" s="176"/>
      <c r="AD276" s="176"/>
      <c r="AE276" s="176"/>
      <c r="AF276" s="176"/>
      <c r="AG276" s="176"/>
    </row>
    <row r="277" spans="3:33" s="160" customFormat="1">
      <c r="C277" s="825"/>
      <c r="M277" s="247"/>
      <c r="Y277" s="176"/>
      <c r="Z277" s="176"/>
      <c r="AA277" s="176"/>
      <c r="AB277" s="176"/>
      <c r="AC277" s="176"/>
      <c r="AD277" s="176"/>
      <c r="AE277" s="176"/>
      <c r="AF277" s="176"/>
      <c r="AG277" s="176"/>
    </row>
    <row r="278" spans="3:33" s="160" customFormat="1">
      <c r="C278" s="825"/>
      <c r="M278" s="247"/>
      <c r="Y278" s="176"/>
      <c r="Z278" s="176"/>
      <c r="AA278" s="176"/>
      <c r="AB278" s="176"/>
      <c r="AC278" s="176"/>
      <c r="AD278" s="176"/>
      <c r="AE278" s="176"/>
      <c r="AF278" s="176"/>
      <c r="AG278" s="176"/>
    </row>
    <row r="279" spans="3:33" s="160" customFormat="1">
      <c r="C279" s="825"/>
      <c r="M279" s="247"/>
      <c r="Y279" s="176"/>
      <c r="Z279" s="176"/>
      <c r="AA279" s="176"/>
      <c r="AB279" s="176"/>
      <c r="AC279" s="176"/>
      <c r="AD279" s="176"/>
      <c r="AE279" s="176"/>
      <c r="AF279" s="176"/>
      <c r="AG279" s="176"/>
    </row>
    <row r="280" spans="3:33" s="160" customFormat="1">
      <c r="C280" s="825"/>
      <c r="M280" s="247"/>
      <c r="Y280" s="176"/>
      <c r="Z280" s="176"/>
      <c r="AA280" s="176"/>
      <c r="AB280" s="176"/>
      <c r="AC280" s="176"/>
      <c r="AD280" s="176"/>
      <c r="AE280" s="176"/>
      <c r="AF280" s="176"/>
      <c r="AG280" s="176"/>
    </row>
    <row r="281" spans="3:33" s="160" customFormat="1">
      <c r="C281" s="825"/>
      <c r="M281" s="247"/>
      <c r="Y281" s="176"/>
      <c r="Z281" s="176"/>
      <c r="AA281" s="176"/>
      <c r="AB281" s="176"/>
      <c r="AC281" s="176"/>
      <c r="AD281" s="176"/>
      <c r="AE281" s="176"/>
      <c r="AF281" s="176"/>
      <c r="AG281" s="176"/>
    </row>
    <row r="282" spans="3:33" s="160" customFormat="1">
      <c r="C282" s="825"/>
      <c r="M282" s="247"/>
      <c r="Y282" s="176"/>
      <c r="Z282" s="176"/>
      <c r="AA282" s="176"/>
      <c r="AB282" s="176"/>
      <c r="AC282" s="176"/>
      <c r="AD282" s="176"/>
      <c r="AE282" s="176"/>
      <c r="AF282" s="176"/>
      <c r="AG282" s="176"/>
    </row>
    <row r="283" spans="3:33" s="160" customFormat="1">
      <c r="C283" s="825"/>
      <c r="M283" s="247"/>
      <c r="Y283" s="176"/>
      <c r="Z283" s="176"/>
      <c r="AA283" s="176"/>
      <c r="AB283" s="176"/>
      <c r="AC283" s="176"/>
      <c r="AD283" s="176"/>
      <c r="AE283" s="176"/>
      <c r="AF283" s="176"/>
      <c r="AG283" s="176"/>
    </row>
    <row r="284" spans="3:33" s="160" customFormat="1">
      <c r="C284" s="825"/>
      <c r="M284" s="247"/>
      <c r="Y284" s="176"/>
      <c r="Z284" s="176"/>
      <c r="AA284" s="176"/>
      <c r="AB284" s="176"/>
      <c r="AC284" s="176"/>
      <c r="AD284" s="176"/>
      <c r="AE284" s="176"/>
      <c r="AF284" s="176"/>
      <c r="AG284" s="176"/>
    </row>
    <row r="285" spans="3:33" s="160" customFormat="1">
      <c r="C285" s="825"/>
      <c r="M285" s="247"/>
      <c r="Y285" s="176"/>
      <c r="Z285" s="176"/>
      <c r="AA285" s="176"/>
      <c r="AB285" s="176"/>
      <c r="AC285" s="176"/>
      <c r="AD285" s="176"/>
      <c r="AE285" s="176"/>
      <c r="AF285" s="176"/>
      <c r="AG285" s="176"/>
    </row>
    <row r="286" spans="3:33" s="160" customFormat="1">
      <c r="C286" s="825"/>
      <c r="M286" s="247"/>
      <c r="Y286" s="176"/>
      <c r="Z286" s="176"/>
      <c r="AA286" s="176"/>
      <c r="AB286" s="176"/>
      <c r="AC286" s="176"/>
      <c r="AD286" s="176"/>
      <c r="AE286" s="176"/>
      <c r="AF286" s="176"/>
      <c r="AG286" s="176"/>
    </row>
    <row r="287" spans="3:33" s="160" customFormat="1">
      <c r="C287" s="825"/>
      <c r="M287" s="247"/>
      <c r="Y287" s="176"/>
      <c r="Z287" s="176"/>
      <c r="AA287" s="176"/>
      <c r="AB287" s="176"/>
      <c r="AC287" s="176"/>
      <c r="AD287" s="176"/>
      <c r="AE287" s="176"/>
      <c r="AF287" s="176"/>
      <c r="AG287" s="176"/>
    </row>
    <row r="288" spans="3:33" s="160" customFormat="1">
      <c r="C288" s="825"/>
      <c r="M288" s="247"/>
      <c r="Y288" s="176"/>
      <c r="Z288" s="176"/>
      <c r="AA288" s="176"/>
      <c r="AB288" s="176"/>
      <c r="AC288" s="176"/>
      <c r="AD288" s="176"/>
      <c r="AE288" s="176"/>
      <c r="AF288" s="176"/>
      <c r="AG288" s="176"/>
    </row>
    <row r="289" spans="3:33" s="160" customFormat="1">
      <c r="C289" s="825"/>
      <c r="M289" s="247"/>
      <c r="Y289" s="176"/>
      <c r="Z289" s="176"/>
      <c r="AA289" s="176"/>
      <c r="AB289" s="176"/>
      <c r="AC289" s="176"/>
      <c r="AD289" s="176"/>
      <c r="AE289" s="176"/>
      <c r="AF289" s="176"/>
      <c r="AG289" s="176"/>
    </row>
    <row r="290" spans="3:33" s="160" customFormat="1">
      <c r="C290" s="825"/>
      <c r="M290" s="247"/>
      <c r="Y290" s="176"/>
      <c r="Z290" s="176"/>
      <c r="AA290" s="176"/>
      <c r="AB290" s="176"/>
      <c r="AC290" s="176"/>
      <c r="AD290" s="176"/>
      <c r="AE290" s="176"/>
      <c r="AF290" s="176"/>
      <c r="AG290" s="176"/>
    </row>
    <row r="291" spans="3:33" s="160" customFormat="1">
      <c r="C291" s="825"/>
      <c r="M291" s="247"/>
      <c r="Y291" s="176"/>
      <c r="Z291" s="176"/>
      <c r="AA291" s="176"/>
      <c r="AB291" s="176"/>
      <c r="AC291" s="176"/>
      <c r="AD291" s="176"/>
      <c r="AE291" s="176"/>
      <c r="AF291" s="176"/>
      <c r="AG291" s="176"/>
    </row>
    <row r="292" spans="3:33" s="160" customFormat="1">
      <c r="C292" s="825"/>
      <c r="M292" s="247"/>
      <c r="Y292" s="176"/>
      <c r="Z292" s="176"/>
      <c r="AA292" s="176"/>
      <c r="AB292" s="176"/>
      <c r="AC292" s="176"/>
      <c r="AD292" s="176"/>
      <c r="AE292" s="176"/>
      <c r="AF292" s="176"/>
      <c r="AG292" s="176"/>
    </row>
    <row r="293" spans="3:33" s="160" customFormat="1">
      <c r="C293" s="825"/>
      <c r="M293" s="247"/>
      <c r="Y293" s="176"/>
      <c r="Z293" s="176"/>
      <c r="AA293" s="176"/>
      <c r="AB293" s="176"/>
      <c r="AC293" s="176"/>
      <c r="AD293" s="176"/>
      <c r="AE293" s="176"/>
      <c r="AF293" s="176"/>
      <c r="AG293" s="176"/>
    </row>
    <row r="294" spans="3:33" s="160" customFormat="1">
      <c r="C294" s="825"/>
      <c r="M294" s="247"/>
      <c r="Y294" s="176"/>
      <c r="Z294" s="176"/>
      <c r="AA294" s="176"/>
      <c r="AB294" s="176"/>
      <c r="AC294" s="176"/>
      <c r="AD294" s="176"/>
      <c r="AE294" s="176"/>
      <c r="AF294" s="176"/>
      <c r="AG294" s="176"/>
    </row>
    <row r="295" spans="3:33" s="160" customFormat="1">
      <c r="C295" s="825"/>
      <c r="M295" s="247"/>
      <c r="Y295" s="176"/>
      <c r="Z295" s="176"/>
      <c r="AA295" s="176"/>
      <c r="AB295" s="176"/>
      <c r="AC295" s="176"/>
      <c r="AD295" s="176"/>
      <c r="AE295" s="176"/>
      <c r="AF295" s="176"/>
      <c r="AG295" s="176"/>
    </row>
    <row r="296" spans="3:33" s="160" customFormat="1">
      <c r="C296" s="825"/>
      <c r="M296" s="247"/>
      <c r="Y296" s="176"/>
      <c r="Z296" s="176"/>
      <c r="AA296" s="176"/>
      <c r="AB296" s="176"/>
      <c r="AC296" s="176"/>
      <c r="AD296" s="176"/>
      <c r="AE296" s="176"/>
      <c r="AF296" s="176"/>
      <c r="AG296" s="176"/>
    </row>
    <row r="297" spans="3:33" s="160" customFormat="1">
      <c r="C297" s="825"/>
      <c r="M297" s="247"/>
      <c r="Y297" s="176"/>
      <c r="Z297" s="176"/>
      <c r="AA297" s="176"/>
      <c r="AB297" s="176"/>
      <c r="AC297" s="176"/>
      <c r="AD297" s="176"/>
      <c r="AE297" s="176"/>
      <c r="AF297" s="176"/>
      <c r="AG297" s="176"/>
    </row>
    <row r="298" spans="3:33" s="160" customFormat="1">
      <c r="C298" s="825"/>
      <c r="M298" s="247"/>
      <c r="Y298" s="176"/>
      <c r="Z298" s="176"/>
      <c r="AA298" s="176"/>
      <c r="AB298" s="176"/>
      <c r="AC298" s="176"/>
      <c r="AD298" s="176"/>
      <c r="AE298" s="176"/>
      <c r="AF298" s="176"/>
      <c r="AG298" s="176"/>
    </row>
    <row r="299" spans="3:33" s="160" customFormat="1">
      <c r="C299" s="825"/>
      <c r="M299" s="247"/>
      <c r="Y299" s="176"/>
      <c r="Z299" s="176"/>
      <c r="AA299" s="176"/>
      <c r="AB299" s="176"/>
      <c r="AC299" s="176"/>
      <c r="AD299" s="176"/>
      <c r="AE299" s="176"/>
      <c r="AF299" s="176"/>
      <c r="AG299" s="176"/>
    </row>
    <row r="300" spans="3:33" s="160" customFormat="1">
      <c r="C300" s="825"/>
      <c r="M300" s="247"/>
      <c r="Y300" s="176"/>
      <c r="Z300" s="176"/>
      <c r="AA300" s="176"/>
      <c r="AB300" s="176"/>
      <c r="AC300" s="176"/>
      <c r="AD300" s="176"/>
      <c r="AE300" s="176"/>
      <c r="AF300" s="176"/>
      <c r="AG300" s="176"/>
    </row>
    <row r="301" spans="3:33" s="160" customFormat="1">
      <c r="C301" s="825"/>
      <c r="M301" s="247"/>
      <c r="Y301" s="176"/>
      <c r="Z301" s="176"/>
      <c r="AA301" s="176"/>
      <c r="AB301" s="176"/>
      <c r="AC301" s="176"/>
      <c r="AD301" s="176"/>
      <c r="AE301" s="176"/>
      <c r="AF301" s="176"/>
      <c r="AG301" s="176"/>
    </row>
    <row r="302" spans="3:33" s="160" customFormat="1">
      <c r="C302" s="825"/>
      <c r="M302" s="247"/>
      <c r="Y302" s="176"/>
      <c r="Z302" s="176"/>
      <c r="AA302" s="176"/>
      <c r="AB302" s="176"/>
      <c r="AC302" s="176"/>
      <c r="AD302" s="176"/>
      <c r="AE302" s="176"/>
      <c r="AF302" s="176"/>
      <c r="AG302" s="176"/>
    </row>
    <row r="303" spans="3:33" s="160" customFormat="1">
      <c r="C303" s="825"/>
      <c r="M303" s="247"/>
      <c r="Y303" s="176"/>
      <c r="Z303" s="176"/>
      <c r="AA303" s="176"/>
      <c r="AB303" s="176"/>
      <c r="AC303" s="176"/>
      <c r="AD303" s="176"/>
      <c r="AE303" s="176"/>
      <c r="AF303" s="176"/>
      <c r="AG303" s="176"/>
    </row>
    <row r="304" spans="3:33" s="160" customFormat="1">
      <c r="C304" s="825"/>
      <c r="M304" s="247"/>
      <c r="Y304" s="176"/>
      <c r="Z304" s="176"/>
      <c r="AA304" s="176"/>
      <c r="AB304" s="176"/>
      <c r="AC304" s="176"/>
      <c r="AD304" s="176"/>
      <c r="AE304" s="176"/>
      <c r="AF304" s="176"/>
      <c r="AG304" s="176"/>
    </row>
    <row r="305" spans="3:33" s="160" customFormat="1">
      <c r="C305" s="825"/>
      <c r="M305" s="247"/>
      <c r="Y305" s="176"/>
      <c r="Z305" s="176"/>
      <c r="AA305" s="176"/>
      <c r="AB305" s="176"/>
      <c r="AC305" s="176"/>
      <c r="AD305" s="176"/>
      <c r="AE305" s="176"/>
      <c r="AF305" s="176"/>
      <c r="AG305" s="176"/>
    </row>
    <row r="306" spans="3:33" s="160" customFormat="1">
      <c r="C306" s="825"/>
      <c r="M306" s="247"/>
      <c r="Y306" s="176"/>
      <c r="Z306" s="176"/>
      <c r="AA306" s="176"/>
      <c r="AB306" s="176"/>
      <c r="AC306" s="176"/>
      <c r="AD306" s="176"/>
      <c r="AE306" s="176"/>
      <c r="AF306" s="176"/>
      <c r="AG306" s="176"/>
    </row>
    <row r="307" spans="3:33" s="160" customFormat="1">
      <c r="C307" s="825"/>
      <c r="M307" s="247"/>
      <c r="Y307" s="176"/>
      <c r="Z307" s="176"/>
      <c r="AA307" s="176"/>
      <c r="AB307" s="176"/>
      <c r="AC307" s="176"/>
      <c r="AD307" s="176"/>
      <c r="AE307" s="176"/>
      <c r="AF307" s="176"/>
      <c r="AG307" s="176"/>
    </row>
    <row r="308" spans="3:33" s="160" customFormat="1">
      <c r="C308" s="825"/>
      <c r="M308" s="247"/>
      <c r="Y308" s="176"/>
      <c r="Z308" s="176"/>
      <c r="AA308" s="176"/>
      <c r="AB308" s="176"/>
      <c r="AC308" s="176"/>
      <c r="AD308" s="176"/>
      <c r="AE308" s="176"/>
      <c r="AF308" s="176"/>
      <c r="AG308" s="176"/>
    </row>
    <row r="309" spans="3:33" s="160" customFormat="1">
      <c r="C309" s="825"/>
      <c r="M309" s="247"/>
      <c r="Y309" s="176"/>
      <c r="Z309" s="176"/>
      <c r="AA309" s="176"/>
      <c r="AB309" s="176"/>
      <c r="AC309" s="176"/>
      <c r="AD309" s="176"/>
      <c r="AE309" s="176"/>
      <c r="AF309" s="176"/>
      <c r="AG309" s="176"/>
    </row>
    <row r="310" spans="3:33" s="160" customFormat="1">
      <c r="C310" s="825"/>
      <c r="M310" s="247"/>
      <c r="Y310" s="176"/>
      <c r="Z310" s="176"/>
      <c r="AA310" s="176"/>
      <c r="AB310" s="176"/>
      <c r="AC310" s="176"/>
      <c r="AD310" s="176"/>
      <c r="AE310" s="176"/>
      <c r="AF310" s="176"/>
      <c r="AG310" s="176"/>
    </row>
    <row r="311" spans="3:33" s="160" customFormat="1">
      <c r="C311" s="825"/>
      <c r="M311" s="247"/>
      <c r="Y311" s="176"/>
      <c r="Z311" s="176"/>
      <c r="AA311" s="176"/>
      <c r="AB311" s="176"/>
      <c r="AC311" s="176"/>
      <c r="AD311" s="176"/>
      <c r="AE311" s="176"/>
      <c r="AF311" s="176"/>
      <c r="AG311" s="176"/>
    </row>
    <row r="312" spans="3:33" s="160" customFormat="1">
      <c r="C312" s="825"/>
      <c r="M312" s="247"/>
      <c r="Y312" s="176"/>
      <c r="Z312" s="176"/>
      <c r="AA312" s="176"/>
      <c r="AB312" s="176"/>
      <c r="AC312" s="176"/>
      <c r="AD312" s="176"/>
      <c r="AE312" s="176"/>
      <c r="AF312" s="176"/>
      <c r="AG312" s="176"/>
    </row>
    <row r="313" spans="3:33" s="160" customFormat="1">
      <c r="C313" s="825"/>
      <c r="M313" s="247"/>
      <c r="Y313" s="176"/>
      <c r="Z313" s="176"/>
      <c r="AA313" s="176"/>
      <c r="AB313" s="176"/>
      <c r="AC313" s="176"/>
      <c r="AD313" s="176"/>
      <c r="AE313" s="176"/>
      <c r="AF313" s="176"/>
      <c r="AG313" s="176"/>
    </row>
    <row r="314" spans="3:33" s="160" customFormat="1">
      <c r="C314" s="825"/>
      <c r="M314" s="247"/>
      <c r="Y314" s="176"/>
      <c r="Z314" s="176"/>
      <c r="AA314" s="176"/>
      <c r="AB314" s="176"/>
      <c r="AC314" s="176"/>
      <c r="AD314" s="176"/>
      <c r="AE314" s="176"/>
      <c r="AF314" s="176"/>
      <c r="AG314" s="176"/>
    </row>
    <row r="315" spans="3:33" s="160" customFormat="1">
      <c r="C315" s="825"/>
      <c r="M315" s="247"/>
      <c r="Y315" s="176"/>
      <c r="Z315" s="176"/>
      <c r="AA315" s="176"/>
      <c r="AB315" s="176"/>
      <c r="AC315" s="176"/>
      <c r="AD315" s="176"/>
      <c r="AE315" s="176"/>
      <c r="AF315" s="176"/>
      <c r="AG315" s="176"/>
    </row>
    <row r="316" spans="3:33" s="160" customFormat="1">
      <c r="C316" s="825"/>
      <c r="M316" s="247"/>
      <c r="Y316" s="176"/>
      <c r="Z316" s="176"/>
      <c r="AA316" s="176"/>
      <c r="AB316" s="176"/>
      <c r="AC316" s="176"/>
      <c r="AD316" s="176"/>
      <c r="AE316" s="176"/>
      <c r="AF316" s="176"/>
      <c r="AG316" s="176"/>
    </row>
    <row r="317" spans="3:33" s="160" customFormat="1">
      <c r="C317" s="825"/>
      <c r="M317" s="247"/>
      <c r="Y317" s="176"/>
      <c r="Z317" s="176"/>
      <c r="AA317" s="176"/>
      <c r="AB317" s="176"/>
      <c r="AC317" s="176"/>
      <c r="AD317" s="176"/>
      <c r="AE317" s="176"/>
      <c r="AF317" s="176"/>
      <c r="AG317" s="176"/>
    </row>
    <row r="318" spans="3:33" s="160" customFormat="1">
      <c r="C318" s="825"/>
      <c r="M318" s="247"/>
      <c r="Y318" s="176"/>
      <c r="Z318" s="176"/>
      <c r="AA318" s="176"/>
      <c r="AB318" s="176"/>
      <c r="AC318" s="176"/>
      <c r="AD318" s="176"/>
      <c r="AE318" s="176"/>
      <c r="AF318" s="176"/>
      <c r="AG318" s="176"/>
    </row>
    <row r="319" spans="3:33" s="160" customFormat="1">
      <c r="C319" s="825"/>
      <c r="M319" s="247"/>
      <c r="Y319" s="176"/>
      <c r="Z319" s="176"/>
      <c r="AA319" s="176"/>
      <c r="AB319" s="176"/>
      <c r="AC319" s="176"/>
      <c r="AD319" s="176"/>
      <c r="AE319" s="176"/>
      <c r="AF319" s="176"/>
      <c r="AG319" s="176"/>
    </row>
    <row r="320" spans="3:33" s="160" customFormat="1">
      <c r="C320" s="825"/>
      <c r="M320" s="247"/>
      <c r="Y320" s="176"/>
      <c r="Z320" s="176"/>
      <c r="AA320" s="176"/>
      <c r="AB320" s="176"/>
      <c r="AC320" s="176"/>
      <c r="AD320" s="176"/>
      <c r="AE320" s="176"/>
      <c r="AF320" s="176"/>
      <c r="AG320" s="176"/>
    </row>
    <row r="321" spans="3:33" s="160" customFormat="1">
      <c r="C321" s="825"/>
      <c r="M321" s="247"/>
      <c r="Y321" s="176"/>
      <c r="Z321" s="176"/>
      <c r="AA321" s="176"/>
      <c r="AB321" s="176"/>
      <c r="AC321" s="176"/>
      <c r="AD321" s="176"/>
      <c r="AE321" s="176"/>
      <c r="AF321" s="176"/>
      <c r="AG321" s="176"/>
    </row>
    <row r="322" spans="3:33" s="160" customFormat="1">
      <c r="C322" s="825"/>
      <c r="M322" s="247"/>
      <c r="Y322" s="176"/>
      <c r="Z322" s="176"/>
      <c r="AA322" s="176"/>
      <c r="AB322" s="176"/>
      <c r="AC322" s="176"/>
      <c r="AD322" s="176"/>
      <c r="AE322" s="176"/>
      <c r="AF322" s="176"/>
      <c r="AG322" s="176"/>
    </row>
    <row r="323" spans="3:33" s="160" customFormat="1">
      <c r="C323" s="825"/>
      <c r="M323" s="247"/>
      <c r="Y323" s="176"/>
      <c r="Z323" s="176"/>
      <c r="AA323" s="176"/>
      <c r="AB323" s="176"/>
      <c r="AC323" s="176"/>
      <c r="AD323" s="176"/>
      <c r="AE323" s="176"/>
      <c r="AF323" s="176"/>
      <c r="AG323" s="176"/>
    </row>
    <row r="324" spans="3:33" s="160" customFormat="1">
      <c r="C324" s="825"/>
      <c r="M324" s="247"/>
      <c r="Y324" s="176"/>
      <c r="Z324" s="176"/>
      <c r="AA324" s="176"/>
      <c r="AB324" s="176"/>
      <c r="AC324" s="176"/>
      <c r="AD324" s="176"/>
      <c r="AE324" s="176"/>
      <c r="AF324" s="176"/>
      <c r="AG324" s="176"/>
    </row>
    <row r="325" spans="3:33" s="160" customFormat="1">
      <c r="C325" s="825"/>
      <c r="M325" s="247"/>
      <c r="Y325" s="176"/>
      <c r="Z325" s="176"/>
      <c r="AA325" s="176"/>
      <c r="AB325" s="176"/>
      <c r="AC325" s="176"/>
      <c r="AD325" s="176"/>
      <c r="AE325" s="176"/>
      <c r="AF325" s="176"/>
      <c r="AG325" s="176"/>
    </row>
    <row r="326" spans="3:33" s="160" customFormat="1">
      <c r="C326" s="825"/>
      <c r="M326" s="247"/>
      <c r="Y326" s="176"/>
      <c r="Z326" s="176"/>
      <c r="AA326" s="176"/>
      <c r="AB326" s="176"/>
      <c r="AC326" s="176"/>
      <c r="AD326" s="176"/>
      <c r="AE326" s="176"/>
      <c r="AF326" s="176"/>
      <c r="AG326" s="176"/>
    </row>
    <row r="327" spans="3:33" s="160" customFormat="1">
      <c r="C327" s="825"/>
      <c r="M327" s="247"/>
      <c r="Y327" s="176"/>
      <c r="Z327" s="176"/>
      <c r="AA327" s="176"/>
      <c r="AB327" s="176"/>
      <c r="AC327" s="176"/>
      <c r="AD327" s="176"/>
      <c r="AE327" s="176"/>
      <c r="AF327" s="176"/>
      <c r="AG327" s="176"/>
    </row>
    <row r="328" spans="3:33" s="160" customFormat="1">
      <c r="C328" s="825"/>
      <c r="M328" s="247"/>
      <c r="Y328" s="176"/>
      <c r="Z328" s="176"/>
      <c r="AA328" s="176"/>
      <c r="AB328" s="176"/>
      <c r="AC328" s="176"/>
      <c r="AD328" s="176"/>
      <c r="AE328" s="176"/>
      <c r="AF328" s="176"/>
      <c r="AG328" s="176"/>
    </row>
    <row r="329" spans="3:33" s="160" customFormat="1">
      <c r="C329" s="825"/>
      <c r="M329" s="247"/>
      <c r="Y329" s="176"/>
      <c r="Z329" s="176"/>
      <c r="AA329" s="176"/>
      <c r="AB329" s="176"/>
      <c r="AC329" s="176"/>
      <c r="AD329" s="176"/>
      <c r="AE329" s="176"/>
      <c r="AF329" s="176"/>
      <c r="AG329" s="176"/>
    </row>
    <row r="330" spans="3:33" s="160" customFormat="1">
      <c r="C330" s="825"/>
      <c r="M330" s="247"/>
      <c r="Y330" s="176"/>
      <c r="Z330" s="176"/>
      <c r="AA330" s="176"/>
      <c r="AB330" s="176"/>
      <c r="AC330" s="176"/>
      <c r="AD330" s="176"/>
      <c r="AE330" s="176"/>
      <c r="AF330" s="176"/>
      <c r="AG330" s="176"/>
    </row>
    <row r="331" spans="3:33" s="160" customFormat="1">
      <c r="C331" s="825"/>
      <c r="M331" s="247"/>
      <c r="Y331" s="176"/>
      <c r="Z331" s="176"/>
      <c r="AA331" s="176"/>
      <c r="AB331" s="176"/>
      <c r="AC331" s="176"/>
      <c r="AD331" s="176"/>
      <c r="AE331" s="176"/>
      <c r="AF331" s="176"/>
      <c r="AG331" s="176"/>
    </row>
    <row r="332" spans="3:33" s="160" customFormat="1">
      <c r="C332" s="825"/>
      <c r="M332" s="247"/>
      <c r="Y332" s="176"/>
      <c r="Z332" s="176"/>
      <c r="AA332" s="176"/>
      <c r="AB332" s="176"/>
      <c r="AC332" s="176"/>
      <c r="AD332" s="176"/>
      <c r="AE332" s="176"/>
      <c r="AF332" s="176"/>
      <c r="AG332" s="176"/>
    </row>
    <row r="333" spans="3:33" s="160" customFormat="1">
      <c r="C333" s="825"/>
      <c r="M333" s="247"/>
      <c r="Y333" s="176"/>
      <c r="Z333" s="176"/>
      <c r="AA333" s="176"/>
      <c r="AB333" s="176"/>
      <c r="AC333" s="176"/>
      <c r="AD333" s="176"/>
      <c r="AE333" s="176"/>
      <c r="AF333" s="176"/>
      <c r="AG333" s="176"/>
    </row>
    <row r="334" spans="3:33" s="160" customFormat="1">
      <c r="C334" s="825"/>
      <c r="M334" s="247"/>
      <c r="Y334" s="176"/>
      <c r="Z334" s="176"/>
      <c r="AA334" s="176"/>
      <c r="AB334" s="176"/>
      <c r="AC334" s="176"/>
      <c r="AD334" s="176"/>
      <c r="AE334" s="176"/>
      <c r="AF334" s="176"/>
      <c r="AG334" s="176"/>
    </row>
    <row r="335" spans="3:33" s="160" customFormat="1">
      <c r="C335" s="825"/>
      <c r="M335" s="247"/>
      <c r="Y335" s="176"/>
      <c r="Z335" s="176"/>
      <c r="AA335" s="176"/>
      <c r="AB335" s="176"/>
      <c r="AC335" s="176"/>
      <c r="AD335" s="176"/>
      <c r="AE335" s="176"/>
      <c r="AF335" s="176"/>
      <c r="AG335" s="176"/>
    </row>
    <row r="336" spans="3:33" s="160" customFormat="1">
      <c r="C336" s="825"/>
      <c r="M336" s="247"/>
      <c r="Y336" s="176"/>
      <c r="Z336" s="176"/>
      <c r="AA336" s="176"/>
      <c r="AB336" s="176"/>
      <c r="AC336" s="176"/>
      <c r="AD336" s="176"/>
      <c r="AE336" s="176"/>
      <c r="AF336" s="176"/>
      <c r="AG336" s="176"/>
    </row>
    <row r="337" spans="3:33" s="160" customFormat="1">
      <c r="C337" s="825"/>
      <c r="M337" s="247"/>
      <c r="Y337" s="176"/>
      <c r="Z337" s="176"/>
      <c r="AA337" s="176"/>
      <c r="AB337" s="176"/>
      <c r="AC337" s="176"/>
      <c r="AD337" s="176"/>
      <c r="AE337" s="176"/>
      <c r="AF337" s="176"/>
      <c r="AG337" s="176"/>
    </row>
    <row r="338" spans="3:33" s="160" customFormat="1">
      <c r="C338" s="825"/>
      <c r="M338" s="247"/>
      <c r="Y338" s="176"/>
      <c r="Z338" s="176"/>
      <c r="AA338" s="176"/>
      <c r="AB338" s="176"/>
      <c r="AC338" s="176"/>
      <c r="AD338" s="176"/>
      <c r="AE338" s="176"/>
      <c r="AF338" s="176"/>
      <c r="AG338" s="176"/>
    </row>
    <row r="339" spans="3:33" s="160" customFormat="1">
      <c r="C339" s="825"/>
      <c r="M339" s="247"/>
      <c r="Y339" s="176"/>
      <c r="Z339" s="176"/>
      <c r="AA339" s="176"/>
      <c r="AB339" s="176"/>
      <c r="AC339" s="176"/>
      <c r="AD339" s="176"/>
      <c r="AE339" s="176"/>
      <c r="AF339" s="176"/>
      <c r="AG339" s="176"/>
    </row>
    <row r="340" spans="3:33" s="160" customFormat="1">
      <c r="C340" s="825"/>
      <c r="M340" s="247"/>
      <c r="Y340" s="176"/>
      <c r="Z340" s="176"/>
      <c r="AA340" s="176"/>
      <c r="AB340" s="176"/>
      <c r="AC340" s="176"/>
      <c r="AD340" s="176"/>
      <c r="AE340" s="176"/>
      <c r="AF340" s="176"/>
      <c r="AG340" s="176"/>
    </row>
    <row r="341" spans="3:33" s="160" customFormat="1">
      <c r="C341" s="825"/>
      <c r="M341" s="247"/>
      <c r="Y341" s="176"/>
      <c r="Z341" s="176"/>
      <c r="AA341" s="176"/>
      <c r="AB341" s="176"/>
      <c r="AC341" s="176"/>
      <c r="AD341" s="176"/>
      <c r="AE341" s="176"/>
      <c r="AF341" s="176"/>
      <c r="AG341" s="176"/>
    </row>
    <row r="342" spans="3:33" s="160" customFormat="1">
      <c r="C342" s="825"/>
      <c r="M342" s="247"/>
      <c r="Y342" s="176"/>
      <c r="Z342" s="176"/>
      <c r="AA342" s="176"/>
      <c r="AB342" s="176"/>
      <c r="AC342" s="176"/>
      <c r="AD342" s="176"/>
      <c r="AE342" s="176"/>
      <c r="AF342" s="176"/>
      <c r="AG342" s="176"/>
    </row>
    <row r="343" spans="3:33" s="160" customFormat="1">
      <c r="C343" s="825"/>
      <c r="M343" s="247"/>
      <c r="Y343" s="176"/>
      <c r="Z343" s="176"/>
      <c r="AA343" s="176"/>
      <c r="AB343" s="176"/>
      <c r="AC343" s="176"/>
      <c r="AD343" s="176"/>
      <c r="AE343" s="176"/>
      <c r="AF343" s="176"/>
      <c r="AG343" s="176"/>
    </row>
    <row r="344" spans="3:33" s="160" customFormat="1">
      <c r="C344" s="825"/>
      <c r="M344" s="247"/>
      <c r="Y344" s="176"/>
      <c r="Z344" s="176"/>
      <c r="AA344" s="176"/>
      <c r="AB344" s="176"/>
      <c r="AC344" s="176"/>
      <c r="AD344" s="176"/>
      <c r="AE344" s="176"/>
      <c r="AF344" s="176"/>
      <c r="AG344" s="176"/>
    </row>
    <row r="345" spans="3:33" s="160" customFormat="1">
      <c r="C345" s="825"/>
      <c r="M345" s="247"/>
      <c r="Y345" s="176"/>
      <c r="Z345" s="176"/>
      <c r="AA345" s="176"/>
      <c r="AB345" s="176"/>
      <c r="AC345" s="176"/>
      <c r="AD345" s="176"/>
      <c r="AE345" s="176"/>
      <c r="AF345" s="176"/>
      <c r="AG345" s="176"/>
    </row>
    <row r="346" spans="3:33" s="160" customFormat="1">
      <c r="C346" s="825"/>
      <c r="M346" s="247"/>
      <c r="Y346" s="176"/>
      <c r="Z346" s="176"/>
      <c r="AA346" s="176"/>
      <c r="AB346" s="176"/>
      <c r="AC346" s="176"/>
      <c r="AD346" s="176"/>
      <c r="AE346" s="176"/>
      <c r="AF346" s="176"/>
      <c r="AG346" s="176"/>
    </row>
    <row r="347" spans="3:33" s="160" customFormat="1">
      <c r="C347" s="825"/>
      <c r="M347" s="247"/>
      <c r="Y347" s="176"/>
      <c r="Z347" s="176"/>
      <c r="AA347" s="176"/>
      <c r="AB347" s="176"/>
      <c r="AC347" s="176"/>
      <c r="AD347" s="176"/>
      <c r="AE347" s="176"/>
      <c r="AF347" s="176"/>
      <c r="AG347" s="176"/>
    </row>
    <row r="348" spans="3:33" s="160" customFormat="1">
      <c r="C348" s="825"/>
      <c r="M348" s="247"/>
      <c r="Y348" s="176"/>
      <c r="Z348" s="176"/>
      <c r="AA348" s="176"/>
      <c r="AB348" s="176"/>
      <c r="AC348" s="176"/>
      <c r="AD348" s="176"/>
      <c r="AE348" s="176"/>
      <c r="AF348" s="176"/>
      <c r="AG348" s="176"/>
    </row>
    <row r="349" spans="3:33" s="160" customFormat="1">
      <c r="C349" s="825"/>
      <c r="M349" s="247"/>
      <c r="Y349" s="176"/>
      <c r="Z349" s="176"/>
      <c r="AA349" s="176"/>
      <c r="AB349" s="176"/>
      <c r="AC349" s="176"/>
      <c r="AD349" s="176"/>
      <c r="AE349" s="176"/>
      <c r="AF349" s="176"/>
      <c r="AG349" s="176"/>
    </row>
    <row r="350" spans="3:33" s="160" customFormat="1">
      <c r="C350" s="825"/>
      <c r="M350" s="247"/>
      <c r="Y350" s="176"/>
      <c r="Z350" s="176"/>
      <c r="AA350" s="176"/>
      <c r="AB350" s="176"/>
      <c r="AC350" s="176"/>
      <c r="AD350" s="176"/>
      <c r="AE350" s="176"/>
      <c r="AF350" s="176"/>
      <c r="AG350" s="176"/>
    </row>
    <row r="351" spans="3:33" s="160" customFormat="1">
      <c r="C351" s="825"/>
      <c r="M351" s="247"/>
      <c r="Y351" s="176"/>
      <c r="Z351" s="176"/>
      <c r="AA351" s="176"/>
      <c r="AB351" s="176"/>
      <c r="AC351" s="176"/>
      <c r="AD351" s="176"/>
      <c r="AE351" s="176"/>
      <c r="AF351" s="176"/>
      <c r="AG351" s="176"/>
    </row>
    <row r="352" spans="3:33" s="160" customFormat="1">
      <c r="C352" s="825"/>
      <c r="M352" s="247"/>
      <c r="Y352" s="176"/>
      <c r="Z352" s="176"/>
      <c r="AA352" s="176"/>
      <c r="AB352" s="176"/>
      <c r="AC352" s="176"/>
      <c r="AD352" s="176"/>
      <c r="AE352" s="176"/>
      <c r="AF352" s="176"/>
      <c r="AG352" s="176"/>
    </row>
    <row r="353" spans="3:33" s="160" customFormat="1">
      <c r="C353" s="825"/>
      <c r="M353" s="247"/>
      <c r="Y353" s="176"/>
      <c r="Z353" s="176"/>
      <c r="AA353" s="176"/>
      <c r="AB353" s="176"/>
      <c r="AC353" s="176"/>
      <c r="AD353" s="176"/>
      <c r="AE353" s="176"/>
      <c r="AF353" s="176"/>
      <c r="AG353" s="176"/>
    </row>
    <row r="354" spans="3:33" s="160" customFormat="1">
      <c r="C354" s="825"/>
      <c r="M354" s="247"/>
      <c r="Y354" s="176"/>
      <c r="Z354" s="176"/>
      <c r="AA354" s="176"/>
      <c r="AB354" s="176"/>
      <c r="AC354" s="176"/>
      <c r="AD354" s="176"/>
      <c r="AE354" s="176"/>
      <c r="AF354" s="176"/>
      <c r="AG354" s="176"/>
    </row>
    <row r="355" spans="3:33" s="160" customFormat="1">
      <c r="C355" s="825"/>
      <c r="M355" s="247"/>
      <c r="Y355" s="176"/>
      <c r="Z355" s="176"/>
      <c r="AA355" s="176"/>
      <c r="AB355" s="176"/>
      <c r="AC355" s="176"/>
      <c r="AD355" s="176"/>
      <c r="AE355" s="176"/>
      <c r="AF355" s="176"/>
      <c r="AG355" s="176"/>
    </row>
    <row r="356" spans="3:33" s="160" customFormat="1">
      <c r="C356" s="825"/>
      <c r="M356" s="247"/>
      <c r="Y356" s="176"/>
      <c r="Z356" s="176"/>
      <c r="AA356" s="176"/>
      <c r="AB356" s="176"/>
      <c r="AC356" s="176"/>
      <c r="AD356" s="176"/>
      <c r="AE356" s="176"/>
      <c r="AF356" s="176"/>
      <c r="AG356" s="176"/>
    </row>
    <row r="357" spans="3:33" s="160" customFormat="1">
      <c r="C357" s="825"/>
      <c r="M357" s="247"/>
      <c r="Y357" s="176"/>
      <c r="Z357" s="176"/>
      <c r="AA357" s="176"/>
      <c r="AB357" s="176"/>
      <c r="AC357" s="176"/>
      <c r="AD357" s="176"/>
      <c r="AE357" s="176"/>
      <c r="AF357" s="176"/>
      <c r="AG357" s="176"/>
    </row>
    <row r="358" spans="3:33" s="160" customFormat="1">
      <c r="C358" s="825"/>
      <c r="M358" s="247"/>
      <c r="Y358" s="176"/>
      <c r="Z358" s="176"/>
      <c r="AA358" s="176"/>
      <c r="AB358" s="176"/>
      <c r="AC358" s="176"/>
      <c r="AD358" s="176"/>
      <c r="AE358" s="176"/>
      <c r="AF358" s="176"/>
      <c r="AG358" s="176"/>
    </row>
    <row r="359" spans="3:33" s="160" customFormat="1">
      <c r="C359" s="825"/>
      <c r="M359" s="247"/>
      <c r="Y359" s="176"/>
      <c r="Z359" s="176"/>
      <c r="AA359" s="176"/>
      <c r="AB359" s="176"/>
      <c r="AC359" s="176"/>
      <c r="AD359" s="176"/>
      <c r="AE359" s="176"/>
      <c r="AF359" s="176"/>
      <c r="AG359" s="176"/>
    </row>
    <row r="360" spans="3:33" s="160" customFormat="1">
      <c r="C360" s="825"/>
      <c r="M360" s="247"/>
      <c r="Y360" s="176"/>
      <c r="Z360" s="176"/>
      <c r="AA360" s="176"/>
      <c r="AB360" s="176"/>
      <c r="AC360" s="176"/>
      <c r="AD360" s="176"/>
      <c r="AE360" s="176"/>
      <c r="AF360" s="176"/>
      <c r="AG360" s="176"/>
    </row>
    <row r="361" spans="3:33" s="160" customFormat="1">
      <c r="C361" s="825"/>
      <c r="M361" s="247"/>
      <c r="Y361" s="176"/>
      <c r="Z361" s="176"/>
      <c r="AA361" s="176"/>
      <c r="AB361" s="176"/>
      <c r="AC361" s="176"/>
      <c r="AD361" s="176"/>
      <c r="AE361" s="176"/>
      <c r="AF361" s="176"/>
      <c r="AG361" s="176"/>
    </row>
    <row r="362" spans="3:33" s="160" customFormat="1">
      <c r="C362" s="825"/>
      <c r="M362" s="247"/>
      <c r="Y362" s="176"/>
      <c r="Z362" s="176"/>
      <c r="AA362" s="176"/>
      <c r="AB362" s="176"/>
      <c r="AC362" s="176"/>
      <c r="AD362" s="176"/>
      <c r="AE362" s="176"/>
      <c r="AF362" s="176"/>
      <c r="AG362" s="176"/>
    </row>
    <row r="363" spans="3:33" s="160" customFormat="1">
      <c r="C363" s="825"/>
      <c r="M363" s="247"/>
      <c r="Y363" s="176"/>
      <c r="Z363" s="176"/>
      <c r="AA363" s="176"/>
      <c r="AB363" s="176"/>
      <c r="AC363" s="176"/>
      <c r="AD363" s="176"/>
      <c r="AE363" s="176"/>
      <c r="AF363" s="176"/>
      <c r="AG363" s="176"/>
    </row>
    <row r="364" spans="3:33" s="160" customFormat="1">
      <c r="C364" s="825"/>
      <c r="M364" s="247"/>
      <c r="Y364" s="176"/>
      <c r="Z364" s="176"/>
      <c r="AA364" s="176"/>
      <c r="AB364" s="176"/>
      <c r="AC364" s="176"/>
      <c r="AD364" s="176"/>
      <c r="AE364" s="176"/>
      <c r="AF364" s="176"/>
      <c r="AG364" s="176"/>
    </row>
    <row r="365" spans="3:33" s="160" customFormat="1">
      <c r="C365" s="825"/>
      <c r="M365" s="247"/>
      <c r="Y365" s="176"/>
      <c r="Z365" s="176"/>
      <c r="AA365" s="176"/>
      <c r="AB365" s="176"/>
      <c r="AC365" s="176"/>
      <c r="AD365" s="176"/>
      <c r="AE365" s="176"/>
      <c r="AF365" s="176"/>
      <c r="AG365" s="176"/>
    </row>
    <row r="366" spans="3:33" s="160" customFormat="1">
      <c r="C366" s="825"/>
      <c r="M366" s="247"/>
      <c r="Y366" s="176"/>
      <c r="Z366" s="176"/>
      <c r="AA366" s="176"/>
      <c r="AB366" s="176"/>
      <c r="AC366" s="176"/>
      <c r="AD366" s="176"/>
      <c r="AE366" s="176"/>
      <c r="AF366" s="176"/>
      <c r="AG366" s="176"/>
    </row>
    <row r="367" spans="3:33" s="160" customFormat="1">
      <c r="C367" s="825"/>
      <c r="M367" s="247"/>
      <c r="Y367" s="176"/>
      <c r="Z367" s="176"/>
      <c r="AA367" s="176"/>
      <c r="AB367" s="176"/>
      <c r="AC367" s="176"/>
      <c r="AD367" s="176"/>
      <c r="AE367" s="176"/>
      <c r="AF367" s="176"/>
      <c r="AG367" s="176"/>
    </row>
    <row r="368" spans="3:33" s="160" customFormat="1">
      <c r="C368" s="825"/>
      <c r="M368" s="247"/>
      <c r="Y368" s="176"/>
      <c r="Z368" s="176"/>
      <c r="AA368" s="176"/>
      <c r="AB368" s="176"/>
      <c r="AC368" s="176"/>
      <c r="AD368" s="176"/>
      <c r="AE368" s="176"/>
      <c r="AF368" s="176"/>
      <c r="AG368" s="176"/>
    </row>
    <row r="369" spans="3:33" s="160" customFormat="1">
      <c r="C369" s="825"/>
      <c r="M369" s="247"/>
      <c r="Y369" s="176"/>
      <c r="Z369" s="176"/>
      <c r="AA369" s="176"/>
      <c r="AB369" s="176"/>
      <c r="AC369" s="176"/>
      <c r="AD369" s="176"/>
      <c r="AE369" s="176"/>
      <c r="AF369" s="176"/>
      <c r="AG369" s="176"/>
    </row>
    <row r="370" spans="3:33" s="160" customFormat="1">
      <c r="C370" s="825"/>
      <c r="M370" s="247"/>
      <c r="Y370" s="176"/>
      <c r="Z370" s="176"/>
      <c r="AA370" s="176"/>
      <c r="AB370" s="176"/>
      <c r="AC370" s="176"/>
      <c r="AD370" s="176"/>
      <c r="AE370" s="176"/>
      <c r="AF370" s="176"/>
      <c r="AG370" s="176"/>
    </row>
    <row r="371" spans="3:33" s="160" customFormat="1">
      <c r="C371" s="825"/>
      <c r="M371" s="247"/>
      <c r="Y371" s="176"/>
      <c r="Z371" s="176"/>
      <c r="AA371" s="176"/>
      <c r="AB371" s="176"/>
      <c r="AC371" s="176"/>
      <c r="AD371" s="176"/>
      <c r="AE371" s="176"/>
      <c r="AF371" s="176"/>
      <c r="AG371" s="176"/>
    </row>
    <row r="372" spans="3:33" s="160" customFormat="1">
      <c r="C372" s="825"/>
      <c r="M372" s="247"/>
      <c r="Y372" s="176"/>
      <c r="Z372" s="176"/>
      <c r="AA372" s="176"/>
      <c r="AB372" s="176"/>
      <c r="AC372" s="176"/>
      <c r="AD372" s="176"/>
      <c r="AE372" s="176"/>
      <c r="AF372" s="176"/>
      <c r="AG372" s="176"/>
    </row>
    <row r="373" spans="3:33" s="160" customFormat="1">
      <c r="C373" s="825"/>
      <c r="M373" s="247"/>
      <c r="Y373" s="176"/>
      <c r="Z373" s="176"/>
      <c r="AA373" s="176"/>
      <c r="AB373" s="176"/>
      <c r="AC373" s="176"/>
      <c r="AD373" s="176"/>
      <c r="AE373" s="176"/>
      <c r="AF373" s="176"/>
      <c r="AG373" s="176"/>
    </row>
    <row r="374" spans="3:33" s="160" customFormat="1">
      <c r="C374" s="825"/>
      <c r="M374" s="247"/>
      <c r="Y374" s="176"/>
      <c r="Z374" s="176"/>
      <c r="AA374" s="176"/>
      <c r="AB374" s="176"/>
      <c r="AC374" s="176"/>
      <c r="AD374" s="176"/>
      <c r="AE374" s="176"/>
      <c r="AF374" s="176"/>
      <c r="AG374" s="176"/>
    </row>
    <row r="375" spans="3:33" s="160" customFormat="1">
      <c r="C375" s="825"/>
      <c r="M375" s="247"/>
      <c r="Y375" s="176"/>
      <c r="Z375" s="176"/>
      <c r="AA375" s="176"/>
      <c r="AB375" s="176"/>
      <c r="AC375" s="176"/>
      <c r="AD375" s="176"/>
      <c r="AE375" s="176"/>
      <c r="AF375" s="176"/>
      <c r="AG375" s="176"/>
    </row>
    <row r="376" spans="3:33" s="160" customFormat="1">
      <c r="C376" s="825"/>
      <c r="M376" s="247"/>
      <c r="Y376" s="176"/>
      <c r="Z376" s="176"/>
      <c r="AA376" s="176"/>
      <c r="AB376" s="176"/>
      <c r="AC376" s="176"/>
      <c r="AD376" s="176"/>
      <c r="AE376" s="176"/>
      <c r="AF376" s="176"/>
      <c r="AG376" s="176"/>
    </row>
    <row r="377" spans="3:33" s="160" customFormat="1">
      <c r="C377" s="825"/>
      <c r="M377" s="247"/>
      <c r="Y377" s="176"/>
      <c r="Z377" s="176"/>
      <c r="AA377" s="176"/>
      <c r="AB377" s="176"/>
      <c r="AC377" s="176"/>
      <c r="AD377" s="176"/>
      <c r="AE377" s="176"/>
      <c r="AF377" s="176"/>
      <c r="AG377" s="176"/>
    </row>
    <row r="378" spans="3:33" s="160" customFormat="1">
      <c r="C378" s="825"/>
      <c r="M378" s="247"/>
      <c r="Y378" s="176"/>
      <c r="Z378" s="176"/>
      <c r="AA378" s="176"/>
      <c r="AB378" s="176"/>
      <c r="AC378" s="176"/>
      <c r="AD378" s="176"/>
      <c r="AE378" s="176"/>
      <c r="AF378" s="176"/>
      <c r="AG378" s="176"/>
    </row>
    <row r="379" spans="3:33" s="160" customFormat="1">
      <c r="C379" s="825"/>
      <c r="M379" s="247"/>
      <c r="Y379" s="176"/>
      <c r="Z379" s="176"/>
      <c r="AA379" s="176"/>
      <c r="AB379" s="176"/>
      <c r="AC379" s="176"/>
      <c r="AD379" s="176"/>
      <c r="AE379" s="176"/>
      <c r="AF379" s="176"/>
      <c r="AG379" s="176"/>
    </row>
    <row r="380" spans="3:33" s="160" customFormat="1">
      <c r="C380" s="825"/>
      <c r="M380" s="247"/>
      <c r="Y380" s="176"/>
      <c r="Z380" s="176"/>
      <c r="AA380" s="176"/>
      <c r="AB380" s="176"/>
      <c r="AC380" s="176"/>
      <c r="AD380" s="176"/>
      <c r="AE380" s="176"/>
      <c r="AF380" s="176"/>
      <c r="AG380" s="176"/>
    </row>
    <row r="381" spans="3:33" s="160" customFormat="1">
      <c r="C381" s="825"/>
      <c r="M381" s="247"/>
      <c r="Y381" s="176"/>
      <c r="Z381" s="176"/>
      <c r="AA381" s="176"/>
      <c r="AB381" s="176"/>
      <c r="AC381" s="176"/>
      <c r="AD381" s="176"/>
      <c r="AE381" s="176"/>
      <c r="AF381" s="176"/>
      <c r="AG381" s="176"/>
    </row>
    <row r="382" spans="3:33" s="160" customFormat="1">
      <c r="C382" s="825"/>
      <c r="M382" s="247"/>
      <c r="Y382" s="176"/>
      <c r="Z382" s="176"/>
      <c r="AA382" s="176"/>
      <c r="AB382" s="176"/>
      <c r="AC382" s="176"/>
      <c r="AD382" s="176"/>
      <c r="AE382" s="176"/>
      <c r="AF382" s="176"/>
      <c r="AG382" s="176"/>
    </row>
    <row r="383" spans="3:33" s="160" customFormat="1">
      <c r="C383" s="825"/>
      <c r="M383" s="247"/>
      <c r="Y383" s="176"/>
      <c r="Z383" s="176"/>
      <c r="AA383" s="176"/>
      <c r="AB383" s="176"/>
      <c r="AC383" s="176"/>
      <c r="AD383" s="176"/>
      <c r="AE383" s="176"/>
      <c r="AF383" s="176"/>
      <c r="AG383" s="176"/>
    </row>
    <row r="384" spans="3:33" s="160" customFormat="1">
      <c r="C384" s="825"/>
      <c r="M384" s="247"/>
      <c r="Y384" s="176"/>
      <c r="Z384" s="176"/>
      <c r="AA384" s="176"/>
      <c r="AB384" s="176"/>
      <c r="AC384" s="176"/>
      <c r="AD384" s="176"/>
      <c r="AE384" s="176"/>
      <c r="AF384" s="176"/>
      <c r="AG384" s="176"/>
    </row>
    <row r="385" spans="3:33" s="160" customFormat="1">
      <c r="C385" s="825"/>
      <c r="M385" s="247"/>
      <c r="Y385" s="176"/>
      <c r="Z385" s="176"/>
      <c r="AA385" s="176"/>
      <c r="AB385" s="176"/>
      <c r="AC385" s="176"/>
      <c r="AD385" s="176"/>
      <c r="AE385" s="176"/>
      <c r="AF385" s="176"/>
      <c r="AG385" s="176"/>
    </row>
    <row r="386" spans="3:33" s="160" customFormat="1">
      <c r="C386" s="825"/>
      <c r="M386" s="247"/>
      <c r="Y386" s="176"/>
      <c r="Z386" s="176"/>
      <c r="AA386" s="176"/>
      <c r="AB386" s="176"/>
      <c r="AC386" s="176"/>
      <c r="AD386" s="176"/>
      <c r="AE386" s="176"/>
      <c r="AF386" s="176"/>
      <c r="AG386" s="176"/>
    </row>
    <row r="387" spans="3:33" s="160" customFormat="1">
      <c r="C387" s="825"/>
      <c r="M387" s="247"/>
      <c r="Y387" s="176"/>
      <c r="Z387" s="176"/>
      <c r="AA387" s="176"/>
      <c r="AB387" s="176"/>
      <c r="AC387" s="176"/>
      <c r="AD387" s="176"/>
      <c r="AE387" s="176"/>
      <c r="AF387" s="176"/>
      <c r="AG387" s="176"/>
    </row>
    <row r="388" spans="3:33" s="160" customFormat="1">
      <c r="C388" s="825"/>
      <c r="M388" s="247"/>
      <c r="Y388" s="176"/>
      <c r="Z388" s="176"/>
      <c r="AA388" s="176"/>
      <c r="AB388" s="176"/>
      <c r="AC388" s="176"/>
      <c r="AD388" s="176"/>
      <c r="AE388" s="176"/>
      <c r="AF388" s="176"/>
      <c r="AG388" s="176"/>
    </row>
    <row r="389" spans="3:33" s="160" customFormat="1">
      <c r="C389" s="825"/>
      <c r="M389" s="247"/>
      <c r="Y389" s="176"/>
      <c r="Z389" s="176"/>
      <c r="AA389" s="176"/>
      <c r="AB389" s="176"/>
      <c r="AC389" s="176"/>
      <c r="AD389" s="176"/>
      <c r="AE389" s="176"/>
      <c r="AF389" s="176"/>
      <c r="AG389" s="176"/>
    </row>
    <row r="390" spans="3:33" s="160" customFormat="1">
      <c r="C390" s="825"/>
      <c r="M390" s="247"/>
      <c r="Y390" s="176"/>
      <c r="Z390" s="176"/>
      <c r="AA390" s="176"/>
      <c r="AB390" s="176"/>
      <c r="AC390" s="176"/>
      <c r="AD390" s="176"/>
      <c r="AE390" s="176"/>
      <c r="AF390" s="176"/>
      <c r="AG390" s="176"/>
    </row>
    <row r="391" spans="3:33" s="160" customFormat="1">
      <c r="C391" s="825"/>
      <c r="M391" s="247"/>
      <c r="Y391" s="176"/>
      <c r="Z391" s="176"/>
      <c r="AA391" s="176"/>
      <c r="AB391" s="176"/>
      <c r="AC391" s="176"/>
      <c r="AD391" s="176"/>
      <c r="AE391" s="176"/>
      <c r="AF391" s="176"/>
      <c r="AG391" s="176"/>
    </row>
    <row r="392" spans="3:33" s="160" customFormat="1">
      <c r="C392" s="825"/>
      <c r="M392" s="247"/>
      <c r="Y392" s="176"/>
      <c r="Z392" s="176"/>
      <c r="AA392" s="176"/>
      <c r="AB392" s="176"/>
      <c r="AC392" s="176"/>
      <c r="AD392" s="176"/>
      <c r="AE392" s="176"/>
      <c r="AF392" s="176"/>
      <c r="AG392" s="176"/>
    </row>
    <row r="393" spans="3:33" s="160" customFormat="1">
      <c r="C393" s="825"/>
      <c r="M393" s="247"/>
      <c r="Y393" s="176"/>
      <c r="Z393" s="176"/>
      <c r="AA393" s="176"/>
      <c r="AB393" s="176"/>
      <c r="AC393" s="176"/>
      <c r="AD393" s="176"/>
      <c r="AE393" s="176"/>
      <c r="AF393" s="176"/>
      <c r="AG393" s="176"/>
    </row>
    <row r="394" spans="3:33" s="160" customFormat="1">
      <c r="C394" s="825"/>
      <c r="M394" s="247"/>
      <c r="Y394" s="176"/>
      <c r="Z394" s="176"/>
      <c r="AA394" s="176"/>
      <c r="AB394" s="176"/>
      <c r="AC394" s="176"/>
      <c r="AD394" s="176"/>
      <c r="AE394" s="176"/>
      <c r="AF394" s="176"/>
      <c r="AG394" s="176"/>
    </row>
    <row r="395" spans="3:33" s="160" customFormat="1">
      <c r="C395" s="825"/>
      <c r="M395" s="247"/>
      <c r="Y395" s="176"/>
      <c r="Z395" s="176"/>
      <c r="AA395" s="176"/>
      <c r="AB395" s="176"/>
      <c r="AC395" s="176"/>
      <c r="AD395" s="176"/>
      <c r="AE395" s="176"/>
      <c r="AF395" s="176"/>
      <c r="AG395" s="176"/>
    </row>
    <row r="396" spans="3:33" s="160" customFormat="1">
      <c r="C396" s="825"/>
      <c r="M396" s="247"/>
      <c r="Y396" s="176"/>
      <c r="Z396" s="176"/>
      <c r="AA396" s="176"/>
      <c r="AB396" s="176"/>
      <c r="AC396" s="176"/>
      <c r="AD396" s="176"/>
      <c r="AE396" s="176"/>
      <c r="AF396" s="176"/>
      <c r="AG396" s="176"/>
    </row>
    <row r="397" spans="3:33" s="160" customFormat="1">
      <c r="C397" s="825"/>
      <c r="M397" s="247"/>
      <c r="Y397" s="176"/>
      <c r="Z397" s="176"/>
      <c r="AA397" s="176"/>
      <c r="AB397" s="176"/>
      <c r="AC397" s="176"/>
      <c r="AD397" s="176"/>
      <c r="AE397" s="176"/>
      <c r="AF397" s="176"/>
      <c r="AG397" s="176"/>
    </row>
    <row r="398" spans="3:33" s="160" customFormat="1">
      <c r="C398" s="825"/>
      <c r="M398" s="247"/>
      <c r="Y398" s="176"/>
      <c r="Z398" s="176"/>
      <c r="AA398" s="176"/>
      <c r="AB398" s="176"/>
      <c r="AC398" s="176"/>
      <c r="AD398" s="176"/>
      <c r="AE398" s="176"/>
      <c r="AF398" s="176"/>
      <c r="AG398" s="176"/>
    </row>
    <row r="399" spans="3:33" s="160" customFormat="1">
      <c r="C399" s="825"/>
      <c r="M399" s="247"/>
      <c r="Y399" s="176"/>
      <c r="Z399" s="176"/>
      <c r="AA399" s="176"/>
      <c r="AB399" s="176"/>
      <c r="AC399" s="176"/>
      <c r="AD399" s="176"/>
      <c r="AE399" s="176"/>
      <c r="AF399" s="176"/>
      <c r="AG399" s="176"/>
    </row>
    <row r="400" spans="3:33" s="160" customFormat="1">
      <c r="C400" s="825"/>
      <c r="M400" s="247"/>
      <c r="Y400" s="176"/>
      <c r="Z400" s="176"/>
      <c r="AA400" s="176"/>
      <c r="AB400" s="176"/>
      <c r="AC400" s="176"/>
      <c r="AD400" s="176"/>
      <c r="AE400" s="176"/>
      <c r="AF400" s="176"/>
      <c r="AG400" s="176"/>
    </row>
    <row r="401" spans="3:33" s="160" customFormat="1">
      <c r="C401" s="825"/>
      <c r="M401" s="247"/>
      <c r="Y401" s="176"/>
      <c r="Z401" s="176"/>
      <c r="AA401" s="176"/>
      <c r="AB401" s="176"/>
      <c r="AC401" s="176"/>
      <c r="AD401" s="176"/>
      <c r="AE401" s="176"/>
      <c r="AF401" s="176"/>
      <c r="AG401" s="176"/>
    </row>
    <row r="402" spans="3:33" s="160" customFormat="1">
      <c r="C402" s="825"/>
      <c r="M402" s="247"/>
      <c r="Y402" s="176"/>
      <c r="Z402" s="176"/>
      <c r="AA402" s="176"/>
      <c r="AB402" s="176"/>
      <c r="AC402" s="176"/>
      <c r="AD402" s="176"/>
      <c r="AE402" s="176"/>
      <c r="AF402" s="176"/>
      <c r="AG402" s="176"/>
    </row>
    <row r="403" spans="3:33" s="160" customFormat="1">
      <c r="C403" s="825"/>
      <c r="M403" s="247"/>
      <c r="Y403" s="176"/>
      <c r="Z403" s="176"/>
      <c r="AA403" s="176"/>
      <c r="AB403" s="176"/>
      <c r="AC403" s="176"/>
      <c r="AD403" s="176"/>
      <c r="AE403" s="176"/>
      <c r="AF403" s="176"/>
      <c r="AG403" s="176"/>
    </row>
    <row r="404" spans="3:33" s="160" customFormat="1">
      <c r="C404" s="825"/>
      <c r="M404" s="247"/>
      <c r="Y404" s="176"/>
      <c r="Z404" s="176"/>
      <c r="AA404" s="176"/>
      <c r="AB404" s="176"/>
      <c r="AC404" s="176"/>
      <c r="AD404" s="176"/>
      <c r="AE404" s="176"/>
      <c r="AF404" s="176"/>
      <c r="AG404" s="176"/>
    </row>
    <row r="405" spans="3:33" s="160" customFormat="1">
      <c r="C405" s="825"/>
      <c r="M405" s="247"/>
      <c r="Y405" s="176"/>
      <c r="Z405" s="176"/>
      <c r="AA405" s="176"/>
      <c r="AB405" s="176"/>
      <c r="AC405" s="176"/>
      <c r="AD405" s="176"/>
      <c r="AE405" s="176"/>
      <c r="AF405" s="176"/>
      <c r="AG405" s="176"/>
    </row>
    <row r="406" spans="3:33" s="160" customFormat="1">
      <c r="C406" s="825"/>
      <c r="M406" s="247"/>
      <c r="Y406" s="176"/>
      <c r="Z406" s="176"/>
      <c r="AA406" s="176"/>
      <c r="AB406" s="176"/>
      <c r="AC406" s="176"/>
      <c r="AD406" s="176"/>
      <c r="AE406" s="176"/>
      <c r="AF406" s="176"/>
      <c r="AG406" s="176"/>
    </row>
    <row r="407" spans="3:33" s="160" customFormat="1">
      <c r="C407" s="825"/>
      <c r="M407" s="247"/>
      <c r="Y407" s="176"/>
      <c r="Z407" s="176"/>
      <c r="AA407" s="176"/>
      <c r="AB407" s="176"/>
      <c r="AC407" s="176"/>
      <c r="AD407" s="176"/>
      <c r="AE407" s="176"/>
      <c r="AF407" s="176"/>
      <c r="AG407" s="176"/>
    </row>
    <row r="408" spans="3:33" s="160" customFormat="1">
      <c r="C408" s="825"/>
      <c r="M408" s="247"/>
      <c r="Y408" s="176"/>
      <c r="Z408" s="176"/>
      <c r="AA408" s="176"/>
      <c r="AB408" s="176"/>
      <c r="AC408" s="176"/>
      <c r="AD408" s="176"/>
      <c r="AE408" s="176"/>
      <c r="AF408" s="176"/>
      <c r="AG408" s="176"/>
    </row>
    <row r="409" spans="3:33" s="160" customFormat="1">
      <c r="C409" s="825"/>
      <c r="M409" s="247"/>
      <c r="Y409" s="176"/>
      <c r="Z409" s="176"/>
      <c r="AA409" s="176"/>
      <c r="AB409" s="176"/>
      <c r="AC409" s="176"/>
      <c r="AD409" s="176"/>
      <c r="AE409" s="176"/>
      <c r="AF409" s="176"/>
      <c r="AG409" s="176"/>
    </row>
    <row r="410" spans="3:33" s="160" customFormat="1">
      <c r="C410" s="825"/>
      <c r="M410" s="247"/>
      <c r="Y410" s="176"/>
      <c r="Z410" s="176"/>
      <c r="AA410" s="176"/>
      <c r="AB410" s="176"/>
      <c r="AC410" s="176"/>
      <c r="AD410" s="176"/>
      <c r="AE410" s="176"/>
      <c r="AF410" s="176"/>
      <c r="AG410" s="176"/>
    </row>
    <row r="411" spans="3:33" s="160" customFormat="1">
      <c r="C411" s="825"/>
      <c r="M411" s="247"/>
      <c r="Y411" s="176"/>
      <c r="Z411" s="176"/>
      <c r="AA411" s="176"/>
      <c r="AB411" s="176"/>
      <c r="AC411" s="176"/>
      <c r="AD411" s="176"/>
      <c r="AE411" s="176"/>
      <c r="AF411" s="176"/>
      <c r="AG411" s="176"/>
    </row>
    <row r="412" spans="3:33" s="160" customFormat="1">
      <c r="C412" s="825"/>
      <c r="M412" s="247"/>
      <c r="Y412" s="176"/>
      <c r="Z412" s="176"/>
      <c r="AA412" s="176"/>
      <c r="AB412" s="176"/>
      <c r="AC412" s="176"/>
      <c r="AD412" s="176"/>
      <c r="AE412" s="176"/>
      <c r="AF412" s="176"/>
      <c r="AG412" s="176"/>
    </row>
    <row r="413" spans="3:33" s="160" customFormat="1">
      <c r="C413" s="825"/>
      <c r="M413" s="247"/>
      <c r="Y413" s="176"/>
      <c r="Z413" s="176"/>
      <c r="AA413" s="176"/>
      <c r="AB413" s="176"/>
      <c r="AC413" s="176"/>
      <c r="AD413" s="176"/>
      <c r="AE413" s="176"/>
      <c r="AF413" s="176"/>
      <c r="AG413" s="176"/>
    </row>
    <row r="414" spans="3:33" s="160" customFormat="1">
      <c r="C414" s="825"/>
      <c r="M414" s="247"/>
      <c r="Y414" s="176"/>
      <c r="Z414" s="176"/>
      <c r="AA414" s="176"/>
      <c r="AB414" s="176"/>
      <c r="AC414" s="176"/>
      <c r="AD414" s="176"/>
      <c r="AE414" s="176"/>
      <c r="AF414" s="176"/>
      <c r="AG414" s="176"/>
    </row>
    <row r="415" spans="3:33" s="160" customFormat="1">
      <c r="C415" s="825"/>
      <c r="M415" s="247"/>
      <c r="Y415" s="176"/>
      <c r="Z415" s="176"/>
      <c r="AA415" s="176"/>
      <c r="AB415" s="176"/>
      <c r="AC415" s="176"/>
      <c r="AD415" s="176"/>
      <c r="AE415" s="176"/>
      <c r="AF415" s="176"/>
      <c r="AG415" s="176"/>
    </row>
    <row r="416" spans="3:33" s="160" customFormat="1">
      <c r="C416" s="825"/>
      <c r="M416" s="247"/>
      <c r="Y416" s="176"/>
      <c r="Z416" s="176"/>
      <c r="AA416" s="176"/>
      <c r="AB416" s="176"/>
      <c r="AC416" s="176"/>
      <c r="AD416" s="176"/>
      <c r="AE416" s="176"/>
      <c r="AF416" s="176"/>
      <c r="AG416" s="176"/>
    </row>
    <row r="417" spans="3:33" s="160" customFormat="1">
      <c r="C417" s="825"/>
      <c r="M417" s="247"/>
      <c r="Y417" s="176"/>
      <c r="Z417" s="176"/>
      <c r="AA417" s="176"/>
      <c r="AB417" s="176"/>
      <c r="AC417" s="176"/>
      <c r="AD417" s="176"/>
      <c r="AE417" s="176"/>
      <c r="AF417" s="176"/>
      <c r="AG417" s="176"/>
    </row>
    <row r="418" spans="3:33" s="160" customFormat="1">
      <c r="C418" s="825"/>
      <c r="M418" s="247"/>
      <c r="Y418" s="176"/>
      <c r="Z418" s="176"/>
      <c r="AA418" s="176"/>
      <c r="AB418" s="176"/>
      <c r="AC418" s="176"/>
      <c r="AD418" s="176"/>
      <c r="AE418" s="176"/>
      <c r="AF418" s="176"/>
      <c r="AG418" s="176"/>
    </row>
    <row r="419" spans="3:33" s="160" customFormat="1">
      <c r="C419" s="825"/>
      <c r="M419" s="247"/>
      <c r="Y419" s="176"/>
      <c r="Z419" s="176"/>
      <c r="AA419" s="176"/>
      <c r="AB419" s="176"/>
      <c r="AC419" s="176"/>
      <c r="AD419" s="176"/>
      <c r="AE419" s="176"/>
      <c r="AF419" s="176"/>
      <c r="AG419" s="176"/>
    </row>
    <row r="420" spans="3:33" s="160" customFormat="1">
      <c r="C420" s="825"/>
      <c r="M420" s="247"/>
      <c r="Y420" s="176"/>
      <c r="Z420" s="176"/>
      <c r="AA420" s="176"/>
      <c r="AB420" s="176"/>
      <c r="AC420" s="176"/>
      <c r="AD420" s="176"/>
      <c r="AE420" s="176"/>
      <c r="AF420" s="176"/>
      <c r="AG420" s="176"/>
    </row>
    <row r="421" spans="3:33" s="160" customFormat="1">
      <c r="C421" s="825"/>
      <c r="M421" s="247"/>
      <c r="Y421" s="176"/>
      <c r="Z421" s="176"/>
      <c r="AA421" s="176"/>
      <c r="AB421" s="176"/>
      <c r="AC421" s="176"/>
      <c r="AD421" s="176"/>
      <c r="AE421" s="176"/>
      <c r="AF421" s="176"/>
      <c r="AG421" s="176"/>
    </row>
    <row r="422" spans="3:33" s="160" customFormat="1">
      <c r="C422" s="825"/>
      <c r="M422" s="247"/>
      <c r="Y422" s="176"/>
      <c r="Z422" s="176"/>
      <c r="AA422" s="176"/>
      <c r="AB422" s="176"/>
      <c r="AC422" s="176"/>
      <c r="AD422" s="176"/>
      <c r="AE422" s="176"/>
      <c r="AF422" s="176"/>
      <c r="AG422" s="176"/>
    </row>
    <row r="423" spans="3:33" s="160" customFormat="1">
      <c r="C423" s="825"/>
      <c r="M423" s="247"/>
      <c r="Y423" s="176"/>
      <c r="Z423" s="176"/>
      <c r="AA423" s="176"/>
      <c r="AB423" s="176"/>
      <c r="AC423" s="176"/>
      <c r="AD423" s="176"/>
      <c r="AE423" s="176"/>
      <c r="AF423" s="176"/>
      <c r="AG423" s="176"/>
    </row>
    <row r="424" spans="3:33" s="160" customFormat="1">
      <c r="C424" s="825"/>
      <c r="M424" s="247"/>
      <c r="Y424" s="176"/>
      <c r="Z424" s="176"/>
      <c r="AA424" s="176"/>
      <c r="AB424" s="176"/>
      <c r="AC424" s="176"/>
      <c r="AD424" s="176"/>
      <c r="AE424" s="176"/>
      <c r="AF424" s="176"/>
      <c r="AG424" s="176"/>
    </row>
    <row r="425" spans="3:33" s="160" customFormat="1">
      <c r="C425" s="825"/>
      <c r="M425" s="247"/>
      <c r="Y425" s="176"/>
      <c r="Z425" s="176"/>
      <c r="AA425" s="176"/>
      <c r="AB425" s="176"/>
      <c r="AC425" s="176"/>
      <c r="AD425" s="176"/>
      <c r="AE425" s="176"/>
      <c r="AF425" s="176"/>
      <c r="AG425" s="176"/>
    </row>
    <row r="426" spans="3:33" s="160" customFormat="1">
      <c r="C426" s="825"/>
      <c r="M426" s="247"/>
      <c r="Y426" s="176"/>
      <c r="Z426" s="176"/>
      <c r="AA426" s="176"/>
      <c r="AB426" s="176"/>
      <c r="AC426" s="176"/>
      <c r="AD426" s="176"/>
      <c r="AE426" s="176"/>
      <c r="AF426" s="176"/>
      <c r="AG426" s="176"/>
    </row>
    <row r="427" spans="3:33" s="160" customFormat="1">
      <c r="C427" s="825"/>
      <c r="M427" s="247"/>
      <c r="Y427" s="176"/>
      <c r="Z427" s="176"/>
      <c r="AA427" s="176"/>
      <c r="AB427" s="176"/>
      <c r="AC427" s="176"/>
      <c r="AD427" s="176"/>
      <c r="AE427" s="176"/>
      <c r="AF427" s="176"/>
      <c r="AG427" s="176"/>
    </row>
    <row r="428" spans="3:33" s="160" customFormat="1">
      <c r="C428" s="825"/>
      <c r="M428" s="247"/>
      <c r="Y428" s="176"/>
      <c r="Z428" s="176"/>
      <c r="AA428" s="176"/>
      <c r="AB428" s="176"/>
      <c r="AC428" s="176"/>
      <c r="AD428" s="176"/>
      <c r="AE428" s="176"/>
      <c r="AF428" s="176"/>
      <c r="AG428" s="176"/>
    </row>
    <row r="429" spans="3:33" s="160" customFormat="1">
      <c r="C429" s="825"/>
      <c r="M429" s="247"/>
      <c r="Y429" s="176"/>
      <c r="Z429" s="176"/>
      <c r="AA429" s="176"/>
      <c r="AB429" s="176"/>
      <c r="AC429" s="176"/>
      <c r="AD429" s="176"/>
      <c r="AE429" s="176"/>
      <c r="AF429" s="176"/>
      <c r="AG429" s="176"/>
    </row>
    <row r="430" spans="3:33" s="160" customFormat="1">
      <c r="C430" s="825"/>
      <c r="M430" s="247"/>
      <c r="Y430" s="176"/>
      <c r="Z430" s="176"/>
      <c r="AA430" s="176"/>
      <c r="AB430" s="176"/>
      <c r="AC430" s="176"/>
      <c r="AD430" s="176"/>
      <c r="AE430" s="176"/>
      <c r="AF430" s="176"/>
      <c r="AG430" s="176"/>
    </row>
    <row r="431" spans="3:33" s="160" customFormat="1">
      <c r="C431" s="825"/>
      <c r="M431" s="247"/>
      <c r="Y431" s="176"/>
      <c r="Z431" s="176"/>
      <c r="AA431" s="176"/>
      <c r="AB431" s="176"/>
      <c r="AC431" s="176"/>
      <c r="AD431" s="176"/>
      <c r="AE431" s="176"/>
      <c r="AF431" s="176"/>
      <c r="AG431" s="176"/>
    </row>
    <row r="432" spans="3:33" s="160" customFormat="1">
      <c r="C432" s="825"/>
      <c r="M432" s="247"/>
      <c r="Y432" s="176"/>
      <c r="Z432" s="176"/>
      <c r="AA432" s="176"/>
      <c r="AB432" s="176"/>
      <c r="AC432" s="176"/>
      <c r="AD432" s="176"/>
      <c r="AE432" s="176"/>
      <c r="AF432" s="176"/>
      <c r="AG432" s="176"/>
    </row>
    <row r="433" spans="3:33" s="160" customFormat="1">
      <c r="C433" s="825"/>
      <c r="M433" s="247"/>
      <c r="Y433" s="176"/>
      <c r="Z433" s="176"/>
      <c r="AA433" s="176"/>
      <c r="AB433" s="176"/>
      <c r="AC433" s="176"/>
      <c r="AD433" s="176"/>
      <c r="AE433" s="176"/>
      <c r="AF433" s="176"/>
      <c r="AG433" s="176"/>
    </row>
    <row r="434" spans="3:33" s="160" customFormat="1">
      <c r="C434" s="825"/>
      <c r="M434" s="247"/>
      <c r="Y434" s="176"/>
      <c r="Z434" s="176"/>
      <c r="AA434" s="176"/>
      <c r="AB434" s="176"/>
      <c r="AC434" s="176"/>
      <c r="AD434" s="176"/>
      <c r="AE434" s="176"/>
      <c r="AF434" s="176"/>
      <c r="AG434" s="176"/>
    </row>
    <row r="435" spans="3:33" s="160" customFormat="1">
      <c r="C435" s="825"/>
      <c r="M435" s="247"/>
      <c r="Y435" s="176"/>
      <c r="Z435" s="176"/>
      <c r="AA435" s="176"/>
      <c r="AB435" s="176"/>
      <c r="AC435" s="176"/>
      <c r="AD435" s="176"/>
      <c r="AE435" s="176"/>
      <c r="AF435" s="176"/>
      <c r="AG435" s="176"/>
    </row>
    <row r="436" spans="3:33" s="160" customFormat="1">
      <c r="C436" s="825"/>
      <c r="M436" s="247"/>
      <c r="Y436" s="176"/>
      <c r="Z436" s="176"/>
      <c r="AA436" s="176"/>
      <c r="AB436" s="176"/>
      <c r="AC436" s="176"/>
      <c r="AD436" s="176"/>
      <c r="AE436" s="176"/>
      <c r="AF436" s="176"/>
      <c r="AG436" s="176"/>
    </row>
    <row r="437" spans="3:33" s="160" customFormat="1">
      <c r="C437" s="825"/>
      <c r="M437" s="247"/>
      <c r="Y437" s="176"/>
      <c r="Z437" s="176"/>
      <c r="AA437" s="176"/>
      <c r="AB437" s="176"/>
      <c r="AC437" s="176"/>
      <c r="AD437" s="176"/>
      <c r="AE437" s="176"/>
      <c r="AF437" s="176"/>
      <c r="AG437" s="176"/>
    </row>
    <row r="438" spans="3:33" s="160" customFormat="1">
      <c r="C438" s="825"/>
      <c r="M438" s="247"/>
      <c r="Y438" s="176"/>
      <c r="Z438" s="176"/>
      <c r="AA438" s="176"/>
      <c r="AB438" s="176"/>
      <c r="AC438" s="176"/>
      <c r="AD438" s="176"/>
      <c r="AE438" s="176"/>
      <c r="AF438" s="176"/>
      <c r="AG438" s="176"/>
    </row>
    <row r="439" spans="3:33" s="160" customFormat="1">
      <c r="C439" s="825"/>
      <c r="M439" s="247"/>
      <c r="Y439" s="176"/>
      <c r="Z439" s="176"/>
      <c r="AA439" s="176"/>
      <c r="AB439" s="176"/>
      <c r="AC439" s="176"/>
      <c r="AD439" s="176"/>
      <c r="AE439" s="176"/>
      <c r="AF439" s="176"/>
      <c r="AG439" s="176"/>
    </row>
    <row r="440" spans="3:33" s="160" customFormat="1">
      <c r="C440" s="825"/>
      <c r="M440" s="247"/>
      <c r="Y440" s="176"/>
      <c r="Z440" s="176"/>
      <c r="AA440" s="176"/>
      <c r="AB440" s="176"/>
      <c r="AC440" s="176"/>
      <c r="AD440" s="176"/>
      <c r="AE440" s="176"/>
      <c r="AF440" s="176"/>
      <c r="AG440" s="176"/>
    </row>
    <row r="441" spans="3:33" s="160" customFormat="1">
      <c r="C441" s="825"/>
      <c r="M441" s="247"/>
      <c r="Y441" s="176"/>
      <c r="Z441" s="176"/>
      <c r="AA441" s="176"/>
      <c r="AB441" s="176"/>
      <c r="AC441" s="176"/>
      <c r="AD441" s="176"/>
      <c r="AE441" s="176"/>
      <c r="AF441" s="176"/>
      <c r="AG441" s="176"/>
    </row>
    <row r="442" spans="3:33" s="160" customFormat="1">
      <c r="C442" s="825"/>
      <c r="M442" s="247"/>
      <c r="Y442" s="176"/>
      <c r="Z442" s="176"/>
      <c r="AA442" s="176"/>
      <c r="AB442" s="176"/>
      <c r="AC442" s="176"/>
      <c r="AD442" s="176"/>
      <c r="AE442" s="176"/>
      <c r="AF442" s="176"/>
      <c r="AG442" s="176"/>
    </row>
    <row r="443" spans="3:33" s="160" customFormat="1">
      <c r="C443" s="825"/>
      <c r="M443" s="247"/>
      <c r="Y443" s="176"/>
      <c r="Z443" s="176"/>
      <c r="AA443" s="176"/>
      <c r="AB443" s="176"/>
      <c r="AC443" s="176"/>
      <c r="AD443" s="176"/>
      <c r="AE443" s="176"/>
      <c r="AF443" s="176"/>
      <c r="AG443" s="176"/>
    </row>
    <row r="444" spans="3:33" s="160" customFormat="1">
      <c r="C444" s="825"/>
      <c r="M444" s="247"/>
      <c r="Y444" s="176"/>
      <c r="Z444" s="176"/>
      <c r="AA444" s="176"/>
      <c r="AB444" s="176"/>
      <c r="AC444" s="176"/>
      <c r="AD444" s="176"/>
      <c r="AE444" s="176"/>
      <c r="AF444" s="176"/>
      <c r="AG444" s="176"/>
    </row>
    <row r="445" spans="3:33" s="160" customFormat="1">
      <c r="C445" s="825"/>
      <c r="M445" s="247"/>
      <c r="Y445" s="176"/>
      <c r="Z445" s="176"/>
      <c r="AA445" s="176"/>
      <c r="AB445" s="176"/>
      <c r="AC445" s="176"/>
      <c r="AD445" s="176"/>
      <c r="AE445" s="176"/>
      <c r="AF445" s="176"/>
      <c r="AG445" s="176"/>
    </row>
    <row r="446" spans="3:33" s="160" customFormat="1">
      <c r="C446" s="825"/>
      <c r="M446" s="247"/>
      <c r="Y446" s="176"/>
      <c r="Z446" s="176"/>
      <c r="AA446" s="176"/>
      <c r="AB446" s="176"/>
      <c r="AC446" s="176"/>
      <c r="AD446" s="176"/>
      <c r="AE446" s="176"/>
      <c r="AF446" s="176"/>
      <c r="AG446" s="176"/>
    </row>
    <row r="447" spans="3:33" s="160" customFormat="1">
      <c r="C447" s="825"/>
      <c r="M447" s="247"/>
      <c r="Y447" s="176"/>
      <c r="Z447" s="176"/>
      <c r="AA447" s="176"/>
      <c r="AB447" s="176"/>
      <c r="AC447" s="176"/>
      <c r="AD447" s="176"/>
      <c r="AE447" s="176"/>
      <c r="AF447" s="176"/>
      <c r="AG447" s="176"/>
    </row>
    <row r="448" spans="3:33" s="160" customFormat="1">
      <c r="C448" s="825"/>
      <c r="M448" s="247"/>
      <c r="Y448" s="176"/>
      <c r="Z448" s="176"/>
      <c r="AA448" s="176"/>
      <c r="AB448" s="176"/>
      <c r="AC448" s="176"/>
      <c r="AD448" s="176"/>
      <c r="AE448" s="176"/>
      <c r="AF448" s="176"/>
      <c r="AG448" s="176"/>
    </row>
    <row r="449" spans="3:33" s="160" customFormat="1">
      <c r="C449" s="825"/>
      <c r="M449" s="247"/>
      <c r="Y449" s="176"/>
      <c r="Z449" s="176"/>
      <c r="AA449" s="176"/>
      <c r="AB449" s="176"/>
      <c r="AC449" s="176"/>
      <c r="AD449" s="176"/>
      <c r="AE449" s="176"/>
      <c r="AF449" s="176"/>
      <c r="AG449" s="176"/>
    </row>
    <row r="450" spans="3:33" s="160" customFormat="1">
      <c r="C450" s="825"/>
      <c r="M450" s="247"/>
      <c r="Y450" s="176"/>
      <c r="Z450" s="176"/>
      <c r="AA450" s="176"/>
      <c r="AB450" s="176"/>
      <c r="AC450" s="176"/>
      <c r="AD450" s="176"/>
      <c r="AE450" s="176"/>
      <c r="AF450" s="176"/>
      <c r="AG450" s="176"/>
    </row>
    <row r="451" spans="3:33" s="160" customFormat="1">
      <c r="C451" s="825"/>
      <c r="M451" s="247"/>
      <c r="Y451" s="176"/>
      <c r="Z451" s="176"/>
      <c r="AA451" s="176"/>
      <c r="AB451" s="176"/>
      <c r="AC451" s="176"/>
      <c r="AD451" s="176"/>
      <c r="AE451" s="176"/>
      <c r="AF451" s="176"/>
      <c r="AG451" s="176"/>
    </row>
    <row r="452" spans="3:33" s="160" customFormat="1">
      <c r="C452" s="825"/>
      <c r="M452" s="247"/>
      <c r="Y452" s="176"/>
      <c r="Z452" s="176"/>
      <c r="AA452" s="176"/>
      <c r="AB452" s="176"/>
      <c r="AC452" s="176"/>
      <c r="AD452" s="176"/>
      <c r="AE452" s="176"/>
      <c r="AF452" s="176"/>
      <c r="AG452" s="176"/>
    </row>
    <row r="453" spans="3:33" s="160" customFormat="1">
      <c r="C453" s="825"/>
      <c r="M453" s="247"/>
      <c r="Y453" s="176"/>
      <c r="Z453" s="176"/>
      <c r="AA453" s="176"/>
      <c r="AB453" s="176"/>
      <c r="AC453" s="176"/>
      <c r="AD453" s="176"/>
      <c r="AE453" s="176"/>
      <c r="AF453" s="176"/>
      <c r="AG453" s="176"/>
    </row>
    <row r="454" spans="3:33" s="160" customFormat="1">
      <c r="C454" s="825"/>
      <c r="M454" s="247"/>
      <c r="Y454" s="176"/>
      <c r="Z454" s="176"/>
      <c r="AA454" s="176"/>
      <c r="AB454" s="176"/>
      <c r="AC454" s="176"/>
      <c r="AD454" s="176"/>
      <c r="AE454" s="176"/>
      <c r="AF454" s="176"/>
      <c r="AG454" s="176"/>
    </row>
    <row r="455" spans="3:33" s="160" customFormat="1">
      <c r="C455" s="825"/>
      <c r="M455" s="247"/>
      <c r="Y455" s="176"/>
      <c r="Z455" s="176"/>
      <c r="AA455" s="176"/>
      <c r="AB455" s="176"/>
      <c r="AC455" s="176"/>
      <c r="AD455" s="176"/>
      <c r="AE455" s="176"/>
      <c r="AF455" s="176"/>
      <c r="AG455" s="176"/>
    </row>
    <row r="456" spans="3:33" s="160" customFormat="1">
      <c r="C456" s="825"/>
      <c r="M456" s="247"/>
      <c r="Y456" s="176"/>
      <c r="Z456" s="176"/>
      <c r="AA456" s="176"/>
      <c r="AB456" s="176"/>
      <c r="AC456" s="176"/>
      <c r="AD456" s="176"/>
      <c r="AE456" s="176"/>
      <c r="AF456" s="176"/>
      <c r="AG456" s="176"/>
    </row>
    <row r="457" spans="3:33" s="160" customFormat="1">
      <c r="C457" s="825"/>
      <c r="M457" s="247"/>
      <c r="Y457" s="176"/>
      <c r="Z457" s="176"/>
      <c r="AA457" s="176"/>
      <c r="AB457" s="176"/>
      <c r="AC457" s="176"/>
      <c r="AD457" s="176"/>
      <c r="AE457" s="176"/>
      <c r="AF457" s="176"/>
      <c r="AG457" s="176"/>
    </row>
    <row r="458" spans="3:33" s="160" customFormat="1">
      <c r="C458" s="825"/>
      <c r="M458" s="247"/>
      <c r="Y458" s="176"/>
      <c r="Z458" s="176"/>
      <c r="AA458" s="176"/>
      <c r="AB458" s="176"/>
      <c r="AC458" s="176"/>
      <c r="AD458" s="176"/>
      <c r="AE458" s="176"/>
      <c r="AF458" s="176"/>
      <c r="AG458" s="176"/>
    </row>
    <row r="459" spans="3:33" s="160" customFormat="1">
      <c r="C459" s="825"/>
      <c r="M459" s="247"/>
      <c r="Y459" s="176"/>
      <c r="Z459" s="176"/>
      <c r="AA459" s="176"/>
      <c r="AB459" s="176"/>
      <c r="AC459" s="176"/>
      <c r="AD459" s="176"/>
      <c r="AE459" s="176"/>
      <c r="AF459" s="176"/>
      <c r="AG459" s="176"/>
    </row>
    <row r="460" spans="3:33" s="160" customFormat="1">
      <c r="C460" s="825"/>
      <c r="M460" s="247"/>
      <c r="Y460" s="176"/>
      <c r="Z460" s="176"/>
      <c r="AA460" s="176"/>
      <c r="AB460" s="176"/>
      <c r="AC460" s="176"/>
      <c r="AD460" s="176"/>
      <c r="AE460" s="176"/>
      <c r="AF460" s="176"/>
      <c r="AG460" s="176"/>
    </row>
    <row r="461" spans="3:33" s="160" customFormat="1">
      <c r="C461" s="825"/>
      <c r="M461" s="247"/>
      <c r="Y461" s="176"/>
      <c r="Z461" s="176"/>
      <c r="AA461" s="176"/>
      <c r="AB461" s="176"/>
      <c r="AC461" s="176"/>
      <c r="AD461" s="176"/>
      <c r="AE461" s="176"/>
      <c r="AF461" s="176"/>
      <c r="AG461" s="176"/>
    </row>
    <row r="462" spans="3:33" s="160" customFormat="1">
      <c r="C462" s="825"/>
      <c r="M462" s="247"/>
      <c r="Y462" s="176"/>
      <c r="Z462" s="176"/>
      <c r="AA462" s="176"/>
      <c r="AB462" s="176"/>
      <c r="AC462" s="176"/>
      <c r="AD462" s="176"/>
      <c r="AE462" s="176"/>
      <c r="AF462" s="176"/>
      <c r="AG462" s="176"/>
    </row>
    <row r="463" spans="3:33" s="160" customFormat="1">
      <c r="C463" s="825"/>
      <c r="M463" s="247"/>
      <c r="Y463" s="176"/>
      <c r="Z463" s="176"/>
      <c r="AA463" s="176"/>
      <c r="AB463" s="176"/>
      <c r="AC463" s="176"/>
      <c r="AD463" s="176"/>
      <c r="AE463" s="176"/>
      <c r="AF463" s="176"/>
      <c r="AG463" s="176"/>
    </row>
    <row r="464" spans="3:33" s="160" customFormat="1">
      <c r="C464" s="825"/>
      <c r="M464" s="247"/>
      <c r="Y464" s="176"/>
      <c r="Z464" s="176"/>
      <c r="AA464" s="176"/>
      <c r="AB464" s="176"/>
      <c r="AC464" s="176"/>
      <c r="AD464" s="176"/>
      <c r="AE464" s="176"/>
      <c r="AF464" s="176"/>
      <c r="AG464" s="176"/>
    </row>
    <row r="465" spans="3:33" s="160" customFormat="1">
      <c r="C465" s="825"/>
      <c r="M465" s="247"/>
      <c r="Y465" s="176"/>
      <c r="Z465" s="176"/>
      <c r="AA465" s="176"/>
      <c r="AB465" s="176"/>
      <c r="AC465" s="176"/>
      <c r="AD465" s="176"/>
      <c r="AE465" s="176"/>
      <c r="AF465" s="176"/>
      <c r="AG465" s="176"/>
    </row>
    <row r="466" spans="3:33" s="160" customFormat="1">
      <c r="C466" s="825"/>
      <c r="M466" s="247"/>
      <c r="Y466" s="176"/>
      <c r="Z466" s="176"/>
      <c r="AA466" s="176"/>
      <c r="AB466" s="176"/>
      <c r="AC466" s="176"/>
      <c r="AD466" s="176"/>
      <c r="AE466" s="176"/>
      <c r="AF466" s="176"/>
      <c r="AG466" s="176"/>
    </row>
    <row r="467" spans="3:33" s="160" customFormat="1">
      <c r="C467" s="825"/>
      <c r="M467" s="247"/>
      <c r="Y467" s="176"/>
      <c r="Z467" s="176"/>
      <c r="AA467" s="176"/>
      <c r="AB467" s="176"/>
      <c r="AC467" s="176"/>
      <c r="AD467" s="176"/>
      <c r="AE467" s="176"/>
      <c r="AF467" s="176"/>
      <c r="AG467" s="176"/>
    </row>
    <row r="468" spans="3:33" s="160" customFormat="1">
      <c r="C468" s="825"/>
      <c r="M468" s="247"/>
      <c r="Y468" s="176"/>
      <c r="Z468" s="176"/>
      <c r="AA468" s="176"/>
      <c r="AB468" s="176"/>
      <c r="AC468" s="176"/>
      <c r="AD468" s="176"/>
      <c r="AE468" s="176"/>
      <c r="AF468" s="176"/>
      <c r="AG468" s="176"/>
    </row>
    <row r="469" spans="3:33" s="160" customFormat="1">
      <c r="C469" s="825"/>
      <c r="M469" s="247"/>
      <c r="Y469" s="176"/>
      <c r="Z469" s="176"/>
      <c r="AA469" s="176"/>
      <c r="AB469" s="176"/>
      <c r="AC469" s="176"/>
      <c r="AD469" s="176"/>
      <c r="AE469" s="176"/>
      <c r="AF469" s="176"/>
      <c r="AG469" s="176"/>
    </row>
    <row r="470" spans="3:33" s="160" customFormat="1">
      <c r="C470" s="825"/>
      <c r="M470" s="247"/>
      <c r="Y470" s="176"/>
      <c r="Z470" s="176"/>
      <c r="AA470" s="176"/>
      <c r="AB470" s="176"/>
      <c r="AC470" s="176"/>
      <c r="AD470" s="176"/>
      <c r="AE470" s="176"/>
      <c r="AF470" s="176"/>
      <c r="AG470" s="176"/>
    </row>
    <row r="471" spans="3:33" s="160" customFormat="1">
      <c r="C471" s="825"/>
      <c r="M471" s="247"/>
      <c r="Y471" s="176"/>
      <c r="Z471" s="176"/>
      <c r="AA471" s="176"/>
      <c r="AB471" s="176"/>
      <c r="AC471" s="176"/>
      <c r="AD471" s="176"/>
      <c r="AE471" s="176"/>
      <c r="AF471" s="176"/>
      <c r="AG471" s="176"/>
    </row>
    <row r="472" spans="3:33" s="160" customFormat="1">
      <c r="C472" s="825"/>
      <c r="M472" s="247"/>
      <c r="Y472" s="176"/>
      <c r="Z472" s="176"/>
      <c r="AA472" s="176"/>
      <c r="AB472" s="176"/>
      <c r="AC472" s="176"/>
      <c r="AD472" s="176"/>
      <c r="AE472" s="176"/>
      <c r="AF472" s="176"/>
      <c r="AG472" s="176"/>
    </row>
    <row r="473" spans="3:33" s="160" customFormat="1">
      <c r="C473" s="825"/>
      <c r="M473" s="247"/>
      <c r="Y473" s="176"/>
      <c r="Z473" s="176"/>
      <c r="AA473" s="176"/>
      <c r="AB473" s="176"/>
      <c r="AC473" s="176"/>
      <c r="AD473" s="176"/>
      <c r="AE473" s="176"/>
      <c r="AF473" s="176"/>
      <c r="AG473" s="176"/>
    </row>
    <row r="474" spans="3:33" s="160" customFormat="1">
      <c r="C474" s="825"/>
      <c r="M474" s="247"/>
      <c r="Y474" s="176"/>
      <c r="Z474" s="176"/>
      <c r="AA474" s="176"/>
      <c r="AB474" s="176"/>
      <c r="AC474" s="176"/>
      <c r="AD474" s="176"/>
      <c r="AE474" s="176"/>
      <c r="AF474" s="176"/>
      <c r="AG474" s="176"/>
    </row>
    <row r="475" spans="3:33" s="160" customFormat="1">
      <c r="C475" s="825"/>
      <c r="M475" s="247"/>
      <c r="Y475" s="176"/>
      <c r="Z475" s="176"/>
      <c r="AA475" s="176"/>
      <c r="AB475" s="176"/>
      <c r="AC475" s="176"/>
      <c r="AD475" s="176"/>
      <c r="AE475" s="176"/>
      <c r="AF475" s="176"/>
      <c r="AG475" s="176"/>
    </row>
    <row r="476" spans="3:33" s="160" customFormat="1">
      <c r="C476" s="825"/>
      <c r="M476" s="247"/>
      <c r="Y476" s="176"/>
      <c r="Z476" s="176"/>
      <c r="AA476" s="176"/>
      <c r="AB476" s="176"/>
      <c r="AC476" s="176"/>
      <c r="AD476" s="176"/>
      <c r="AE476" s="176"/>
      <c r="AF476" s="176"/>
      <c r="AG476" s="176"/>
    </row>
    <row r="477" spans="3:33" s="160" customFormat="1">
      <c r="C477" s="825"/>
      <c r="M477" s="247"/>
      <c r="Y477" s="176"/>
      <c r="Z477" s="176"/>
      <c r="AA477" s="176"/>
      <c r="AB477" s="176"/>
      <c r="AC477" s="176"/>
      <c r="AD477" s="176"/>
      <c r="AE477" s="176"/>
      <c r="AF477" s="176"/>
      <c r="AG477" s="176"/>
    </row>
    <row r="478" spans="3:33" s="160" customFormat="1">
      <c r="C478" s="825"/>
      <c r="M478" s="247"/>
      <c r="Y478" s="176"/>
      <c r="Z478" s="176"/>
      <c r="AA478" s="176"/>
      <c r="AB478" s="176"/>
      <c r="AC478" s="176"/>
      <c r="AD478" s="176"/>
      <c r="AE478" s="176"/>
      <c r="AF478" s="176"/>
      <c r="AG478" s="176"/>
    </row>
    <row r="479" spans="3:33" s="160" customFormat="1">
      <c r="C479" s="825"/>
      <c r="M479" s="247"/>
      <c r="Y479" s="176"/>
      <c r="Z479" s="176"/>
      <c r="AA479" s="176"/>
      <c r="AB479" s="176"/>
      <c r="AC479" s="176"/>
      <c r="AD479" s="176"/>
      <c r="AE479" s="176"/>
      <c r="AF479" s="176"/>
      <c r="AG479" s="176"/>
    </row>
    <row r="480" spans="3:33" s="160" customFormat="1">
      <c r="C480" s="825"/>
      <c r="M480" s="247"/>
      <c r="Y480" s="176"/>
      <c r="Z480" s="176"/>
      <c r="AA480" s="176"/>
      <c r="AB480" s="176"/>
      <c r="AC480" s="176"/>
      <c r="AD480" s="176"/>
      <c r="AE480" s="176"/>
      <c r="AF480" s="176"/>
      <c r="AG480" s="176"/>
    </row>
    <row r="481" spans="3:33" s="160" customFormat="1">
      <c r="C481" s="825"/>
      <c r="M481" s="247"/>
      <c r="Y481" s="176"/>
      <c r="Z481" s="176"/>
      <c r="AA481" s="176"/>
      <c r="AB481" s="176"/>
      <c r="AC481" s="176"/>
      <c r="AD481" s="176"/>
      <c r="AE481" s="176"/>
      <c r="AF481" s="176"/>
      <c r="AG481" s="176"/>
    </row>
    <row r="482" spans="3:33" s="160" customFormat="1">
      <c r="C482" s="825"/>
      <c r="M482" s="247"/>
      <c r="Y482" s="176"/>
      <c r="Z482" s="176"/>
      <c r="AA482" s="176"/>
      <c r="AB482" s="176"/>
      <c r="AC482" s="176"/>
      <c r="AD482" s="176"/>
      <c r="AE482" s="176"/>
      <c r="AF482" s="176"/>
      <c r="AG482" s="176"/>
    </row>
    <row r="483" spans="3:33" s="160" customFormat="1">
      <c r="C483" s="825"/>
      <c r="M483" s="247"/>
      <c r="Y483" s="176"/>
      <c r="Z483" s="176"/>
      <c r="AA483" s="176"/>
      <c r="AB483" s="176"/>
      <c r="AC483" s="176"/>
      <c r="AD483" s="176"/>
      <c r="AE483" s="176"/>
      <c r="AF483" s="176"/>
      <c r="AG483" s="176"/>
    </row>
    <row r="484" spans="3:33" s="160" customFormat="1">
      <c r="C484" s="825"/>
      <c r="M484" s="247"/>
      <c r="Y484" s="176"/>
      <c r="Z484" s="176"/>
      <c r="AA484" s="176"/>
      <c r="AB484" s="176"/>
      <c r="AC484" s="176"/>
      <c r="AD484" s="176"/>
      <c r="AE484" s="176"/>
      <c r="AF484" s="176"/>
      <c r="AG484" s="176"/>
    </row>
    <row r="485" spans="3:33" s="160" customFormat="1">
      <c r="C485" s="825"/>
      <c r="M485" s="247"/>
      <c r="Y485" s="176"/>
      <c r="Z485" s="176"/>
      <c r="AA485" s="176"/>
      <c r="AB485" s="176"/>
      <c r="AC485" s="176"/>
      <c r="AD485" s="176"/>
      <c r="AE485" s="176"/>
      <c r="AF485" s="176"/>
      <c r="AG485" s="176"/>
    </row>
    <row r="486" spans="3:33" s="160" customFormat="1">
      <c r="C486" s="825"/>
      <c r="M486" s="247"/>
      <c r="Y486" s="176"/>
      <c r="Z486" s="176"/>
      <c r="AA486" s="176"/>
      <c r="AB486" s="176"/>
      <c r="AC486" s="176"/>
      <c r="AD486" s="176"/>
      <c r="AE486" s="176"/>
      <c r="AF486" s="176"/>
      <c r="AG486" s="176"/>
    </row>
    <row r="487" spans="3:33" s="160" customFormat="1">
      <c r="C487" s="825"/>
      <c r="M487" s="247"/>
      <c r="Y487" s="176"/>
      <c r="Z487" s="176"/>
      <c r="AA487" s="176"/>
      <c r="AB487" s="176"/>
      <c r="AC487" s="176"/>
      <c r="AD487" s="176"/>
      <c r="AE487" s="176"/>
      <c r="AF487" s="176"/>
      <c r="AG487" s="176"/>
    </row>
    <row r="488" spans="3:33" s="160" customFormat="1">
      <c r="C488" s="825"/>
      <c r="M488" s="247"/>
      <c r="Y488" s="176"/>
      <c r="Z488" s="176"/>
      <c r="AA488" s="176"/>
      <c r="AB488" s="176"/>
      <c r="AC488" s="176"/>
      <c r="AD488" s="176"/>
      <c r="AE488" s="176"/>
      <c r="AF488" s="176"/>
      <c r="AG488" s="176"/>
    </row>
    <row r="489" spans="3:33" s="160" customFormat="1">
      <c r="C489" s="825"/>
      <c r="M489" s="247"/>
      <c r="Y489" s="176"/>
      <c r="Z489" s="176"/>
      <c r="AA489" s="176"/>
      <c r="AB489" s="176"/>
      <c r="AC489" s="176"/>
      <c r="AD489" s="176"/>
      <c r="AE489" s="176"/>
      <c r="AF489" s="176"/>
      <c r="AG489" s="176"/>
    </row>
    <row r="490" spans="3:33" s="160" customFormat="1">
      <c r="C490" s="825"/>
      <c r="M490" s="247"/>
      <c r="Y490" s="176"/>
      <c r="Z490" s="176"/>
      <c r="AA490" s="176"/>
      <c r="AB490" s="176"/>
      <c r="AC490" s="176"/>
      <c r="AD490" s="176"/>
      <c r="AE490" s="176"/>
      <c r="AF490" s="176"/>
      <c r="AG490" s="176"/>
    </row>
    <row r="491" spans="3:33" s="160" customFormat="1">
      <c r="C491" s="825"/>
      <c r="M491" s="247"/>
      <c r="Y491" s="176"/>
      <c r="Z491" s="176"/>
      <c r="AA491" s="176"/>
      <c r="AB491" s="176"/>
      <c r="AC491" s="176"/>
      <c r="AD491" s="176"/>
      <c r="AE491" s="176"/>
      <c r="AF491" s="176"/>
      <c r="AG491" s="176"/>
    </row>
    <row r="492" spans="3:33" s="160" customFormat="1">
      <c r="C492" s="825"/>
      <c r="M492" s="247"/>
      <c r="Y492" s="176"/>
      <c r="Z492" s="176"/>
      <c r="AA492" s="176"/>
      <c r="AB492" s="176"/>
      <c r="AC492" s="176"/>
      <c r="AD492" s="176"/>
      <c r="AE492" s="176"/>
      <c r="AF492" s="176"/>
      <c r="AG492" s="176"/>
    </row>
    <row r="493" spans="3:33" s="160" customFormat="1">
      <c r="C493" s="825"/>
      <c r="M493" s="247"/>
      <c r="Y493" s="176"/>
      <c r="Z493" s="176"/>
      <c r="AA493" s="176"/>
      <c r="AB493" s="176"/>
      <c r="AC493" s="176"/>
      <c r="AD493" s="176"/>
      <c r="AE493" s="176"/>
      <c r="AF493" s="176"/>
      <c r="AG493" s="176"/>
    </row>
    <row r="494" spans="3:33" s="160" customFormat="1">
      <c r="C494" s="825"/>
      <c r="M494" s="247"/>
      <c r="Y494" s="176"/>
      <c r="Z494" s="176"/>
      <c r="AA494" s="176"/>
      <c r="AB494" s="176"/>
      <c r="AC494" s="176"/>
      <c r="AD494" s="176"/>
      <c r="AE494" s="176"/>
      <c r="AF494" s="176"/>
      <c r="AG494" s="176"/>
    </row>
    <row r="495" spans="3:33" s="160" customFormat="1">
      <c r="C495" s="825"/>
      <c r="M495" s="247"/>
      <c r="Y495" s="176"/>
      <c r="Z495" s="176"/>
      <c r="AA495" s="176"/>
      <c r="AB495" s="176"/>
      <c r="AC495" s="176"/>
      <c r="AD495" s="176"/>
      <c r="AE495" s="176"/>
      <c r="AF495" s="176"/>
      <c r="AG495" s="176"/>
    </row>
    <row r="496" spans="3:33" s="160" customFormat="1">
      <c r="C496" s="825"/>
      <c r="M496" s="247"/>
      <c r="Y496" s="176"/>
      <c r="Z496" s="176"/>
      <c r="AA496" s="176"/>
      <c r="AB496" s="176"/>
      <c r="AC496" s="176"/>
      <c r="AD496" s="176"/>
      <c r="AE496" s="176"/>
      <c r="AF496" s="176"/>
      <c r="AG496" s="176"/>
    </row>
    <row r="497" spans="3:33" s="160" customFormat="1">
      <c r="C497" s="825"/>
      <c r="M497" s="247"/>
      <c r="Y497" s="176"/>
      <c r="Z497" s="176"/>
      <c r="AA497" s="176"/>
      <c r="AB497" s="176"/>
      <c r="AC497" s="176"/>
      <c r="AD497" s="176"/>
      <c r="AE497" s="176"/>
      <c r="AF497" s="176"/>
      <c r="AG497" s="176"/>
    </row>
    <row r="498" spans="3:33" s="160" customFormat="1">
      <c r="C498" s="825"/>
      <c r="M498" s="247"/>
      <c r="Y498" s="176"/>
      <c r="Z498" s="176"/>
      <c r="AA498" s="176"/>
      <c r="AB498" s="176"/>
      <c r="AC498" s="176"/>
      <c r="AD498" s="176"/>
      <c r="AE498" s="176"/>
      <c r="AF498" s="176"/>
      <c r="AG498" s="176"/>
    </row>
    <row r="499" spans="3:33" s="160" customFormat="1">
      <c r="C499" s="825"/>
      <c r="M499" s="247"/>
      <c r="Y499" s="176"/>
      <c r="Z499" s="176"/>
      <c r="AA499" s="176"/>
      <c r="AB499" s="176"/>
      <c r="AC499" s="176"/>
      <c r="AD499" s="176"/>
      <c r="AE499" s="176"/>
      <c r="AF499" s="176"/>
      <c r="AG499" s="176"/>
    </row>
    <row r="500" spans="3:33" s="160" customFormat="1">
      <c r="C500" s="825"/>
      <c r="M500" s="247"/>
      <c r="Y500" s="176"/>
      <c r="Z500" s="176"/>
      <c r="AA500" s="176"/>
      <c r="AB500" s="176"/>
      <c r="AC500" s="176"/>
      <c r="AD500" s="176"/>
      <c r="AE500" s="176"/>
      <c r="AF500" s="176"/>
      <c r="AG500" s="176"/>
    </row>
    <row r="501" spans="3:33" s="160" customFormat="1">
      <c r="C501" s="825"/>
      <c r="M501" s="247"/>
      <c r="Y501" s="176"/>
      <c r="Z501" s="176"/>
      <c r="AA501" s="176"/>
      <c r="AB501" s="176"/>
      <c r="AC501" s="176"/>
      <c r="AD501" s="176"/>
      <c r="AE501" s="176"/>
      <c r="AF501" s="176"/>
      <c r="AG501" s="176"/>
    </row>
    <row r="502" spans="3:33" s="160" customFormat="1">
      <c r="C502" s="825"/>
      <c r="M502" s="247"/>
      <c r="Y502" s="176"/>
      <c r="Z502" s="176"/>
      <c r="AA502" s="176"/>
      <c r="AB502" s="176"/>
      <c r="AC502" s="176"/>
      <c r="AD502" s="176"/>
      <c r="AE502" s="176"/>
      <c r="AF502" s="176"/>
      <c r="AG502" s="176"/>
    </row>
    <row r="503" spans="3:33" s="160" customFormat="1">
      <c r="C503" s="825"/>
      <c r="M503" s="247"/>
      <c r="Y503" s="176"/>
      <c r="Z503" s="176"/>
      <c r="AA503" s="176"/>
      <c r="AB503" s="176"/>
      <c r="AC503" s="176"/>
      <c r="AD503" s="176"/>
      <c r="AE503" s="176"/>
      <c r="AF503" s="176"/>
      <c r="AG503" s="176"/>
    </row>
    <row r="504" spans="3:33" s="160" customFormat="1">
      <c r="C504" s="825"/>
      <c r="M504" s="247"/>
      <c r="Y504" s="176"/>
      <c r="Z504" s="176"/>
      <c r="AA504" s="176"/>
      <c r="AB504" s="176"/>
      <c r="AC504" s="176"/>
      <c r="AD504" s="176"/>
      <c r="AE504" s="176"/>
      <c r="AF504" s="176"/>
      <c r="AG504" s="176"/>
    </row>
    <row r="505" spans="3:33" s="160" customFormat="1">
      <c r="C505" s="825"/>
      <c r="M505" s="247"/>
      <c r="Y505" s="176"/>
      <c r="Z505" s="176"/>
      <c r="AA505" s="176"/>
      <c r="AB505" s="176"/>
      <c r="AC505" s="176"/>
      <c r="AD505" s="176"/>
      <c r="AE505" s="176"/>
      <c r="AF505" s="176"/>
      <c r="AG505" s="176"/>
    </row>
    <row r="506" spans="3:33" s="160" customFormat="1">
      <c r="C506" s="825"/>
      <c r="M506" s="247"/>
      <c r="Y506" s="176"/>
      <c r="Z506" s="176"/>
      <c r="AA506" s="176"/>
      <c r="AB506" s="176"/>
      <c r="AC506" s="176"/>
      <c r="AD506" s="176"/>
      <c r="AE506" s="176"/>
      <c r="AF506" s="176"/>
      <c r="AG506" s="176"/>
    </row>
    <row r="507" spans="3:33" s="160" customFormat="1">
      <c r="C507" s="825"/>
      <c r="M507" s="247"/>
      <c r="Y507" s="176"/>
      <c r="Z507" s="176"/>
      <c r="AA507" s="176"/>
      <c r="AB507" s="176"/>
      <c r="AC507" s="176"/>
      <c r="AD507" s="176"/>
      <c r="AE507" s="176"/>
      <c r="AF507" s="176"/>
      <c r="AG507" s="176"/>
    </row>
    <row r="508" spans="3:33" s="160" customFormat="1">
      <c r="C508" s="825"/>
      <c r="M508" s="247"/>
      <c r="Y508" s="176"/>
      <c r="Z508" s="176"/>
      <c r="AA508" s="176"/>
      <c r="AB508" s="176"/>
      <c r="AC508" s="176"/>
      <c r="AD508" s="176"/>
      <c r="AE508" s="176"/>
      <c r="AF508" s="176"/>
      <c r="AG508" s="176"/>
    </row>
    <row r="509" spans="3:33" s="160" customFormat="1">
      <c r="C509" s="825"/>
      <c r="M509" s="247"/>
      <c r="Y509" s="176"/>
      <c r="Z509" s="176"/>
      <c r="AA509" s="176"/>
      <c r="AB509" s="176"/>
      <c r="AC509" s="176"/>
      <c r="AD509" s="176"/>
      <c r="AE509" s="176"/>
      <c r="AF509" s="176"/>
      <c r="AG509" s="176"/>
    </row>
    <row r="510" spans="3:33" s="160" customFormat="1">
      <c r="C510" s="825"/>
      <c r="M510" s="247"/>
      <c r="Y510" s="176"/>
      <c r="Z510" s="176"/>
      <c r="AA510" s="176"/>
      <c r="AB510" s="176"/>
      <c r="AC510" s="176"/>
      <c r="AD510" s="176"/>
      <c r="AE510" s="176"/>
      <c r="AF510" s="176"/>
      <c r="AG510" s="176"/>
    </row>
    <row r="511" spans="3:33" s="160" customFormat="1">
      <c r="C511" s="825"/>
      <c r="M511" s="247"/>
      <c r="Y511" s="176"/>
      <c r="Z511" s="176"/>
      <c r="AA511" s="176"/>
      <c r="AB511" s="176"/>
      <c r="AC511" s="176"/>
      <c r="AD511" s="176"/>
      <c r="AE511" s="176"/>
      <c r="AF511" s="176"/>
      <c r="AG511" s="176"/>
    </row>
    <row r="512" spans="3:33" s="160" customFormat="1">
      <c r="C512" s="825"/>
      <c r="M512" s="247"/>
      <c r="Y512" s="176"/>
      <c r="Z512" s="176"/>
      <c r="AA512" s="176"/>
      <c r="AB512" s="176"/>
      <c r="AC512" s="176"/>
      <c r="AD512" s="176"/>
      <c r="AE512" s="176"/>
      <c r="AF512" s="176"/>
      <c r="AG512" s="176"/>
    </row>
    <row r="513" spans="3:33" s="160" customFormat="1">
      <c r="C513" s="825"/>
      <c r="M513" s="247"/>
      <c r="Y513" s="176"/>
      <c r="Z513" s="176"/>
      <c r="AA513" s="176"/>
      <c r="AB513" s="176"/>
      <c r="AC513" s="176"/>
      <c r="AD513" s="176"/>
      <c r="AE513" s="176"/>
      <c r="AF513" s="176"/>
      <c r="AG513" s="176"/>
    </row>
    <row r="514" spans="3:33" s="160" customFormat="1">
      <c r="C514" s="825"/>
      <c r="M514" s="247"/>
      <c r="Y514" s="176"/>
      <c r="Z514" s="176"/>
      <c r="AA514" s="176"/>
      <c r="AB514" s="176"/>
      <c r="AC514" s="176"/>
      <c r="AD514" s="176"/>
      <c r="AE514" s="176"/>
      <c r="AF514" s="176"/>
      <c r="AG514" s="176"/>
    </row>
    <row r="515" spans="3:33" s="160" customFormat="1">
      <c r="C515" s="825"/>
      <c r="M515" s="247"/>
      <c r="Y515" s="176"/>
      <c r="Z515" s="176"/>
      <c r="AA515" s="176"/>
      <c r="AB515" s="176"/>
      <c r="AC515" s="176"/>
      <c r="AD515" s="176"/>
      <c r="AE515" s="176"/>
      <c r="AF515" s="176"/>
      <c r="AG515" s="176"/>
    </row>
    <row r="516" spans="3:33" s="160" customFormat="1">
      <c r="C516" s="825"/>
      <c r="M516" s="247"/>
      <c r="Y516" s="176"/>
      <c r="Z516" s="176"/>
      <c r="AA516" s="176"/>
      <c r="AB516" s="176"/>
      <c r="AC516" s="176"/>
      <c r="AD516" s="176"/>
      <c r="AE516" s="176"/>
      <c r="AF516" s="176"/>
      <c r="AG516" s="176"/>
    </row>
    <row r="517" spans="3:33" s="160" customFormat="1">
      <c r="C517" s="825"/>
      <c r="M517" s="247"/>
      <c r="Y517" s="176"/>
      <c r="Z517" s="176"/>
      <c r="AA517" s="176"/>
      <c r="AB517" s="176"/>
      <c r="AC517" s="176"/>
      <c r="AD517" s="176"/>
      <c r="AE517" s="176"/>
      <c r="AF517" s="176"/>
      <c r="AG517" s="176"/>
    </row>
    <row r="518" spans="3:33" s="160" customFormat="1">
      <c r="C518" s="825"/>
      <c r="M518" s="247"/>
      <c r="Y518" s="176"/>
      <c r="Z518" s="176"/>
      <c r="AA518" s="176"/>
      <c r="AB518" s="176"/>
      <c r="AC518" s="176"/>
      <c r="AD518" s="176"/>
      <c r="AE518" s="176"/>
      <c r="AF518" s="176"/>
      <c r="AG518" s="176"/>
    </row>
    <row r="519" spans="3:33" s="160" customFormat="1">
      <c r="C519" s="825"/>
      <c r="M519" s="247"/>
      <c r="Y519" s="176"/>
      <c r="Z519" s="176"/>
      <c r="AA519" s="176"/>
      <c r="AB519" s="176"/>
      <c r="AC519" s="176"/>
      <c r="AD519" s="176"/>
      <c r="AE519" s="176"/>
      <c r="AF519" s="176"/>
      <c r="AG519" s="176"/>
    </row>
    <row r="520" spans="3:33" s="160" customFormat="1">
      <c r="C520" s="825"/>
      <c r="M520" s="247"/>
      <c r="Y520" s="176"/>
      <c r="Z520" s="176"/>
      <c r="AA520" s="176"/>
      <c r="AB520" s="176"/>
      <c r="AC520" s="176"/>
      <c r="AD520" s="176"/>
      <c r="AE520" s="176"/>
      <c r="AF520" s="176"/>
      <c r="AG520" s="176"/>
    </row>
    <row r="521" spans="3:33" s="160" customFormat="1">
      <c r="C521" s="825"/>
      <c r="M521" s="247"/>
      <c r="Y521" s="176"/>
      <c r="Z521" s="176"/>
      <c r="AA521" s="176"/>
      <c r="AB521" s="176"/>
      <c r="AC521" s="176"/>
      <c r="AD521" s="176"/>
      <c r="AE521" s="176"/>
      <c r="AF521" s="176"/>
      <c r="AG521" s="176"/>
    </row>
    <row r="522" spans="3:33" s="160" customFormat="1">
      <c r="C522" s="825"/>
      <c r="M522" s="247"/>
      <c r="Y522" s="176"/>
      <c r="Z522" s="176"/>
      <c r="AA522" s="176"/>
      <c r="AB522" s="176"/>
      <c r="AC522" s="176"/>
      <c r="AD522" s="176"/>
      <c r="AE522" s="176"/>
      <c r="AF522" s="176"/>
      <c r="AG522" s="176"/>
    </row>
    <row r="523" spans="3:33" s="160" customFormat="1">
      <c r="C523" s="825"/>
      <c r="M523" s="247"/>
      <c r="Y523" s="176"/>
      <c r="Z523" s="176"/>
      <c r="AA523" s="176"/>
      <c r="AB523" s="176"/>
      <c r="AC523" s="176"/>
      <c r="AD523" s="176"/>
      <c r="AE523" s="176"/>
      <c r="AF523" s="176"/>
      <c r="AG523" s="176"/>
    </row>
    <row r="524" spans="3:33" s="160" customFormat="1">
      <c r="C524" s="825"/>
      <c r="M524" s="247"/>
      <c r="Y524" s="176"/>
      <c r="Z524" s="176"/>
      <c r="AA524" s="176"/>
      <c r="AB524" s="176"/>
      <c r="AC524" s="176"/>
      <c r="AD524" s="176"/>
      <c r="AE524" s="176"/>
      <c r="AF524" s="176"/>
      <c r="AG524" s="176"/>
    </row>
    <row r="525" spans="3:33" s="160" customFormat="1">
      <c r="C525" s="825"/>
      <c r="M525" s="247"/>
      <c r="Y525" s="176"/>
      <c r="Z525" s="176"/>
      <c r="AA525" s="176"/>
      <c r="AB525" s="176"/>
      <c r="AC525" s="176"/>
      <c r="AD525" s="176"/>
      <c r="AE525" s="176"/>
      <c r="AF525" s="176"/>
      <c r="AG525" s="176"/>
    </row>
    <row r="526" spans="3:33" s="160" customFormat="1">
      <c r="C526" s="825"/>
      <c r="M526" s="247"/>
      <c r="Y526" s="176"/>
      <c r="Z526" s="176"/>
      <c r="AA526" s="176"/>
      <c r="AB526" s="176"/>
      <c r="AC526" s="176"/>
      <c r="AD526" s="176"/>
      <c r="AE526" s="176"/>
      <c r="AF526" s="176"/>
      <c r="AG526" s="176"/>
    </row>
    <row r="527" spans="3:33" s="160" customFormat="1">
      <c r="C527" s="825"/>
      <c r="M527" s="247"/>
      <c r="Y527" s="176"/>
      <c r="Z527" s="176"/>
      <c r="AA527" s="176"/>
      <c r="AB527" s="176"/>
      <c r="AC527" s="176"/>
      <c r="AD527" s="176"/>
      <c r="AE527" s="176"/>
      <c r="AF527" s="176"/>
      <c r="AG527" s="176"/>
    </row>
    <row r="528" spans="3:33" s="160" customFormat="1">
      <c r="C528" s="825"/>
      <c r="M528" s="247"/>
      <c r="Y528" s="176"/>
      <c r="Z528" s="176"/>
      <c r="AA528" s="176"/>
      <c r="AB528" s="176"/>
      <c r="AC528" s="176"/>
      <c r="AD528" s="176"/>
      <c r="AE528" s="176"/>
      <c r="AF528" s="176"/>
      <c r="AG528" s="176"/>
    </row>
    <row r="529" spans="3:33" s="160" customFormat="1">
      <c r="C529" s="825"/>
      <c r="M529" s="247"/>
      <c r="Y529" s="176"/>
      <c r="Z529" s="176"/>
      <c r="AA529" s="176"/>
      <c r="AB529" s="176"/>
      <c r="AC529" s="176"/>
      <c r="AD529" s="176"/>
      <c r="AE529" s="176"/>
      <c r="AF529" s="176"/>
      <c r="AG529" s="176"/>
    </row>
    <row r="530" spans="3:33" s="160" customFormat="1">
      <c r="C530" s="825"/>
      <c r="M530" s="247"/>
      <c r="Y530" s="176"/>
      <c r="Z530" s="176"/>
      <c r="AA530" s="176"/>
      <c r="AB530" s="176"/>
      <c r="AC530" s="176"/>
      <c r="AD530" s="176"/>
      <c r="AE530" s="176"/>
      <c r="AF530" s="176"/>
      <c r="AG530" s="176"/>
    </row>
    <row r="531" spans="3:33" s="160" customFormat="1">
      <c r="C531" s="825"/>
      <c r="M531" s="247"/>
      <c r="Y531" s="176"/>
      <c r="Z531" s="176"/>
      <c r="AA531" s="176"/>
      <c r="AB531" s="176"/>
      <c r="AC531" s="176"/>
      <c r="AD531" s="176"/>
      <c r="AE531" s="176"/>
      <c r="AF531" s="176"/>
      <c r="AG531" s="176"/>
    </row>
    <row r="532" spans="3:33" s="160" customFormat="1">
      <c r="C532" s="825"/>
      <c r="M532" s="247"/>
      <c r="Y532" s="176"/>
      <c r="Z532" s="176"/>
      <c r="AA532" s="176"/>
      <c r="AB532" s="176"/>
      <c r="AC532" s="176"/>
      <c r="AD532" s="176"/>
      <c r="AE532" s="176"/>
      <c r="AF532" s="176"/>
      <c r="AG532" s="176"/>
    </row>
    <row r="533" spans="3:33" s="160" customFormat="1">
      <c r="C533" s="825"/>
      <c r="M533" s="247"/>
      <c r="Y533" s="176"/>
      <c r="Z533" s="176"/>
      <c r="AA533" s="176"/>
      <c r="AB533" s="176"/>
      <c r="AC533" s="176"/>
      <c r="AD533" s="176"/>
      <c r="AE533" s="176"/>
      <c r="AF533" s="176"/>
      <c r="AG533" s="176"/>
    </row>
    <row r="534" spans="3:33" s="160" customFormat="1">
      <c r="C534" s="825"/>
      <c r="M534" s="247"/>
      <c r="Y534" s="176"/>
      <c r="Z534" s="176"/>
      <c r="AA534" s="176"/>
      <c r="AB534" s="176"/>
      <c r="AC534" s="176"/>
      <c r="AD534" s="176"/>
      <c r="AE534" s="176"/>
      <c r="AF534" s="176"/>
      <c r="AG534" s="176"/>
    </row>
    <row r="535" spans="3:33" s="160" customFormat="1">
      <c r="C535" s="825"/>
      <c r="M535" s="247"/>
      <c r="Y535" s="176"/>
      <c r="Z535" s="176"/>
      <c r="AA535" s="176"/>
      <c r="AB535" s="176"/>
      <c r="AC535" s="176"/>
      <c r="AD535" s="176"/>
      <c r="AE535" s="176"/>
      <c r="AF535" s="176"/>
      <c r="AG535" s="176"/>
    </row>
    <row r="536" spans="3:33" s="160" customFormat="1">
      <c r="C536" s="825"/>
      <c r="M536" s="247"/>
      <c r="Y536" s="176"/>
      <c r="Z536" s="176"/>
      <c r="AA536" s="176"/>
      <c r="AB536" s="176"/>
      <c r="AC536" s="176"/>
      <c r="AD536" s="176"/>
      <c r="AE536" s="176"/>
      <c r="AF536" s="176"/>
      <c r="AG536" s="176"/>
    </row>
    <row r="537" spans="3:33" s="160" customFormat="1">
      <c r="C537" s="825"/>
      <c r="M537" s="247"/>
      <c r="Y537" s="176"/>
      <c r="Z537" s="176"/>
      <c r="AA537" s="176"/>
      <c r="AB537" s="176"/>
      <c r="AC537" s="176"/>
      <c r="AD537" s="176"/>
      <c r="AE537" s="176"/>
      <c r="AF537" s="176"/>
      <c r="AG537" s="176"/>
    </row>
    <row r="538" spans="3:33" s="160" customFormat="1">
      <c r="C538" s="825"/>
      <c r="M538" s="247"/>
      <c r="Y538" s="176"/>
      <c r="Z538" s="176"/>
      <c r="AA538" s="176"/>
      <c r="AB538" s="176"/>
      <c r="AC538" s="176"/>
      <c r="AD538" s="176"/>
      <c r="AE538" s="176"/>
      <c r="AF538" s="176"/>
      <c r="AG538" s="176"/>
    </row>
    <row r="539" spans="3:33" s="160" customFormat="1">
      <c r="C539" s="825"/>
      <c r="M539" s="247"/>
      <c r="Y539" s="176"/>
      <c r="Z539" s="176"/>
      <c r="AA539" s="176"/>
      <c r="AB539" s="176"/>
      <c r="AC539" s="176"/>
      <c r="AD539" s="176"/>
      <c r="AE539" s="176"/>
      <c r="AF539" s="176"/>
      <c r="AG539" s="176"/>
    </row>
    <row r="540" spans="3:33" s="160" customFormat="1">
      <c r="C540" s="825"/>
      <c r="M540" s="247"/>
      <c r="Y540" s="176"/>
      <c r="Z540" s="176"/>
      <c r="AA540" s="176"/>
      <c r="AB540" s="176"/>
      <c r="AC540" s="176"/>
      <c r="AD540" s="176"/>
      <c r="AE540" s="176"/>
      <c r="AF540" s="176"/>
      <c r="AG540" s="176"/>
    </row>
    <row r="541" spans="3:33" s="160" customFormat="1">
      <c r="C541" s="825"/>
      <c r="M541" s="247"/>
      <c r="Y541" s="176"/>
      <c r="Z541" s="176"/>
      <c r="AA541" s="176"/>
      <c r="AB541" s="176"/>
      <c r="AC541" s="176"/>
      <c r="AD541" s="176"/>
      <c r="AE541" s="176"/>
      <c r="AF541" s="176"/>
      <c r="AG541" s="176"/>
    </row>
    <row r="542" spans="3:33" s="160" customFormat="1">
      <c r="C542" s="825"/>
      <c r="M542" s="247"/>
      <c r="Y542" s="176"/>
      <c r="Z542" s="176"/>
      <c r="AA542" s="176"/>
      <c r="AB542" s="176"/>
      <c r="AC542" s="176"/>
      <c r="AD542" s="176"/>
      <c r="AE542" s="176"/>
      <c r="AF542" s="176"/>
      <c r="AG542" s="176"/>
    </row>
    <row r="543" spans="3:33" s="160" customFormat="1">
      <c r="C543" s="825"/>
      <c r="M543" s="247"/>
      <c r="Y543" s="176"/>
      <c r="Z543" s="176"/>
      <c r="AA543" s="176"/>
      <c r="AB543" s="176"/>
      <c r="AC543" s="176"/>
      <c r="AD543" s="176"/>
      <c r="AE543" s="176"/>
      <c r="AF543" s="176"/>
      <c r="AG543" s="176"/>
    </row>
    <row r="544" spans="3:33" s="160" customFormat="1">
      <c r="C544" s="825"/>
      <c r="M544" s="247"/>
      <c r="Y544" s="176"/>
      <c r="Z544" s="176"/>
      <c r="AA544" s="176"/>
      <c r="AB544" s="176"/>
      <c r="AC544" s="176"/>
      <c r="AD544" s="176"/>
      <c r="AE544" s="176"/>
      <c r="AF544" s="176"/>
      <c r="AG544" s="176"/>
    </row>
    <row r="545" spans="3:33" s="160" customFormat="1">
      <c r="C545" s="825"/>
      <c r="M545" s="247"/>
      <c r="Y545" s="176"/>
      <c r="Z545" s="176"/>
      <c r="AA545" s="176"/>
      <c r="AB545" s="176"/>
      <c r="AC545" s="176"/>
      <c r="AD545" s="176"/>
      <c r="AE545" s="176"/>
      <c r="AF545" s="176"/>
      <c r="AG545" s="176"/>
    </row>
    <row r="546" spans="3:33" s="160" customFormat="1">
      <c r="C546" s="825"/>
      <c r="M546" s="247"/>
      <c r="Y546" s="176"/>
      <c r="Z546" s="176"/>
      <c r="AA546" s="176"/>
      <c r="AB546" s="176"/>
      <c r="AC546" s="176"/>
      <c r="AD546" s="176"/>
      <c r="AE546" s="176"/>
      <c r="AF546" s="176"/>
      <c r="AG546" s="176"/>
    </row>
    <row r="547" spans="3:33" s="160" customFormat="1">
      <c r="C547" s="825"/>
      <c r="M547" s="247"/>
      <c r="Y547" s="176"/>
      <c r="Z547" s="176"/>
      <c r="AA547" s="176"/>
      <c r="AB547" s="176"/>
      <c r="AC547" s="176"/>
      <c r="AD547" s="176"/>
      <c r="AE547" s="176"/>
      <c r="AF547" s="176"/>
      <c r="AG547" s="176"/>
    </row>
    <row r="548" spans="3:33" s="160" customFormat="1">
      <c r="C548" s="825"/>
      <c r="M548" s="247"/>
      <c r="Y548" s="176"/>
      <c r="Z548" s="176"/>
      <c r="AA548" s="176"/>
      <c r="AB548" s="176"/>
      <c r="AC548" s="176"/>
      <c r="AD548" s="176"/>
      <c r="AE548" s="176"/>
      <c r="AF548" s="176"/>
      <c r="AG548" s="176"/>
    </row>
    <row r="549" spans="3:33" s="160" customFormat="1">
      <c r="C549" s="825"/>
      <c r="M549" s="247"/>
      <c r="Y549" s="176"/>
      <c r="Z549" s="176"/>
      <c r="AA549" s="176"/>
      <c r="AB549" s="176"/>
      <c r="AC549" s="176"/>
      <c r="AD549" s="176"/>
      <c r="AE549" s="176"/>
      <c r="AF549" s="176"/>
      <c r="AG549" s="176"/>
    </row>
    <row r="550" spans="3:33" s="160" customFormat="1">
      <c r="C550" s="825"/>
      <c r="M550" s="247"/>
      <c r="Y550" s="176"/>
      <c r="Z550" s="176"/>
      <c r="AA550" s="176"/>
      <c r="AB550" s="176"/>
      <c r="AC550" s="176"/>
      <c r="AD550" s="176"/>
      <c r="AE550" s="176"/>
      <c r="AF550" s="176"/>
      <c r="AG550" s="176"/>
    </row>
    <row r="551" spans="3:33" s="160" customFormat="1">
      <c r="C551" s="825"/>
      <c r="M551" s="247"/>
      <c r="Y551" s="176"/>
      <c r="Z551" s="176"/>
      <c r="AA551" s="176"/>
      <c r="AB551" s="176"/>
      <c r="AC551" s="176"/>
      <c r="AD551" s="176"/>
      <c r="AE551" s="176"/>
      <c r="AF551" s="176"/>
      <c r="AG551" s="176"/>
    </row>
    <row r="552" spans="3:33" s="160" customFormat="1">
      <c r="C552" s="825"/>
      <c r="M552" s="247"/>
      <c r="Y552" s="176"/>
      <c r="Z552" s="176"/>
      <c r="AA552" s="176"/>
      <c r="AB552" s="176"/>
      <c r="AC552" s="176"/>
      <c r="AD552" s="176"/>
      <c r="AE552" s="176"/>
      <c r="AF552" s="176"/>
      <c r="AG552" s="176"/>
    </row>
    <row r="553" spans="3:33" s="160" customFormat="1">
      <c r="C553" s="825"/>
      <c r="M553" s="247"/>
      <c r="Y553" s="176"/>
      <c r="Z553" s="176"/>
      <c r="AA553" s="176"/>
      <c r="AB553" s="176"/>
      <c r="AC553" s="176"/>
      <c r="AD553" s="176"/>
      <c r="AE553" s="176"/>
      <c r="AF553" s="176"/>
      <c r="AG553" s="176"/>
    </row>
    <row r="554" spans="3:33" s="160" customFormat="1">
      <c r="C554" s="825"/>
      <c r="M554" s="247"/>
      <c r="Y554" s="176"/>
      <c r="Z554" s="176"/>
      <c r="AA554" s="176"/>
      <c r="AB554" s="176"/>
      <c r="AC554" s="176"/>
      <c r="AD554" s="176"/>
      <c r="AE554" s="176"/>
      <c r="AF554" s="176"/>
      <c r="AG554" s="176"/>
    </row>
    <row r="555" spans="3:33" s="160" customFormat="1">
      <c r="C555" s="825"/>
      <c r="M555" s="247"/>
      <c r="Y555" s="176"/>
      <c r="Z555" s="176"/>
      <c r="AA555" s="176"/>
      <c r="AB555" s="176"/>
      <c r="AC555" s="176"/>
      <c r="AD555" s="176"/>
      <c r="AE555" s="176"/>
      <c r="AF555" s="176"/>
      <c r="AG555" s="176"/>
    </row>
    <row r="556" spans="3:33" s="160" customFormat="1">
      <c r="C556" s="825"/>
      <c r="M556" s="247"/>
      <c r="Y556" s="176"/>
      <c r="Z556" s="176"/>
      <c r="AA556" s="176"/>
      <c r="AB556" s="176"/>
      <c r="AC556" s="176"/>
      <c r="AD556" s="176"/>
      <c r="AE556" s="176"/>
      <c r="AF556" s="176"/>
      <c r="AG556" s="176"/>
    </row>
    <row r="557" spans="3:33" s="160" customFormat="1">
      <c r="C557" s="825"/>
      <c r="M557" s="247"/>
      <c r="Y557" s="176"/>
      <c r="Z557" s="176"/>
      <c r="AA557" s="176"/>
      <c r="AB557" s="176"/>
      <c r="AC557" s="176"/>
      <c r="AD557" s="176"/>
      <c r="AE557" s="176"/>
      <c r="AF557" s="176"/>
      <c r="AG557" s="176"/>
    </row>
    <row r="558" spans="3:33" s="160" customFormat="1">
      <c r="C558" s="825"/>
      <c r="M558" s="247"/>
      <c r="Y558" s="176"/>
      <c r="Z558" s="176"/>
      <c r="AA558" s="176"/>
      <c r="AB558" s="176"/>
      <c r="AC558" s="176"/>
      <c r="AD558" s="176"/>
      <c r="AE558" s="176"/>
      <c r="AF558" s="176"/>
      <c r="AG558" s="176"/>
    </row>
    <row r="559" spans="3:33" s="160" customFormat="1">
      <c r="C559" s="825"/>
      <c r="M559" s="247"/>
      <c r="Y559" s="176"/>
      <c r="Z559" s="176"/>
      <c r="AA559" s="176"/>
      <c r="AB559" s="176"/>
      <c r="AC559" s="176"/>
      <c r="AD559" s="176"/>
      <c r="AE559" s="176"/>
      <c r="AF559" s="176"/>
      <c r="AG559" s="176"/>
    </row>
    <row r="560" spans="3:33" s="160" customFormat="1">
      <c r="C560" s="825"/>
      <c r="M560" s="247"/>
      <c r="Y560" s="176"/>
      <c r="Z560" s="176"/>
      <c r="AA560" s="176"/>
      <c r="AB560" s="176"/>
      <c r="AC560" s="176"/>
      <c r="AD560" s="176"/>
      <c r="AE560" s="176"/>
      <c r="AF560" s="176"/>
      <c r="AG560" s="176"/>
    </row>
    <row r="561" spans="3:33" s="160" customFormat="1">
      <c r="C561" s="825"/>
      <c r="M561" s="247"/>
      <c r="Y561" s="176"/>
      <c r="Z561" s="176"/>
      <c r="AA561" s="176"/>
      <c r="AB561" s="176"/>
      <c r="AC561" s="176"/>
      <c r="AD561" s="176"/>
      <c r="AE561" s="176"/>
      <c r="AF561" s="176"/>
      <c r="AG561" s="176"/>
    </row>
    <row r="562" spans="3:33" s="160" customFormat="1">
      <c r="C562" s="825"/>
      <c r="M562" s="247"/>
      <c r="Y562" s="176"/>
      <c r="Z562" s="176"/>
      <c r="AA562" s="176"/>
      <c r="AB562" s="176"/>
      <c r="AC562" s="176"/>
      <c r="AD562" s="176"/>
      <c r="AE562" s="176"/>
      <c r="AF562" s="176"/>
      <c r="AG562" s="176"/>
    </row>
    <row r="563" spans="3:33" s="160" customFormat="1">
      <c r="C563" s="825"/>
      <c r="M563" s="247"/>
      <c r="Y563" s="176"/>
      <c r="Z563" s="176"/>
      <c r="AA563" s="176"/>
      <c r="AB563" s="176"/>
      <c r="AC563" s="176"/>
      <c r="AD563" s="176"/>
      <c r="AE563" s="176"/>
      <c r="AF563" s="176"/>
      <c r="AG563" s="176"/>
    </row>
    <row r="564" spans="3:33" s="160" customFormat="1">
      <c r="C564" s="825"/>
      <c r="M564" s="247"/>
      <c r="Y564" s="176"/>
      <c r="Z564" s="176"/>
      <c r="AA564" s="176"/>
      <c r="AB564" s="176"/>
      <c r="AC564" s="176"/>
      <c r="AD564" s="176"/>
      <c r="AE564" s="176"/>
      <c r="AF564" s="176"/>
      <c r="AG564" s="176"/>
    </row>
    <row r="565" spans="3:33" s="160" customFormat="1">
      <c r="C565" s="825"/>
      <c r="M565" s="247"/>
      <c r="Y565" s="176"/>
      <c r="Z565" s="176"/>
      <c r="AA565" s="176"/>
      <c r="AB565" s="176"/>
      <c r="AC565" s="176"/>
      <c r="AD565" s="176"/>
      <c r="AE565" s="176"/>
      <c r="AF565" s="176"/>
      <c r="AG565" s="176"/>
    </row>
    <row r="566" spans="3:33" s="160" customFormat="1">
      <c r="C566" s="825"/>
      <c r="M566" s="247"/>
      <c r="Y566" s="176"/>
      <c r="Z566" s="176"/>
      <c r="AA566" s="176"/>
      <c r="AB566" s="176"/>
      <c r="AC566" s="176"/>
      <c r="AD566" s="176"/>
      <c r="AE566" s="176"/>
      <c r="AF566" s="176"/>
      <c r="AG566" s="176"/>
    </row>
    <row r="567" spans="3:33" s="160" customFormat="1">
      <c r="C567" s="825"/>
      <c r="M567" s="247"/>
      <c r="Y567" s="176"/>
      <c r="Z567" s="176"/>
      <c r="AA567" s="176"/>
      <c r="AB567" s="176"/>
      <c r="AC567" s="176"/>
      <c r="AD567" s="176"/>
      <c r="AE567" s="176"/>
      <c r="AF567" s="176"/>
      <c r="AG567" s="176"/>
    </row>
    <row r="568" spans="3:33" s="160" customFormat="1">
      <c r="C568" s="825"/>
      <c r="M568" s="247"/>
      <c r="Y568" s="176"/>
      <c r="Z568" s="176"/>
      <c r="AA568" s="176"/>
      <c r="AB568" s="176"/>
      <c r="AC568" s="176"/>
      <c r="AD568" s="176"/>
      <c r="AE568" s="176"/>
      <c r="AF568" s="176"/>
      <c r="AG568" s="176"/>
    </row>
    <row r="569" spans="3:33" s="160" customFormat="1">
      <c r="C569" s="825"/>
      <c r="M569" s="247"/>
      <c r="Y569" s="176"/>
      <c r="Z569" s="176"/>
      <c r="AA569" s="176"/>
      <c r="AB569" s="176"/>
      <c r="AC569" s="176"/>
      <c r="AD569" s="176"/>
      <c r="AE569" s="176"/>
      <c r="AF569" s="176"/>
      <c r="AG569" s="176"/>
    </row>
    <row r="570" spans="3:33" s="160" customFormat="1">
      <c r="C570" s="825"/>
      <c r="M570" s="247"/>
      <c r="Y570" s="176"/>
      <c r="Z570" s="176"/>
      <c r="AA570" s="176"/>
      <c r="AB570" s="176"/>
      <c r="AC570" s="176"/>
      <c r="AD570" s="176"/>
      <c r="AE570" s="176"/>
      <c r="AF570" s="176"/>
      <c r="AG570" s="176"/>
    </row>
    <row r="571" spans="3:33" s="160" customFormat="1">
      <c r="C571" s="825"/>
      <c r="M571" s="247"/>
      <c r="Y571" s="176"/>
      <c r="Z571" s="176"/>
      <c r="AA571" s="176"/>
      <c r="AB571" s="176"/>
      <c r="AC571" s="176"/>
      <c r="AD571" s="176"/>
      <c r="AE571" s="176"/>
      <c r="AF571" s="176"/>
      <c r="AG571" s="176"/>
    </row>
    <row r="572" spans="3:33" s="160" customFormat="1">
      <c r="C572" s="825"/>
      <c r="M572" s="247"/>
      <c r="Y572" s="176"/>
      <c r="Z572" s="176"/>
      <c r="AA572" s="176"/>
      <c r="AB572" s="176"/>
      <c r="AC572" s="176"/>
      <c r="AD572" s="176"/>
      <c r="AE572" s="176"/>
      <c r="AF572" s="176"/>
      <c r="AG572" s="176"/>
    </row>
    <row r="573" spans="3:33" s="160" customFormat="1">
      <c r="C573" s="825"/>
      <c r="M573" s="247"/>
      <c r="Y573" s="176"/>
      <c r="Z573" s="176"/>
      <c r="AA573" s="176"/>
      <c r="AB573" s="176"/>
      <c r="AC573" s="176"/>
      <c r="AD573" s="176"/>
      <c r="AE573" s="176"/>
      <c r="AF573" s="176"/>
      <c r="AG573" s="176"/>
    </row>
    <row r="574" spans="3:33" s="160" customFormat="1">
      <c r="C574" s="825"/>
      <c r="M574" s="247"/>
      <c r="Y574" s="176"/>
      <c r="Z574" s="176"/>
      <c r="AA574" s="176"/>
      <c r="AB574" s="176"/>
      <c r="AC574" s="176"/>
      <c r="AD574" s="176"/>
      <c r="AE574" s="176"/>
      <c r="AF574" s="176"/>
      <c r="AG574" s="176"/>
    </row>
    <row r="575" spans="3:33" s="160" customFormat="1">
      <c r="C575" s="825"/>
      <c r="M575" s="247"/>
      <c r="Y575" s="176"/>
      <c r="Z575" s="176"/>
      <c r="AA575" s="176"/>
      <c r="AB575" s="176"/>
      <c r="AC575" s="176"/>
      <c r="AD575" s="176"/>
      <c r="AE575" s="176"/>
      <c r="AF575" s="176"/>
      <c r="AG575" s="176"/>
    </row>
    <row r="576" spans="3:33" s="160" customFormat="1">
      <c r="C576" s="825"/>
      <c r="M576" s="247"/>
      <c r="Y576" s="176"/>
      <c r="Z576" s="176"/>
      <c r="AA576" s="176"/>
      <c r="AB576" s="176"/>
      <c r="AC576" s="176"/>
      <c r="AD576" s="176"/>
      <c r="AE576" s="176"/>
      <c r="AF576" s="176"/>
      <c r="AG576" s="176"/>
    </row>
    <row r="577" spans="3:33" s="160" customFormat="1">
      <c r="C577" s="825"/>
      <c r="M577" s="247"/>
      <c r="Y577" s="176"/>
      <c r="Z577" s="176"/>
      <c r="AA577" s="176"/>
      <c r="AB577" s="176"/>
      <c r="AC577" s="176"/>
      <c r="AD577" s="176"/>
      <c r="AE577" s="176"/>
      <c r="AF577" s="176"/>
      <c r="AG577" s="176"/>
    </row>
    <row r="578" spans="3:33" s="160" customFormat="1">
      <c r="C578" s="825"/>
      <c r="M578" s="247"/>
      <c r="Y578" s="176"/>
      <c r="Z578" s="176"/>
      <c r="AA578" s="176"/>
      <c r="AB578" s="176"/>
      <c r="AC578" s="176"/>
      <c r="AD578" s="176"/>
      <c r="AE578" s="176"/>
      <c r="AF578" s="176"/>
      <c r="AG578" s="176"/>
    </row>
    <row r="579" spans="3:33" s="160" customFormat="1">
      <c r="C579" s="825"/>
      <c r="M579" s="247"/>
      <c r="Y579" s="176"/>
      <c r="Z579" s="176"/>
      <c r="AA579" s="176"/>
      <c r="AB579" s="176"/>
      <c r="AC579" s="176"/>
      <c r="AD579" s="176"/>
      <c r="AE579" s="176"/>
      <c r="AF579" s="176"/>
      <c r="AG579" s="176"/>
    </row>
    <row r="580" spans="3:33" s="160" customFormat="1">
      <c r="C580" s="825"/>
      <c r="M580" s="247"/>
      <c r="Y580" s="176"/>
      <c r="Z580" s="176"/>
      <c r="AA580" s="176"/>
      <c r="AB580" s="176"/>
      <c r="AC580" s="176"/>
      <c r="AD580" s="176"/>
      <c r="AE580" s="176"/>
      <c r="AF580" s="176"/>
      <c r="AG580" s="176"/>
    </row>
    <row r="581" spans="3:33" s="160" customFormat="1">
      <c r="C581" s="825"/>
      <c r="M581" s="247"/>
      <c r="Y581" s="176"/>
      <c r="Z581" s="176"/>
      <c r="AA581" s="176"/>
      <c r="AB581" s="176"/>
      <c r="AC581" s="176"/>
      <c r="AD581" s="176"/>
      <c r="AE581" s="176"/>
      <c r="AF581" s="176"/>
      <c r="AG581" s="176"/>
    </row>
    <row r="582" spans="3:33" s="160" customFormat="1">
      <c r="C582" s="825"/>
      <c r="M582" s="247"/>
      <c r="Y582" s="176"/>
      <c r="Z582" s="176"/>
      <c r="AA582" s="176"/>
      <c r="AB582" s="176"/>
      <c r="AC582" s="176"/>
      <c r="AD582" s="176"/>
      <c r="AE582" s="176"/>
      <c r="AF582" s="176"/>
      <c r="AG582" s="176"/>
    </row>
    <row r="583" spans="3:33" s="160" customFormat="1">
      <c r="C583" s="825"/>
      <c r="M583" s="247"/>
      <c r="Y583" s="176"/>
      <c r="Z583" s="176"/>
      <c r="AA583" s="176"/>
      <c r="AB583" s="176"/>
      <c r="AC583" s="176"/>
      <c r="AD583" s="176"/>
      <c r="AE583" s="176"/>
      <c r="AF583" s="176"/>
      <c r="AG583" s="176"/>
    </row>
    <row r="584" spans="3:33" s="160" customFormat="1">
      <c r="C584" s="825"/>
      <c r="M584" s="247"/>
      <c r="Y584" s="176"/>
      <c r="Z584" s="176"/>
      <c r="AA584" s="176"/>
      <c r="AB584" s="176"/>
      <c r="AC584" s="176"/>
      <c r="AD584" s="176"/>
      <c r="AE584" s="176"/>
      <c r="AF584" s="176"/>
      <c r="AG584" s="176"/>
    </row>
    <row r="585" spans="3:33" s="160" customFormat="1">
      <c r="C585" s="825"/>
      <c r="M585" s="247"/>
      <c r="Y585" s="176"/>
      <c r="Z585" s="176"/>
      <c r="AA585" s="176"/>
      <c r="AB585" s="176"/>
      <c r="AC585" s="176"/>
      <c r="AD585" s="176"/>
      <c r="AE585" s="176"/>
      <c r="AF585" s="176"/>
      <c r="AG585" s="176"/>
    </row>
    <row r="586" spans="3:33" s="160" customFormat="1">
      <c r="C586" s="825"/>
      <c r="M586" s="247"/>
      <c r="Y586" s="176"/>
      <c r="Z586" s="176"/>
      <c r="AA586" s="176"/>
      <c r="AB586" s="176"/>
      <c r="AC586" s="176"/>
      <c r="AD586" s="176"/>
      <c r="AE586" s="176"/>
      <c r="AF586" s="176"/>
      <c r="AG586" s="176"/>
    </row>
    <row r="587" spans="3:33" s="160" customFormat="1">
      <c r="C587" s="825"/>
      <c r="M587" s="247"/>
      <c r="Y587" s="176"/>
      <c r="Z587" s="176"/>
      <c r="AA587" s="176"/>
      <c r="AB587" s="176"/>
      <c r="AC587" s="176"/>
      <c r="AD587" s="176"/>
      <c r="AE587" s="176"/>
      <c r="AF587" s="176"/>
      <c r="AG587" s="176"/>
    </row>
    <row r="588" spans="3:33" s="160" customFormat="1">
      <c r="C588" s="825"/>
      <c r="M588" s="247"/>
      <c r="Y588" s="176"/>
      <c r="Z588" s="176"/>
      <c r="AA588" s="176"/>
      <c r="AB588" s="176"/>
      <c r="AC588" s="176"/>
      <c r="AD588" s="176"/>
      <c r="AE588" s="176"/>
      <c r="AF588" s="176"/>
      <c r="AG588" s="176"/>
    </row>
    <row r="589" spans="3:33" s="160" customFormat="1">
      <c r="C589" s="825"/>
      <c r="M589" s="247"/>
      <c r="Y589" s="176"/>
      <c r="Z589" s="176"/>
      <c r="AA589" s="176"/>
      <c r="AB589" s="176"/>
      <c r="AC589" s="176"/>
      <c r="AD589" s="176"/>
      <c r="AE589" s="176"/>
      <c r="AF589" s="176"/>
      <c r="AG589" s="176"/>
    </row>
    <row r="590" spans="3:33" s="160" customFormat="1">
      <c r="C590" s="825"/>
      <c r="M590" s="247"/>
      <c r="Y590" s="176"/>
      <c r="Z590" s="176"/>
      <c r="AA590" s="176"/>
      <c r="AB590" s="176"/>
      <c r="AC590" s="176"/>
      <c r="AD590" s="176"/>
      <c r="AE590" s="176"/>
      <c r="AF590" s="176"/>
      <c r="AG590" s="176"/>
    </row>
    <row r="591" spans="3:33" s="160" customFormat="1">
      <c r="C591" s="825"/>
      <c r="M591" s="247"/>
      <c r="Y591" s="176"/>
      <c r="Z591" s="176"/>
      <c r="AA591" s="176"/>
      <c r="AB591" s="176"/>
      <c r="AC591" s="176"/>
      <c r="AD591" s="176"/>
      <c r="AE591" s="176"/>
      <c r="AF591" s="176"/>
      <c r="AG591" s="176"/>
    </row>
    <row r="592" spans="3:33" s="160" customFormat="1">
      <c r="C592" s="825"/>
      <c r="M592" s="247"/>
      <c r="Y592" s="176"/>
      <c r="Z592" s="176"/>
      <c r="AA592" s="176"/>
      <c r="AB592" s="176"/>
      <c r="AC592" s="176"/>
      <c r="AD592" s="176"/>
      <c r="AE592" s="176"/>
      <c r="AF592" s="176"/>
      <c r="AG592" s="176"/>
    </row>
    <row r="593" spans="3:33" s="160" customFormat="1">
      <c r="C593" s="825"/>
      <c r="M593" s="247"/>
      <c r="Y593" s="176"/>
      <c r="Z593" s="176"/>
      <c r="AA593" s="176"/>
      <c r="AB593" s="176"/>
      <c r="AC593" s="176"/>
      <c r="AD593" s="176"/>
      <c r="AE593" s="176"/>
      <c r="AF593" s="176"/>
      <c r="AG593" s="176"/>
    </row>
    <row r="594" spans="3:33" s="160" customFormat="1">
      <c r="C594" s="825"/>
      <c r="M594" s="247"/>
      <c r="Y594" s="176"/>
      <c r="Z594" s="176"/>
      <c r="AA594" s="176"/>
      <c r="AB594" s="176"/>
      <c r="AC594" s="176"/>
      <c r="AD594" s="176"/>
      <c r="AE594" s="176"/>
      <c r="AF594" s="176"/>
      <c r="AG594" s="176"/>
    </row>
    <row r="595" spans="3:33" s="160" customFormat="1">
      <c r="C595" s="825"/>
      <c r="M595" s="247"/>
      <c r="Y595" s="176"/>
      <c r="Z595" s="176"/>
      <c r="AA595" s="176"/>
      <c r="AB595" s="176"/>
      <c r="AC595" s="176"/>
      <c r="AD595" s="176"/>
      <c r="AE595" s="176"/>
      <c r="AF595" s="176"/>
      <c r="AG595" s="176"/>
    </row>
    <row r="596" spans="3:33" s="160" customFormat="1">
      <c r="C596" s="825"/>
      <c r="M596" s="247"/>
      <c r="Y596" s="176"/>
      <c r="Z596" s="176"/>
      <c r="AA596" s="176"/>
      <c r="AB596" s="176"/>
      <c r="AC596" s="176"/>
      <c r="AD596" s="176"/>
      <c r="AE596" s="176"/>
      <c r="AF596" s="176"/>
      <c r="AG596" s="176"/>
    </row>
    <row r="597" spans="3:33" s="160" customFormat="1">
      <c r="C597" s="825"/>
      <c r="M597" s="247"/>
      <c r="Y597" s="176"/>
      <c r="Z597" s="176"/>
      <c r="AA597" s="176"/>
      <c r="AB597" s="176"/>
      <c r="AC597" s="176"/>
      <c r="AD597" s="176"/>
      <c r="AE597" s="176"/>
      <c r="AF597" s="176"/>
      <c r="AG597" s="176"/>
    </row>
    <row r="598" spans="3:33" s="160" customFormat="1">
      <c r="C598" s="825"/>
      <c r="M598" s="247"/>
      <c r="Y598" s="176"/>
      <c r="Z598" s="176"/>
      <c r="AA598" s="176"/>
      <c r="AB598" s="176"/>
      <c r="AC598" s="176"/>
      <c r="AD598" s="176"/>
      <c r="AE598" s="176"/>
      <c r="AF598" s="176"/>
      <c r="AG598" s="176"/>
    </row>
    <row r="599" spans="3:33" s="160" customFormat="1">
      <c r="C599" s="825"/>
      <c r="M599" s="247"/>
      <c r="Y599" s="176"/>
      <c r="Z599" s="176"/>
      <c r="AA599" s="176"/>
      <c r="AB599" s="176"/>
      <c r="AC599" s="176"/>
      <c r="AD599" s="176"/>
      <c r="AE599" s="176"/>
      <c r="AF599" s="176"/>
      <c r="AG599" s="176"/>
    </row>
    <row r="600" spans="3:33" s="160" customFormat="1">
      <c r="C600" s="825"/>
      <c r="M600" s="247"/>
      <c r="Y600" s="176"/>
      <c r="Z600" s="176"/>
      <c r="AA600" s="176"/>
      <c r="AB600" s="176"/>
      <c r="AC600" s="176"/>
      <c r="AD600" s="176"/>
      <c r="AE600" s="176"/>
      <c r="AF600" s="176"/>
      <c r="AG600" s="176"/>
    </row>
    <row r="601" spans="3:33" s="160" customFormat="1">
      <c r="C601" s="825"/>
      <c r="M601" s="247"/>
      <c r="Y601" s="176"/>
      <c r="Z601" s="176"/>
      <c r="AA601" s="176"/>
      <c r="AB601" s="176"/>
      <c r="AC601" s="176"/>
      <c r="AD601" s="176"/>
      <c r="AE601" s="176"/>
      <c r="AF601" s="176"/>
      <c r="AG601" s="176"/>
    </row>
    <row r="602" spans="3:33" s="160" customFormat="1">
      <c r="C602" s="825"/>
      <c r="M602" s="247"/>
      <c r="Y602" s="176"/>
      <c r="Z602" s="176"/>
      <c r="AA602" s="176"/>
      <c r="AB602" s="176"/>
      <c r="AC602" s="176"/>
      <c r="AD602" s="176"/>
      <c r="AE602" s="176"/>
      <c r="AF602" s="176"/>
      <c r="AG602" s="176"/>
    </row>
    <row r="603" spans="3:33" s="160" customFormat="1">
      <c r="C603" s="825"/>
      <c r="M603" s="247"/>
      <c r="Y603" s="176"/>
      <c r="Z603" s="176"/>
      <c r="AA603" s="176"/>
      <c r="AB603" s="176"/>
      <c r="AC603" s="176"/>
      <c r="AD603" s="176"/>
      <c r="AE603" s="176"/>
      <c r="AF603" s="176"/>
      <c r="AG603" s="176"/>
    </row>
    <row r="604" spans="3:33" s="160" customFormat="1">
      <c r="C604" s="825"/>
      <c r="M604" s="247"/>
      <c r="Y604" s="176"/>
      <c r="Z604" s="176"/>
      <c r="AA604" s="176"/>
      <c r="AB604" s="176"/>
      <c r="AC604" s="176"/>
      <c r="AD604" s="176"/>
      <c r="AE604" s="176"/>
      <c r="AF604" s="176"/>
      <c r="AG604" s="176"/>
    </row>
    <row r="605" spans="3:33" s="160" customFormat="1">
      <c r="C605" s="825"/>
      <c r="M605" s="247"/>
      <c r="Y605" s="176"/>
      <c r="Z605" s="176"/>
      <c r="AA605" s="176"/>
      <c r="AB605" s="176"/>
      <c r="AC605" s="176"/>
      <c r="AD605" s="176"/>
      <c r="AE605" s="176"/>
      <c r="AF605" s="176"/>
      <c r="AG605" s="176"/>
    </row>
    <row r="606" spans="3:33" s="160" customFormat="1">
      <c r="C606" s="825"/>
      <c r="M606" s="247"/>
      <c r="Y606" s="176"/>
      <c r="Z606" s="176"/>
      <c r="AA606" s="176"/>
      <c r="AB606" s="176"/>
      <c r="AC606" s="176"/>
      <c r="AD606" s="176"/>
      <c r="AE606" s="176"/>
      <c r="AF606" s="176"/>
      <c r="AG606" s="176"/>
    </row>
    <row r="607" spans="3:33" s="160" customFormat="1">
      <c r="C607" s="825"/>
      <c r="M607" s="247"/>
      <c r="Y607" s="176"/>
      <c r="Z607" s="176"/>
      <c r="AA607" s="176"/>
      <c r="AB607" s="176"/>
      <c r="AC607" s="176"/>
      <c r="AD607" s="176"/>
      <c r="AE607" s="176"/>
      <c r="AF607" s="176"/>
      <c r="AG607" s="176"/>
    </row>
    <row r="608" spans="3:33" s="160" customFormat="1">
      <c r="C608" s="825"/>
      <c r="M608" s="247"/>
      <c r="Y608" s="176"/>
      <c r="Z608" s="176"/>
      <c r="AA608" s="176"/>
      <c r="AB608" s="176"/>
      <c r="AC608" s="176"/>
      <c r="AD608" s="176"/>
      <c r="AE608" s="176"/>
      <c r="AF608" s="176"/>
      <c r="AG608" s="176"/>
    </row>
    <row r="609" spans="3:33" s="160" customFormat="1">
      <c r="C609" s="825"/>
      <c r="M609" s="247"/>
      <c r="Y609" s="176"/>
      <c r="Z609" s="176"/>
      <c r="AA609" s="176"/>
      <c r="AB609" s="176"/>
      <c r="AC609" s="176"/>
      <c r="AD609" s="176"/>
      <c r="AE609" s="176"/>
      <c r="AF609" s="176"/>
      <c r="AG609" s="176"/>
    </row>
    <row r="610" spans="3:33" s="160" customFormat="1">
      <c r="C610" s="825"/>
      <c r="M610" s="247"/>
      <c r="Y610" s="176"/>
      <c r="Z610" s="176"/>
      <c r="AA610" s="176"/>
      <c r="AB610" s="176"/>
      <c r="AC610" s="176"/>
      <c r="AD610" s="176"/>
      <c r="AE610" s="176"/>
      <c r="AF610" s="176"/>
      <c r="AG610" s="176"/>
    </row>
    <row r="611" spans="3:33" s="160" customFormat="1">
      <c r="C611" s="825"/>
      <c r="M611" s="247"/>
      <c r="Y611" s="176"/>
      <c r="Z611" s="176"/>
      <c r="AA611" s="176"/>
      <c r="AB611" s="176"/>
      <c r="AC611" s="176"/>
      <c r="AD611" s="176"/>
      <c r="AE611" s="176"/>
      <c r="AF611" s="176"/>
      <c r="AG611" s="176"/>
    </row>
    <row r="612" spans="3:33" s="160" customFormat="1">
      <c r="C612" s="825"/>
      <c r="M612" s="247"/>
      <c r="Y612" s="176"/>
      <c r="Z612" s="176"/>
      <c r="AA612" s="176"/>
      <c r="AB612" s="176"/>
      <c r="AC612" s="176"/>
      <c r="AD612" s="176"/>
      <c r="AE612" s="176"/>
      <c r="AF612" s="176"/>
      <c r="AG612" s="176"/>
    </row>
    <row r="613" spans="3:33" s="160" customFormat="1">
      <c r="C613" s="825"/>
      <c r="M613" s="247"/>
      <c r="Y613" s="176"/>
      <c r="Z613" s="176"/>
      <c r="AA613" s="176"/>
      <c r="AB613" s="176"/>
      <c r="AC613" s="176"/>
      <c r="AD613" s="176"/>
      <c r="AE613" s="176"/>
      <c r="AF613" s="176"/>
      <c r="AG613" s="176"/>
    </row>
    <row r="614" spans="3:33" s="160" customFormat="1">
      <c r="C614" s="825"/>
      <c r="M614" s="247"/>
      <c r="Y614" s="176"/>
      <c r="Z614" s="176"/>
      <c r="AA614" s="176"/>
      <c r="AB614" s="176"/>
      <c r="AC614" s="176"/>
      <c r="AD614" s="176"/>
      <c r="AE614" s="176"/>
      <c r="AF614" s="176"/>
      <c r="AG614" s="176"/>
    </row>
    <row r="615" spans="3:33" s="160" customFormat="1">
      <c r="C615" s="825"/>
      <c r="M615" s="247"/>
      <c r="Y615" s="176"/>
      <c r="Z615" s="176"/>
      <c r="AA615" s="176"/>
      <c r="AB615" s="176"/>
      <c r="AC615" s="176"/>
      <c r="AD615" s="176"/>
      <c r="AE615" s="176"/>
      <c r="AF615" s="176"/>
      <c r="AG615" s="176"/>
    </row>
    <row r="616" spans="3:33" s="160" customFormat="1">
      <c r="C616" s="825"/>
      <c r="M616" s="247"/>
      <c r="Y616" s="176"/>
      <c r="Z616" s="176"/>
      <c r="AA616" s="176"/>
      <c r="AB616" s="176"/>
      <c r="AC616" s="176"/>
      <c r="AD616" s="176"/>
      <c r="AE616" s="176"/>
      <c r="AF616" s="176"/>
      <c r="AG616" s="176"/>
    </row>
    <row r="617" spans="3:33" s="160" customFormat="1">
      <c r="C617" s="825"/>
      <c r="M617" s="247"/>
      <c r="Y617" s="176"/>
      <c r="Z617" s="176"/>
      <c r="AA617" s="176"/>
      <c r="AB617" s="176"/>
      <c r="AC617" s="176"/>
      <c r="AD617" s="176"/>
      <c r="AE617" s="176"/>
      <c r="AF617" s="176"/>
      <c r="AG617" s="176"/>
    </row>
    <row r="618" spans="3:33" s="160" customFormat="1">
      <c r="C618" s="825"/>
      <c r="M618" s="247"/>
      <c r="Y618" s="176"/>
      <c r="Z618" s="176"/>
      <c r="AA618" s="176"/>
      <c r="AB618" s="176"/>
      <c r="AC618" s="176"/>
      <c r="AD618" s="176"/>
      <c r="AE618" s="176"/>
      <c r="AF618" s="176"/>
      <c r="AG618" s="176"/>
    </row>
    <row r="619" spans="3:33" s="160" customFormat="1">
      <c r="C619" s="825"/>
      <c r="M619" s="247"/>
      <c r="Y619" s="176"/>
      <c r="Z619" s="176"/>
      <c r="AA619" s="176"/>
      <c r="AB619" s="176"/>
      <c r="AC619" s="176"/>
      <c r="AD619" s="176"/>
      <c r="AE619" s="176"/>
      <c r="AF619" s="176"/>
      <c r="AG619" s="176"/>
    </row>
    <row r="620" spans="3:33" s="160" customFormat="1">
      <c r="C620" s="825"/>
      <c r="M620" s="247"/>
      <c r="Y620" s="176"/>
      <c r="Z620" s="176"/>
      <c r="AA620" s="176"/>
      <c r="AB620" s="176"/>
      <c r="AC620" s="176"/>
      <c r="AD620" s="176"/>
      <c r="AE620" s="176"/>
      <c r="AF620" s="176"/>
      <c r="AG620" s="176"/>
    </row>
    <row r="621" spans="3:33" s="160" customFormat="1">
      <c r="C621" s="825"/>
      <c r="M621" s="247"/>
      <c r="Y621" s="176"/>
      <c r="Z621" s="176"/>
      <c r="AA621" s="176"/>
      <c r="AB621" s="176"/>
      <c r="AC621" s="176"/>
      <c r="AD621" s="176"/>
      <c r="AE621" s="176"/>
      <c r="AF621" s="176"/>
      <c r="AG621" s="176"/>
    </row>
    <row r="622" spans="3:33" s="160" customFormat="1">
      <c r="C622" s="825"/>
      <c r="M622" s="247"/>
      <c r="Y622" s="176"/>
      <c r="Z622" s="176"/>
      <c r="AA622" s="176"/>
      <c r="AB622" s="176"/>
      <c r="AC622" s="176"/>
      <c r="AD622" s="176"/>
      <c r="AE622" s="176"/>
      <c r="AF622" s="176"/>
      <c r="AG622" s="176"/>
    </row>
    <row r="623" spans="3:33" s="160" customFormat="1">
      <c r="C623" s="825"/>
      <c r="M623" s="247"/>
      <c r="Y623" s="176"/>
      <c r="Z623" s="176"/>
      <c r="AA623" s="176"/>
      <c r="AB623" s="176"/>
      <c r="AC623" s="176"/>
      <c r="AD623" s="176"/>
      <c r="AE623" s="176"/>
      <c r="AF623" s="176"/>
      <c r="AG623" s="176"/>
    </row>
    <row r="624" spans="3:33" s="160" customFormat="1">
      <c r="C624" s="825"/>
      <c r="M624" s="247"/>
      <c r="Y624" s="176"/>
      <c r="Z624" s="176"/>
      <c r="AA624" s="176"/>
      <c r="AB624" s="176"/>
      <c r="AC624" s="176"/>
      <c r="AD624" s="176"/>
      <c r="AE624" s="176"/>
      <c r="AF624" s="176"/>
      <c r="AG624" s="176"/>
    </row>
    <row r="625" spans="3:33" s="160" customFormat="1">
      <c r="C625" s="825"/>
      <c r="M625" s="247"/>
      <c r="Y625" s="176"/>
      <c r="Z625" s="176"/>
      <c r="AA625" s="176"/>
      <c r="AB625" s="176"/>
      <c r="AC625" s="176"/>
      <c r="AD625" s="176"/>
      <c r="AE625" s="176"/>
      <c r="AF625" s="176"/>
      <c r="AG625" s="176"/>
    </row>
    <row r="626" spans="3:33" s="160" customFormat="1">
      <c r="C626" s="825"/>
      <c r="M626" s="247"/>
      <c r="Y626" s="176"/>
      <c r="Z626" s="176"/>
      <c r="AA626" s="176"/>
      <c r="AB626" s="176"/>
      <c r="AC626" s="176"/>
      <c r="AD626" s="176"/>
      <c r="AE626" s="176"/>
      <c r="AF626" s="176"/>
      <c r="AG626" s="176"/>
    </row>
    <row r="627" spans="3:33" s="160" customFormat="1">
      <c r="C627" s="825"/>
      <c r="M627" s="247"/>
      <c r="Y627" s="176"/>
      <c r="Z627" s="176"/>
      <c r="AA627" s="176"/>
      <c r="AB627" s="176"/>
      <c r="AC627" s="176"/>
      <c r="AD627" s="176"/>
      <c r="AE627" s="176"/>
      <c r="AF627" s="176"/>
      <c r="AG627" s="176"/>
    </row>
    <row r="628" spans="3:33" s="160" customFormat="1">
      <c r="C628" s="825"/>
      <c r="M628" s="247"/>
      <c r="Y628" s="176"/>
      <c r="Z628" s="176"/>
      <c r="AA628" s="176"/>
      <c r="AB628" s="176"/>
      <c r="AC628" s="176"/>
      <c r="AD628" s="176"/>
      <c r="AE628" s="176"/>
      <c r="AF628" s="176"/>
      <c r="AG628" s="176"/>
    </row>
    <row r="629" spans="3:33" s="160" customFormat="1">
      <c r="C629" s="825"/>
      <c r="M629" s="247"/>
      <c r="Y629" s="176"/>
      <c r="Z629" s="176"/>
      <c r="AA629" s="176"/>
      <c r="AB629" s="176"/>
      <c r="AC629" s="176"/>
      <c r="AD629" s="176"/>
      <c r="AE629" s="176"/>
      <c r="AF629" s="176"/>
      <c r="AG629" s="176"/>
    </row>
    <row r="630" spans="3:33" s="160" customFormat="1">
      <c r="C630" s="825"/>
      <c r="M630" s="247"/>
      <c r="Y630" s="176"/>
      <c r="Z630" s="176"/>
      <c r="AA630" s="176"/>
      <c r="AB630" s="176"/>
      <c r="AC630" s="176"/>
      <c r="AD630" s="176"/>
      <c r="AE630" s="176"/>
      <c r="AF630" s="176"/>
      <c r="AG630" s="176"/>
    </row>
    <row r="631" spans="3:33" s="160" customFormat="1">
      <c r="C631" s="825"/>
      <c r="M631" s="247"/>
      <c r="Y631" s="176"/>
      <c r="Z631" s="176"/>
      <c r="AA631" s="176"/>
      <c r="AB631" s="176"/>
      <c r="AC631" s="176"/>
      <c r="AD631" s="176"/>
      <c r="AE631" s="176"/>
      <c r="AF631" s="176"/>
      <c r="AG631" s="176"/>
    </row>
    <row r="632" spans="3:33" s="160" customFormat="1">
      <c r="C632" s="825"/>
      <c r="M632" s="247"/>
      <c r="Y632" s="176"/>
      <c r="Z632" s="176"/>
      <c r="AA632" s="176"/>
      <c r="AB632" s="176"/>
      <c r="AC632" s="176"/>
      <c r="AD632" s="176"/>
      <c r="AE632" s="176"/>
      <c r="AF632" s="176"/>
      <c r="AG632" s="176"/>
    </row>
    <row r="633" spans="3:33" s="160" customFormat="1">
      <c r="C633" s="825"/>
      <c r="M633" s="247"/>
      <c r="Y633" s="176"/>
      <c r="Z633" s="176"/>
      <c r="AA633" s="176"/>
      <c r="AB633" s="176"/>
      <c r="AC633" s="176"/>
      <c r="AD633" s="176"/>
      <c r="AE633" s="176"/>
      <c r="AF633" s="176"/>
      <c r="AG633" s="176"/>
    </row>
    <row r="634" spans="3:33" s="160" customFormat="1">
      <c r="C634" s="825"/>
      <c r="M634" s="247"/>
      <c r="Y634" s="176"/>
      <c r="Z634" s="176"/>
      <c r="AA634" s="176"/>
      <c r="AB634" s="176"/>
      <c r="AC634" s="176"/>
      <c r="AD634" s="176"/>
      <c r="AE634" s="176"/>
      <c r="AF634" s="176"/>
      <c r="AG634" s="176"/>
    </row>
    <row r="635" spans="3:33" s="160" customFormat="1">
      <c r="C635" s="825"/>
      <c r="M635" s="247"/>
      <c r="Y635" s="176"/>
      <c r="Z635" s="176"/>
      <c r="AA635" s="176"/>
      <c r="AB635" s="176"/>
      <c r="AC635" s="176"/>
      <c r="AD635" s="176"/>
      <c r="AE635" s="176"/>
      <c r="AF635" s="176"/>
      <c r="AG635" s="176"/>
    </row>
    <row r="636" spans="3:33" s="160" customFormat="1">
      <c r="C636" s="825"/>
      <c r="M636" s="247"/>
      <c r="Y636" s="176"/>
      <c r="Z636" s="176"/>
      <c r="AA636" s="176"/>
      <c r="AB636" s="176"/>
      <c r="AC636" s="176"/>
      <c r="AD636" s="176"/>
      <c r="AE636" s="176"/>
      <c r="AF636" s="176"/>
      <c r="AG636" s="176"/>
    </row>
    <row r="637" spans="3:33" s="160" customFormat="1">
      <c r="C637" s="825"/>
      <c r="M637" s="247"/>
      <c r="Y637" s="176"/>
      <c r="Z637" s="176"/>
      <c r="AA637" s="176"/>
      <c r="AB637" s="176"/>
      <c r="AC637" s="176"/>
      <c r="AD637" s="176"/>
      <c r="AE637" s="176"/>
      <c r="AF637" s="176"/>
      <c r="AG637" s="176"/>
    </row>
    <row r="638" spans="3:33" s="160" customFormat="1">
      <c r="C638" s="825"/>
      <c r="M638" s="247"/>
      <c r="Y638" s="176"/>
      <c r="Z638" s="176"/>
      <c r="AA638" s="176"/>
      <c r="AB638" s="176"/>
      <c r="AC638" s="176"/>
      <c r="AD638" s="176"/>
      <c r="AE638" s="176"/>
      <c r="AF638" s="176"/>
      <c r="AG638" s="176"/>
    </row>
    <row r="639" spans="3:33" s="160" customFormat="1">
      <c r="C639" s="825"/>
      <c r="M639" s="247"/>
      <c r="Y639" s="176"/>
      <c r="Z639" s="176"/>
      <c r="AA639" s="176"/>
      <c r="AB639" s="176"/>
      <c r="AC639" s="176"/>
      <c r="AD639" s="176"/>
      <c r="AE639" s="176"/>
      <c r="AF639" s="176"/>
      <c r="AG639" s="176"/>
    </row>
    <row r="640" spans="3:33" s="160" customFormat="1">
      <c r="C640" s="825"/>
      <c r="M640" s="247"/>
      <c r="Y640" s="176"/>
      <c r="Z640" s="176"/>
      <c r="AA640" s="176"/>
      <c r="AB640" s="176"/>
      <c r="AC640" s="176"/>
      <c r="AD640" s="176"/>
      <c r="AE640" s="176"/>
      <c r="AF640" s="176"/>
      <c r="AG640" s="176"/>
    </row>
    <row r="641" spans="3:33" s="160" customFormat="1">
      <c r="C641" s="825"/>
      <c r="M641" s="247"/>
      <c r="Y641" s="176"/>
      <c r="Z641" s="176"/>
      <c r="AA641" s="176"/>
      <c r="AB641" s="176"/>
      <c r="AC641" s="176"/>
      <c r="AD641" s="176"/>
      <c r="AE641" s="176"/>
      <c r="AF641" s="176"/>
      <c r="AG641" s="176"/>
    </row>
    <row r="642" spans="3:33" s="160" customFormat="1">
      <c r="C642" s="825"/>
      <c r="M642" s="247"/>
      <c r="Y642" s="176"/>
      <c r="Z642" s="176"/>
      <c r="AA642" s="176"/>
      <c r="AB642" s="176"/>
      <c r="AC642" s="176"/>
      <c r="AD642" s="176"/>
      <c r="AE642" s="176"/>
      <c r="AF642" s="176"/>
      <c r="AG642" s="176"/>
    </row>
    <row r="643" spans="3:33" s="160" customFormat="1">
      <c r="C643" s="825"/>
      <c r="M643" s="247"/>
      <c r="Y643" s="176"/>
      <c r="Z643" s="176"/>
      <c r="AA643" s="176"/>
      <c r="AB643" s="176"/>
      <c r="AC643" s="176"/>
      <c r="AD643" s="176"/>
      <c r="AE643" s="176"/>
      <c r="AF643" s="176"/>
      <c r="AG643" s="176"/>
    </row>
    <row r="644" spans="3:33" s="160" customFormat="1">
      <c r="C644" s="825"/>
      <c r="M644" s="247"/>
      <c r="Y644" s="176"/>
      <c r="Z644" s="176"/>
      <c r="AA644" s="176"/>
      <c r="AB644" s="176"/>
      <c r="AC644" s="176"/>
      <c r="AD644" s="176"/>
      <c r="AE644" s="176"/>
      <c r="AF644" s="176"/>
      <c r="AG644" s="176"/>
    </row>
    <row r="645" spans="3:33" s="160" customFormat="1">
      <c r="C645" s="825"/>
      <c r="M645" s="247"/>
      <c r="Y645" s="176"/>
      <c r="Z645" s="176"/>
      <c r="AA645" s="176"/>
      <c r="AB645" s="176"/>
      <c r="AC645" s="176"/>
      <c r="AD645" s="176"/>
      <c r="AE645" s="176"/>
      <c r="AF645" s="176"/>
      <c r="AG645" s="176"/>
    </row>
    <row r="646" spans="3:33" s="160" customFormat="1">
      <c r="C646" s="825"/>
      <c r="M646" s="247"/>
      <c r="Y646" s="176"/>
      <c r="Z646" s="176"/>
      <c r="AA646" s="176"/>
      <c r="AB646" s="176"/>
      <c r="AC646" s="176"/>
      <c r="AD646" s="176"/>
      <c r="AE646" s="176"/>
      <c r="AF646" s="176"/>
      <c r="AG646" s="176"/>
    </row>
    <row r="647" spans="3:33" s="160" customFormat="1">
      <c r="C647" s="825"/>
      <c r="M647" s="247"/>
      <c r="Y647" s="176"/>
      <c r="Z647" s="176"/>
      <c r="AA647" s="176"/>
      <c r="AB647" s="176"/>
      <c r="AC647" s="176"/>
      <c r="AD647" s="176"/>
      <c r="AE647" s="176"/>
      <c r="AF647" s="176"/>
      <c r="AG647" s="176"/>
    </row>
    <row r="648" spans="3:33" s="160" customFormat="1">
      <c r="C648" s="825"/>
      <c r="M648" s="247"/>
      <c r="Y648" s="176"/>
      <c r="Z648" s="176"/>
      <c r="AA648" s="176"/>
      <c r="AB648" s="176"/>
      <c r="AC648" s="176"/>
      <c r="AD648" s="176"/>
      <c r="AE648" s="176"/>
      <c r="AF648" s="176"/>
      <c r="AG648" s="176"/>
    </row>
    <row r="649" spans="3:33" s="160" customFormat="1">
      <c r="C649" s="825"/>
      <c r="M649" s="247"/>
      <c r="Y649" s="176"/>
      <c r="Z649" s="176"/>
      <c r="AA649" s="176"/>
      <c r="AB649" s="176"/>
      <c r="AC649" s="176"/>
      <c r="AD649" s="176"/>
      <c r="AE649" s="176"/>
      <c r="AF649" s="176"/>
      <c r="AG649" s="176"/>
    </row>
    <row r="650" spans="3:33" s="160" customFormat="1">
      <c r="C650" s="825"/>
      <c r="M650" s="247"/>
      <c r="Y650" s="176"/>
      <c r="Z650" s="176"/>
      <c r="AA650" s="176"/>
      <c r="AB650" s="176"/>
      <c r="AC650" s="176"/>
      <c r="AD650" s="176"/>
      <c r="AE650" s="176"/>
      <c r="AF650" s="176"/>
      <c r="AG650" s="176"/>
    </row>
    <row r="651" spans="3:33" s="160" customFormat="1">
      <c r="C651" s="825"/>
      <c r="M651" s="247"/>
      <c r="Y651" s="176"/>
      <c r="Z651" s="176"/>
      <c r="AA651" s="176"/>
      <c r="AB651" s="176"/>
      <c r="AC651" s="176"/>
      <c r="AD651" s="176"/>
      <c r="AE651" s="176"/>
      <c r="AF651" s="176"/>
      <c r="AG651" s="176"/>
    </row>
    <row r="652" spans="3:33" s="160" customFormat="1">
      <c r="C652" s="825"/>
      <c r="M652" s="247"/>
      <c r="Y652" s="176"/>
      <c r="Z652" s="176"/>
      <c r="AA652" s="176"/>
      <c r="AB652" s="176"/>
      <c r="AC652" s="176"/>
      <c r="AD652" s="176"/>
      <c r="AE652" s="176"/>
      <c r="AF652" s="176"/>
      <c r="AG652" s="176"/>
    </row>
    <row r="653" spans="3:33" s="160" customFormat="1">
      <c r="C653" s="825"/>
      <c r="M653" s="247"/>
      <c r="Y653" s="176"/>
      <c r="Z653" s="176"/>
      <c r="AA653" s="176"/>
      <c r="AB653" s="176"/>
      <c r="AC653" s="176"/>
      <c r="AD653" s="176"/>
      <c r="AE653" s="176"/>
      <c r="AF653" s="176"/>
      <c r="AG653" s="176"/>
    </row>
    <row r="654" spans="3:33" s="160" customFormat="1">
      <c r="C654" s="825"/>
      <c r="M654" s="247"/>
      <c r="Y654" s="176"/>
      <c r="Z654" s="176"/>
      <c r="AA654" s="176"/>
      <c r="AB654" s="176"/>
      <c r="AC654" s="176"/>
      <c r="AD654" s="176"/>
      <c r="AE654" s="176"/>
      <c r="AF654" s="176"/>
      <c r="AG654" s="176"/>
    </row>
    <row r="655" spans="3:33" s="160" customFormat="1">
      <c r="C655" s="825"/>
      <c r="M655" s="247"/>
      <c r="Y655" s="176"/>
      <c r="Z655" s="176"/>
      <c r="AA655" s="176"/>
      <c r="AB655" s="176"/>
      <c r="AC655" s="176"/>
      <c r="AD655" s="176"/>
      <c r="AE655" s="176"/>
      <c r="AF655" s="176"/>
      <c r="AG655" s="176"/>
    </row>
    <row r="656" spans="3:33" s="160" customFormat="1">
      <c r="C656" s="825"/>
      <c r="M656" s="247"/>
      <c r="Y656" s="176"/>
      <c r="Z656" s="176"/>
      <c r="AA656" s="176"/>
      <c r="AB656" s="176"/>
      <c r="AC656" s="176"/>
      <c r="AD656" s="176"/>
      <c r="AE656" s="176"/>
      <c r="AF656" s="176"/>
      <c r="AG656" s="176"/>
    </row>
    <row r="657" spans="3:33" s="160" customFormat="1">
      <c r="C657" s="825"/>
      <c r="M657" s="247"/>
      <c r="Y657" s="176"/>
      <c r="Z657" s="176"/>
      <c r="AA657" s="176"/>
      <c r="AB657" s="176"/>
      <c r="AC657" s="176"/>
      <c r="AD657" s="176"/>
      <c r="AE657" s="176"/>
      <c r="AF657" s="176"/>
      <c r="AG657" s="176"/>
    </row>
    <row r="658" spans="3:33" s="160" customFormat="1">
      <c r="C658" s="825"/>
      <c r="M658" s="247"/>
      <c r="Y658" s="176"/>
      <c r="Z658" s="176"/>
      <c r="AA658" s="176"/>
      <c r="AB658" s="176"/>
      <c r="AC658" s="176"/>
      <c r="AD658" s="176"/>
      <c r="AE658" s="176"/>
      <c r="AF658" s="176"/>
      <c r="AG658" s="176"/>
    </row>
    <row r="659" spans="3:33" s="160" customFormat="1">
      <c r="C659" s="825"/>
      <c r="M659" s="247"/>
      <c r="Y659" s="176"/>
      <c r="Z659" s="176"/>
      <c r="AA659" s="176"/>
      <c r="AB659" s="176"/>
      <c r="AC659" s="176"/>
      <c r="AD659" s="176"/>
      <c r="AE659" s="176"/>
      <c r="AF659" s="176"/>
      <c r="AG659" s="176"/>
    </row>
    <row r="660" spans="3:33" s="160" customFormat="1">
      <c r="C660" s="825"/>
      <c r="M660" s="247"/>
      <c r="Y660" s="176"/>
      <c r="Z660" s="176"/>
      <c r="AA660" s="176"/>
      <c r="AB660" s="176"/>
      <c r="AC660" s="176"/>
      <c r="AD660" s="176"/>
      <c r="AE660" s="176"/>
      <c r="AF660" s="176"/>
      <c r="AG660" s="176"/>
    </row>
    <row r="661" spans="3:33" s="160" customFormat="1">
      <c r="C661" s="825"/>
      <c r="M661" s="247"/>
      <c r="Y661" s="176"/>
      <c r="Z661" s="176"/>
      <c r="AA661" s="176"/>
      <c r="AB661" s="176"/>
      <c r="AC661" s="176"/>
      <c r="AD661" s="176"/>
      <c r="AE661" s="176"/>
      <c r="AF661" s="176"/>
      <c r="AG661" s="176"/>
    </row>
    <row r="662" spans="3:33" s="160" customFormat="1">
      <c r="C662" s="825"/>
      <c r="M662" s="247"/>
      <c r="Y662" s="176"/>
      <c r="Z662" s="176"/>
      <c r="AA662" s="176"/>
      <c r="AB662" s="176"/>
      <c r="AC662" s="176"/>
      <c r="AD662" s="176"/>
      <c r="AE662" s="176"/>
      <c r="AF662" s="176"/>
      <c r="AG662" s="176"/>
    </row>
    <row r="663" spans="3:33" s="160" customFormat="1">
      <c r="C663" s="825"/>
      <c r="M663" s="247"/>
      <c r="Y663" s="176"/>
      <c r="Z663" s="176"/>
      <c r="AA663" s="176"/>
      <c r="AB663" s="176"/>
      <c r="AC663" s="176"/>
      <c r="AD663" s="176"/>
      <c r="AE663" s="176"/>
      <c r="AF663" s="176"/>
      <c r="AG663" s="176"/>
    </row>
    <row r="664" spans="3:33" s="160" customFormat="1">
      <c r="C664" s="825"/>
      <c r="M664" s="247"/>
      <c r="Y664" s="176"/>
      <c r="Z664" s="176"/>
      <c r="AA664" s="176"/>
      <c r="AB664" s="176"/>
      <c r="AC664" s="176"/>
      <c r="AD664" s="176"/>
      <c r="AE664" s="176"/>
      <c r="AF664" s="176"/>
      <c r="AG664" s="176"/>
    </row>
    <row r="665" spans="3:33" s="160" customFormat="1">
      <c r="C665" s="825"/>
      <c r="M665" s="247"/>
      <c r="Y665" s="176"/>
      <c r="Z665" s="176"/>
      <c r="AA665" s="176"/>
      <c r="AB665" s="176"/>
      <c r="AC665" s="176"/>
      <c r="AD665" s="176"/>
      <c r="AE665" s="176"/>
      <c r="AF665" s="176"/>
      <c r="AG665" s="176"/>
    </row>
    <row r="666" spans="3:33" s="160" customFormat="1">
      <c r="C666" s="825"/>
      <c r="M666" s="247"/>
      <c r="Y666" s="176"/>
      <c r="Z666" s="176"/>
      <c r="AA666" s="176"/>
      <c r="AB666" s="176"/>
      <c r="AC666" s="176"/>
      <c r="AD666" s="176"/>
      <c r="AE666" s="176"/>
      <c r="AF666" s="176"/>
      <c r="AG666" s="176"/>
    </row>
    <row r="667" spans="3:33" s="160" customFormat="1">
      <c r="C667" s="825"/>
      <c r="M667" s="247"/>
      <c r="Y667" s="176"/>
      <c r="Z667" s="176"/>
      <c r="AA667" s="176"/>
      <c r="AB667" s="176"/>
      <c r="AC667" s="176"/>
      <c r="AD667" s="176"/>
      <c r="AE667" s="176"/>
      <c r="AF667" s="176"/>
      <c r="AG667" s="176"/>
    </row>
    <row r="668" spans="3:33" s="160" customFormat="1">
      <c r="C668" s="825"/>
      <c r="M668" s="247"/>
      <c r="Y668" s="176"/>
      <c r="Z668" s="176"/>
      <c r="AA668" s="176"/>
      <c r="AB668" s="176"/>
      <c r="AC668" s="176"/>
      <c r="AD668" s="176"/>
      <c r="AE668" s="176"/>
      <c r="AF668" s="176"/>
      <c r="AG668" s="176"/>
    </row>
    <row r="669" spans="3:33" s="160" customFormat="1">
      <c r="C669" s="825"/>
      <c r="M669" s="247"/>
      <c r="Y669" s="176"/>
      <c r="Z669" s="176"/>
      <c r="AA669" s="176"/>
      <c r="AB669" s="176"/>
      <c r="AC669" s="176"/>
      <c r="AD669" s="176"/>
      <c r="AE669" s="176"/>
      <c r="AF669" s="176"/>
      <c r="AG669" s="176"/>
    </row>
    <row r="670" spans="3:33" s="160" customFormat="1">
      <c r="C670" s="825"/>
      <c r="M670" s="247"/>
      <c r="Y670" s="176"/>
      <c r="Z670" s="176"/>
      <c r="AA670" s="176"/>
      <c r="AB670" s="176"/>
      <c r="AC670" s="176"/>
      <c r="AD670" s="176"/>
      <c r="AE670" s="176"/>
      <c r="AF670" s="176"/>
      <c r="AG670" s="176"/>
    </row>
    <row r="671" spans="3:33" s="160" customFormat="1">
      <c r="C671" s="825"/>
      <c r="M671" s="247"/>
      <c r="Y671" s="176"/>
      <c r="Z671" s="176"/>
      <c r="AA671" s="176"/>
      <c r="AB671" s="176"/>
      <c r="AC671" s="176"/>
      <c r="AD671" s="176"/>
      <c r="AE671" s="176"/>
      <c r="AF671" s="176"/>
      <c r="AG671" s="176"/>
    </row>
    <row r="672" spans="3:33" s="160" customFormat="1">
      <c r="C672" s="825"/>
      <c r="M672" s="247"/>
      <c r="Y672" s="176"/>
      <c r="Z672" s="176"/>
      <c r="AA672" s="176"/>
      <c r="AB672" s="176"/>
      <c r="AC672" s="176"/>
      <c r="AD672" s="176"/>
      <c r="AE672" s="176"/>
      <c r="AF672" s="176"/>
      <c r="AG672" s="176"/>
    </row>
    <row r="673" spans="3:33" s="160" customFormat="1">
      <c r="C673" s="825"/>
      <c r="M673" s="247"/>
      <c r="Y673" s="176"/>
      <c r="Z673" s="176"/>
      <c r="AA673" s="176"/>
      <c r="AB673" s="176"/>
      <c r="AC673" s="176"/>
      <c r="AD673" s="176"/>
      <c r="AE673" s="176"/>
      <c r="AF673" s="176"/>
      <c r="AG673" s="176"/>
    </row>
    <row r="674" spans="3:33" s="160" customFormat="1">
      <c r="C674" s="825"/>
      <c r="M674" s="247"/>
      <c r="Y674" s="176"/>
      <c r="Z674" s="176"/>
      <c r="AA674" s="176"/>
      <c r="AB674" s="176"/>
      <c r="AC674" s="176"/>
      <c r="AD674" s="176"/>
      <c r="AE674" s="176"/>
      <c r="AF674" s="176"/>
      <c r="AG674" s="176"/>
    </row>
    <row r="675" spans="3:33" s="160" customFormat="1">
      <c r="C675" s="825"/>
      <c r="M675" s="247"/>
      <c r="Y675" s="176"/>
      <c r="Z675" s="176"/>
      <c r="AA675" s="176"/>
      <c r="AB675" s="176"/>
      <c r="AC675" s="176"/>
      <c r="AD675" s="176"/>
      <c r="AE675" s="176"/>
      <c r="AF675" s="176"/>
      <c r="AG675" s="176"/>
    </row>
    <row r="676" spans="3:33" s="160" customFormat="1">
      <c r="C676" s="825"/>
      <c r="M676" s="247"/>
      <c r="Y676" s="176"/>
      <c r="Z676" s="176"/>
      <c r="AA676" s="176"/>
      <c r="AB676" s="176"/>
      <c r="AC676" s="176"/>
      <c r="AD676" s="176"/>
      <c r="AE676" s="176"/>
      <c r="AF676" s="176"/>
      <c r="AG676" s="176"/>
    </row>
    <row r="677" spans="3:33" s="160" customFormat="1">
      <c r="C677" s="825"/>
      <c r="M677" s="247"/>
      <c r="Y677" s="176"/>
      <c r="Z677" s="176"/>
      <c r="AA677" s="176"/>
      <c r="AB677" s="176"/>
      <c r="AC677" s="176"/>
      <c r="AD677" s="176"/>
      <c r="AE677" s="176"/>
      <c r="AF677" s="176"/>
      <c r="AG677" s="176"/>
    </row>
    <row r="678" spans="3:33" s="160" customFormat="1">
      <c r="C678" s="825"/>
      <c r="M678" s="247"/>
      <c r="Y678" s="176"/>
      <c r="Z678" s="176"/>
      <c r="AA678" s="176"/>
      <c r="AB678" s="176"/>
      <c r="AC678" s="176"/>
      <c r="AD678" s="176"/>
      <c r="AE678" s="176"/>
      <c r="AF678" s="176"/>
      <c r="AG678" s="176"/>
    </row>
    <row r="679" spans="3:33" s="160" customFormat="1">
      <c r="C679" s="825"/>
      <c r="M679" s="247"/>
      <c r="Y679" s="176"/>
      <c r="Z679" s="176"/>
      <c r="AA679" s="176"/>
      <c r="AB679" s="176"/>
      <c r="AC679" s="176"/>
      <c r="AD679" s="176"/>
      <c r="AE679" s="176"/>
      <c r="AF679" s="176"/>
      <c r="AG679" s="176"/>
    </row>
    <row r="680" spans="3:33" s="160" customFormat="1">
      <c r="C680" s="825"/>
      <c r="M680" s="247"/>
      <c r="Y680" s="176"/>
      <c r="Z680" s="176"/>
      <c r="AA680" s="176"/>
      <c r="AB680" s="176"/>
      <c r="AC680" s="176"/>
      <c r="AD680" s="176"/>
      <c r="AE680" s="176"/>
      <c r="AF680" s="176"/>
      <c r="AG680" s="176"/>
    </row>
    <row r="681" spans="3:33" s="160" customFormat="1">
      <c r="C681" s="825"/>
      <c r="M681" s="247"/>
      <c r="Y681" s="176"/>
      <c r="Z681" s="176"/>
      <c r="AA681" s="176"/>
      <c r="AB681" s="176"/>
      <c r="AC681" s="176"/>
      <c r="AD681" s="176"/>
      <c r="AE681" s="176"/>
      <c r="AF681" s="176"/>
      <c r="AG681" s="176"/>
    </row>
    <row r="682" spans="3:33" s="160" customFormat="1">
      <c r="C682" s="825"/>
      <c r="M682" s="247"/>
      <c r="Y682" s="176"/>
      <c r="Z682" s="176"/>
      <c r="AA682" s="176"/>
      <c r="AB682" s="176"/>
      <c r="AC682" s="176"/>
      <c r="AD682" s="176"/>
      <c r="AE682" s="176"/>
      <c r="AF682" s="176"/>
      <c r="AG682" s="176"/>
    </row>
    <row r="683" spans="3:33" s="160" customFormat="1">
      <c r="C683" s="825"/>
      <c r="M683" s="247"/>
      <c r="Y683" s="176"/>
      <c r="Z683" s="176"/>
      <c r="AA683" s="176"/>
      <c r="AB683" s="176"/>
      <c r="AC683" s="176"/>
      <c r="AD683" s="176"/>
      <c r="AE683" s="176"/>
      <c r="AF683" s="176"/>
      <c r="AG683" s="176"/>
    </row>
    <row r="684" spans="3:33" s="160" customFormat="1">
      <c r="C684" s="825"/>
      <c r="M684" s="247"/>
      <c r="Y684" s="176"/>
      <c r="Z684" s="176"/>
      <c r="AA684" s="176"/>
      <c r="AB684" s="176"/>
      <c r="AC684" s="176"/>
      <c r="AD684" s="176"/>
      <c r="AE684" s="176"/>
      <c r="AF684" s="176"/>
      <c r="AG684" s="176"/>
    </row>
    <row r="685" spans="3:33" s="160" customFormat="1">
      <c r="C685" s="825"/>
      <c r="M685" s="247"/>
      <c r="Y685" s="176"/>
      <c r="Z685" s="176"/>
      <c r="AA685" s="176"/>
      <c r="AB685" s="176"/>
      <c r="AC685" s="176"/>
      <c r="AD685" s="176"/>
      <c r="AE685" s="176"/>
      <c r="AF685" s="176"/>
      <c r="AG685" s="176"/>
    </row>
    <row r="686" spans="3:33" s="160" customFormat="1">
      <c r="C686" s="825"/>
      <c r="M686" s="247"/>
      <c r="Y686" s="176"/>
      <c r="Z686" s="176"/>
      <c r="AA686" s="176"/>
      <c r="AB686" s="176"/>
      <c r="AC686" s="176"/>
      <c r="AD686" s="176"/>
      <c r="AE686" s="176"/>
      <c r="AF686" s="176"/>
      <c r="AG686" s="176"/>
    </row>
    <row r="687" spans="3:33" s="160" customFormat="1">
      <c r="C687" s="825"/>
      <c r="M687" s="247"/>
      <c r="Y687" s="176"/>
      <c r="Z687" s="176"/>
      <c r="AA687" s="176"/>
      <c r="AB687" s="176"/>
      <c r="AC687" s="176"/>
      <c r="AD687" s="176"/>
      <c r="AE687" s="176"/>
      <c r="AF687" s="176"/>
      <c r="AG687" s="176"/>
    </row>
    <row r="688" spans="3:33" s="160" customFormat="1">
      <c r="C688" s="825"/>
      <c r="M688" s="247"/>
      <c r="Y688" s="176"/>
      <c r="Z688" s="176"/>
      <c r="AA688" s="176"/>
      <c r="AB688" s="176"/>
      <c r="AC688" s="176"/>
      <c r="AD688" s="176"/>
      <c r="AE688" s="176"/>
      <c r="AF688" s="176"/>
      <c r="AG688" s="176"/>
    </row>
    <row r="689" spans="3:33" s="160" customFormat="1">
      <c r="C689" s="825"/>
      <c r="M689" s="247"/>
      <c r="Y689" s="176"/>
      <c r="Z689" s="176"/>
      <c r="AA689" s="176"/>
      <c r="AB689" s="176"/>
      <c r="AC689" s="176"/>
      <c r="AD689" s="176"/>
      <c r="AE689" s="176"/>
      <c r="AF689" s="176"/>
      <c r="AG689" s="176"/>
    </row>
    <row r="690" spans="3:33" s="160" customFormat="1">
      <c r="C690" s="825"/>
      <c r="M690" s="247"/>
      <c r="Y690" s="176"/>
      <c r="Z690" s="176"/>
      <c r="AA690" s="176"/>
      <c r="AB690" s="176"/>
      <c r="AC690" s="176"/>
      <c r="AD690" s="176"/>
      <c r="AE690" s="176"/>
      <c r="AF690" s="176"/>
      <c r="AG690" s="176"/>
    </row>
    <row r="691" spans="3:33" s="160" customFormat="1">
      <c r="C691" s="825"/>
      <c r="M691" s="247"/>
      <c r="Y691" s="176"/>
      <c r="Z691" s="176"/>
      <c r="AA691" s="176"/>
      <c r="AB691" s="176"/>
      <c r="AC691" s="176"/>
      <c r="AD691" s="176"/>
      <c r="AE691" s="176"/>
      <c r="AF691" s="176"/>
      <c r="AG691" s="176"/>
    </row>
    <row r="692" spans="3:33" s="160" customFormat="1">
      <c r="C692" s="825"/>
      <c r="M692" s="247"/>
      <c r="Y692" s="176"/>
      <c r="Z692" s="176"/>
      <c r="AA692" s="176"/>
      <c r="AB692" s="176"/>
      <c r="AC692" s="176"/>
      <c r="AD692" s="176"/>
      <c r="AE692" s="176"/>
      <c r="AF692" s="176"/>
      <c r="AG692" s="176"/>
    </row>
    <row r="693" spans="3:33" s="160" customFormat="1">
      <c r="C693" s="825"/>
      <c r="M693" s="247"/>
      <c r="Y693" s="176"/>
      <c r="Z693" s="176"/>
      <c r="AA693" s="176"/>
      <c r="AB693" s="176"/>
      <c r="AC693" s="176"/>
      <c r="AD693" s="176"/>
      <c r="AE693" s="176"/>
      <c r="AF693" s="176"/>
      <c r="AG693" s="176"/>
    </row>
    <row r="694" spans="3:33" s="160" customFormat="1">
      <c r="C694" s="825"/>
      <c r="M694" s="247"/>
      <c r="Y694" s="176"/>
      <c r="Z694" s="176"/>
      <c r="AA694" s="176"/>
      <c r="AB694" s="176"/>
      <c r="AC694" s="176"/>
      <c r="AD694" s="176"/>
      <c r="AE694" s="176"/>
      <c r="AF694" s="176"/>
      <c r="AG694" s="176"/>
    </row>
    <row r="695" spans="3:33" s="160" customFormat="1">
      <c r="C695" s="825"/>
      <c r="M695" s="247"/>
      <c r="Y695" s="176"/>
      <c r="Z695" s="176"/>
      <c r="AA695" s="176"/>
      <c r="AB695" s="176"/>
      <c r="AC695" s="176"/>
      <c r="AD695" s="176"/>
      <c r="AE695" s="176"/>
      <c r="AF695" s="176"/>
      <c r="AG695" s="176"/>
    </row>
    <row r="696" spans="3:33" s="160" customFormat="1">
      <c r="C696" s="825"/>
      <c r="M696" s="247"/>
      <c r="Y696" s="176"/>
      <c r="Z696" s="176"/>
      <c r="AA696" s="176"/>
      <c r="AB696" s="176"/>
      <c r="AC696" s="176"/>
      <c r="AD696" s="176"/>
      <c r="AE696" s="176"/>
      <c r="AF696" s="176"/>
      <c r="AG696" s="176"/>
    </row>
    <row r="697" spans="3:33" s="160" customFormat="1">
      <c r="C697" s="825"/>
      <c r="M697" s="247"/>
      <c r="Y697" s="176"/>
      <c r="Z697" s="176"/>
      <c r="AA697" s="176"/>
      <c r="AB697" s="176"/>
      <c r="AC697" s="176"/>
      <c r="AD697" s="176"/>
      <c r="AE697" s="176"/>
      <c r="AF697" s="176"/>
      <c r="AG697" s="176"/>
    </row>
    <row r="698" spans="3:33" s="160" customFormat="1">
      <c r="C698" s="825"/>
      <c r="M698" s="247"/>
      <c r="Y698" s="176"/>
      <c r="Z698" s="176"/>
      <c r="AA698" s="176"/>
      <c r="AB698" s="176"/>
      <c r="AC698" s="176"/>
      <c r="AD698" s="176"/>
      <c r="AE698" s="176"/>
      <c r="AF698" s="176"/>
      <c r="AG698" s="176"/>
    </row>
    <row r="699" spans="3:33" s="160" customFormat="1">
      <c r="C699" s="825"/>
      <c r="M699" s="247"/>
      <c r="Y699" s="176"/>
      <c r="Z699" s="176"/>
      <c r="AA699" s="176"/>
      <c r="AB699" s="176"/>
      <c r="AC699" s="176"/>
      <c r="AD699" s="176"/>
      <c r="AE699" s="176"/>
      <c r="AF699" s="176"/>
      <c r="AG699" s="176"/>
    </row>
    <row r="700" spans="3:33" s="160" customFormat="1">
      <c r="C700" s="825"/>
      <c r="M700" s="247"/>
      <c r="Y700" s="176"/>
      <c r="Z700" s="176"/>
      <c r="AA700" s="176"/>
      <c r="AB700" s="176"/>
      <c r="AC700" s="176"/>
      <c r="AD700" s="176"/>
      <c r="AE700" s="176"/>
      <c r="AF700" s="176"/>
      <c r="AG700" s="176"/>
    </row>
    <row r="701" spans="3:33" s="160" customFormat="1">
      <c r="C701" s="825"/>
      <c r="M701" s="247"/>
      <c r="Y701" s="176"/>
      <c r="Z701" s="176"/>
      <c r="AA701" s="176"/>
      <c r="AB701" s="176"/>
      <c r="AC701" s="176"/>
      <c r="AD701" s="176"/>
      <c r="AE701" s="176"/>
      <c r="AF701" s="176"/>
      <c r="AG701" s="176"/>
    </row>
    <row r="702" spans="3:33" s="160" customFormat="1">
      <c r="C702" s="825"/>
      <c r="M702" s="247"/>
      <c r="Y702" s="176"/>
      <c r="Z702" s="176"/>
      <c r="AA702" s="176"/>
      <c r="AB702" s="176"/>
      <c r="AC702" s="176"/>
      <c r="AD702" s="176"/>
      <c r="AE702" s="176"/>
      <c r="AF702" s="176"/>
      <c r="AG702" s="176"/>
    </row>
    <row r="703" spans="3:33" s="160" customFormat="1">
      <c r="C703" s="825"/>
      <c r="M703" s="247"/>
      <c r="Y703" s="176"/>
      <c r="Z703" s="176"/>
      <c r="AA703" s="176"/>
      <c r="AB703" s="176"/>
      <c r="AC703" s="176"/>
      <c r="AD703" s="176"/>
      <c r="AE703" s="176"/>
      <c r="AF703" s="176"/>
      <c r="AG703" s="176"/>
    </row>
    <row r="704" spans="3:33" s="160" customFormat="1">
      <c r="C704" s="825"/>
      <c r="M704" s="247"/>
      <c r="Y704" s="176"/>
      <c r="Z704" s="176"/>
      <c r="AA704" s="176"/>
      <c r="AB704" s="176"/>
      <c r="AC704" s="176"/>
      <c r="AD704" s="176"/>
      <c r="AE704" s="176"/>
      <c r="AF704" s="176"/>
      <c r="AG704" s="176"/>
    </row>
    <row r="705" spans="3:33" s="160" customFormat="1">
      <c r="C705" s="825"/>
      <c r="M705" s="247"/>
      <c r="Y705" s="176"/>
      <c r="Z705" s="176"/>
      <c r="AA705" s="176"/>
      <c r="AB705" s="176"/>
      <c r="AC705" s="176"/>
      <c r="AD705" s="176"/>
      <c r="AE705" s="176"/>
      <c r="AF705" s="176"/>
      <c r="AG705" s="176"/>
    </row>
    <row r="706" spans="3:33" s="160" customFormat="1">
      <c r="C706" s="825"/>
      <c r="M706" s="247"/>
      <c r="Y706" s="176"/>
      <c r="Z706" s="176"/>
      <c r="AA706" s="176"/>
      <c r="AB706" s="176"/>
      <c r="AC706" s="176"/>
      <c r="AD706" s="176"/>
      <c r="AE706" s="176"/>
      <c r="AF706" s="176"/>
      <c r="AG706" s="176"/>
    </row>
    <row r="707" spans="3:33" s="160" customFormat="1">
      <c r="C707" s="825"/>
      <c r="M707" s="247"/>
      <c r="Y707" s="176"/>
      <c r="Z707" s="176"/>
      <c r="AA707" s="176"/>
      <c r="AB707" s="176"/>
      <c r="AC707" s="176"/>
      <c r="AD707" s="176"/>
      <c r="AE707" s="176"/>
      <c r="AF707" s="176"/>
      <c r="AG707" s="176"/>
    </row>
    <row r="708" spans="3:33" s="160" customFormat="1">
      <c r="C708" s="825"/>
      <c r="M708" s="247"/>
      <c r="Y708" s="176"/>
      <c r="Z708" s="176"/>
      <c r="AA708" s="176"/>
      <c r="AB708" s="176"/>
      <c r="AC708" s="176"/>
      <c r="AD708" s="176"/>
      <c r="AE708" s="176"/>
      <c r="AF708" s="176"/>
      <c r="AG708" s="176"/>
    </row>
    <row r="709" spans="3:33" s="160" customFormat="1">
      <c r="C709" s="825"/>
      <c r="M709" s="247"/>
      <c r="Y709" s="176"/>
      <c r="Z709" s="176"/>
      <c r="AA709" s="176"/>
      <c r="AB709" s="176"/>
      <c r="AC709" s="176"/>
      <c r="AD709" s="176"/>
      <c r="AE709" s="176"/>
      <c r="AF709" s="176"/>
      <c r="AG709" s="176"/>
    </row>
    <row r="710" spans="3:33" s="160" customFormat="1">
      <c r="C710" s="825"/>
      <c r="M710" s="247"/>
      <c r="Y710" s="176"/>
      <c r="Z710" s="176"/>
      <c r="AA710" s="176"/>
      <c r="AB710" s="176"/>
      <c r="AC710" s="176"/>
      <c r="AD710" s="176"/>
      <c r="AE710" s="176"/>
      <c r="AF710" s="176"/>
      <c r="AG710" s="176"/>
    </row>
    <row r="711" spans="3:33" s="160" customFormat="1">
      <c r="C711" s="825"/>
      <c r="M711" s="247"/>
      <c r="Y711" s="176"/>
      <c r="Z711" s="176"/>
      <c r="AA711" s="176"/>
      <c r="AB711" s="176"/>
      <c r="AC711" s="176"/>
      <c r="AD711" s="176"/>
      <c r="AE711" s="176"/>
      <c r="AF711" s="176"/>
      <c r="AG711" s="176"/>
    </row>
    <row r="712" spans="3:33" s="160" customFormat="1">
      <c r="C712" s="825"/>
      <c r="M712" s="247"/>
      <c r="Y712" s="176"/>
      <c r="Z712" s="176"/>
      <c r="AA712" s="176"/>
      <c r="AB712" s="176"/>
      <c r="AC712" s="176"/>
      <c r="AD712" s="176"/>
      <c r="AE712" s="176"/>
      <c r="AF712" s="176"/>
      <c r="AG712" s="176"/>
    </row>
    <row r="713" spans="3:33" s="160" customFormat="1">
      <c r="C713" s="825"/>
      <c r="M713" s="247"/>
      <c r="Y713" s="176"/>
      <c r="Z713" s="176"/>
      <c r="AA713" s="176"/>
      <c r="AB713" s="176"/>
      <c r="AC713" s="176"/>
      <c r="AD713" s="176"/>
      <c r="AE713" s="176"/>
      <c r="AF713" s="176"/>
      <c r="AG713" s="176"/>
    </row>
    <row r="714" spans="3:33" s="160" customFormat="1">
      <c r="C714" s="825"/>
      <c r="M714" s="247"/>
      <c r="Y714" s="176"/>
      <c r="Z714" s="176"/>
      <c r="AA714" s="176"/>
      <c r="AB714" s="176"/>
      <c r="AC714" s="176"/>
      <c r="AD714" s="176"/>
      <c r="AE714" s="176"/>
      <c r="AF714" s="176"/>
      <c r="AG714" s="176"/>
    </row>
    <row r="715" spans="3:33" s="160" customFormat="1">
      <c r="C715" s="825"/>
      <c r="M715" s="247"/>
      <c r="Y715" s="176"/>
      <c r="Z715" s="176"/>
      <c r="AA715" s="176"/>
      <c r="AB715" s="176"/>
      <c r="AC715" s="176"/>
      <c r="AD715" s="176"/>
      <c r="AE715" s="176"/>
      <c r="AF715" s="176"/>
      <c r="AG715" s="176"/>
    </row>
    <row r="716" spans="3:33" s="160" customFormat="1">
      <c r="C716" s="825"/>
      <c r="M716" s="247"/>
      <c r="Y716" s="176"/>
      <c r="Z716" s="176"/>
      <c r="AA716" s="176"/>
      <c r="AB716" s="176"/>
      <c r="AC716" s="176"/>
      <c r="AD716" s="176"/>
      <c r="AE716" s="176"/>
      <c r="AF716" s="176"/>
      <c r="AG716" s="176"/>
    </row>
    <row r="717" spans="3:33" s="160" customFormat="1">
      <c r="C717" s="825"/>
      <c r="M717" s="247"/>
      <c r="Y717" s="176"/>
      <c r="Z717" s="176"/>
      <c r="AA717" s="176"/>
      <c r="AB717" s="176"/>
      <c r="AC717" s="176"/>
      <c r="AD717" s="176"/>
      <c r="AE717" s="176"/>
      <c r="AF717" s="176"/>
      <c r="AG717" s="176"/>
    </row>
    <row r="718" spans="3:33" s="160" customFormat="1">
      <c r="C718" s="825"/>
      <c r="M718" s="247"/>
      <c r="Y718" s="176"/>
      <c r="Z718" s="176"/>
      <c r="AA718" s="176"/>
      <c r="AB718" s="176"/>
      <c r="AC718" s="176"/>
      <c r="AD718" s="176"/>
      <c r="AE718" s="176"/>
      <c r="AF718" s="176"/>
      <c r="AG718" s="176"/>
    </row>
    <row r="719" spans="3:33" s="160" customFormat="1">
      <c r="C719" s="825"/>
      <c r="M719" s="247"/>
      <c r="Y719" s="176"/>
      <c r="Z719" s="176"/>
      <c r="AA719" s="176"/>
      <c r="AB719" s="176"/>
      <c r="AC719" s="176"/>
      <c r="AD719" s="176"/>
      <c r="AE719" s="176"/>
      <c r="AF719" s="176"/>
      <c r="AG719" s="176"/>
    </row>
    <row r="720" spans="3:33" s="160" customFormat="1">
      <c r="C720" s="825"/>
      <c r="M720" s="247"/>
      <c r="Y720" s="176"/>
      <c r="Z720" s="176"/>
      <c r="AA720" s="176"/>
      <c r="AB720" s="176"/>
      <c r="AC720" s="176"/>
      <c r="AD720" s="176"/>
      <c r="AE720" s="176"/>
      <c r="AF720" s="176"/>
      <c r="AG720" s="176"/>
    </row>
    <row r="721" spans="3:33" s="160" customFormat="1">
      <c r="C721" s="825"/>
      <c r="M721" s="247"/>
      <c r="Y721" s="176"/>
      <c r="Z721" s="176"/>
      <c r="AA721" s="176"/>
      <c r="AB721" s="176"/>
      <c r="AC721" s="176"/>
      <c r="AD721" s="176"/>
      <c r="AE721" s="176"/>
      <c r="AF721" s="176"/>
      <c r="AG721" s="176"/>
    </row>
    <row r="722" spans="3:33" s="160" customFormat="1">
      <c r="C722" s="825"/>
      <c r="M722" s="247"/>
      <c r="Y722" s="176"/>
      <c r="Z722" s="176"/>
      <c r="AA722" s="176"/>
      <c r="AB722" s="176"/>
      <c r="AC722" s="176"/>
      <c r="AD722" s="176"/>
      <c r="AE722" s="176"/>
      <c r="AF722" s="176"/>
      <c r="AG722" s="176"/>
    </row>
    <row r="723" spans="3:33" s="160" customFormat="1">
      <c r="C723" s="825"/>
      <c r="M723" s="247"/>
      <c r="Y723" s="176"/>
      <c r="Z723" s="176"/>
      <c r="AA723" s="176"/>
      <c r="AB723" s="176"/>
      <c r="AC723" s="176"/>
      <c r="AD723" s="176"/>
      <c r="AE723" s="176"/>
      <c r="AF723" s="176"/>
      <c r="AG723" s="176"/>
    </row>
    <row r="724" spans="3:33" s="160" customFormat="1">
      <c r="C724" s="825"/>
      <c r="M724" s="247"/>
      <c r="Y724" s="176"/>
      <c r="Z724" s="176"/>
      <c r="AA724" s="176"/>
      <c r="AB724" s="176"/>
      <c r="AC724" s="176"/>
      <c r="AD724" s="176"/>
      <c r="AE724" s="176"/>
      <c r="AF724" s="176"/>
      <c r="AG724" s="176"/>
    </row>
    <row r="725" spans="3:33" s="160" customFormat="1">
      <c r="C725" s="825"/>
      <c r="M725" s="247"/>
      <c r="Y725" s="176"/>
      <c r="Z725" s="176"/>
      <c r="AA725" s="176"/>
      <c r="AB725" s="176"/>
      <c r="AC725" s="176"/>
      <c r="AD725" s="176"/>
      <c r="AE725" s="176"/>
      <c r="AF725" s="176"/>
      <c r="AG725" s="176"/>
    </row>
    <row r="726" spans="3:33" s="160" customFormat="1">
      <c r="C726" s="825"/>
      <c r="M726" s="247"/>
      <c r="Y726" s="176"/>
      <c r="Z726" s="176"/>
      <c r="AA726" s="176"/>
      <c r="AB726" s="176"/>
      <c r="AC726" s="176"/>
      <c r="AD726" s="176"/>
      <c r="AE726" s="176"/>
      <c r="AF726" s="176"/>
      <c r="AG726" s="176"/>
    </row>
    <row r="727" spans="3:33" s="160" customFormat="1">
      <c r="C727" s="825"/>
      <c r="M727" s="247"/>
      <c r="Y727" s="176"/>
      <c r="Z727" s="176"/>
      <c r="AA727" s="176"/>
      <c r="AB727" s="176"/>
      <c r="AC727" s="176"/>
      <c r="AD727" s="176"/>
      <c r="AE727" s="176"/>
      <c r="AF727" s="176"/>
      <c r="AG727" s="176"/>
    </row>
    <row r="728" spans="3:33" s="160" customFormat="1">
      <c r="C728" s="825"/>
      <c r="M728" s="247"/>
      <c r="Y728" s="176"/>
      <c r="Z728" s="176"/>
      <c r="AA728" s="176"/>
      <c r="AB728" s="176"/>
      <c r="AC728" s="176"/>
      <c r="AD728" s="176"/>
      <c r="AE728" s="176"/>
      <c r="AF728" s="176"/>
      <c r="AG728" s="176"/>
    </row>
    <row r="729" spans="3:33" s="160" customFormat="1">
      <c r="C729" s="825"/>
      <c r="M729" s="247"/>
      <c r="Y729" s="176"/>
      <c r="Z729" s="176"/>
      <c r="AA729" s="176"/>
      <c r="AB729" s="176"/>
      <c r="AC729" s="176"/>
      <c r="AD729" s="176"/>
      <c r="AE729" s="176"/>
      <c r="AF729" s="176"/>
      <c r="AG729" s="176"/>
    </row>
    <row r="730" spans="3:33" s="160" customFormat="1">
      <c r="C730" s="825"/>
      <c r="M730" s="247"/>
      <c r="Y730" s="176"/>
      <c r="Z730" s="176"/>
      <c r="AA730" s="176"/>
      <c r="AB730" s="176"/>
      <c r="AC730" s="176"/>
      <c r="AD730" s="176"/>
      <c r="AE730" s="176"/>
      <c r="AF730" s="176"/>
      <c r="AG730" s="176"/>
    </row>
    <row r="731" spans="3:33" s="160" customFormat="1">
      <c r="C731" s="825"/>
      <c r="M731" s="247"/>
      <c r="Y731" s="176"/>
      <c r="Z731" s="176"/>
      <c r="AA731" s="176"/>
      <c r="AB731" s="176"/>
      <c r="AC731" s="176"/>
      <c r="AD731" s="176"/>
      <c r="AE731" s="176"/>
      <c r="AF731" s="176"/>
      <c r="AG731" s="176"/>
    </row>
    <row r="732" spans="3:33" s="160" customFormat="1">
      <c r="C732" s="825"/>
      <c r="M732" s="247"/>
      <c r="Y732" s="176"/>
      <c r="Z732" s="176"/>
      <c r="AA732" s="176"/>
      <c r="AB732" s="176"/>
      <c r="AC732" s="176"/>
      <c r="AD732" s="176"/>
      <c r="AE732" s="176"/>
      <c r="AF732" s="176"/>
      <c r="AG732" s="176"/>
    </row>
    <row r="733" spans="3:33" s="160" customFormat="1">
      <c r="C733" s="825"/>
      <c r="M733" s="247"/>
      <c r="Y733" s="176"/>
      <c r="Z733" s="176"/>
      <c r="AA733" s="176"/>
      <c r="AB733" s="176"/>
      <c r="AC733" s="176"/>
      <c r="AD733" s="176"/>
      <c r="AE733" s="176"/>
      <c r="AF733" s="176"/>
      <c r="AG733" s="176"/>
    </row>
    <row r="734" spans="3:33" s="160" customFormat="1">
      <c r="C734" s="825"/>
      <c r="M734" s="247"/>
      <c r="Y734" s="176"/>
      <c r="Z734" s="176"/>
      <c r="AA734" s="176"/>
      <c r="AB734" s="176"/>
      <c r="AC734" s="176"/>
      <c r="AD734" s="176"/>
      <c r="AE734" s="176"/>
      <c r="AF734" s="176"/>
      <c r="AG734" s="176"/>
    </row>
    <row r="735" spans="3:33" s="160" customFormat="1">
      <c r="C735" s="825"/>
      <c r="M735" s="247"/>
      <c r="Y735" s="176"/>
      <c r="Z735" s="176"/>
      <c r="AA735" s="176"/>
      <c r="AB735" s="176"/>
      <c r="AC735" s="176"/>
      <c r="AD735" s="176"/>
      <c r="AE735" s="176"/>
      <c r="AF735" s="176"/>
      <c r="AG735" s="176"/>
    </row>
    <row r="736" spans="3:33" s="160" customFormat="1">
      <c r="C736" s="825"/>
      <c r="M736" s="247"/>
      <c r="Y736" s="176"/>
      <c r="Z736" s="176"/>
      <c r="AA736" s="176"/>
      <c r="AB736" s="176"/>
      <c r="AC736" s="176"/>
      <c r="AD736" s="176"/>
      <c r="AE736" s="176"/>
      <c r="AF736" s="176"/>
      <c r="AG736" s="176"/>
    </row>
    <row r="737" spans="3:33" s="160" customFormat="1">
      <c r="C737" s="825"/>
      <c r="M737" s="247"/>
      <c r="Y737" s="176"/>
      <c r="Z737" s="176"/>
      <c r="AA737" s="176"/>
      <c r="AB737" s="176"/>
      <c r="AC737" s="176"/>
      <c r="AD737" s="176"/>
      <c r="AE737" s="176"/>
      <c r="AF737" s="176"/>
      <c r="AG737" s="176"/>
    </row>
    <row r="738" spans="3:33" s="160" customFormat="1">
      <c r="C738" s="825"/>
      <c r="M738" s="247"/>
      <c r="Y738" s="176"/>
      <c r="Z738" s="176"/>
      <c r="AA738" s="176"/>
      <c r="AB738" s="176"/>
      <c r="AC738" s="176"/>
      <c r="AD738" s="176"/>
      <c r="AE738" s="176"/>
      <c r="AF738" s="176"/>
      <c r="AG738" s="176"/>
    </row>
    <row r="739" spans="3:33" s="160" customFormat="1">
      <c r="C739" s="825"/>
      <c r="M739" s="247"/>
      <c r="Y739" s="176"/>
      <c r="Z739" s="176"/>
      <c r="AA739" s="176"/>
      <c r="AB739" s="176"/>
      <c r="AC739" s="176"/>
      <c r="AD739" s="176"/>
      <c r="AE739" s="176"/>
      <c r="AF739" s="176"/>
      <c r="AG739" s="176"/>
    </row>
    <row r="740" spans="3:33" s="160" customFormat="1">
      <c r="C740" s="825"/>
      <c r="M740" s="247"/>
      <c r="Y740" s="176"/>
      <c r="Z740" s="176"/>
      <c r="AA740" s="176"/>
      <c r="AB740" s="176"/>
      <c r="AC740" s="176"/>
      <c r="AD740" s="176"/>
      <c r="AE740" s="176"/>
      <c r="AF740" s="176"/>
      <c r="AG740" s="176"/>
    </row>
    <row r="741" spans="3:33" s="160" customFormat="1">
      <c r="C741" s="825"/>
      <c r="M741" s="247"/>
      <c r="Y741" s="176"/>
      <c r="Z741" s="176"/>
      <c r="AA741" s="176"/>
      <c r="AB741" s="176"/>
      <c r="AC741" s="176"/>
      <c r="AD741" s="176"/>
      <c r="AE741" s="176"/>
      <c r="AF741" s="176"/>
      <c r="AG741" s="176"/>
    </row>
    <row r="742" spans="3:33" s="160" customFormat="1">
      <c r="C742" s="825"/>
      <c r="M742" s="247"/>
      <c r="Y742" s="176"/>
      <c r="Z742" s="176"/>
      <c r="AA742" s="176"/>
      <c r="AB742" s="176"/>
      <c r="AC742" s="176"/>
      <c r="AD742" s="176"/>
      <c r="AE742" s="176"/>
      <c r="AF742" s="176"/>
      <c r="AG742" s="176"/>
    </row>
    <row r="743" spans="3:33" s="160" customFormat="1">
      <c r="C743" s="825"/>
      <c r="M743" s="247"/>
      <c r="Y743" s="176"/>
      <c r="Z743" s="176"/>
      <c r="AA743" s="176"/>
      <c r="AB743" s="176"/>
      <c r="AC743" s="176"/>
      <c r="AD743" s="176"/>
      <c r="AE743" s="176"/>
      <c r="AF743" s="176"/>
      <c r="AG743" s="176"/>
    </row>
    <row r="744" spans="3:33" s="160" customFormat="1">
      <c r="C744" s="825"/>
      <c r="M744" s="247"/>
      <c r="Y744" s="176"/>
      <c r="Z744" s="176"/>
      <c r="AA744" s="176"/>
      <c r="AB744" s="176"/>
      <c r="AC744" s="176"/>
      <c r="AD744" s="176"/>
      <c r="AE744" s="176"/>
      <c r="AF744" s="176"/>
      <c r="AG744" s="176"/>
    </row>
    <row r="745" spans="3:33" s="160" customFormat="1">
      <c r="C745" s="825"/>
      <c r="M745" s="247"/>
      <c r="Y745" s="176"/>
      <c r="Z745" s="176"/>
      <c r="AA745" s="176"/>
      <c r="AB745" s="176"/>
      <c r="AC745" s="176"/>
      <c r="AD745" s="176"/>
      <c r="AE745" s="176"/>
      <c r="AF745" s="176"/>
      <c r="AG745" s="176"/>
    </row>
    <row r="746" spans="3:33" s="160" customFormat="1">
      <c r="C746" s="825"/>
      <c r="M746" s="247"/>
      <c r="Y746" s="176"/>
      <c r="Z746" s="176"/>
      <c r="AA746" s="176"/>
      <c r="AB746" s="176"/>
      <c r="AC746" s="176"/>
      <c r="AD746" s="176"/>
      <c r="AE746" s="176"/>
      <c r="AF746" s="176"/>
      <c r="AG746" s="176"/>
    </row>
    <row r="747" spans="3:33" s="160" customFormat="1">
      <c r="C747" s="825"/>
      <c r="M747" s="247"/>
      <c r="Y747" s="176"/>
      <c r="Z747" s="176"/>
      <c r="AA747" s="176"/>
      <c r="AB747" s="176"/>
      <c r="AC747" s="176"/>
      <c r="AD747" s="176"/>
      <c r="AE747" s="176"/>
      <c r="AF747" s="176"/>
      <c r="AG747" s="176"/>
    </row>
    <row r="748" spans="3:33" s="160" customFormat="1">
      <c r="C748" s="825"/>
      <c r="M748" s="247"/>
      <c r="Y748" s="176"/>
      <c r="Z748" s="176"/>
      <c r="AA748" s="176"/>
      <c r="AB748" s="176"/>
      <c r="AC748" s="176"/>
      <c r="AD748" s="176"/>
      <c r="AE748" s="176"/>
      <c r="AF748" s="176"/>
      <c r="AG748" s="176"/>
    </row>
    <row r="749" spans="3:33" s="160" customFormat="1">
      <c r="C749" s="825"/>
      <c r="M749" s="247"/>
      <c r="Y749" s="176"/>
      <c r="Z749" s="176"/>
      <c r="AA749" s="176"/>
      <c r="AB749" s="176"/>
      <c r="AC749" s="176"/>
      <c r="AD749" s="176"/>
      <c r="AE749" s="176"/>
      <c r="AF749" s="176"/>
      <c r="AG749" s="176"/>
    </row>
    <row r="750" spans="3:33" s="160" customFormat="1">
      <c r="C750" s="825"/>
      <c r="M750" s="247"/>
      <c r="Y750" s="176"/>
      <c r="Z750" s="176"/>
      <c r="AA750" s="176"/>
      <c r="AB750" s="176"/>
      <c r="AC750" s="176"/>
      <c r="AD750" s="176"/>
      <c r="AE750" s="176"/>
      <c r="AF750" s="176"/>
      <c r="AG750" s="176"/>
    </row>
    <row r="751" spans="3:33" s="160" customFormat="1">
      <c r="C751" s="825"/>
      <c r="M751" s="247"/>
      <c r="Y751" s="176"/>
      <c r="Z751" s="176"/>
      <c r="AA751" s="176"/>
      <c r="AB751" s="176"/>
      <c r="AC751" s="176"/>
      <c r="AD751" s="176"/>
      <c r="AE751" s="176"/>
      <c r="AF751" s="176"/>
      <c r="AG751" s="176"/>
    </row>
    <row r="752" spans="3:33" s="160" customFormat="1">
      <c r="C752" s="825"/>
      <c r="M752" s="247"/>
      <c r="Y752" s="176"/>
      <c r="Z752" s="176"/>
      <c r="AA752" s="176"/>
      <c r="AB752" s="176"/>
      <c r="AC752" s="176"/>
      <c r="AD752" s="176"/>
      <c r="AE752" s="176"/>
      <c r="AF752" s="176"/>
      <c r="AG752" s="176"/>
    </row>
    <row r="753" spans="3:33" s="160" customFormat="1">
      <c r="C753" s="825"/>
      <c r="M753" s="247"/>
      <c r="Y753" s="176"/>
      <c r="Z753" s="176"/>
      <c r="AA753" s="176"/>
      <c r="AB753" s="176"/>
      <c r="AC753" s="176"/>
      <c r="AD753" s="176"/>
      <c r="AE753" s="176"/>
      <c r="AF753" s="176"/>
      <c r="AG753" s="176"/>
    </row>
    <row r="754" spans="3:33" s="160" customFormat="1">
      <c r="C754" s="825"/>
      <c r="M754" s="247"/>
      <c r="Y754" s="176"/>
      <c r="Z754" s="176"/>
      <c r="AA754" s="176"/>
      <c r="AB754" s="176"/>
      <c r="AC754" s="176"/>
      <c r="AD754" s="176"/>
      <c r="AE754" s="176"/>
      <c r="AF754" s="176"/>
      <c r="AG754" s="176"/>
    </row>
    <row r="755" spans="3:33" s="160" customFormat="1">
      <c r="C755" s="825"/>
      <c r="M755" s="247"/>
      <c r="Y755" s="176"/>
      <c r="Z755" s="176"/>
      <c r="AA755" s="176"/>
      <c r="AB755" s="176"/>
      <c r="AC755" s="176"/>
      <c r="AD755" s="176"/>
      <c r="AE755" s="176"/>
      <c r="AF755" s="176"/>
      <c r="AG755" s="176"/>
    </row>
    <row r="756" spans="3:33" s="160" customFormat="1">
      <c r="C756" s="825"/>
      <c r="M756" s="247"/>
      <c r="Y756" s="176"/>
      <c r="Z756" s="176"/>
      <c r="AA756" s="176"/>
      <c r="AB756" s="176"/>
      <c r="AC756" s="176"/>
      <c r="AD756" s="176"/>
      <c r="AE756" s="176"/>
      <c r="AF756" s="176"/>
      <c r="AG756" s="176"/>
    </row>
    <row r="757" spans="3:33" s="160" customFormat="1">
      <c r="C757" s="825"/>
      <c r="M757" s="247"/>
      <c r="Y757" s="176"/>
      <c r="Z757" s="176"/>
      <c r="AA757" s="176"/>
      <c r="AB757" s="176"/>
      <c r="AC757" s="176"/>
      <c r="AD757" s="176"/>
      <c r="AE757" s="176"/>
      <c r="AF757" s="176"/>
      <c r="AG757" s="176"/>
    </row>
    <row r="758" spans="3:33" s="160" customFormat="1">
      <c r="C758" s="825"/>
      <c r="M758" s="247"/>
      <c r="Y758" s="176"/>
      <c r="Z758" s="176"/>
      <c r="AA758" s="176"/>
      <c r="AB758" s="176"/>
      <c r="AC758" s="176"/>
      <c r="AD758" s="176"/>
      <c r="AE758" s="176"/>
      <c r="AF758" s="176"/>
      <c r="AG758" s="176"/>
    </row>
    <row r="759" spans="3:33" s="160" customFormat="1">
      <c r="C759" s="825"/>
      <c r="M759" s="247"/>
      <c r="Y759" s="176"/>
      <c r="Z759" s="176"/>
      <c r="AA759" s="176"/>
      <c r="AB759" s="176"/>
      <c r="AC759" s="176"/>
      <c r="AD759" s="176"/>
      <c r="AE759" s="176"/>
      <c r="AF759" s="176"/>
      <c r="AG759" s="176"/>
    </row>
    <row r="760" spans="3:33" s="160" customFormat="1">
      <c r="C760" s="825"/>
      <c r="M760" s="247"/>
      <c r="Y760" s="176"/>
      <c r="Z760" s="176"/>
      <c r="AA760" s="176"/>
      <c r="AB760" s="176"/>
      <c r="AC760" s="176"/>
      <c r="AD760" s="176"/>
      <c r="AE760" s="176"/>
      <c r="AF760" s="176"/>
      <c r="AG760" s="176"/>
    </row>
    <row r="761" spans="3:33" s="160" customFormat="1">
      <c r="C761" s="825"/>
      <c r="M761" s="247"/>
      <c r="Y761" s="176"/>
      <c r="Z761" s="176"/>
      <c r="AA761" s="176"/>
      <c r="AB761" s="176"/>
      <c r="AC761" s="176"/>
      <c r="AD761" s="176"/>
      <c r="AE761" s="176"/>
      <c r="AF761" s="176"/>
      <c r="AG761" s="176"/>
    </row>
    <row r="762" spans="3:33" s="160" customFormat="1">
      <c r="C762" s="825"/>
      <c r="M762" s="247"/>
      <c r="Y762" s="176"/>
      <c r="Z762" s="176"/>
      <c r="AA762" s="176"/>
      <c r="AB762" s="176"/>
      <c r="AC762" s="176"/>
      <c r="AD762" s="176"/>
      <c r="AE762" s="176"/>
      <c r="AF762" s="176"/>
      <c r="AG762" s="176"/>
    </row>
    <row r="763" spans="3:33" s="160" customFormat="1">
      <c r="C763" s="825"/>
      <c r="M763" s="247"/>
      <c r="Y763" s="176"/>
      <c r="Z763" s="176"/>
      <c r="AA763" s="176"/>
      <c r="AB763" s="176"/>
      <c r="AC763" s="176"/>
      <c r="AD763" s="176"/>
      <c r="AE763" s="176"/>
      <c r="AF763" s="176"/>
      <c r="AG763" s="176"/>
    </row>
    <row r="764" spans="3:33" s="160" customFormat="1">
      <c r="C764" s="825"/>
      <c r="M764" s="247"/>
      <c r="Y764" s="176"/>
      <c r="Z764" s="176"/>
      <c r="AA764" s="176"/>
      <c r="AB764" s="176"/>
      <c r="AC764" s="176"/>
      <c r="AD764" s="176"/>
      <c r="AE764" s="176"/>
      <c r="AF764" s="176"/>
      <c r="AG764" s="176"/>
    </row>
    <row r="765" spans="3:33" s="160" customFormat="1">
      <c r="C765" s="825"/>
      <c r="M765" s="247"/>
      <c r="Y765" s="176"/>
      <c r="Z765" s="176"/>
      <c r="AA765" s="176"/>
      <c r="AB765" s="176"/>
      <c r="AC765" s="176"/>
      <c r="AD765" s="176"/>
      <c r="AE765" s="176"/>
      <c r="AF765" s="176"/>
      <c r="AG765" s="176"/>
    </row>
    <row r="766" spans="3:33" s="160" customFormat="1">
      <c r="C766" s="825"/>
      <c r="M766" s="247"/>
      <c r="Y766" s="176"/>
      <c r="Z766" s="176"/>
      <c r="AA766" s="176"/>
      <c r="AB766" s="176"/>
      <c r="AC766" s="176"/>
      <c r="AD766" s="176"/>
      <c r="AE766" s="176"/>
      <c r="AF766" s="176"/>
      <c r="AG766" s="176"/>
    </row>
    <row r="767" spans="3:33" s="160" customFormat="1">
      <c r="C767" s="825"/>
      <c r="M767" s="247"/>
      <c r="Y767" s="176"/>
      <c r="Z767" s="176"/>
      <c r="AA767" s="176"/>
      <c r="AB767" s="176"/>
      <c r="AC767" s="176"/>
      <c r="AD767" s="176"/>
      <c r="AE767" s="176"/>
      <c r="AF767" s="176"/>
      <c r="AG767" s="176"/>
    </row>
    <row r="768" spans="3:33" s="160" customFormat="1">
      <c r="C768" s="825"/>
      <c r="M768" s="247"/>
      <c r="Y768" s="176"/>
      <c r="Z768" s="176"/>
      <c r="AA768" s="176"/>
      <c r="AB768" s="176"/>
      <c r="AC768" s="176"/>
      <c r="AD768" s="176"/>
      <c r="AE768" s="176"/>
      <c r="AF768" s="176"/>
      <c r="AG768" s="176"/>
    </row>
    <row r="769" spans="3:33" s="160" customFormat="1">
      <c r="C769" s="825"/>
      <c r="M769" s="247"/>
      <c r="Y769" s="176"/>
      <c r="Z769" s="176"/>
      <c r="AA769" s="176"/>
      <c r="AB769" s="176"/>
      <c r="AC769" s="176"/>
      <c r="AD769" s="176"/>
      <c r="AE769" s="176"/>
      <c r="AF769" s="176"/>
      <c r="AG769" s="176"/>
    </row>
    <row r="770" spans="3:33" s="160" customFormat="1">
      <c r="C770" s="825"/>
      <c r="M770" s="247"/>
      <c r="Y770" s="176"/>
      <c r="Z770" s="176"/>
      <c r="AA770" s="176"/>
      <c r="AB770" s="176"/>
      <c r="AC770" s="176"/>
      <c r="AD770" s="176"/>
      <c r="AE770" s="176"/>
      <c r="AF770" s="176"/>
      <c r="AG770" s="176"/>
    </row>
    <row r="771" spans="3:33" s="160" customFormat="1">
      <c r="C771" s="825"/>
      <c r="M771" s="247"/>
      <c r="Y771" s="176"/>
      <c r="Z771" s="176"/>
      <c r="AA771" s="176"/>
      <c r="AB771" s="176"/>
      <c r="AC771" s="176"/>
      <c r="AD771" s="176"/>
      <c r="AE771" s="176"/>
      <c r="AF771" s="176"/>
      <c r="AG771" s="176"/>
    </row>
    <row r="772" spans="3:33" s="160" customFormat="1">
      <c r="C772" s="825"/>
      <c r="M772" s="247"/>
      <c r="Y772" s="176"/>
      <c r="Z772" s="176"/>
      <c r="AA772" s="176"/>
      <c r="AB772" s="176"/>
      <c r="AC772" s="176"/>
      <c r="AD772" s="176"/>
      <c r="AE772" s="176"/>
      <c r="AF772" s="176"/>
      <c r="AG772" s="176"/>
    </row>
    <row r="773" spans="3:33" s="160" customFormat="1">
      <c r="C773" s="825"/>
      <c r="M773" s="247"/>
      <c r="Y773" s="176"/>
      <c r="Z773" s="176"/>
      <c r="AA773" s="176"/>
      <c r="AB773" s="176"/>
      <c r="AC773" s="176"/>
      <c r="AD773" s="176"/>
      <c r="AE773" s="176"/>
      <c r="AF773" s="176"/>
      <c r="AG773" s="176"/>
    </row>
    <row r="774" spans="3:33" s="160" customFormat="1">
      <c r="C774" s="825"/>
      <c r="M774" s="247"/>
      <c r="Y774" s="176"/>
      <c r="Z774" s="176"/>
      <c r="AA774" s="176"/>
      <c r="AB774" s="176"/>
      <c r="AC774" s="176"/>
      <c r="AD774" s="176"/>
      <c r="AE774" s="176"/>
      <c r="AF774" s="176"/>
      <c r="AG774" s="176"/>
    </row>
    <row r="775" spans="3:33" s="160" customFormat="1">
      <c r="C775" s="825"/>
      <c r="M775" s="247"/>
      <c r="Y775" s="176"/>
      <c r="Z775" s="176"/>
      <c r="AA775" s="176"/>
      <c r="AB775" s="176"/>
      <c r="AC775" s="176"/>
      <c r="AD775" s="176"/>
      <c r="AE775" s="176"/>
      <c r="AF775" s="176"/>
      <c r="AG775" s="176"/>
    </row>
    <row r="776" spans="3:33" s="160" customFormat="1">
      <c r="C776" s="825"/>
      <c r="M776" s="247"/>
      <c r="Y776" s="176"/>
      <c r="Z776" s="176"/>
      <c r="AA776" s="176"/>
      <c r="AB776" s="176"/>
      <c r="AC776" s="176"/>
      <c r="AD776" s="176"/>
      <c r="AE776" s="176"/>
      <c r="AF776" s="176"/>
      <c r="AG776" s="176"/>
    </row>
    <row r="777" spans="3:33" s="160" customFormat="1">
      <c r="C777" s="825"/>
      <c r="M777" s="247"/>
      <c r="Y777" s="176"/>
      <c r="Z777" s="176"/>
      <c r="AA777" s="176"/>
      <c r="AB777" s="176"/>
      <c r="AC777" s="176"/>
      <c r="AD777" s="176"/>
      <c r="AE777" s="176"/>
      <c r="AF777" s="176"/>
      <c r="AG777" s="176"/>
    </row>
    <row r="778" spans="3:33" s="160" customFormat="1">
      <c r="C778" s="825"/>
      <c r="M778" s="247"/>
      <c r="Y778" s="176"/>
      <c r="Z778" s="176"/>
      <c r="AA778" s="176"/>
      <c r="AB778" s="176"/>
      <c r="AC778" s="176"/>
      <c r="AD778" s="176"/>
      <c r="AE778" s="176"/>
      <c r="AF778" s="176"/>
      <c r="AG778" s="176"/>
    </row>
    <row r="779" spans="3:33" s="160" customFormat="1">
      <c r="C779" s="825"/>
      <c r="M779" s="247"/>
      <c r="Y779" s="176"/>
      <c r="Z779" s="176"/>
      <c r="AA779" s="176"/>
      <c r="AB779" s="176"/>
      <c r="AC779" s="176"/>
      <c r="AD779" s="176"/>
      <c r="AE779" s="176"/>
      <c r="AF779" s="176"/>
      <c r="AG779" s="176"/>
    </row>
    <row r="780" spans="3:33" s="160" customFormat="1">
      <c r="C780" s="825"/>
      <c r="M780" s="247"/>
      <c r="Y780" s="176"/>
      <c r="Z780" s="176"/>
      <c r="AA780" s="176"/>
      <c r="AB780" s="176"/>
      <c r="AC780" s="176"/>
      <c r="AD780" s="176"/>
      <c r="AE780" s="176"/>
      <c r="AF780" s="176"/>
      <c r="AG780" s="176"/>
    </row>
    <row r="781" spans="3:33" s="160" customFormat="1">
      <c r="C781" s="825"/>
      <c r="M781" s="247"/>
      <c r="Y781" s="176"/>
      <c r="Z781" s="176"/>
      <c r="AA781" s="176"/>
      <c r="AB781" s="176"/>
      <c r="AC781" s="176"/>
      <c r="AD781" s="176"/>
      <c r="AE781" s="176"/>
      <c r="AF781" s="176"/>
      <c r="AG781" s="176"/>
    </row>
    <row r="782" spans="3:33" s="160" customFormat="1">
      <c r="C782" s="825"/>
      <c r="M782" s="247"/>
      <c r="Y782" s="176"/>
      <c r="Z782" s="176"/>
      <c r="AA782" s="176"/>
      <c r="AB782" s="176"/>
      <c r="AC782" s="176"/>
      <c r="AD782" s="176"/>
      <c r="AE782" s="176"/>
      <c r="AF782" s="176"/>
      <c r="AG782" s="176"/>
    </row>
    <row r="783" spans="3:33" s="160" customFormat="1">
      <c r="C783" s="825"/>
      <c r="M783" s="247"/>
      <c r="Y783" s="176"/>
      <c r="Z783" s="176"/>
      <c r="AA783" s="176"/>
      <c r="AB783" s="176"/>
      <c r="AC783" s="176"/>
      <c r="AD783" s="176"/>
      <c r="AE783" s="176"/>
      <c r="AF783" s="176"/>
      <c r="AG783" s="176"/>
    </row>
    <row r="784" spans="3:33" s="160" customFormat="1">
      <c r="C784" s="825"/>
      <c r="M784" s="247"/>
      <c r="Y784" s="176"/>
      <c r="Z784" s="176"/>
      <c r="AA784" s="176"/>
      <c r="AB784" s="176"/>
      <c r="AC784" s="176"/>
      <c r="AD784" s="176"/>
      <c r="AE784" s="176"/>
      <c r="AF784" s="176"/>
      <c r="AG784" s="176"/>
    </row>
    <row r="785" spans="3:33" s="160" customFormat="1">
      <c r="C785" s="825"/>
      <c r="M785" s="247"/>
      <c r="Y785" s="176"/>
      <c r="Z785" s="176"/>
      <c r="AA785" s="176"/>
      <c r="AB785" s="176"/>
      <c r="AC785" s="176"/>
      <c r="AD785" s="176"/>
      <c r="AE785" s="176"/>
      <c r="AF785" s="176"/>
      <c r="AG785" s="176"/>
    </row>
    <row r="786" spans="3:33" s="160" customFormat="1">
      <c r="C786" s="825"/>
      <c r="M786" s="247"/>
      <c r="Y786" s="176"/>
      <c r="Z786" s="176"/>
      <c r="AA786" s="176"/>
      <c r="AB786" s="176"/>
      <c r="AC786" s="176"/>
      <c r="AD786" s="176"/>
      <c r="AE786" s="176"/>
      <c r="AF786" s="176"/>
      <c r="AG786" s="176"/>
    </row>
    <row r="787" spans="3:33" s="160" customFormat="1">
      <c r="C787" s="825"/>
      <c r="M787" s="247"/>
      <c r="Y787" s="176"/>
      <c r="Z787" s="176"/>
      <c r="AA787" s="176"/>
      <c r="AB787" s="176"/>
      <c r="AC787" s="176"/>
      <c r="AD787" s="176"/>
      <c r="AE787" s="176"/>
      <c r="AF787" s="176"/>
      <c r="AG787" s="176"/>
    </row>
    <row r="788" spans="3:33" s="160" customFormat="1">
      <c r="C788" s="825"/>
      <c r="M788" s="247"/>
      <c r="Y788" s="176"/>
      <c r="Z788" s="176"/>
      <c r="AA788" s="176"/>
      <c r="AB788" s="176"/>
      <c r="AC788" s="176"/>
      <c r="AD788" s="176"/>
      <c r="AE788" s="176"/>
      <c r="AF788" s="176"/>
      <c r="AG788" s="176"/>
    </row>
    <row r="789" spans="3:33" s="160" customFormat="1">
      <c r="C789" s="825"/>
      <c r="M789" s="247"/>
      <c r="Y789" s="176"/>
      <c r="Z789" s="176"/>
      <c r="AA789" s="176"/>
      <c r="AB789" s="176"/>
      <c r="AC789" s="176"/>
      <c r="AD789" s="176"/>
      <c r="AE789" s="176"/>
      <c r="AF789" s="176"/>
      <c r="AG789" s="176"/>
    </row>
    <row r="790" spans="3:33" s="160" customFormat="1">
      <c r="C790" s="825"/>
      <c r="M790" s="247"/>
      <c r="Y790" s="176"/>
      <c r="Z790" s="176"/>
      <c r="AA790" s="176"/>
      <c r="AB790" s="176"/>
      <c r="AC790" s="176"/>
      <c r="AD790" s="176"/>
      <c r="AE790" s="176"/>
      <c r="AF790" s="176"/>
      <c r="AG790" s="176"/>
    </row>
    <row r="791" spans="3:33" s="160" customFormat="1">
      <c r="C791" s="825"/>
      <c r="M791" s="247"/>
      <c r="Y791" s="176"/>
      <c r="Z791" s="176"/>
      <c r="AA791" s="176"/>
      <c r="AB791" s="176"/>
      <c r="AC791" s="176"/>
      <c r="AD791" s="176"/>
      <c r="AE791" s="176"/>
      <c r="AF791" s="176"/>
      <c r="AG791" s="176"/>
    </row>
    <row r="792" spans="3:33" s="160" customFormat="1">
      <c r="C792" s="825"/>
      <c r="M792" s="247"/>
      <c r="Y792" s="176"/>
      <c r="Z792" s="176"/>
      <c r="AA792" s="176"/>
      <c r="AB792" s="176"/>
      <c r="AC792" s="176"/>
      <c r="AD792" s="176"/>
      <c r="AE792" s="176"/>
      <c r="AF792" s="176"/>
      <c r="AG792" s="176"/>
    </row>
    <row r="793" spans="3:33" s="160" customFormat="1">
      <c r="C793" s="825"/>
      <c r="M793" s="247"/>
      <c r="Y793" s="176"/>
      <c r="Z793" s="176"/>
      <c r="AA793" s="176"/>
      <c r="AB793" s="176"/>
      <c r="AC793" s="176"/>
      <c r="AD793" s="176"/>
      <c r="AE793" s="176"/>
      <c r="AF793" s="176"/>
      <c r="AG793" s="176"/>
    </row>
    <row r="794" spans="3:33" s="160" customFormat="1">
      <c r="C794" s="825"/>
      <c r="M794" s="247"/>
      <c r="Y794" s="176"/>
      <c r="Z794" s="176"/>
      <c r="AA794" s="176"/>
      <c r="AB794" s="176"/>
      <c r="AC794" s="176"/>
      <c r="AD794" s="176"/>
      <c r="AE794" s="176"/>
      <c r="AF794" s="176"/>
      <c r="AG794" s="176"/>
    </row>
    <row r="795" spans="3:33" s="160" customFormat="1">
      <c r="C795" s="825"/>
      <c r="M795" s="247"/>
      <c r="Y795" s="176"/>
      <c r="Z795" s="176"/>
      <c r="AA795" s="176"/>
      <c r="AB795" s="176"/>
      <c r="AC795" s="176"/>
      <c r="AD795" s="176"/>
      <c r="AE795" s="176"/>
      <c r="AF795" s="176"/>
      <c r="AG795" s="176"/>
    </row>
    <row r="796" spans="3:33" s="160" customFormat="1">
      <c r="C796" s="825"/>
      <c r="M796" s="247"/>
      <c r="Y796" s="176"/>
      <c r="Z796" s="176"/>
      <c r="AA796" s="176"/>
      <c r="AB796" s="176"/>
      <c r="AC796" s="176"/>
      <c r="AD796" s="176"/>
      <c r="AE796" s="176"/>
      <c r="AF796" s="176"/>
      <c r="AG796" s="176"/>
    </row>
    <row r="797" spans="3:33" s="160" customFormat="1">
      <c r="C797" s="825"/>
      <c r="M797" s="247"/>
      <c r="Y797" s="176"/>
      <c r="Z797" s="176"/>
      <c r="AA797" s="176"/>
      <c r="AB797" s="176"/>
      <c r="AC797" s="176"/>
      <c r="AD797" s="176"/>
      <c r="AE797" s="176"/>
      <c r="AF797" s="176"/>
      <c r="AG797" s="176"/>
    </row>
    <row r="798" spans="3:33" s="160" customFormat="1">
      <c r="C798" s="825"/>
      <c r="M798" s="247"/>
      <c r="Y798" s="176"/>
      <c r="Z798" s="176"/>
      <c r="AA798" s="176"/>
      <c r="AB798" s="176"/>
      <c r="AC798" s="176"/>
      <c r="AD798" s="176"/>
      <c r="AE798" s="176"/>
      <c r="AF798" s="176"/>
      <c r="AG798" s="176"/>
    </row>
    <row r="799" spans="3:33" s="160" customFormat="1">
      <c r="C799" s="825"/>
      <c r="M799" s="247"/>
      <c r="Y799" s="176"/>
      <c r="Z799" s="176"/>
      <c r="AA799" s="176"/>
      <c r="AB799" s="176"/>
      <c r="AC799" s="176"/>
      <c r="AD799" s="176"/>
      <c r="AE799" s="176"/>
      <c r="AF799" s="176"/>
      <c r="AG799" s="176"/>
    </row>
    <row r="800" spans="3:33" s="160" customFormat="1">
      <c r="C800" s="825"/>
      <c r="M800" s="247"/>
      <c r="Y800" s="176"/>
      <c r="Z800" s="176"/>
      <c r="AA800" s="176"/>
      <c r="AB800" s="176"/>
      <c r="AC800" s="176"/>
      <c r="AD800" s="176"/>
      <c r="AE800" s="176"/>
      <c r="AF800" s="176"/>
      <c r="AG800" s="176"/>
    </row>
    <row r="801" spans="3:33" s="160" customFormat="1">
      <c r="C801" s="825"/>
      <c r="M801" s="247"/>
      <c r="Y801" s="176"/>
      <c r="Z801" s="176"/>
      <c r="AA801" s="176"/>
      <c r="AB801" s="176"/>
      <c r="AC801" s="176"/>
      <c r="AD801" s="176"/>
      <c r="AE801" s="176"/>
      <c r="AF801" s="176"/>
      <c r="AG801" s="176"/>
    </row>
    <row r="802" spans="3:33" s="160" customFormat="1">
      <c r="C802" s="825"/>
      <c r="M802" s="247"/>
      <c r="Y802" s="176"/>
      <c r="Z802" s="176"/>
      <c r="AA802" s="176"/>
      <c r="AB802" s="176"/>
      <c r="AC802" s="176"/>
      <c r="AD802" s="176"/>
      <c r="AE802" s="176"/>
      <c r="AF802" s="176"/>
      <c r="AG802" s="176"/>
    </row>
    <row r="803" spans="3:33" s="160" customFormat="1">
      <c r="C803" s="825"/>
      <c r="M803" s="247"/>
      <c r="Y803" s="176"/>
      <c r="Z803" s="176"/>
      <c r="AA803" s="176"/>
      <c r="AB803" s="176"/>
      <c r="AC803" s="176"/>
      <c r="AD803" s="176"/>
      <c r="AE803" s="176"/>
      <c r="AF803" s="176"/>
      <c r="AG803" s="176"/>
    </row>
    <row r="804" spans="3:33" s="160" customFormat="1">
      <c r="C804" s="825"/>
      <c r="M804" s="247"/>
      <c r="Y804" s="176"/>
      <c r="Z804" s="176"/>
      <c r="AA804" s="176"/>
      <c r="AB804" s="176"/>
      <c r="AC804" s="176"/>
      <c r="AD804" s="176"/>
      <c r="AE804" s="176"/>
      <c r="AF804" s="176"/>
      <c r="AG804" s="176"/>
    </row>
    <row r="805" spans="3:33" s="160" customFormat="1">
      <c r="C805" s="825"/>
      <c r="M805" s="247"/>
      <c r="Y805" s="176"/>
      <c r="Z805" s="176"/>
      <c r="AA805" s="176"/>
      <c r="AB805" s="176"/>
      <c r="AC805" s="176"/>
      <c r="AD805" s="176"/>
      <c r="AE805" s="176"/>
      <c r="AF805" s="176"/>
      <c r="AG805" s="176"/>
    </row>
    <row r="806" spans="3:33" s="160" customFormat="1">
      <c r="C806" s="825"/>
      <c r="M806" s="247"/>
      <c r="Y806" s="176"/>
      <c r="Z806" s="176"/>
      <c r="AA806" s="176"/>
      <c r="AB806" s="176"/>
      <c r="AC806" s="176"/>
      <c r="AD806" s="176"/>
      <c r="AE806" s="176"/>
      <c r="AF806" s="176"/>
      <c r="AG806" s="176"/>
    </row>
    <row r="807" spans="3:33" s="160" customFormat="1">
      <c r="C807" s="825"/>
      <c r="M807" s="247"/>
      <c r="Y807" s="176"/>
      <c r="Z807" s="176"/>
      <c r="AA807" s="176"/>
      <c r="AB807" s="176"/>
      <c r="AC807" s="176"/>
      <c r="AD807" s="176"/>
      <c r="AE807" s="176"/>
      <c r="AF807" s="176"/>
      <c r="AG807" s="176"/>
    </row>
    <row r="808" spans="3:33" s="160" customFormat="1">
      <c r="C808" s="825"/>
      <c r="M808" s="247"/>
      <c r="Y808" s="176"/>
      <c r="Z808" s="176"/>
      <c r="AA808" s="176"/>
      <c r="AB808" s="176"/>
      <c r="AC808" s="176"/>
      <c r="AD808" s="176"/>
      <c r="AE808" s="176"/>
      <c r="AF808" s="176"/>
      <c r="AG808" s="176"/>
    </row>
    <row r="809" spans="3:33" s="160" customFormat="1">
      <c r="C809" s="825"/>
      <c r="M809" s="247"/>
      <c r="Y809" s="176"/>
      <c r="Z809" s="176"/>
      <c r="AA809" s="176"/>
      <c r="AB809" s="176"/>
      <c r="AC809" s="176"/>
      <c r="AD809" s="176"/>
      <c r="AE809" s="176"/>
      <c r="AF809" s="176"/>
      <c r="AG809" s="176"/>
    </row>
    <row r="810" spans="3:33" s="160" customFormat="1">
      <c r="C810" s="825"/>
      <c r="M810" s="247"/>
      <c r="Y810" s="176"/>
      <c r="Z810" s="176"/>
      <c r="AA810" s="176"/>
      <c r="AB810" s="176"/>
      <c r="AC810" s="176"/>
      <c r="AD810" s="176"/>
      <c r="AE810" s="176"/>
      <c r="AF810" s="176"/>
      <c r="AG810" s="176"/>
    </row>
    <row r="811" spans="3:33" s="160" customFormat="1">
      <c r="C811" s="825"/>
      <c r="M811" s="247"/>
      <c r="Y811" s="176"/>
      <c r="Z811" s="176"/>
      <c r="AA811" s="176"/>
      <c r="AB811" s="176"/>
      <c r="AC811" s="176"/>
      <c r="AD811" s="176"/>
      <c r="AE811" s="176"/>
      <c r="AF811" s="176"/>
      <c r="AG811" s="176"/>
    </row>
    <row r="812" spans="3:33" s="160" customFormat="1">
      <c r="C812" s="825"/>
      <c r="M812" s="247"/>
      <c r="Y812" s="176"/>
      <c r="Z812" s="176"/>
      <c r="AA812" s="176"/>
      <c r="AB812" s="176"/>
      <c r="AC812" s="176"/>
      <c r="AD812" s="176"/>
      <c r="AE812" s="176"/>
      <c r="AF812" s="176"/>
      <c r="AG812" s="176"/>
    </row>
    <row r="813" spans="3:33" s="160" customFormat="1">
      <c r="C813" s="825"/>
      <c r="M813" s="247"/>
      <c r="Y813" s="176"/>
      <c r="Z813" s="176"/>
      <c r="AA813" s="176"/>
      <c r="AB813" s="176"/>
      <c r="AC813" s="176"/>
      <c r="AD813" s="176"/>
      <c r="AE813" s="176"/>
      <c r="AF813" s="176"/>
      <c r="AG813" s="176"/>
    </row>
    <row r="814" spans="3:33" s="160" customFormat="1">
      <c r="C814" s="825"/>
      <c r="M814" s="247"/>
      <c r="Y814" s="176"/>
      <c r="Z814" s="176"/>
      <c r="AA814" s="176"/>
      <c r="AB814" s="176"/>
      <c r="AC814" s="176"/>
      <c r="AD814" s="176"/>
      <c r="AE814" s="176"/>
      <c r="AF814" s="176"/>
      <c r="AG814" s="176"/>
    </row>
    <row r="815" spans="3:33" s="160" customFormat="1">
      <c r="C815" s="825"/>
      <c r="M815" s="247"/>
      <c r="Y815" s="176"/>
      <c r="Z815" s="176"/>
      <c r="AA815" s="176"/>
      <c r="AB815" s="176"/>
      <c r="AC815" s="176"/>
      <c r="AD815" s="176"/>
      <c r="AE815" s="176"/>
      <c r="AF815" s="176"/>
      <c r="AG815" s="176"/>
    </row>
    <row r="816" spans="3:33" s="160" customFormat="1">
      <c r="C816" s="825"/>
      <c r="M816" s="247"/>
      <c r="Y816" s="176"/>
      <c r="Z816" s="176"/>
      <c r="AA816" s="176"/>
      <c r="AB816" s="176"/>
      <c r="AC816" s="176"/>
      <c r="AD816" s="176"/>
      <c r="AE816" s="176"/>
      <c r="AF816" s="176"/>
      <c r="AG816" s="176"/>
    </row>
    <row r="817" spans="3:33" s="160" customFormat="1">
      <c r="C817" s="825"/>
      <c r="M817" s="247"/>
      <c r="Y817" s="176"/>
      <c r="Z817" s="176"/>
      <c r="AA817" s="176"/>
      <c r="AB817" s="176"/>
      <c r="AC817" s="176"/>
      <c r="AD817" s="176"/>
      <c r="AE817" s="176"/>
      <c r="AF817" s="176"/>
      <c r="AG817" s="176"/>
    </row>
    <row r="818" spans="3:33" s="160" customFormat="1">
      <c r="C818" s="825"/>
      <c r="M818" s="247"/>
      <c r="Y818" s="176"/>
      <c r="Z818" s="176"/>
      <c r="AA818" s="176"/>
      <c r="AB818" s="176"/>
      <c r="AC818" s="176"/>
      <c r="AD818" s="176"/>
      <c r="AE818" s="176"/>
      <c r="AF818" s="176"/>
      <c r="AG818" s="176"/>
    </row>
    <row r="819" spans="3:33" s="160" customFormat="1">
      <c r="C819" s="825"/>
      <c r="M819" s="247"/>
      <c r="Y819" s="176"/>
      <c r="Z819" s="176"/>
      <c r="AA819" s="176"/>
      <c r="AB819" s="176"/>
      <c r="AC819" s="176"/>
      <c r="AD819" s="176"/>
      <c r="AE819" s="176"/>
      <c r="AF819" s="176"/>
      <c r="AG819" s="176"/>
    </row>
    <row r="820" spans="3:33" s="160" customFormat="1">
      <c r="C820" s="825"/>
      <c r="M820" s="247"/>
      <c r="Y820" s="176"/>
      <c r="Z820" s="176"/>
      <c r="AA820" s="176"/>
      <c r="AB820" s="176"/>
      <c r="AC820" s="176"/>
      <c r="AD820" s="176"/>
      <c r="AE820" s="176"/>
      <c r="AF820" s="176"/>
      <c r="AG820" s="176"/>
    </row>
    <row r="821" spans="3:33" s="160" customFormat="1">
      <c r="C821" s="825"/>
      <c r="M821" s="247"/>
      <c r="Y821" s="176"/>
      <c r="Z821" s="176"/>
      <c r="AA821" s="176"/>
      <c r="AB821" s="176"/>
      <c r="AC821" s="176"/>
      <c r="AD821" s="176"/>
      <c r="AE821" s="176"/>
      <c r="AF821" s="176"/>
      <c r="AG821" s="176"/>
    </row>
    <row r="822" spans="3:33" s="160" customFormat="1">
      <c r="C822" s="825"/>
      <c r="M822" s="247"/>
      <c r="Y822" s="176"/>
      <c r="Z822" s="176"/>
      <c r="AA822" s="176"/>
      <c r="AB822" s="176"/>
      <c r="AC822" s="176"/>
      <c r="AD822" s="176"/>
      <c r="AE822" s="176"/>
      <c r="AF822" s="176"/>
      <c r="AG822" s="176"/>
    </row>
    <row r="823" spans="3:33" s="160" customFormat="1">
      <c r="C823" s="825"/>
      <c r="M823" s="247"/>
      <c r="Y823" s="176"/>
      <c r="Z823" s="176"/>
      <c r="AA823" s="176"/>
      <c r="AB823" s="176"/>
      <c r="AC823" s="176"/>
      <c r="AD823" s="176"/>
      <c r="AE823" s="176"/>
      <c r="AF823" s="176"/>
      <c r="AG823" s="176"/>
    </row>
    <row r="824" spans="3:33" s="160" customFormat="1">
      <c r="C824" s="825"/>
      <c r="M824" s="247"/>
      <c r="Y824" s="176"/>
      <c r="Z824" s="176"/>
      <c r="AA824" s="176"/>
      <c r="AB824" s="176"/>
      <c r="AC824" s="176"/>
      <c r="AD824" s="176"/>
      <c r="AE824" s="176"/>
      <c r="AF824" s="176"/>
      <c r="AG824" s="176"/>
    </row>
    <row r="825" spans="3:33" s="160" customFormat="1">
      <c r="C825" s="825"/>
      <c r="M825" s="247"/>
      <c r="Y825" s="176"/>
      <c r="Z825" s="176"/>
      <c r="AA825" s="176"/>
      <c r="AB825" s="176"/>
      <c r="AC825" s="176"/>
      <c r="AD825" s="176"/>
      <c r="AE825" s="176"/>
      <c r="AF825" s="176"/>
      <c r="AG825" s="176"/>
    </row>
    <row r="826" spans="3:33" s="160" customFormat="1">
      <c r="C826" s="825"/>
      <c r="M826" s="247"/>
      <c r="Y826" s="176"/>
      <c r="Z826" s="176"/>
      <c r="AA826" s="176"/>
      <c r="AB826" s="176"/>
      <c r="AC826" s="176"/>
      <c r="AD826" s="176"/>
      <c r="AE826" s="176"/>
      <c r="AF826" s="176"/>
      <c r="AG826" s="176"/>
    </row>
    <row r="827" spans="3:33" s="160" customFormat="1">
      <c r="C827" s="825"/>
      <c r="M827" s="247"/>
      <c r="Y827" s="176"/>
      <c r="Z827" s="176"/>
      <c r="AA827" s="176"/>
      <c r="AB827" s="176"/>
      <c r="AC827" s="176"/>
      <c r="AD827" s="176"/>
      <c r="AE827" s="176"/>
      <c r="AF827" s="176"/>
      <c r="AG827" s="176"/>
    </row>
    <row r="828" spans="3:33" s="160" customFormat="1">
      <c r="C828" s="825"/>
      <c r="M828" s="247"/>
      <c r="Y828" s="176"/>
      <c r="Z828" s="176"/>
      <c r="AA828" s="176"/>
      <c r="AB828" s="176"/>
      <c r="AC828" s="176"/>
      <c r="AD828" s="176"/>
      <c r="AE828" s="176"/>
      <c r="AF828" s="176"/>
      <c r="AG828" s="176"/>
    </row>
    <row r="829" spans="3:33" s="160" customFormat="1">
      <c r="C829" s="825"/>
      <c r="M829" s="247"/>
      <c r="Y829" s="176"/>
      <c r="Z829" s="176"/>
      <c r="AA829" s="176"/>
      <c r="AB829" s="176"/>
      <c r="AC829" s="176"/>
      <c r="AD829" s="176"/>
      <c r="AE829" s="176"/>
      <c r="AF829" s="176"/>
      <c r="AG829" s="176"/>
    </row>
    <row r="830" spans="3:33" s="160" customFormat="1">
      <c r="C830" s="825"/>
      <c r="M830" s="247"/>
      <c r="Y830" s="176"/>
      <c r="Z830" s="176"/>
      <c r="AA830" s="176"/>
      <c r="AB830" s="176"/>
      <c r="AC830" s="176"/>
      <c r="AD830" s="176"/>
      <c r="AE830" s="176"/>
      <c r="AF830" s="176"/>
      <c r="AG830" s="176"/>
    </row>
    <row r="831" spans="3:33" s="160" customFormat="1">
      <c r="C831" s="825"/>
      <c r="M831" s="247"/>
      <c r="Y831" s="176"/>
      <c r="Z831" s="176"/>
      <c r="AA831" s="176"/>
      <c r="AB831" s="176"/>
      <c r="AC831" s="176"/>
      <c r="AD831" s="176"/>
      <c r="AE831" s="176"/>
      <c r="AF831" s="176"/>
      <c r="AG831" s="176"/>
    </row>
    <row r="832" spans="3:33" s="160" customFormat="1">
      <c r="C832" s="825"/>
      <c r="M832" s="247"/>
      <c r="Y832" s="176"/>
      <c r="Z832" s="176"/>
      <c r="AA832" s="176"/>
      <c r="AB832" s="176"/>
      <c r="AC832" s="176"/>
      <c r="AD832" s="176"/>
      <c r="AE832" s="176"/>
      <c r="AF832" s="176"/>
      <c r="AG832" s="176"/>
    </row>
    <row r="833" spans="3:33" s="160" customFormat="1">
      <c r="C833" s="825"/>
      <c r="M833" s="247"/>
      <c r="Y833" s="176"/>
      <c r="Z833" s="176"/>
      <c r="AA833" s="176"/>
      <c r="AB833" s="176"/>
      <c r="AC833" s="176"/>
      <c r="AD833" s="176"/>
      <c r="AE833" s="176"/>
      <c r="AF833" s="176"/>
      <c r="AG833" s="176"/>
    </row>
    <row r="834" spans="3:33" s="160" customFormat="1">
      <c r="C834" s="825"/>
      <c r="M834" s="247"/>
      <c r="Y834" s="176"/>
      <c r="Z834" s="176"/>
      <c r="AA834" s="176"/>
      <c r="AB834" s="176"/>
      <c r="AC834" s="176"/>
      <c r="AD834" s="176"/>
      <c r="AE834" s="176"/>
      <c r="AF834" s="176"/>
      <c r="AG834" s="176"/>
    </row>
    <row r="835" spans="3:33" s="160" customFormat="1">
      <c r="C835" s="825"/>
      <c r="M835" s="247"/>
      <c r="Y835" s="176"/>
      <c r="Z835" s="176"/>
      <c r="AA835" s="176"/>
      <c r="AB835" s="176"/>
      <c r="AC835" s="176"/>
      <c r="AD835" s="176"/>
      <c r="AE835" s="176"/>
      <c r="AF835" s="176"/>
      <c r="AG835" s="176"/>
    </row>
    <row r="836" spans="3:33" s="160" customFormat="1">
      <c r="C836" s="825"/>
      <c r="M836" s="247"/>
      <c r="Y836" s="176"/>
      <c r="Z836" s="176"/>
      <c r="AA836" s="176"/>
      <c r="AB836" s="176"/>
      <c r="AC836" s="176"/>
      <c r="AD836" s="176"/>
      <c r="AE836" s="176"/>
      <c r="AF836" s="176"/>
      <c r="AG836" s="176"/>
    </row>
    <row r="837" spans="3:33" s="160" customFormat="1">
      <c r="C837" s="825"/>
      <c r="M837" s="247"/>
      <c r="Y837" s="176"/>
      <c r="Z837" s="176"/>
      <c r="AA837" s="176"/>
      <c r="AB837" s="176"/>
      <c r="AC837" s="176"/>
      <c r="AD837" s="176"/>
      <c r="AE837" s="176"/>
      <c r="AF837" s="176"/>
      <c r="AG837" s="176"/>
    </row>
    <row r="838" spans="3:33" s="160" customFormat="1">
      <c r="C838" s="825"/>
      <c r="M838" s="247"/>
      <c r="Y838" s="176"/>
      <c r="Z838" s="176"/>
      <c r="AA838" s="176"/>
      <c r="AB838" s="176"/>
      <c r="AC838" s="176"/>
      <c r="AD838" s="176"/>
      <c r="AE838" s="176"/>
      <c r="AF838" s="176"/>
      <c r="AG838" s="176"/>
    </row>
    <row r="839" spans="3:33" s="160" customFormat="1">
      <c r="C839" s="825"/>
      <c r="M839" s="247"/>
      <c r="Y839" s="176"/>
      <c r="Z839" s="176"/>
      <c r="AA839" s="176"/>
      <c r="AB839" s="176"/>
      <c r="AC839" s="176"/>
      <c r="AD839" s="176"/>
      <c r="AE839" s="176"/>
      <c r="AF839" s="176"/>
      <c r="AG839" s="176"/>
    </row>
    <row r="840" spans="3:33" s="160" customFormat="1">
      <c r="C840" s="825"/>
      <c r="M840" s="247"/>
      <c r="Y840" s="176"/>
      <c r="Z840" s="176"/>
      <c r="AA840" s="176"/>
      <c r="AB840" s="176"/>
      <c r="AC840" s="176"/>
      <c r="AD840" s="176"/>
      <c r="AE840" s="176"/>
      <c r="AF840" s="176"/>
      <c r="AG840" s="176"/>
    </row>
    <row r="841" spans="3:33" s="160" customFormat="1">
      <c r="C841" s="825"/>
      <c r="M841" s="247"/>
      <c r="Y841" s="176"/>
      <c r="Z841" s="176"/>
      <c r="AA841" s="176"/>
      <c r="AB841" s="176"/>
      <c r="AC841" s="176"/>
      <c r="AD841" s="176"/>
      <c r="AE841" s="176"/>
      <c r="AF841" s="176"/>
      <c r="AG841" s="176"/>
    </row>
    <row r="842" spans="3:33" s="160" customFormat="1">
      <c r="C842" s="825"/>
      <c r="M842" s="247"/>
      <c r="Y842" s="176"/>
      <c r="Z842" s="176"/>
      <c r="AA842" s="176"/>
      <c r="AB842" s="176"/>
      <c r="AC842" s="176"/>
      <c r="AD842" s="176"/>
      <c r="AE842" s="176"/>
      <c r="AF842" s="176"/>
      <c r="AG842" s="176"/>
    </row>
    <row r="843" spans="3:33" s="160" customFormat="1">
      <c r="C843" s="825"/>
      <c r="M843" s="247"/>
      <c r="Y843" s="176"/>
      <c r="Z843" s="176"/>
      <c r="AA843" s="176"/>
      <c r="AB843" s="176"/>
      <c r="AC843" s="176"/>
      <c r="AD843" s="176"/>
      <c r="AE843" s="176"/>
      <c r="AF843" s="176"/>
      <c r="AG843" s="176"/>
    </row>
    <row r="844" spans="3:33" s="160" customFormat="1">
      <c r="C844" s="825"/>
      <c r="M844" s="247"/>
      <c r="Y844" s="176"/>
      <c r="Z844" s="176"/>
      <c r="AA844" s="176"/>
      <c r="AB844" s="176"/>
      <c r="AC844" s="176"/>
      <c r="AD844" s="176"/>
      <c r="AE844" s="176"/>
      <c r="AF844" s="176"/>
      <c r="AG844" s="176"/>
    </row>
    <row r="845" spans="3:33" s="160" customFormat="1">
      <c r="C845" s="825"/>
      <c r="M845" s="247"/>
      <c r="Y845" s="176"/>
      <c r="Z845" s="176"/>
      <c r="AA845" s="176"/>
      <c r="AB845" s="176"/>
      <c r="AC845" s="176"/>
      <c r="AD845" s="176"/>
      <c r="AE845" s="176"/>
      <c r="AF845" s="176"/>
      <c r="AG845" s="176"/>
    </row>
    <row r="846" spans="3:33" s="160" customFormat="1">
      <c r="C846" s="825"/>
      <c r="M846" s="247"/>
      <c r="Y846" s="176"/>
      <c r="Z846" s="176"/>
      <c r="AA846" s="176"/>
      <c r="AB846" s="176"/>
      <c r="AC846" s="176"/>
      <c r="AD846" s="176"/>
      <c r="AE846" s="176"/>
      <c r="AF846" s="176"/>
      <c r="AG846" s="176"/>
    </row>
    <row r="847" spans="3:33" s="160" customFormat="1">
      <c r="C847" s="825"/>
      <c r="M847" s="247"/>
      <c r="Y847" s="176"/>
      <c r="Z847" s="176"/>
      <c r="AA847" s="176"/>
      <c r="AB847" s="176"/>
      <c r="AC847" s="176"/>
      <c r="AD847" s="176"/>
      <c r="AE847" s="176"/>
      <c r="AF847" s="176"/>
      <c r="AG847" s="176"/>
    </row>
    <row r="848" spans="3:33" s="160" customFormat="1">
      <c r="C848" s="825"/>
      <c r="M848" s="247"/>
      <c r="Y848" s="176"/>
      <c r="Z848" s="176"/>
      <c r="AA848" s="176"/>
      <c r="AB848" s="176"/>
      <c r="AC848" s="176"/>
      <c r="AD848" s="176"/>
      <c r="AE848" s="176"/>
      <c r="AF848" s="176"/>
      <c r="AG848" s="176"/>
    </row>
    <row r="849" spans="3:33" s="160" customFormat="1">
      <c r="C849" s="825"/>
      <c r="M849" s="247"/>
      <c r="Y849" s="176"/>
      <c r="Z849" s="176"/>
      <c r="AA849" s="176"/>
      <c r="AB849" s="176"/>
      <c r="AC849" s="176"/>
      <c r="AD849" s="176"/>
      <c r="AE849" s="176"/>
      <c r="AF849" s="176"/>
      <c r="AG849" s="176"/>
    </row>
    <row r="850" spans="3:33" s="160" customFormat="1">
      <c r="C850" s="825"/>
      <c r="M850" s="247"/>
      <c r="Y850" s="176"/>
      <c r="Z850" s="176"/>
      <c r="AA850" s="176"/>
      <c r="AB850" s="176"/>
      <c r="AC850" s="176"/>
      <c r="AD850" s="176"/>
      <c r="AE850" s="176"/>
      <c r="AF850" s="176"/>
      <c r="AG850" s="176"/>
    </row>
    <row r="851" spans="3:33" s="160" customFormat="1">
      <c r="C851" s="825"/>
      <c r="M851" s="247"/>
      <c r="Y851" s="176"/>
      <c r="Z851" s="176"/>
      <c r="AA851" s="176"/>
      <c r="AB851" s="176"/>
      <c r="AC851" s="176"/>
      <c r="AD851" s="176"/>
      <c r="AE851" s="176"/>
      <c r="AF851" s="176"/>
      <c r="AG851" s="176"/>
    </row>
    <row r="852" spans="3:33" s="160" customFormat="1">
      <c r="C852" s="825"/>
      <c r="M852" s="247"/>
      <c r="Y852" s="176"/>
      <c r="Z852" s="176"/>
      <c r="AA852" s="176"/>
      <c r="AB852" s="176"/>
      <c r="AC852" s="176"/>
      <c r="AD852" s="176"/>
      <c r="AE852" s="176"/>
      <c r="AF852" s="176"/>
      <c r="AG852" s="176"/>
    </row>
    <row r="853" spans="3:33" s="160" customFormat="1">
      <c r="C853" s="825"/>
      <c r="M853" s="247"/>
      <c r="Y853" s="176"/>
      <c r="Z853" s="176"/>
      <c r="AA853" s="176"/>
      <c r="AB853" s="176"/>
      <c r="AC853" s="176"/>
      <c r="AD853" s="176"/>
      <c r="AE853" s="176"/>
      <c r="AF853" s="176"/>
      <c r="AG853" s="176"/>
    </row>
    <row r="854" spans="3:33" s="160" customFormat="1">
      <c r="C854" s="825"/>
      <c r="M854" s="247"/>
      <c r="Y854" s="176"/>
      <c r="Z854" s="176"/>
      <c r="AA854" s="176"/>
      <c r="AB854" s="176"/>
      <c r="AC854" s="176"/>
      <c r="AD854" s="176"/>
      <c r="AE854" s="176"/>
      <c r="AF854" s="176"/>
      <c r="AG854" s="176"/>
    </row>
    <row r="855" spans="3:33" s="160" customFormat="1">
      <c r="C855" s="825"/>
      <c r="M855" s="247"/>
      <c r="Y855" s="176"/>
      <c r="Z855" s="176"/>
      <c r="AA855" s="176"/>
      <c r="AB855" s="176"/>
      <c r="AC855" s="176"/>
      <c r="AD855" s="176"/>
      <c r="AE855" s="176"/>
      <c r="AF855" s="176"/>
      <c r="AG855" s="176"/>
    </row>
    <row r="856" spans="3:33" s="160" customFormat="1">
      <c r="C856" s="825"/>
      <c r="M856" s="247"/>
      <c r="Y856" s="176"/>
      <c r="Z856" s="176"/>
      <c r="AA856" s="176"/>
      <c r="AB856" s="176"/>
      <c r="AC856" s="176"/>
      <c r="AD856" s="176"/>
      <c r="AE856" s="176"/>
      <c r="AF856" s="176"/>
      <c r="AG856" s="176"/>
    </row>
    <row r="857" spans="3:33" s="160" customFormat="1">
      <c r="C857" s="825"/>
      <c r="M857" s="247"/>
      <c r="Y857" s="176"/>
      <c r="Z857" s="176"/>
      <c r="AA857" s="176"/>
      <c r="AB857" s="176"/>
      <c r="AC857" s="176"/>
      <c r="AD857" s="176"/>
      <c r="AE857" s="176"/>
      <c r="AF857" s="176"/>
      <c r="AG857" s="176"/>
    </row>
    <row r="858" spans="3:33" s="160" customFormat="1">
      <c r="C858" s="825"/>
      <c r="M858" s="247"/>
      <c r="Y858" s="176"/>
      <c r="Z858" s="176"/>
      <c r="AA858" s="176"/>
      <c r="AB858" s="176"/>
      <c r="AC858" s="176"/>
      <c r="AD858" s="176"/>
      <c r="AE858" s="176"/>
      <c r="AF858" s="176"/>
      <c r="AG858" s="176"/>
    </row>
    <row r="859" spans="3:33" s="160" customFormat="1">
      <c r="C859" s="825"/>
      <c r="M859" s="247"/>
      <c r="Y859" s="176"/>
      <c r="Z859" s="176"/>
      <c r="AA859" s="176"/>
      <c r="AB859" s="176"/>
      <c r="AC859" s="176"/>
      <c r="AD859" s="176"/>
      <c r="AE859" s="176"/>
      <c r="AF859" s="176"/>
      <c r="AG859" s="176"/>
    </row>
    <row r="860" spans="3:33" s="160" customFormat="1">
      <c r="C860" s="825"/>
      <c r="M860" s="247"/>
      <c r="Y860" s="176"/>
      <c r="Z860" s="176"/>
      <c r="AA860" s="176"/>
      <c r="AB860" s="176"/>
      <c r="AC860" s="176"/>
      <c r="AD860" s="176"/>
      <c r="AE860" s="176"/>
      <c r="AF860" s="176"/>
      <c r="AG860" s="176"/>
    </row>
    <row r="861" spans="3:33" s="160" customFormat="1">
      <c r="C861" s="825"/>
      <c r="M861" s="247"/>
      <c r="Y861" s="176"/>
      <c r="Z861" s="176"/>
      <c r="AA861" s="176"/>
      <c r="AB861" s="176"/>
      <c r="AC861" s="176"/>
      <c r="AD861" s="176"/>
      <c r="AE861" s="176"/>
      <c r="AF861" s="176"/>
      <c r="AG861" s="176"/>
    </row>
    <row r="862" spans="3:33" s="160" customFormat="1">
      <c r="C862" s="825"/>
      <c r="M862" s="247"/>
      <c r="Y862" s="176"/>
      <c r="Z862" s="176"/>
      <c r="AA862" s="176"/>
      <c r="AB862" s="176"/>
      <c r="AC862" s="176"/>
      <c r="AD862" s="176"/>
      <c r="AE862" s="176"/>
      <c r="AF862" s="176"/>
      <c r="AG862" s="176"/>
    </row>
    <row r="863" spans="3:33" s="160" customFormat="1">
      <c r="C863" s="825"/>
      <c r="M863" s="247"/>
      <c r="Y863" s="176"/>
      <c r="Z863" s="176"/>
      <c r="AA863" s="176"/>
      <c r="AB863" s="176"/>
      <c r="AC863" s="176"/>
      <c r="AD863" s="176"/>
      <c r="AE863" s="176"/>
      <c r="AF863" s="176"/>
      <c r="AG863" s="176"/>
    </row>
    <row r="864" spans="3:33" s="160" customFormat="1">
      <c r="C864" s="825"/>
      <c r="M864" s="247"/>
      <c r="Y864" s="176"/>
      <c r="Z864" s="176"/>
      <c r="AA864" s="176"/>
      <c r="AB864" s="176"/>
      <c r="AC864" s="176"/>
      <c r="AD864" s="176"/>
      <c r="AE864" s="176"/>
      <c r="AF864" s="176"/>
      <c r="AG864" s="176"/>
    </row>
    <row r="865" spans="3:33" s="160" customFormat="1">
      <c r="C865" s="825"/>
      <c r="M865" s="247"/>
      <c r="Y865" s="176"/>
      <c r="Z865" s="176"/>
      <c r="AA865" s="176"/>
      <c r="AB865" s="176"/>
      <c r="AC865" s="176"/>
      <c r="AD865" s="176"/>
      <c r="AE865" s="176"/>
      <c r="AF865" s="176"/>
      <c r="AG865" s="176"/>
    </row>
    <row r="866" spans="3:33" s="160" customFormat="1">
      <c r="C866" s="825"/>
      <c r="M866" s="247"/>
      <c r="Y866" s="176"/>
      <c r="Z866" s="176"/>
      <c r="AA866" s="176"/>
      <c r="AB866" s="176"/>
      <c r="AC866" s="176"/>
      <c r="AD866" s="176"/>
      <c r="AE866" s="176"/>
      <c r="AF866" s="176"/>
      <c r="AG866" s="176"/>
    </row>
    <row r="867" spans="3:33" s="160" customFormat="1">
      <c r="C867" s="825"/>
      <c r="M867" s="247"/>
      <c r="Y867" s="176"/>
      <c r="Z867" s="176"/>
      <c r="AA867" s="176"/>
      <c r="AB867" s="176"/>
      <c r="AC867" s="176"/>
      <c r="AD867" s="176"/>
      <c r="AE867" s="176"/>
      <c r="AF867" s="176"/>
      <c r="AG867" s="176"/>
    </row>
    <row r="868" spans="3:33" s="160" customFormat="1">
      <c r="C868" s="825"/>
      <c r="M868" s="247"/>
      <c r="Y868" s="176"/>
      <c r="Z868" s="176"/>
      <c r="AA868" s="176"/>
      <c r="AB868" s="176"/>
      <c r="AC868" s="176"/>
      <c r="AD868" s="176"/>
      <c r="AE868" s="176"/>
      <c r="AF868" s="176"/>
      <c r="AG868" s="176"/>
    </row>
    <row r="869" spans="3:33" s="160" customFormat="1">
      <c r="C869" s="825"/>
      <c r="M869" s="247"/>
      <c r="Y869" s="176"/>
      <c r="Z869" s="176"/>
      <c r="AA869" s="176"/>
      <c r="AB869" s="176"/>
      <c r="AC869" s="176"/>
      <c r="AD869" s="176"/>
      <c r="AE869" s="176"/>
      <c r="AF869" s="176"/>
      <c r="AG869" s="176"/>
    </row>
    <row r="870" spans="3:33" s="160" customFormat="1">
      <c r="C870" s="825"/>
      <c r="M870" s="247"/>
      <c r="Y870" s="176"/>
      <c r="Z870" s="176"/>
      <c r="AA870" s="176"/>
      <c r="AB870" s="176"/>
      <c r="AC870" s="176"/>
      <c r="AD870" s="176"/>
      <c r="AE870" s="176"/>
      <c r="AF870" s="176"/>
      <c r="AG870" s="176"/>
    </row>
    <row r="871" spans="3:33" s="160" customFormat="1">
      <c r="C871" s="825"/>
      <c r="M871" s="247"/>
      <c r="Y871" s="176"/>
      <c r="Z871" s="176"/>
      <c r="AA871" s="176"/>
      <c r="AB871" s="176"/>
      <c r="AC871" s="176"/>
      <c r="AD871" s="176"/>
      <c r="AE871" s="176"/>
      <c r="AF871" s="176"/>
      <c r="AG871" s="176"/>
    </row>
    <row r="872" spans="3:33" s="160" customFormat="1">
      <c r="C872" s="825"/>
      <c r="M872" s="247"/>
      <c r="Y872" s="176"/>
      <c r="Z872" s="176"/>
      <c r="AA872" s="176"/>
      <c r="AB872" s="176"/>
      <c r="AC872" s="176"/>
      <c r="AD872" s="176"/>
      <c r="AE872" s="176"/>
      <c r="AF872" s="176"/>
      <c r="AG872" s="176"/>
    </row>
    <row r="873" spans="3:33" s="160" customFormat="1">
      <c r="C873" s="825"/>
      <c r="M873" s="247"/>
      <c r="Y873" s="176"/>
      <c r="Z873" s="176"/>
      <c r="AA873" s="176"/>
      <c r="AB873" s="176"/>
      <c r="AC873" s="176"/>
      <c r="AD873" s="176"/>
      <c r="AE873" s="176"/>
      <c r="AF873" s="176"/>
      <c r="AG873" s="176"/>
    </row>
    <row r="874" spans="3:33" s="160" customFormat="1">
      <c r="C874" s="825"/>
      <c r="M874" s="247"/>
      <c r="Y874" s="176"/>
      <c r="Z874" s="176"/>
      <c r="AA874" s="176"/>
      <c r="AB874" s="176"/>
      <c r="AC874" s="176"/>
      <c r="AD874" s="176"/>
      <c r="AE874" s="176"/>
      <c r="AF874" s="176"/>
      <c r="AG874" s="176"/>
    </row>
    <row r="875" spans="3:33" s="160" customFormat="1">
      <c r="C875" s="825"/>
      <c r="M875" s="247"/>
      <c r="Y875" s="176"/>
      <c r="Z875" s="176"/>
      <c r="AA875" s="176"/>
      <c r="AB875" s="176"/>
      <c r="AC875" s="176"/>
      <c r="AD875" s="176"/>
      <c r="AE875" s="176"/>
      <c r="AF875" s="176"/>
      <c r="AG875" s="176"/>
    </row>
    <row r="876" spans="3:33" s="160" customFormat="1">
      <c r="C876" s="825"/>
      <c r="M876" s="247"/>
      <c r="Y876" s="176"/>
      <c r="Z876" s="176"/>
      <c r="AA876" s="176"/>
      <c r="AB876" s="176"/>
      <c r="AC876" s="176"/>
      <c r="AD876" s="176"/>
      <c r="AE876" s="176"/>
      <c r="AF876" s="176"/>
      <c r="AG876" s="176"/>
    </row>
    <row r="877" spans="3:33" s="160" customFormat="1">
      <c r="C877" s="825"/>
      <c r="M877" s="247"/>
      <c r="Y877" s="176"/>
      <c r="Z877" s="176"/>
      <c r="AA877" s="176"/>
      <c r="AB877" s="176"/>
      <c r="AC877" s="176"/>
      <c r="AD877" s="176"/>
      <c r="AE877" s="176"/>
      <c r="AF877" s="176"/>
      <c r="AG877" s="176"/>
    </row>
    <row r="878" spans="3:33" s="160" customFormat="1">
      <c r="C878" s="825"/>
      <c r="M878" s="247"/>
      <c r="Y878" s="176"/>
      <c r="Z878" s="176"/>
      <c r="AA878" s="176"/>
      <c r="AB878" s="176"/>
      <c r="AC878" s="176"/>
      <c r="AD878" s="176"/>
      <c r="AE878" s="176"/>
      <c r="AF878" s="176"/>
      <c r="AG878" s="176"/>
    </row>
    <row r="879" spans="3:33" s="160" customFormat="1">
      <c r="C879" s="825"/>
      <c r="M879" s="247"/>
      <c r="Y879" s="176"/>
      <c r="Z879" s="176"/>
      <c r="AA879" s="176"/>
      <c r="AB879" s="176"/>
      <c r="AC879" s="176"/>
      <c r="AD879" s="176"/>
      <c r="AE879" s="176"/>
      <c r="AF879" s="176"/>
      <c r="AG879" s="176"/>
    </row>
    <row r="880" spans="3:33" s="160" customFormat="1">
      <c r="C880" s="825"/>
      <c r="M880" s="247"/>
      <c r="Y880" s="176"/>
      <c r="Z880" s="176"/>
      <c r="AA880" s="176"/>
      <c r="AB880" s="176"/>
      <c r="AC880" s="176"/>
      <c r="AD880" s="176"/>
      <c r="AE880" s="176"/>
      <c r="AF880" s="176"/>
      <c r="AG880" s="176"/>
    </row>
    <row r="881" spans="3:33" s="160" customFormat="1">
      <c r="C881" s="825"/>
      <c r="M881" s="247"/>
      <c r="Y881" s="176"/>
      <c r="Z881" s="176"/>
      <c r="AA881" s="176"/>
      <c r="AB881" s="176"/>
      <c r="AC881" s="176"/>
      <c r="AD881" s="176"/>
      <c r="AE881" s="176"/>
      <c r="AF881" s="176"/>
      <c r="AG881" s="176"/>
    </row>
    <row r="882" spans="3:33" s="160" customFormat="1">
      <c r="C882" s="825"/>
      <c r="M882" s="247"/>
      <c r="Y882" s="176"/>
      <c r="Z882" s="176"/>
      <c r="AA882" s="176"/>
      <c r="AB882" s="176"/>
      <c r="AC882" s="176"/>
      <c r="AD882" s="176"/>
      <c r="AE882" s="176"/>
      <c r="AF882" s="176"/>
      <c r="AG882" s="176"/>
    </row>
    <row r="883" spans="3:33" s="160" customFormat="1">
      <c r="C883" s="825"/>
      <c r="M883" s="247"/>
      <c r="Y883" s="176"/>
      <c r="Z883" s="176"/>
      <c r="AA883" s="176"/>
      <c r="AB883" s="176"/>
      <c r="AC883" s="176"/>
      <c r="AD883" s="176"/>
      <c r="AE883" s="176"/>
      <c r="AF883" s="176"/>
      <c r="AG883" s="176"/>
    </row>
    <row r="884" spans="3:33" s="160" customFormat="1">
      <c r="C884" s="825"/>
      <c r="M884" s="247"/>
      <c r="Y884" s="176"/>
      <c r="Z884" s="176"/>
      <c r="AA884" s="176"/>
      <c r="AB884" s="176"/>
      <c r="AC884" s="176"/>
      <c r="AD884" s="176"/>
      <c r="AE884" s="176"/>
      <c r="AF884" s="176"/>
      <c r="AG884" s="176"/>
    </row>
    <row r="885" spans="3:33" s="160" customFormat="1">
      <c r="C885" s="825"/>
      <c r="M885" s="247"/>
      <c r="Y885" s="176"/>
      <c r="Z885" s="176"/>
      <c r="AA885" s="176"/>
      <c r="AB885" s="176"/>
      <c r="AC885" s="176"/>
      <c r="AD885" s="176"/>
      <c r="AE885" s="176"/>
      <c r="AF885" s="176"/>
      <c r="AG885" s="176"/>
    </row>
    <row r="886" spans="3:33" s="160" customFormat="1">
      <c r="C886" s="825"/>
      <c r="M886" s="247"/>
      <c r="Y886" s="176"/>
      <c r="Z886" s="176"/>
      <c r="AA886" s="176"/>
      <c r="AB886" s="176"/>
      <c r="AC886" s="176"/>
      <c r="AD886" s="176"/>
      <c r="AE886" s="176"/>
      <c r="AF886" s="176"/>
      <c r="AG886" s="176"/>
    </row>
    <row r="887" spans="3:33" s="160" customFormat="1">
      <c r="C887" s="825"/>
      <c r="M887" s="247"/>
      <c r="Y887" s="176"/>
      <c r="Z887" s="176"/>
      <c r="AA887" s="176"/>
      <c r="AB887" s="176"/>
      <c r="AC887" s="176"/>
      <c r="AD887" s="176"/>
      <c r="AE887" s="176"/>
      <c r="AF887" s="176"/>
      <c r="AG887" s="176"/>
    </row>
    <row r="888" spans="3:33" s="160" customFormat="1">
      <c r="C888" s="825"/>
      <c r="M888" s="247"/>
      <c r="Y888" s="176"/>
      <c r="Z888" s="176"/>
      <c r="AA888" s="176"/>
      <c r="AB888" s="176"/>
      <c r="AC888" s="176"/>
      <c r="AD888" s="176"/>
      <c r="AE888" s="176"/>
      <c r="AF888" s="176"/>
      <c r="AG888" s="176"/>
    </row>
    <row r="889" spans="3:33" s="160" customFormat="1">
      <c r="C889" s="825"/>
      <c r="M889" s="247"/>
      <c r="Y889" s="176"/>
      <c r="Z889" s="176"/>
      <c r="AA889" s="176"/>
      <c r="AB889" s="176"/>
      <c r="AC889" s="176"/>
      <c r="AD889" s="176"/>
      <c r="AE889" s="176"/>
      <c r="AF889" s="176"/>
      <c r="AG889" s="176"/>
    </row>
    <row r="890" spans="3:33" s="160" customFormat="1">
      <c r="C890" s="825"/>
      <c r="M890" s="247"/>
      <c r="Y890" s="176"/>
      <c r="Z890" s="176"/>
      <c r="AA890" s="176"/>
      <c r="AB890" s="176"/>
      <c r="AC890" s="176"/>
      <c r="AD890" s="176"/>
      <c r="AE890" s="176"/>
      <c r="AF890" s="176"/>
      <c r="AG890" s="176"/>
    </row>
    <row r="891" spans="3:33" s="160" customFormat="1">
      <c r="C891" s="825"/>
      <c r="M891" s="247"/>
      <c r="Y891" s="176"/>
      <c r="Z891" s="176"/>
      <c r="AA891" s="176"/>
      <c r="AB891" s="176"/>
      <c r="AC891" s="176"/>
      <c r="AD891" s="176"/>
      <c r="AE891" s="176"/>
      <c r="AF891" s="176"/>
      <c r="AG891" s="176"/>
    </row>
    <row r="892" spans="3:33" s="160" customFormat="1">
      <c r="C892" s="825"/>
      <c r="M892" s="247"/>
      <c r="Y892" s="176"/>
      <c r="Z892" s="176"/>
      <c r="AA892" s="176"/>
      <c r="AB892" s="176"/>
      <c r="AC892" s="176"/>
      <c r="AD892" s="176"/>
      <c r="AE892" s="176"/>
      <c r="AF892" s="176"/>
      <c r="AG892" s="176"/>
    </row>
    <row r="893" spans="3:33" s="160" customFormat="1">
      <c r="C893" s="825"/>
      <c r="M893" s="247"/>
      <c r="Y893" s="176"/>
      <c r="Z893" s="176"/>
      <c r="AA893" s="176"/>
      <c r="AB893" s="176"/>
      <c r="AC893" s="176"/>
      <c r="AD893" s="176"/>
      <c r="AE893" s="176"/>
      <c r="AF893" s="176"/>
      <c r="AG893" s="176"/>
    </row>
    <row r="894" spans="3:33" s="160" customFormat="1">
      <c r="C894" s="825"/>
      <c r="M894" s="247"/>
      <c r="Y894" s="176"/>
      <c r="Z894" s="176"/>
      <c r="AA894" s="176"/>
      <c r="AB894" s="176"/>
      <c r="AC894" s="176"/>
      <c r="AD894" s="176"/>
      <c r="AE894" s="176"/>
      <c r="AF894" s="176"/>
      <c r="AG894" s="176"/>
    </row>
    <row r="895" spans="3:33" s="160" customFormat="1">
      <c r="C895" s="825"/>
      <c r="M895" s="247"/>
      <c r="Y895" s="176"/>
      <c r="Z895" s="176"/>
      <c r="AA895" s="176"/>
      <c r="AB895" s="176"/>
      <c r="AC895" s="176"/>
      <c r="AD895" s="176"/>
      <c r="AE895" s="176"/>
      <c r="AF895" s="176"/>
      <c r="AG895" s="176"/>
    </row>
    <row r="896" spans="3:33" s="160" customFormat="1">
      <c r="C896" s="825"/>
      <c r="M896" s="247"/>
      <c r="Y896" s="176"/>
      <c r="Z896" s="176"/>
      <c r="AA896" s="176"/>
      <c r="AB896" s="176"/>
      <c r="AC896" s="176"/>
      <c r="AD896" s="176"/>
      <c r="AE896" s="176"/>
      <c r="AF896" s="176"/>
      <c r="AG896" s="176"/>
    </row>
    <row r="897" spans="3:33" s="160" customFormat="1">
      <c r="C897" s="825"/>
      <c r="M897" s="247"/>
      <c r="Y897" s="176"/>
      <c r="Z897" s="176"/>
      <c r="AA897" s="176"/>
      <c r="AB897" s="176"/>
      <c r="AC897" s="176"/>
      <c r="AD897" s="176"/>
      <c r="AE897" s="176"/>
      <c r="AF897" s="176"/>
      <c r="AG897" s="176"/>
    </row>
    <row r="898" spans="3:33" s="160" customFormat="1">
      <c r="C898" s="825"/>
      <c r="M898" s="247"/>
      <c r="Y898" s="176"/>
      <c r="Z898" s="176"/>
      <c r="AA898" s="176"/>
      <c r="AB898" s="176"/>
      <c r="AC898" s="176"/>
      <c r="AD898" s="176"/>
      <c r="AE898" s="176"/>
      <c r="AF898" s="176"/>
      <c r="AG898" s="176"/>
    </row>
    <row r="899" spans="3:33" s="160" customFormat="1">
      <c r="C899" s="825"/>
      <c r="M899" s="247"/>
      <c r="Y899" s="176"/>
      <c r="Z899" s="176"/>
      <c r="AA899" s="176"/>
      <c r="AB899" s="176"/>
      <c r="AC899" s="176"/>
      <c r="AD899" s="176"/>
      <c r="AE899" s="176"/>
      <c r="AF899" s="176"/>
      <c r="AG899" s="176"/>
    </row>
    <row r="900" spans="3:33" s="160" customFormat="1">
      <c r="C900" s="825"/>
      <c r="M900" s="247"/>
      <c r="Y900" s="176"/>
      <c r="Z900" s="176"/>
      <c r="AA900" s="176"/>
      <c r="AB900" s="176"/>
      <c r="AC900" s="176"/>
      <c r="AD900" s="176"/>
      <c r="AE900" s="176"/>
      <c r="AF900" s="176"/>
      <c r="AG900" s="176"/>
    </row>
    <row r="901" spans="3:33" s="160" customFormat="1">
      <c r="C901" s="825"/>
      <c r="M901" s="247"/>
      <c r="Y901" s="176"/>
      <c r="Z901" s="176"/>
      <c r="AA901" s="176"/>
      <c r="AB901" s="176"/>
      <c r="AC901" s="176"/>
      <c r="AD901" s="176"/>
      <c r="AE901" s="176"/>
      <c r="AF901" s="176"/>
      <c r="AG901" s="176"/>
    </row>
    <row r="902" spans="3:33" s="160" customFormat="1">
      <c r="C902" s="825"/>
      <c r="M902" s="247"/>
      <c r="Y902" s="176"/>
      <c r="Z902" s="176"/>
      <c r="AA902" s="176"/>
      <c r="AB902" s="176"/>
      <c r="AC902" s="176"/>
      <c r="AD902" s="176"/>
      <c r="AE902" s="176"/>
      <c r="AF902" s="176"/>
      <c r="AG902" s="176"/>
    </row>
    <row r="903" spans="3:33" s="160" customFormat="1">
      <c r="C903" s="825"/>
      <c r="M903" s="247"/>
      <c r="Y903" s="176"/>
      <c r="Z903" s="176"/>
      <c r="AA903" s="176"/>
      <c r="AB903" s="176"/>
      <c r="AC903" s="176"/>
      <c r="AD903" s="176"/>
      <c r="AE903" s="176"/>
      <c r="AF903" s="176"/>
      <c r="AG903" s="176"/>
    </row>
    <row r="904" spans="3:33" s="160" customFormat="1">
      <c r="C904" s="825"/>
      <c r="M904" s="247"/>
      <c r="Y904" s="176"/>
      <c r="Z904" s="176"/>
      <c r="AA904" s="176"/>
      <c r="AB904" s="176"/>
      <c r="AC904" s="176"/>
      <c r="AD904" s="176"/>
      <c r="AE904" s="176"/>
      <c r="AF904" s="176"/>
      <c r="AG904" s="176"/>
    </row>
    <row r="905" spans="3:33" s="160" customFormat="1">
      <c r="C905" s="825"/>
      <c r="M905" s="247"/>
      <c r="Y905" s="176"/>
      <c r="Z905" s="176"/>
      <c r="AA905" s="176"/>
      <c r="AB905" s="176"/>
      <c r="AC905" s="176"/>
      <c r="AD905" s="176"/>
      <c r="AE905" s="176"/>
      <c r="AF905" s="176"/>
      <c r="AG905" s="176"/>
    </row>
    <row r="906" spans="3:33" s="160" customFormat="1">
      <c r="C906" s="825"/>
      <c r="M906" s="247"/>
      <c r="Y906" s="176"/>
      <c r="Z906" s="176"/>
      <c r="AA906" s="176"/>
      <c r="AB906" s="176"/>
      <c r="AC906" s="176"/>
      <c r="AD906" s="176"/>
      <c r="AE906" s="176"/>
      <c r="AF906" s="176"/>
      <c r="AG906" s="176"/>
    </row>
    <row r="907" spans="3:33" s="160" customFormat="1">
      <c r="C907" s="825"/>
      <c r="M907" s="247"/>
      <c r="Y907" s="176"/>
      <c r="Z907" s="176"/>
      <c r="AA907" s="176"/>
      <c r="AB907" s="176"/>
      <c r="AC907" s="176"/>
      <c r="AD907" s="176"/>
      <c r="AE907" s="176"/>
      <c r="AF907" s="176"/>
      <c r="AG907" s="176"/>
    </row>
    <row r="908" spans="3:33" s="160" customFormat="1">
      <c r="C908" s="825"/>
      <c r="M908" s="247"/>
      <c r="Y908" s="176"/>
      <c r="Z908" s="176"/>
      <c r="AA908" s="176"/>
      <c r="AB908" s="176"/>
      <c r="AC908" s="176"/>
      <c r="AD908" s="176"/>
      <c r="AE908" s="176"/>
      <c r="AF908" s="176"/>
      <c r="AG908" s="176"/>
    </row>
    <row r="909" spans="3:33" s="160" customFormat="1">
      <c r="C909" s="825"/>
      <c r="M909" s="247"/>
      <c r="Y909" s="176"/>
      <c r="Z909" s="176"/>
      <c r="AA909" s="176"/>
      <c r="AB909" s="176"/>
      <c r="AC909" s="176"/>
      <c r="AD909" s="176"/>
      <c r="AE909" s="176"/>
      <c r="AF909" s="176"/>
      <c r="AG909" s="176"/>
    </row>
    <row r="910" spans="3:33" s="160" customFormat="1">
      <c r="C910" s="825"/>
      <c r="M910" s="247"/>
      <c r="Y910" s="176"/>
      <c r="Z910" s="176"/>
      <c r="AA910" s="176"/>
      <c r="AB910" s="176"/>
      <c r="AC910" s="176"/>
      <c r="AD910" s="176"/>
      <c r="AE910" s="176"/>
      <c r="AF910" s="176"/>
      <c r="AG910" s="176"/>
    </row>
    <row r="911" spans="3:33" s="160" customFormat="1">
      <c r="C911" s="825"/>
      <c r="M911" s="247"/>
      <c r="Y911" s="176"/>
      <c r="Z911" s="176"/>
      <c r="AA911" s="176"/>
      <c r="AB911" s="176"/>
      <c r="AC911" s="176"/>
      <c r="AD911" s="176"/>
      <c r="AE911" s="176"/>
      <c r="AF911" s="176"/>
      <c r="AG911" s="176"/>
    </row>
    <row r="912" spans="3:33" s="160" customFormat="1">
      <c r="C912" s="825"/>
      <c r="M912" s="247"/>
      <c r="Y912" s="176"/>
      <c r="Z912" s="176"/>
      <c r="AA912" s="176"/>
      <c r="AB912" s="176"/>
      <c r="AC912" s="176"/>
      <c r="AD912" s="176"/>
      <c r="AE912" s="176"/>
      <c r="AF912" s="176"/>
      <c r="AG912" s="176"/>
    </row>
    <row r="913" spans="3:33" s="160" customFormat="1">
      <c r="C913" s="825"/>
      <c r="M913" s="247"/>
      <c r="Y913" s="176"/>
      <c r="Z913" s="176"/>
      <c r="AA913" s="176"/>
      <c r="AB913" s="176"/>
      <c r="AC913" s="176"/>
      <c r="AD913" s="176"/>
      <c r="AE913" s="176"/>
      <c r="AF913" s="176"/>
      <c r="AG913" s="176"/>
    </row>
    <row r="914" spans="3:33" s="160" customFormat="1">
      <c r="C914" s="825"/>
      <c r="M914" s="247"/>
      <c r="Y914" s="176"/>
      <c r="Z914" s="176"/>
      <c r="AA914" s="176"/>
      <c r="AB914" s="176"/>
      <c r="AC914" s="176"/>
      <c r="AD914" s="176"/>
      <c r="AE914" s="176"/>
      <c r="AF914" s="176"/>
      <c r="AG914" s="176"/>
    </row>
    <row r="915" spans="3:33" s="160" customFormat="1">
      <c r="C915" s="825"/>
      <c r="M915" s="247"/>
      <c r="Y915" s="176"/>
      <c r="Z915" s="176"/>
      <c r="AA915" s="176"/>
      <c r="AB915" s="176"/>
      <c r="AC915" s="176"/>
      <c r="AD915" s="176"/>
      <c r="AE915" s="176"/>
      <c r="AF915" s="176"/>
      <c r="AG915" s="176"/>
    </row>
    <row r="916" spans="3:33" s="160" customFormat="1">
      <c r="C916" s="825"/>
      <c r="M916" s="247"/>
      <c r="Y916" s="176"/>
      <c r="Z916" s="176"/>
      <c r="AA916" s="176"/>
      <c r="AB916" s="176"/>
      <c r="AC916" s="176"/>
      <c r="AD916" s="176"/>
      <c r="AE916" s="176"/>
      <c r="AF916" s="176"/>
      <c r="AG916" s="176"/>
    </row>
    <row r="917" spans="3:33" s="160" customFormat="1">
      <c r="C917" s="825"/>
      <c r="M917" s="247"/>
      <c r="Y917" s="176"/>
      <c r="Z917" s="176"/>
      <c r="AA917" s="176"/>
      <c r="AB917" s="176"/>
      <c r="AC917" s="176"/>
      <c r="AD917" s="176"/>
      <c r="AE917" s="176"/>
      <c r="AF917" s="176"/>
      <c r="AG917" s="176"/>
    </row>
    <row r="918" spans="3:33" s="160" customFormat="1">
      <c r="C918" s="825"/>
      <c r="M918" s="247"/>
      <c r="Y918" s="176"/>
      <c r="Z918" s="176"/>
      <c r="AA918" s="176"/>
      <c r="AB918" s="176"/>
      <c r="AC918" s="176"/>
      <c r="AD918" s="176"/>
      <c r="AE918" s="176"/>
      <c r="AF918" s="176"/>
      <c r="AG918" s="176"/>
    </row>
    <row r="919" spans="3:33" s="160" customFormat="1">
      <c r="C919" s="825"/>
      <c r="M919" s="247"/>
      <c r="Y919" s="176"/>
      <c r="Z919" s="176"/>
      <c r="AA919" s="176"/>
      <c r="AB919" s="176"/>
      <c r="AC919" s="176"/>
      <c r="AD919" s="176"/>
      <c r="AE919" s="176"/>
      <c r="AF919" s="176"/>
      <c r="AG919" s="176"/>
    </row>
    <row r="920" spans="3:33" s="160" customFormat="1">
      <c r="C920" s="825"/>
      <c r="M920" s="247"/>
      <c r="Y920" s="176"/>
      <c r="Z920" s="176"/>
      <c r="AA920" s="176"/>
      <c r="AB920" s="176"/>
      <c r="AC920" s="176"/>
      <c r="AD920" s="176"/>
      <c r="AE920" s="176"/>
      <c r="AF920" s="176"/>
      <c r="AG920" s="176"/>
    </row>
    <row r="921" spans="3:33" s="160" customFormat="1">
      <c r="C921" s="825"/>
      <c r="M921" s="247"/>
      <c r="Y921" s="176"/>
      <c r="Z921" s="176"/>
      <c r="AA921" s="176"/>
      <c r="AB921" s="176"/>
      <c r="AC921" s="176"/>
      <c r="AD921" s="176"/>
      <c r="AE921" s="176"/>
      <c r="AF921" s="176"/>
      <c r="AG921" s="176"/>
    </row>
    <row r="922" spans="3:33" s="160" customFormat="1">
      <c r="C922" s="825"/>
      <c r="M922" s="247"/>
      <c r="Y922" s="176"/>
      <c r="Z922" s="176"/>
      <c r="AA922" s="176"/>
      <c r="AB922" s="176"/>
      <c r="AC922" s="176"/>
      <c r="AD922" s="176"/>
      <c r="AE922" s="176"/>
      <c r="AF922" s="176"/>
      <c r="AG922" s="176"/>
    </row>
    <row r="923" spans="3:33" s="160" customFormat="1">
      <c r="C923" s="825"/>
      <c r="M923" s="247"/>
      <c r="Y923" s="176"/>
      <c r="Z923" s="176"/>
      <c r="AA923" s="176"/>
      <c r="AB923" s="176"/>
      <c r="AC923" s="176"/>
      <c r="AD923" s="176"/>
      <c r="AE923" s="176"/>
      <c r="AF923" s="176"/>
      <c r="AG923" s="176"/>
    </row>
    <row r="924" spans="3:33" s="160" customFormat="1">
      <c r="C924" s="825"/>
      <c r="M924" s="247"/>
      <c r="Y924" s="176"/>
      <c r="Z924" s="176"/>
      <c r="AA924" s="176"/>
      <c r="AB924" s="176"/>
      <c r="AC924" s="176"/>
      <c r="AD924" s="176"/>
      <c r="AE924" s="176"/>
      <c r="AF924" s="176"/>
      <c r="AG924" s="176"/>
    </row>
    <row r="925" spans="3:33" s="160" customFormat="1">
      <c r="C925" s="825"/>
      <c r="M925" s="247"/>
      <c r="Y925" s="176"/>
      <c r="Z925" s="176"/>
      <c r="AA925" s="176"/>
      <c r="AB925" s="176"/>
      <c r="AC925" s="176"/>
      <c r="AD925" s="176"/>
      <c r="AE925" s="176"/>
      <c r="AF925" s="176"/>
      <c r="AG925" s="176"/>
    </row>
    <row r="926" spans="3:33" s="160" customFormat="1">
      <c r="C926" s="825"/>
      <c r="M926" s="247"/>
      <c r="Y926" s="176"/>
      <c r="Z926" s="176"/>
      <c r="AA926" s="176"/>
      <c r="AB926" s="176"/>
      <c r="AC926" s="176"/>
      <c r="AD926" s="176"/>
      <c r="AE926" s="176"/>
      <c r="AF926" s="176"/>
      <c r="AG926" s="176"/>
    </row>
    <row r="927" spans="3:33" s="160" customFormat="1">
      <c r="C927" s="825"/>
      <c r="M927" s="247"/>
      <c r="Y927" s="176"/>
      <c r="Z927" s="176"/>
      <c r="AA927" s="176"/>
      <c r="AB927" s="176"/>
      <c r="AC927" s="176"/>
      <c r="AD927" s="176"/>
      <c r="AE927" s="176"/>
      <c r="AF927" s="176"/>
      <c r="AG927" s="176"/>
    </row>
    <row r="928" spans="3:33" s="160" customFormat="1">
      <c r="C928" s="825"/>
      <c r="M928" s="247"/>
      <c r="Y928" s="176"/>
      <c r="Z928" s="176"/>
      <c r="AA928" s="176"/>
      <c r="AB928" s="176"/>
      <c r="AC928" s="176"/>
      <c r="AD928" s="176"/>
      <c r="AE928" s="176"/>
      <c r="AF928" s="176"/>
      <c r="AG928" s="176"/>
    </row>
    <row r="929" spans="3:33" s="160" customFormat="1">
      <c r="C929" s="825"/>
      <c r="M929" s="247"/>
      <c r="Y929" s="176"/>
      <c r="Z929" s="176"/>
      <c r="AA929" s="176"/>
      <c r="AB929" s="176"/>
      <c r="AC929" s="176"/>
      <c r="AD929" s="176"/>
      <c r="AE929" s="176"/>
      <c r="AF929" s="176"/>
      <c r="AG929" s="176"/>
    </row>
    <row r="930" spans="3:33" s="160" customFormat="1">
      <c r="C930" s="825"/>
      <c r="M930" s="247"/>
      <c r="Y930" s="176"/>
      <c r="Z930" s="176"/>
      <c r="AA930" s="176"/>
      <c r="AB930" s="176"/>
      <c r="AC930" s="176"/>
      <c r="AD930" s="176"/>
      <c r="AE930" s="176"/>
      <c r="AF930" s="176"/>
      <c r="AG930" s="176"/>
    </row>
    <row r="931" spans="3:33" s="160" customFormat="1">
      <c r="C931" s="825"/>
      <c r="M931" s="247"/>
      <c r="Y931" s="176"/>
      <c r="Z931" s="176"/>
      <c r="AA931" s="176"/>
      <c r="AB931" s="176"/>
      <c r="AC931" s="176"/>
      <c r="AD931" s="176"/>
      <c r="AE931" s="176"/>
      <c r="AF931" s="176"/>
      <c r="AG931" s="176"/>
    </row>
    <row r="932" spans="3:33" s="160" customFormat="1">
      <c r="C932" s="825"/>
      <c r="M932" s="247"/>
      <c r="Y932" s="176"/>
      <c r="Z932" s="176"/>
      <c r="AA932" s="176"/>
      <c r="AB932" s="176"/>
      <c r="AC932" s="176"/>
      <c r="AD932" s="176"/>
      <c r="AE932" s="176"/>
      <c r="AF932" s="176"/>
      <c r="AG932" s="176"/>
    </row>
    <row r="933" spans="3:33" s="160" customFormat="1">
      <c r="C933" s="825"/>
      <c r="M933" s="247"/>
      <c r="Y933" s="176"/>
      <c r="Z933" s="176"/>
      <c r="AA933" s="176"/>
      <c r="AB933" s="176"/>
      <c r="AC933" s="176"/>
      <c r="AD933" s="176"/>
      <c r="AE933" s="176"/>
      <c r="AF933" s="176"/>
      <c r="AG933" s="176"/>
    </row>
    <row r="934" spans="3:33" s="160" customFormat="1">
      <c r="C934" s="825"/>
      <c r="M934" s="247"/>
      <c r="Y934" s="176"/>
      <c r="Z934" s="176"/>
      <c r="AA934" s="176"/>
      <c r="AB934" s="176"/>
      <c r="AC934" s="176"/>
      <c r="AD934" s="176"/>
      <c r="AE934" s="176"/>
      <c r="AF934" s="176"/>
      <c r="AG934" s="176"/>
    </row>
    <row r="935" spans="3:33" s="160" customFormat="1">
      <c r="C935" s="825"/>
      <c r="M935" s="247"/>
      <c r="Y935" s="176"/>
      <c r="Z935" s="176"/>
      <c r="AA935" s="176"/>
      <c r="AB935" s="176"/>
      <c r="AC935" s="176"/>
      <c r="AD935" s="176"/>
      <c r="AE935" s="176"/>
      <c r="AF935" s="176"/>
      <c r="AG935" s="176"/>
    </row>
    <row r="936" spans="3:33" s="160" customFormat="1">
      <c r="C936" s="825"/>
      <c r="M936" s="247"/>
      <c r="Y936" s="176"/>
      <c r="Z936" s="176"/>
      <c r="AA936" s="176"/>
      <c r="AB936" s="176"/>
      <c r="AC936" s="176"/>
      <c r="AD936" s="176"/>
      <c r="AE936" s="176"/>
      <c r="AF936" s="176"/>
      <c r="AG936" s="176"/>
    </row>
    <row r="937" spans="3:33" s="160" customFormat="1">
      <c r="C937" s="825"/>
      <c r="M937" s="247"/>
      <c r="Y937" s="176"/>
      <c r="Z937" s="176"/>
      <c r="AA937" s="176"/>
      <c r="AB937" s="176"/>
      <c r="AC937" s="176"/>
      <c r="AD937" s="176"/>
      <c r="AE937" s="176"/>
      <c r="AF937" s="176"/>
      <c r="AG937" s="176"/>
    </row>
    <row r="938" spans="3:33" s="160" customFormat="1">
      <c r="C938" s="825"/>
      <c r="M938" s="247"/>
      <c r="Y938" s="176"/>
      <c r="Z938" s="176"/>
      <c r="AA938" s="176"/>
      <c r="AB938" s="176"/>
      <c r="AC938" s="176"/>
      <c r="AD938" s="176"/>
      <c r="AE938" s="176"/>
      <c r="AF938" s="176"/>
      <c r="AG938" s="176"/>
    </row>
    <row r="939" spans="3:33" s="160" customFormat="1">
      <c r="C939" s="825"/>
      <c r="M939" s="247"/>
      <c r="Y939" s="176"/>
      <c r="Z939" s="176"/>
      <c r="AA939" s="176"/>
      <c r="AB939" s="176"/>
      <c r="AC939" s="176"/>
      <c r="AD939" s="176"/>
      <c r="AE939" s="176"/>
      <c r="AF939" s="176"/>
      <c r="AG939" s="176"/>
    </row>
    <row r="940" spans="3:33" s="160" customFormat="1">
      <c r="C940" s="825"/>
      <c r="M940" s="247"/>
      <c r="Y940" s="176"/>
      <c r="Z940" s="176"/>
      <c r="AA940" s="176"/>
      <c r="AB940" s="176"/>
      <c r="AC940" s="176"/>
      <c r="AD940" s="176"/>
      <c r="AE940" s="176"/>
      <c r="AF940" s="176"/>
      <c r="AG940" s="176"/>
    </row>
    <row r="941" spans="3:33" s="160" customFormat="1">
      <c r="C941" s="825"/>
      <c r="M941" s="247"/>
      <c r="Y941" s="176"/>
      <c r="Z941" s="176"/>
      <c r="AA941" s="176"/>
      <c r="AB941" s="176"/>
      <c r="AC941" s="176"/>
      <c r="AD941" s="176"/>
      <c r="AE941" s="176"/>
      <c r="AF941" s="176"/>
      <c r="AG941" s="176"/>
    </row>
    <row r="942" spans="3:33" s="160" customFormat="1">
      <c r="C942" s="825"/>
      <c r="M942" s="247"/>
      <c r="Y942" s="176"/>
      <c r="Z942" s="176"/>
      <c r="AA942" s="176"/>
      <c r="AB942" s="176"/>
      <c r="AC942" s="176"/>
      <c r="AD942" s="176"/>
      <c r="AE942" s="176"/>
      <c r="AF942" s="176"/>
      <c r="AG942" s="176"/>
    </row>
    <row r="943" spans="3:33" s="160" customFormat="1">
      <c r="C943" s="825"/>
      <c r="M943" s="247"/>
      <c r="Y943" s="176"/>
      <c r="Z943" s="176"/>
      <c r="AA943" s="176"/>
      <c r="AB943" s="176"/>
      <c r="AC943" s="176"/>
      <c r="AD943" s="176"/>
      <c r="AE943" s="176"/>
      <c r="AF943" s="176"/>
      <c r="AG943" s="176"/>
    </row>
    <row r="944" spans="3:33" s="160" customFormat="1">
      <c r="C944" s="825"/>
      <c r="M944" s="247"/>
      <c r="Y944" s="176"/>
      <c r="Z944" s="176"/>
      <c r="AA944" s="176"/>
      <c r="AB944" s="176"/>
      <c r="AC944" s="176"/>
      <c r="AD944" s="176"/>
      <c r="AE944" s="176"/>
      <c r="AF944" s="176"/>
      <c r="AG944" s="176"/>
    </row>
    <row r="945" spans="3:33" s="160" customFormat="1">
      <c r="C945" s="825"/>
      <c r="M945" s="247"/>
      <c r="Y945" s="176"/>
      <c r="Z945" s="176"/>
      <c r="AA945" s="176"/>
      <c r="AB945" s="176"/>
      <c r="AC945" s="176"/>
      <c r="AD945" s="176"/>
      <c r="AE945" s="176"/>
      <c r="AF945" s="176"/>
      <c r="AG945" s="176"/>
    </row>
    <row r="946" spans="3:33" s="160" customFormat="1">
      <c r="C946" s="825"/>
      <c r="M946" s="247"/>
      <c r="Y946" s="176"/>
      <c r="Z946" s="176"/>
      <c r="AA946" s="176"/>
      <c r="AB946" s="176"/>
      <c r="AC946" s="176"/>
      <c r="AD946" s="176"/>
      <c r="AE946" s="176"/>
      <c r="AF946" s="176"/>
      <c r="AG946" s="176"/>
    </row>
    <row r="947" spans="3:33" s="160" customFormat="1">
      <c r="C947" s="825"/>
      <c r="M947" s="247"/>
      <c r="Y947" s="176"/>
      <c r="Z947" s="176"/>
      <c r="AA947" s="176"/>
      <c r="AB947" s="176"/>
      <c r="AC947" s="176"/>
      <c r="AD947" s="176"/>
      <c r="AE947" s="176"/>
      <c r="AF947" s="176"/>
      <c r="AG947" s="176"/>
    </row>
    <row r="948" spans="3:33" s="160" customFormat="1">
      <c r="C948" s="825"/>
      <c r="M948" s="247"/>
      <c r="Y948" s="176"/>
      <c r="Z948" s="176"/>
      <c r="AA948" s="176"/>
      <c r="AB948" s="176"/>
      <c r="AC948" s="176"/>
      <c r="AD948" s="176"/>
      <c r="AE948" s="176"/>
      <c r="AF948" s="176"/>
      <c r="AG948" s="176"/>
    </row>
    <row r="949" spans="3:33" s="160" customFormat="1">
      <c r="C949" s="825"/>
      <c r="M949" s="247"/>
      <c r="Y949" s="176"/>
      <c r="Z949" s="176"/>
      <c r="AA949" s="176"/>
      <c r="AB949" s="176"/>
      <c r="AC949" s="176"/>
      <c r="AD949" s="176"/>
      <c r="AE949" s="176"/>
      <c r="AF949" s="176"/>
      <c r="AG949" s="176"/>
    </row>
    <row r="950" spans="3:33" s="160" customFormat="1">
      <c r="C950" s="825"/>
      <c r="M950" s="247"/>
      <c r="Y950" s="176"/>
      <c r="Z950" s="176"/>
      <c r="AA950" s="176"/>
      <c r="AB950" s="176"/>
      <c r="AC950" s="176"/>
      <c r="AD950" s="176"/>
      <c r="AE950" s="176"/>
      <c r="AF950" s="176"/>
      <c r="AG950" s="176"/>
    </row>
    <row r="951" spans="3:33" s="160" customFormat="1">
      <c r="C951" s="825"/>
      <c r="M951" s="247"/>
      <c r="Y951" s="176"/>
      <c r="Z951" s="176"/>
      <c r="AA951" s="176"/>
      <c r="AB951" s="176"/>
      <c r="AC951" s="176"/>
      <c r="AD951" s="176"/>
      <c r="AE951" s="176"/>
      <c r="AF951" s="176"/>
      <c r="AG951" s="176"/>
    </row>
    <row r="952" spans="3:33" s="160" customFormat="1">
      <c r="C952" s="825"/>
      <c r="M952" s="247"/>
      <c r="Y952" s="176"/>
      <c r="Z952" s="176"/>
      <c r="AA952" s="176"/>
      <c r="AB952" s="176"/>
      <c r="AC952" s="176"/>
      <c r="AD952" s="176"/>
      <c r="AE952" s="176"/>
      <c r="AF952" s="176"/>
      <c r="AG952" s="176"/>
    </row>
    <row r="953" spans="3:33" s="160" customFormat="1">
      <c r="C953" s="825"/>
      <c r="M953" s="247"/>
      <c r="Y953" s="176"/>
      <c r="Z953" s="176"/>
      <c r="AA953" s="176"/>
      <c r="AB953" s="176"/>
      <c r="AC953" s="176"/>
      <c r="AD953" s="176"/>
      <c r="AE953" s="176"/>
      <c r="AF953" s="176"/>
      <c r="AG953" s="176"/>
    </row>
    <row r="954" spans="3:33" s="160" customFormat="1">
      <c r="C954" s="825"/>
      <c r="M954" s="247"/>
      <c r="Y954" s="176"/>
      <c r="Z954" s="176"/>
      <c r="AA954" s="176"/>
      <c r="AB954" s="176"/>
      <c r="AC954" s="176"/>
      <c r="AD954" s="176"/>
      <c r="AE954" s="176"/>
      <c r="AF954" s="176"/>
      <c r="AG954" s="176"/>
    </row>
    <row r="955" spans="3:33" s="160" customFormat="1">
      <c r="C955" s="825"/>
      <c r="M955" s="247"/>
      <c r="Y955" s="176"/>
      <c r="Z955" s="176"/>
      <c r="AA955" s="176"/>
      <c r="AB955" s="176"/>
      <c r="AC955" s="176"/>
      <c r="AD955" s="176"/>
      <c r="AE955" s="176"/>
      <c r="AF955" s="176"/>
      <c r="AG955" s="176"/>
    </row>
    <row r="956" spans="3:33" s="160" customFormat="1">
      <c r="C956" s="825"/>
      <c r="M956" s="247"/>
      <c r="Y956" s="176"/>
      <c r="Z956" s="176"/>
      <c r="AA956" s="176"/>
      <c r="AB956" s="176"/>
      <c r="AC956" s="176"/>
      <c r="AD956" s="176"/>
      <c r="AE956" s="176"/>
      <c r="AF956" s="176"/>
      <c r="AG956" s="176"/>
    </row>
    <row r="957" spans="3:33" s="160" customFormat="1">
      <c r="C957" s="825"/>
      <c r="M957" s="247"/>
      <c r="Y957" s="176"/>
      <c r="Z957" s="176"/>
      <c r="AA957" s="176"/>
      <c r="AB957" s="176"/>
      <c r="AC957" s="176"/>
      <c r="AD957" s="176"/>
      <c r="AE957" s="176"/>
      <c r="AF957" s="176"/>
      <c r="AG957" s="176"/>
    </row>
    <row r="958" spans="3:33" s="160" customFormat="1">
      <c r="C958" s="825"/>
      <c r="M958" s="247"/>
      <c r="Y958" s="176"/>
      <c r="Z958" s="176"/>
      <c r="AA958" s="176"/>
      <c r="AB958" s="176"/>
      <c r="AC958" s="176"/>
      <c r="AD958" s="176"/>
      <c r="AE958" s="176"/>
      <c r="AF958" s="176"/>
      <c r="AG958" s="176"/>
    </row>
    <row r="959" spans="3:33" s="160" customFormat="1">
      <c r="C959" s="825"/>
      <c r="M959" s="247"/>
      <c r="Y959" s="176"/>
      <c r="Z959" s="176"/>
      <c r="AA959" s="176"/>
      <c r="AB959" s="176"/>
      <c r="AC959" s="176"/>
      <c r="AD959" s="176"/>
      <c r="AE959" s="176"/>
      <c r="AF959" s="176"/>
      <c r="AG959" s="176"/>
    </row>
    <row r="960" spans="3:33" s="160" customFormat="1">
      <c r="C960" s="825"/>
      <c r="M960" s="247"/>
      <c r="Y960" s="176"/>
      <c r="Z960" s="176"/>
      <c r="AA960" s="176"/>
      <c r="AB960" s="176"/>
      <c r="AC960" s="176"/>
      <c r="AD960" s="176"/>
      <c r="AE960" s="176"/>
      <c r="AF960" s="176"/>
      <c r="AG960" s="176"/>
    </row>
    <row r="961" spans="3:33" s="160" customFormat="1">
      <c r="C961" s="825"/>
      <c r="M961" s="247"/>
      <c r="Y961" s="176"/>
      <c r="Z961" s="176"/>
      <c r="AA961" s="176"/>
      <c r="AB961" s="176"/>
      <c r="AC961" s="176"/>
      <c r="AD961" s="176"/>
      <c r="AE961" s="176"/>
      <c r="AF961" s="176"/>
      <c r="AG961" s="176"/>
    </row>
    <row r="962" spans="3:33" s="160" customFormat="1">
      <c r="C962" s="825"/>
      <c r="M962" s="247"/>
      <c r="Y962" s="176"/>
      <c r="Z962" s="176"/>
      <c r="AA962" s="176"/>
      <c r="AB962" s="176"/>
      <c r="AC962" s="176"/>
      <c r="AD962" s="176"/>
      <c r="AE962" s="176"/>
      <c r="AF962" s="176"/>
      <c r="AG962" s="176"/>
    </row>
    <row r="963" spans="3:33" s="160" customFormat="1">
      <c r="C963" s="825"/>
      <c r="M963" s="247"/>
      <c r="Y963" s="176"/>
      <c r="Z963" s="176"/>
      <c r="AA963" s="176"/>
      <c r="AB963" s="176"/>
      <c r="AC963" s="176"/>
      <c r="AD963" s="176"/>
      <c r="AE963" s="176"/>
      <c r="AF963" s="176"/>
      <c r="AG963" s="176"/>
    </row>
    <row r="964" spans="3:33" s="160" customFormat="1">
      <c r="C964" s="825"/>
      <c r="M964" s="247"/>
      <c r="Y964" s="176"/>
      <c r="Z964" s="176"/>
      <c r="AA964" s="176"/>
      <c r="AB964" s="176"/>
      <c r="AC964" s="176"/>
      <c r="AD964" s="176"/>
      <c r="AE964" s="176"/>
      <c r="AF964" s="176"/>
      <c r="AG964" s="176"/>
    </row>
    <row r="965" spans="3:33" s="160" customFormat="1">
      <c r="C965" s="825"/>
      <c r="M965" s="247"/>
      <c r="Y965" s="176"/>
      <c r="Z965" s="176"/>
      <c r="AA965" s="176"/>
      <c r="AB965" s="176"/>
      <c r="AC965" s="176"/>
      <c r="AD965" s="176"/>
      <c r="AE965" s="176"/>
      <c r="AF965" s="176"/>
      <c r="AG965" s="176"/>
    </row>
    <row r="966" spans="3:33" s="160" customFormat="1">
      <c r="C966" s="825"/>
      <c r="M966" s="247"/>
      <c r="Y966" s="176"/>
      <c r="Z966" s="176"/>
      <c r="AA966" s="176"/>
      <c r="AB966" s="176"/>
      <c r="AC966" s="176"/>
      <c r="AD966" s="176"/>
      <c r="AE966" s="176"/>
      <c r="AF966" s="176"/>
      <c r="AG966" s="176"/>
    </row>
    <row r="967" spans="3:33" s="160" customFormat="1">
      <c r="C967" s="825"/>
      <c r="M967" s="247"/>
      <c r="Y967" s="176"/>
      <c r="Z967" s="176"/>
      <c r="AA967" s="176"/>
      <c r="AB967" s="176"/>
      <c r="AC967" s="176"/>
      <c r="AD967" s="176"/>
      <c r="AE967" s="176"/>
      <c r="AF967" s="176"/>
      <c r="AG967" s="176"/>
    </row>
    <row r="968" spans="3:33" s="160" customFormat="1">
      <c r="C968" s="825"/>
      <c r="M968" s="247"/>
      <c r="Y968" s="176"/>
      <c r="Z968" s="176"/>
      <c r="AA968" s="176"/>
      <c r="AB968" s="176"/>
      <c r="AC968" s="176"/>
      <c r="AD968" s="176"/>
      <c r="AE968" s="176"/>
      <c r="AF968" s="176"/>
      <c r="AG968" s="176"/>
    </row>
    <row r="969" spans="3:33" s="160" customFormat="1">
      <c r="C969" s="825"/>
      <c r="M969" s="247"/>
      <c r="Y969" s="176"/>
      <c r="Z969" s="176"/>
      <c r="AA969" s="176"/>
      <c r="AB969" s="176"/>
      <c r="AC969" s="176"/>
      <c r="AD969" s="176"/>
      <c r="AE969" s="176"/>
      <c r="AF969" s="176"/>
      <c r="AG969" s="176"/>
    </row>
    <row r="970" spans="3:33" s="160" customFormat="1">
      <c r="C970" s="825"/>
      <c r="M970" s="247"/>
      <c r="Y970" s="176"/>
      <c r="Z970" s="176"/>
      <c r="AA970" s="176"/>
      <c r="AB970" s="176"/>
      <c r="AC970" s="176"/>
      <c r="AD970" s="176"/>
      <c r="AE970" s="176"/>
      <c r="AF970" s="176"/>
      <c r="AG970" s="176"/>
    </row>
    <row r="971" spans="3:33" s="160" customFormat="1">
      <c r="C971" s="825"/>
      <c r="M971" s="247"/>
      <c r="Y971" s="176"/>
      <c r="Z971" s="176"/>
      <c r="AA971" s="176"/>
      <c r="AB971" s="176"/>
      <c r="AC971" s="176"/>
      <c r="AD971" s="176"/>
      <c r="AE971" s="176"/>
      <c r="AF971" s="176"/>
      <c r="AG971" s="176"/>
    </row>
    <row r="972" spans="3:33" s="160" customFormat="1">
      <c r="C972" s="825"/>
      <c r="M972" s="247"/>
      <c r="Y972" s="176"/>
      <c r="Z972" s="176"/>
      <c r="AA972" s="176"/>
      <c r="AB972" s="176"/>
      <c r="AC972" s="176"/>
      <c r="AD972" s="176"/>
      <c r="AE972" s="176"/>
      <c r="AF972" s="176"/>
      <c r="AG972" s="176"/>
    </row>
    <row r="973" spans="3:33" s="160" customFormat="1">
      <c r="C973" s="825"/>
      <c r="M973" s="247"/>
      <c r="Y973" s="176"/>
      <c r="Z973" s="176"/>
      <c r="AA973" s="176"/>
      <c r="AB973" s="176"/>
      <c r="AC973" s="176"/>
      <c r="AD973" s="176"/>
      <c r="AE973" s="176"/>
      <c r="AF973" s="176"/>
      <c r="AG973" s="176"/>
    </row>
    <row r="974" spans="3:33" s="160" customFormat="1">
      <c r="C974" s="825"/>
      <c r="M974" s="247"/>
      <c r="Y974" s="176"/>
      <c r="Z974" s="176"/>
      <c r="AA974" s="176"/>
      <c r="AB974" s="176"/>
      <c r="AC974" s="176"/>
      <c r="AD974" s="176"/>
      <c r="AE974" s="176"/>
      <c r="AF974" s="176"/>
      <c r="AG974" s="176"/>
    </row>
    <row r="975" spans="3:33" s="160" customFormat="1">
      <c r="C975" s="825"/>
      <c r="M975" s="247"/>
      <c r="Y975" s="176"/>
      <c r="Z975" s="176"/>
      <c r="AA975" s="176"/>
      <c r="AB975" s="176"/>
      <c r="AC975" s="176"/>
      <c r="AD975" s="176"/>
      <c r="AE975" s="176"/>
      <c r="AF975" s="176"/>
      <c r="AG975" s="176"/>
    </row>
    <row r="976" spans="3:33" s="160" customFormat="1">
      <c r="C976" s="825"/>
      <c r="M976" s="247"/>
      <c r="Y976" s="176"/>
      <c r="Z976" s="176"/>
      <c r="AA976" s="176"/>
      <c r="AB976" s="176"/>
      <c r="AC976" s="176"/>
      <c r="AD976" s="176"/>
      <c r="AE976" s="176"/>
      <c r="AF976" s="176"/>
      <c r="AG976" s="176"/>
    </row>
    <row r="977" spans="3:33" s="160" customFormat="1">
      <c r="C977" s="825"/>
      <c r="M977" s="247"/>
      <c r="Y977" s="176"/>
      <c r="Z977" s="176"/>
      <c r="AA977" s="176"/>
      <c r="AB977" s="176"/>
      <c r="AC977" s="176"/>
      <c r="AD977" s="176"/>
      <c r="AE977" s="176"/>
      <c r="AF977" s="176"/>
      <c r="AG977" s="176"/>
    </row>
    <row r="978" spans="3:33" s="160" customFormat="1">
      <c r="C978" s="825"/>
      <c r="M978" s="247"/>
      <c r="Y978" s="176"/>
      <c r="Z978" s="176"/>
      <c r="AA978" s="176"/>
      <c r="AB978" s="176"/>
      <c r="AC978" s="176"/>
      <c r="AD978" s="176"/>
      <c r="AE978" s="176"/>
      <c r="AF978" s="176"/>
      <c r="AG978" s="176"/>
    </row>
    <row r="979" spans="3:33" s="160" customFormat="1">
      <c r="C979" s="825"/>
      <c r="M979" s="247"/>
      <c r="Y979" s="176"/>
      <c r="Z979" s="176"/>
      <c r="AA979" s="176"/>
      <c r="AB979" s="176"/>
      <c r="AC979" s="176"/>
      <c r="AD979" s="176"/>
      <c r="AE979" s="176"/>
      <c r="AF979" s="176"/>
      <c r="AG979" s="176"/>
    </row>
    <row r="980" spans="3:33" s="160" customFormat="1">
      <c r="C980" s="825"/>
      <c r="M980" s="247"/>
      <c r="Y980" s="176"/>
      <c r="Z980" s="176"/>
      <c r="AA980" s="176"/>
      <c r="AB980" s="176"/>
      <c r="AC980" s="176"/>
      <c r="AD980" s="176"/>
      <c r="AE980" s="176"/>
      <c r="AF980" s="176"/>
      <c r="AG980" s="176"/>
    </row>
    <row r="981" spans="3:33" s="160" customFormat="1">
      <c r="C981" s="825"/>
      <c r="M981" s="247"/>
      <c r="Y981" s="176"/>
      <c r="Z981" s="176"/>
      <c r="AA981" s="176"/>
      <c r="AB981" s="176"/>
      <c r="AC981" s="176"/>
      <c r="AD981" s="176"/>
      <c r="AE981" s="176"/>
      <c r="AF981" s="176"/>
      <c r="AG981" s="176"/>
    </row>
    <row r="982" spans="3:33" s="160" customFormat="1">
      <c r="C982" s="825"/>
      <c r="M982" s="247"/>
      <c r="Y982" s="176"/>
      <c r="Z982" s="176"/>
      <c r="AA982" s="176"/>
      <c r="AB982" s="176"/>
      <c r="AC982" s="176"/>
      <c r="AD982" s="176"/>
      <c r="AE982" s="176"/>
      <c r="AF982" s="176"/>
      <c r="AG982" s="176"/>
    </row>
    <row r="983" spans="3:33" s="160" customFormat="1">
      <c r="C983" s="825"/>
      <c r="M983" s="247"/>
      <c r="Y983" s="176"/>
      <c r="Z983" s="176"/>
      <c r="AA983" s="176"/>
      <c r="AB983" s="176"/>
      <c r="AC983" s="176"/>
      <c r="AD983" s="176"/>
      <c r="AE983" s="176"/>
      <c r="AF983" s="176"/>
      <c r="AG983" s="176"/>
    </row>
    <row r="984" spans="3:33" s="160" customFormat="1">
      <c r="C984" s="825"/>
      <c r="M984" s="247"/>
      <c r="Y984" s="176"/>
      <c r="Z984" s="176"/>
      <c r="AA984" s="176"/>
      <c r="AB984" s="176"/>
      <c r="AC984" s="176"/>
      <c r="AD984" s="176"/>
      <c r="AE984" s="176"/>
      <c r="AF984" s="176"/>
      <c r="AG984" s="176"/>
    </row>
    <row r="985" spans="3:33" s="160" customFormat="1">
      <c r="C985" s="825"/>
      <c r="M985" s="247"/>
      <c r="Y985" s="176"/>
      <c r="Z985" s="176"/>
      <c r="AA985" s="176"/>
      <c r="AB985" s="176"/>
      <c r="AC985" s="176"/>
      <c r="AD985" s="176"/>
      <c r="AE985" s="176"/>
      <c r="AF985" s="176"/>
      <c r="AG985" s="176"/>
    </row>
    <row r="986" spans="3:33" s="160" customFormat="1">
      <c r="C986" s="825"/>
      <c r="M986" s="247"/>
      <c r="Y986" s="176"/>
      <c r="Z986" s="176"/>
      <c r="AA986" s="176"/>
      <c r="AB986" s="176"/>
      <c r="AC986" s="176"/>
      <c r="AD986" s="176"/>
      <c r="AE986" s="176"/>
      <c r="AF986" s="176"/>
      <c r="AG986" s="176"/>
    </row>
    <row r="987" spans="3:33" s="160" customFormat="1">
      <c r="C987" s="825"/>
      <c r="M987" s="247"/>
      <c r="Y987" s="176"/>
      <c r="Z987" s="176"/>
      <c r="AA987" s="176"/>
      <c r="AB987" s="176"/>
      <c r="AC987" s="176"/>
      <c r="AD987" s="176"/>
      <c r="AE987" s="176"/>
      <c r="AF987" s="176"/>
      <c r="AG987" s="176"/>
    </row>
    <row r="988" spans="3:33" s="160" customFormat="1">
      <c r="C988" s="825"/>
      <c r="M988" s="247"/>
      <c r="Y988" s="176"/>
      <c r="Z988" s="176"/>
      <c r="AA988" s="176"/>
      <c r="AB988" s="176"/>
      <c r="AC988" s="176"/>
      <c r="AD988" s="176"/>
      <c r="AE988" s="176"/>
      <c r="AF988" s="176"/>
      <c r="AG988" s="176"/>
    </row>
    <row r="989" spans="3:33" s="160" customFormat="1">
      <c r="C989" s="825"/>
      <c r="M989" s="247"/>
      <c r="Y989" s="176"/>
      <c r="Z989" s="176"/>
      <c r="AA989" s="176"/>
      <c r="AB989" s="176"/>
      <c r="AC989" s="176"/>
      <c r="AD989" s="176"/>
      <c r="AE989" s="176"/>
      <c r="AF989" s="176"/>
      <c r="AG989" s="176"/>
    </row>
    <row r="990" spans="3:33" s="160" customFormat="1">
      <c r="C990" s="825"/>
      <c r="M990" s="247"/>
      <c r="Y990" s="176"/>
      <c r="Z990" s="176"/>
      <c r="AA990" s="176"/>
      <c r="AB990" s="176"/>
      <c r="AC990" s="176"/>
      <c r="AD990" s="176"/>
      <c r="AE990" s="176"/>
      <c r="AF990" s="176"/>
      <c r="AG990" s="176"/>
    </row>
    <row r="991" spans="3:33" s="160" customFormat="1">
      <c r="C991" s="825"/>
      <c r="M991" s="247"/>
      <c r="Y991" s="176"/>
      <c r="Z991" s="176"/>
      <c r="AA991" s="176"/>
      <c r="AB991" s="176"/>
      <c r="AC991" s="176"/>
      <c r="AD991" s="176"/>
      <c r="AE991" s="176"/>
      <c r="AF991" s="176"/>
      <c r="AG991" s="176"/>
    </row>
    <row r="992" spans="3:33" s="160" customFormat="1">
      <c r="C992" s="825"/>
      <c r="M992" s="247"/>
      <c r="Y992" s="176"/>
      <c r="Z992" s="176"/>
      <c r="AA992" s="176"/>
      <c r="AB992" s="176"/>
      <c r="AC992" s="176"/>
      <c r="AD992" s="176"/>
      <c r="AE992" s="176"/>
      <c r="AF992" s="176"/>
      <c r="AG992" s="176"/>
    </row>
    <row r="993" spans="3:33" s="160" customFormat="1">
      <c r="C993" s="825"/>
      <c r="M993" s="247"/>
      <c r="Y993" s="176"/>
      <c r="Z993" s="176"/>
      <c r="AA993" s="176"/>
      <c r="AB993" s="176"/>
      <c r="AC993" s="176"/>
      <c r="AD993" s="176"/>
      <c r="AE993" s="176"/>
      <c r="AF993" s="176"/>
      <c r="AG993" s="176"/>
    </row>
    <row r="994" spans="3:33" s="160" customFormat="1">
      <c r="C994" s="825"/>
      <c r="M994" s="247"/>
      <c r="Y994" s="176"/>
      <c r="Z994" s="176"/>
      <c r="AA994" s="176"/>
      <c r="AB994" s="176"/>
      <c r="AC994" s="176"/>
      <c r="AD994" s="176"/>
      <c r="AE994" s="176"/>
      <c r="AF994" s="176"/>
      <c r="AG994" s="176"/>
    </row>
    <row r="995" spans="3:33" s="160" customFormat="1">
      <c r="C995" s="825"/>
      <c r="M995" s="247"/>
      <c r="Y995" s="176"/>
      <c r="Z995" s="176"/>
      <c r="AA995" s="176"/>
      <c r="AB995" s="176"/>
      <c r="AC995" s="176"/>
      <c r="AD995" s="176"/>
      <c r="AE995" s="176"/>
      <c r="AF995" s="176"/>
      <c r="AG995" s="176"/>
    </row>
    <row r="996" spans="3:33" s="160" customFormat="1">
      <c r="C996" s="825"/>
      <c r="M996" s="247"/>
      <c r="Y996" s="176"/>
      <c r="Z996" s="176"/>
      <c r="AA996" s="176"/>
      <c r="AB996" s="176"/>
      <c r="AC996" s="176"/>
      <c r="AD996" s="176"/>
      <c r="AE996" s="176"/>
      <c r="AF996" s="176"/>
      <c r="AG996" s="176"/>
    </row>
    <row r="997" spans="3:33" s="160" customFormat="1">
      <c r="C997" s="825"/>
      <c r="M997" s="247"/>
      <c r="Y997" s="176"/>
      <c r="Z997" s="176"/>
      <c r="AA997" s="176"/>
      <c r="AB997" s="176"/>
      <c r="AC997" s="176"/>
      <c r="AD997" s="176"/>
      <c r="AE997" s="176"/>
      <c r="AF997" s="176"/>
      <c r="AG997" s="176"/>
    </row>
    <row r="998" spans="3:33" s="160" customFormat="1">
      <c r="C998" s="825"/>
      <c r="M998" s="247"/>
      <c r="Y998" s="176"/>
      <c r="Z998" s="176"/>
      <c r="AA998" s="176"/>
      <c r="AB998" s="176"/>
      <c r="AC998" s="176"/>
      <c r="AD998" s="176"/>
      <c r="AE998" s="176"/>
      <c r="AF998" s="176"/>
      <c r="AG998" s="176"/>
    </row>
    <row r="999" spans="3:33" s="160" customFormat="1">
      <c r="C999" s="825"/>
      <c r="M999" s="247"/>
      <c r="Y999" s="176"/>
      <c r="Z999" s="176"/>
      <c r="AA999" s="176"/>
      <c r="AB999" s="176"/>
      <c r="AC999" s="176"/>
      <c r="AD999" s="176"/>
      <c r="AE999" s="176"/>
      <c r="AF999" s="176"/>
      <c r="AG999" s="176"/>
    </row>
    <row r="1000" spans="3:33" s="160" customFormat="1">
      <c r="C1000" s="825"/>
      <c r="M1000" s="247"/>
      <c r="Y1000" s="176"/>
      <c r="Z1000" s="176"/>
      <c r="AA1000" s="176"/>
      <c r="AB1000" s="176"/>
      <c r="AC1000" s="176"/>
      <c r="AD1000" s="176"/>
      <c r="AE1000" s="176"/>
      <c r="AF1000" s="176"/>
      <c r="AG1000" s="176"/>
    </row>
    <row r="1001" spans="3:33" s="160" customFormat="1">
      <c r="C1001" s="825"/>
      <c r="M1001" s="247"/>
      <c r="Y1001" s="176"/>
      <c r="Z1001" s="176"/>
      <c r="AA1001" s="176"/>
      <c r="AB1001" s="176"/>
      <c r="AC1001" s="176"/>
      <c r="AD1001" s="176"/>
      <c r="AE1001" s="176"/>
      <c r="AF1001" s="176"/>
      <c r="AG1001" s="176"/>
    </row>
    <row r="1002" spans="3:33" s="160" customFormat="1">
      <c r="C1002" s="825"/>
      <c r="M1002" s="247"/>
      <c r="Y1002" s="176"/>
      <c r="Z1002" s="176"/>
      <c r="AA1002" s="176"/>
      <c r="AB1002" s="176"/>
      <c r="AC1002" s="176"/>
      <c r="AD1002" s="176"/>
      <c r="AE1002" s="176"/>
      <c r="AF1002" s="176"/>
      <c r="AG1002" s="176"/>
    </row>
    <row r="1003" spans="3:33" s="160" customFormat="1">
      <c r="C1003" s="825"/>
      <c r="M1003" s="247"/>
      <c r="Y1003" s="176"/>
      <c r="Z1003" s="176"/>
      <c r="AA1003" s="176"/>
      <c r="AB1003" s="176"/>
      <c r="AC1003" s="176"/>
      <c r="AD1003" s="176"/>
      <c r="AE1003" s="176"/>
      <c r="AF1003" s="176"/>
      <c r="AG1003" s="176"/>
    </row>
    <row r="1004" spans="3:33" s="160" customFormat="1">
      <c r="C1004" s="825"/>
      <c r="M1004" s="247"/>
      <c r="Y1004" s="176"/>
      <c r="Z1004" s="176"/>
      <c r="AA1004" s="176"/>
      <c r="AB1004" s="176"/>
      <c r="AC1004" s="176"/>
      <c r="AD1004" s="176"/>
      <c r="AE1004" s="176"/>
      <c r="AF1004" s="176"/>
      <c r="AG1004" s="176"/>
    </row>
    <row r="1005" spans="3:33" s="160" customFormat="1">
      <c r="C1005" s="825"/>
      <c r="M1005" s="247"/>
      <c r="Y1005" s="176"/>
      <c r="Z1005" s="176"/>
      <c r="AA1005" s="176"/>
      <c r="AB1005" s="176"/>
      <c r="AC1005" s="176"/>
      <c r="AD1005" s="176"/>
      <c r="AE1005" s="176"/>
      <c r="AF1005" s="176"/>
      <c r="AG1005" s="176"/>
    </row>
    <row r="1006" spans="3:33" s="160" customFormat="1">
      <c r="C1006" s="825"/>
      <c r="M1006" s="247"/>
      <c r="Y1006" s="176"/>
      <c r="Z1006" s="176"/>
      <c r="AA1006" s="176"/>
      <c r="AB1006" s="176"/>
      <c r="AC1006" s="176"/>
      <c r="AD1006" s="176"/>
      <c r="AE1006" s="176"/>
      <c r="AF1006" s="176"/>
      <c r="AG1006" s="176"/>
    </row>
    <row r="1007" spans="3:33" s="160" customFormat="1">
      <c r="C1007" s="825"/>
      <c r="M1007" s="247"/>
      <c r="Y1007" s="176"/>
      <c r="Z1007" s="176"/>
      <c r="AA1007" s="176"/>
      <c r="AB1007" s="176"/>
      <c r="AC1007" s="176"/>
      <c r="AD1007" s="176"/>
      <c r="AE1007" s="176"/>
      <c r="AF1007" s="176"/>
      <c r="AG1007" s="176"/>
    </row>
    <row r="1008" spans="3:33" s="160" customFormat="1">
      <c r="C1008" s="825"/>
      <c r="M1008" s="247"/>
      <c r="Y1008" s="176"/>
      <c r="Z1008" s="176"/>
      <c r="AA1008" s="176"/>
      <c r="AB1008" s="176"/>
      <c r="AC1008" s="176"/>
      <c r="AD1008" s="176"/>
      <c r="AE1008" s="176"/>
      <c r="AF1008" s="176"/>
      <c r="AG1008" s="176"/>
    </row>
    <row r="1009" spans="3:33" s="160" customFormat="1">
      <c r="C1009" s="825"/>
      <c r="M1009" s="247"/>
      <c r="Y1009" s="176"/>
      <c r="Z1009" s="176"/>
      <c r="AA1009" s="176"/>
      <c r="AB1009" s="176"/>
      <c r="AC1009" s="176"/>
      <c r="AD1009" s="176"/>
      <c r="AE1009" s="176"/>
      <c r="AF1009" s="176"/>
      <c r="AG1009" s="176"/>
    </row>
    <row r="1010" spans="3:33" s="160" customFormat="1">
      <c r="C1010" s="825"/>
      <c r="M1010" s="247"/>
      <c r="Y1010" s="176"/>
      <c r="Z1010" s="176"/>
      <c r="AA1010" s="176"/>
      <c r="AB1010" s="176"/>
      <c r="AC1010" s="176"/>
      <c r="AD1010" s="176"/>
      <c r="AE1010" s="176"/>
      <c r="AF1010" s="176"/>
      <c r="AG1010" s="176"/>
    </row>
    <row r="1011" spans="3:33" s="160" customFormat="1">
      <c r="C1011" s="825"/>
      <c r="M1011" s="247"/>
      <c r="Y1011" s="176"/>
      <c r="Z1011" s="176"/>
      <c r="AA1011" s="176"/>
      <c r="AB1011" s="176"/>
      <c r="AC1011" s="176"/>
      <c r="AD1011" s="176"/>
      <c r="AE1011" s="176"/>
      <c r="AF1011" s="176"/>
      <c r="AG1011" s="176"/>
    </row>
    <row r="1012" spans="3:33" s="160" customFormat="1">
      <c r="C1012" s="825"/>
      <c r="M1012" s="247"/>
      <c r="Y1012" s="176"/>
      <c r="Z1012" s="176"/>
      <c r="AA1012" s="176"/>
      <c r="AB1012" s="176"/>
      <c r="AC1012" s="176"/>
      <c r="AD1012" s="176"/>
      <c r="AE1012" s="176"/>
      <c r="AF1012" s="176"/>
      <c r="AG1012" s="176"/>
    </row>
    <row r="1013" spans="3:33" s="160" customFormat="1">
      <c r="C1013" s="825"/>
      <c r="M1013" s="247"/>
      <c r="Y1013" s="176"/>
      <c r="Z1013" s="176"/>
      <c r="AA1013" s="176"/>
      <c r="AB1013" s="176"/>
      <c r="AC1013" s="176"/>
      <c r="AD1013" s="176"/>
      <c r="AE1013" s="176"/>
      <c r="AF1013" s="176"/>
      <c r="AG1013" s="176"/>
    </row>
    <row r="1014" spans="3:33" s="160" customFormat="1">
      <c r="C1014" s="825"/>
      <c r="M1014" s="247"/>
      <c r="Y1014" s="176"/>
      <c r="Z1014" s="176"/>
      <c r="AA1014" s="176"/>
      <c r="AB1014" s="176"/>
      <c r="AC1014" s="176"/>
      <c r="AD1014" s="176"/>
      <c r="AE1014" s="176"/>
      <c r="AF1014" s="176"/>
      <c r="AG1014" s="176"/>
    </row>
    <row r="1015" spans="3:33" s="160" customFormat="1">
      <c r="C1015" s="825"/>
      <c r="M1015" s="247"/>
      <c r="Y1015" s="176"/>
      <c r="Z1015" s="176"/>
      <c r="AA1015" s="176"/>
      <c r="AB1015" s="176"/>
      <c r="AC1015" s="176"/>
      <c r="AD1015" s="176"/>
      <c r="AE1015" s="176"/>
      <c r="AF1015" s="176"/>
      <c r="AG1015" s="176"/>
    </row>
    <row r="1016" spans="3:33" s="160" customFormat="1">
      <c r="C1016" s="825"/>
      <c r="M1016" s="247"/>
      <c r="Y1016" s="176"/>
      <c r="Z1016" s="176"/>
      <c r="AA1016" s="176"/>
      <c r="AB1016" s="176"/>
      <c r="AC1016" s="176"/>
      <c r="AD1016" s="176"/>
      <c r="AE1016" s="176"/>
      <c r="AF1016" s="176"/>
      <c r="AG1016" s="176"/>
    </row>
    <row r="1017" spans="3:33" s="160" customFormat="1">
      <c r="C1017" s="825"/>
      <c r="M1017" s="247"/>
      <c r="Y1017" s="176"/>
      <c r="Z1017" s="176"/>
      <c r="AA1017" s="176"/>
      <c r="AB1017" s="176"/>
      <c r="AC1017" s="176"/>
      <c r="AD1017" s="176"/>
      <c r="AE1017" s="176"/>
      <c r="AF1017" s="176"/>
      <c r="AG1017" s="176"/>
    </row>
    <row r="1018" spans="3:33" s="160" customFormat="1">
      <c r="C1018" s="825"/>
      <c r="M1018" s="247"/>
      <c r="Y1018" s="176"/>
      <c r="Z1018" s="176"/>
      <c r="AA1018" s="176"/>
      <c r="AB1018" s="176"/>
      <c r="AC1018" s="176"/>
      <c r="AD1018" s="176"/>
      <c r="AE1018" s="176"/>
      <c r="AF1018" s="176"/>
      <c r="AG1018" s="176"/>
    </row>
    <row r="1019" spans="3:33" s="160" customFormat="1">
      <c r="C1019" s="825"/>
      <c r="M1019" s="247"/>
      <c r="Y1019" s="176"/>
      <c r="Z1019" s="176"/>
      <c r="AA1019" s="176"/>
      <c r="AB1019" s="176"/>
      <c r="AC1019" s="176"/>
      <c r="AD1019" s="176"/>
      <c r="AE1019" s="176"/>
      <c r="AF1019" s="176"/>
      <c r="AG1019" s="176"/>
    </row>
    <row r="1020" spans="3:33" s="160" customFormat="1">
      <c r="C1020" s="825"/>
      <c r="M1020" s="247"/>
      <c r="Y1020" s="176"/>
      <c r="Z1020" s="176"/>
      <c r="AA1020" s="176"/>
      <c r="AB1020" s="176"/>
      <c r="AC1020" s="176"/>
      <c r="AD1020" s="176"/>
      <c r="AE1020" s="176"/>
      <c r="AF1020" s="176"/>
      <c r="AG1020" s="176"/>
    </row>
    <row r="1021" spans="3:33" s="160" customFormat="1">
      <c r="C1021" s="825"/>
      <c r="M1021" s="247"/>
      <c r="Y1021" s="176"/>
      <c r="Z1021" s="176"/>
      <c r="AA1021" s="176"/>
      <c r="AB1021" s="176"/>
      <c r="AC1021" s="176"/>
      <c r="AD1021" s="176"/>
      <c r="AE1021" s="176"/>
      <c r="AF1021" s="176"/>
      <c r="AG1021" s="176"/>
    </row>
    <row r="1022" spans="3:33" s="160" customFormat="1">
      <c r="C1022" s="825"/>
      <c r="M1022" s="247"/>
      <c r="Y1022" s="176"/>
      <c r="Z1022" s="176"/>
      <c r="AA1022" s="176"/>
      <c r="AB1022" s="176"/>
      <c r="AC1022" s="176"/>
      <c r="AD1022" s="176"/>
      <c r="AE1022" s="176"/>
      <c r="AF1022" s="176"/>
      <c r="AG1022" s="176"/>
    </row>
    <row r="1023" spans="3:33" s="160" customFormat="1">
      <c r="C1023" s="825"/>
      <c r="M1023" s="247"/>
      <c r="Y1023" s="176"/>
      <c r="Z1023" s="176"/>
      <c r="AA1023" s="176"/>
      <c r="AB1023" s="176"/>
      <c r="AC1023" s="176"/>
      <c r="AD1023" s="176"/>
      <c r="AE1023" s="176"/>
      <c r="AF1023" s="176"/>
      <c r="AG1023" s="176"/>
    </row>
    <row r="1024" spans="3:33" s="160" customFormat="1">
      <c r="C1024" s="825"/>
      <c r="M1024" s="247"/>
      <c r="Y1024" s="176"/>
      <c r="Z1024" s="176"/>
      <c r="AA1024" s="176"/>
      <c r="AB1024" s="176"/>
      <c r="AC1024" s="176"/>
      <c r="AD1024" s="176"/>
      <c r="AE1024" s="176"/>
      <c r="AF1024" s="176"/>
      <c r="AG1024" s="176"/>
    </row>
    <row r="1025" spans="3:33" s="160" customFormat="1">
      <c r="C1025" s="825"/>
      <c r="M1025" s="247"/>
      <c r="Y1025" s="176"/>
      <c r="Z1025" s="176"/>
      <c r="AA1025" s="176"/>
      <c r="AB1025" s="176"/>
      <c r="AC1025" s="176"/>
      <c r="AD1025" s="176"/>
      <c r="AE1025" s="176"/>
      <c r="AF1025" s="176"/>
      <c r="AG1025" s="176"/>
    </row>
    <row r="1026" spans="3:33" s="160" customFormat="1">
      <c r="C1026" s="825"/>
      <c r="M1026" s="247"/>
      <c r="Y1026" s="176"/>
      <c r="Z1026" s="176"/>
      <c r="AA1026" s="176"/>
      <c r="AB1026" s="176"/>
      <c r="AC1026" s="176"/>
      <c r="AD1026" s="176"/>
      <c r="AE1026" s="176"/>
      <c r="AF1026" s="176"/>
      <c r="AG1026" s="176"/>
    </row>
    <row r="1027" spans="3:33" s="160" customFormat="1">
      <c r="C1027" s="825"/>
      <c r="M1027" s="247"/>
      <c r="Y1027" s="176"/>
      <c r="Z1027" s="176"/>
      <c r="AA1027" s="176"/>
      <c r="AB1027" s="176"/>
      <c r="AC1027" s="176"/>
      <c r="AD1027" s="176"/>
      <c r="AE1027" s="176"/>
      <c r="AF1027" s="176"/>
      <c r="AG1027" s="176"/>
    </row>
    <row r="1028" spans="3:33" s="160" customFormat="1">
      <c r="C1028" s="825"/>
      <c r="M1028" s="247"/>
      <c r="Y1028" s="176"/>
      <c r="Z1028" s="176"/>
      <c r="AA1028" s="176"/>
      <c r="AB1028" s="176"/>
      <c r="AC1028" s="176"/>
      <c r="AD1028" s="176"/>
      <c r="AE1028" s="176"/>
      <c r="AF1028" s="176"/>
      <c r="AG1028" s="176"/>
    </row>
    <row r="1029" spans="3:33" s="160" customFormat="1">
      <c r="C1029" s="825"/>
      <c r="M1029" s="247"/>
      <c r="Y1029" s="176"/>
      <c r="Z1029" s="176"/>
      <c r="AA1029" s="176"/>
      <c r="AB1029" s="176"/>
      <c r="AC1029" s="176"/>
      <c r="AD1029" s="176"/>
      <c r="AE1029" s="176"/>
      <c r="AF1029" s="176"/>
      <c r="AG1029" s="176"/>
    </row>
    <row r="1030" spans="3:33" s="160" customFormat="1">
      <c r="C1030" s="825"/>
      <c r="M1030" s="247"/>
      <c r="Y1030" s="176"/>
      <c r="Z1030" s="176"/>
      <c r="AA1030" s="176"/>
      <c r="AB1030" s="176"/>
      <c r="AC1030" s="176"/>
      <c r="AD1030" s="176"/>
      <c r="AE1030" s="176"/>
      <c r="AF1030" s="176"/>
      <c r="AG1030" s="176"/>
    </row>
    <row r="1031" spans="3:33" s="160" customFormat="1">
      <c r="C1031" s="825"/>
      <c r="M1031" s="247"/>
      <c r="Y1031" s="176"/>
      <c r="Z1031" s="176"/>
      <c r="AA1031" s="176"/>
      <c r="AB1031" s="176"/>
      <c r="AC1031" s="176"/>
      <c r="AD1031" s="176"/>
      <c r="AE1031" s="176"/>
      <c r="AF1031" s="176"/>
      <c r="AG1031" s="176"/>
    </row>
    <row r="1032" spans="3:33" s="160" customFormat="1">
      <c r="C1032" s="825"/>
      <c r="M1032" s="247"/>
      <c r="Y1032" s="176"/>
      <c r="Z1032" s="176"/>
      <c r="AA1032" s="176"/>
      <c r="AB1032" s="176"/>
      <c r="AC1032" s="176"/>
      <c r="AD1032" s="176"/>
      <c r="AE1032" s="176"/>
      <c r="AF1032" s="176"/>
      <c r="AG1032" s="176"/>
    </row>
    <row r="1033" spans="3:33" s="160" customFormat="1">
      <c r="C1033" s="825"/>
      <c r="M1033" s="247"/>
      <c r="Y1033" s="176"/>
      <c r="Z1033" s="176"/>
      <c r="AA1033" s="176"/>
      <c r="AB1033" s="176"/>
      <c r="AC1033" s="176"/>
      <c r="AD1033" s="176"/>
      <c r="AE1033" s="176"/>
      <c r="AF1033" s="176"/>
      <c r="AG1033" s="176"/>
    </row>
    <row r="1034" spans="3:33" s="160" customFormat="1">
      <c r="C1034" s="825"/>
      <c r="M1034" s="247"/>
      <c r="Y1034" s="176"/>
      <c r="Z1034" s="176"/>
      <c r="AA1034" s="176"/>
      <c r="AB1034" s="176"/>
      <c r="AC1034" s="176"/>
      <c r="AD1034" s="176"/>
      <c r="AE1034" s="176"/>
      <c r="AF1034" s="176"/>
      <c r="AG1034" s="176"/>
    </row>
    <row r="1035" spans="3:33" s="160" customFormat="1">
      <c r="C1035" s="825"/>
      <c r="M1035" s="247"/>
      <c r="Y1035" s="176"/>
      <c r="Z1035" s="176"/>
      <c r="AA1035" s="176"/>
      <c r="AB1035" s="176"/>
      <c r="AC1035" s="176"/>
      <c r="AD1035" s="176"/>
      <c r="AE1035" s="176"/>
      <c r="AF1035" s="176"/>
      <c r="AG1035" s="176"/>
    </row>
    <row r="1036" spans="3:33" s="160" customFormat="1">
      <c r="C1036" s="825"/>
      <c r="M1036" s="247"/>
      <c r="Y1036" s="176"/>
      <c r="Z1036" s="176"/>
      <c r="AA1036" s="176"/>
      <c r="AB1036" s="176"/>
      <c r="AC1036" s="176"/>
      <c r="AD1036" s="176"/>
      <c r="AE1036" s="176"/>
      <c r="AF1036" s="176"/>
      <c r="AG1036" s="176"/>
    </row>
    <row r="1037" spans="3:33" s="160" customFormat="1">
      <c r="C1037" s="825"/>
      <c r="M1037" s="247"/>
      <c r="Y1037" s="176"/>
      <c r="Z1037" s="176"/>
      <c r="AA1037" s="176"/>
      <c r="AB1037" s="176"/>
      <c r="AC1037" s="176"/>
      <c r="AD1037" s="176"/>
      <c r="AE1037" s="176"/>
      <c r="AF1037" s="176"/>
      <c r="AG1037" s="176"/>
    </row>
    <row r="1038" spans="3:33" s="160" customFormat="1">
      <c r="C1038" s="825"/>
      <c r="M1038" s="247"/>
      <c r="Y1038" s="176"/>
      <c r="Z1038" s="176"/>
      <c r="AA1038" s="176"/>
      <c r="AB1038" s="176"/>
      <c r="AC1038" s="176"/>
      <c r="AD1038" s="176"/>
      <c r="AE1038" s="176"/>
      <c r="AF1038" s="176"/>
      <c r="AG1038" s="176"/>
    </row>
    <row r="1039" spans="3:33" s="160" customFormat="1">
      <c r="C1039" s="825"/>
      <c r="M1039" s="247"/>
      <c r="Y1039" s="176"/>
      <c r="Z1039" s="176"/>
      <c r="AA1039" s="176"/>
      <c r="AB1039" s="176"/>
      <c r="AC1039" s="176"/>
      <c r="AD1039" s="176"/>
      <c r="AE1039" s="176"/>
      <c r="AF1039" s="176"/>
      <c r="AG1039" s="176"/>
    </row>
    <row r="1040" spans="3:33" s="160" customFormat="1">
      <c r="C1040" s="825"/>
      <c r="M1040" s="247"/>
      <c r="Y1040" s="176"/>
      <c r="Z1040" s="176"/>
      <c r="AA1040" s="176"/>
      <c r="AB1040" s="176"/>
      <c r="AC1040" s="176"/>
      <c r="AD1040" s="176"/>
      <c r="AE1040" s="176"/>
      <c r="AF1040" s="176"/>
      <c r="AG1040" s="176"/>
    </row>
    <row r="1041" spans="3:33" s="160" customFormat="1">
      <c r="C1041" s="825"/>
      <c r="M1041" s="247"/>
      <c r="Y1041" s="176"/>
      <c r="Z1041" s="176"/>
      <c r="AA1041" s="176"/>
      <c r="AB1041" s="176"/>
      <c r="AC1041" s="176"/>
      <c r="AD1041" s="176"/>
      <c r="AE1041" s="176"/>
      <c r="AF1041" s="176"/>
      <c r="AG1041" s="176"/>
    </row>
    <row r="1042" spans="3:33" s="160" customFormat="1">
      <c r="C1042" s="825"/>
      <c r="M1042" s="247"/>
      <c r="Y1042" s="176"/>
      <c r="Z1042" s="176"/>
      <c r="AA1042" s="176"/>
      <c r="AB1042" s="176"/>
      <c r="AC1042" s="176"/>
      <c r="AD1042" s="176"/>
      <c r="AE1042" s="176"/>
      <c r="AF1042" s="176"/>
      <c r="AG1042" s="176"/>
    </row>
    <row r="1043" spans="3:33" s="160" customFormat="1">
      <c r="C1043" s="825"/>
      <c r="M1043" s="247"/>
      <c r="Y1043" s="176"/>
      <c r="Z1043" s="176"/>
      <c r="AA1043" s="176"/>
      <c r="AB1043" s="176"/>
      <c r="AC1043" s="176"/>
      <c r="AD1043" s="176"/>
      <c r="AE1043" s="176"/>
      <c r="AF1043" s="176"/>
      <c r="AG1043" s="176"/>
    </row>
    <row r="1044" spans="3:33" s="160" customFormat="1">
      <c r="C1044" s="825"/>
      <c r="M1044" s="247"/>
      <c r="Y1044" s="176"/>
      <c r="Z1044" s="176"/>
      <c r="AA1044" s="176"/>
      <c r="AB1044" s="176"/>
      <c r="AC1044" s="176"/>
      <c r="AD1044" s="176"/>
      <c r="AE1044" s="176"/>
      <c r="AF1044" s="176"/>
      <c r="AG1044" s="176"/>
    </row>
    <row r="1045" spans="3:33" s="160" customFormat="1">
      <c r="C1045" s="825"/>
      <c r="M1045" s="247"/>
      <c r="Y1045" s="176"/>
      <c r="Z1045" s="176"/>
      <c r="AA1045" s="176"/>
      <c r="AB1045" s="176"/>
      <c r="AC1045" s="176"/>
      <c r="AD1045" s="176"/>
      <c r="AE1045" s="176"/>
      <c r="AF1045" s="176"/>
      <c r="AG1045" s="176"/>
    </row>
    <row r="1046" spans="3:33" s="160" customFormat="1">
      <c r="C1046" s="825"/>
      <c r="M1046" s="247"/>
      <c r="Y1046" s="176"/>
      <c r="Z1046" s="176"/>
      <c r="AA1046" s="176"/>
      <c r="AB1046" s="176"/>
      <c r="AC1046" s="176"/>
      <c r="AD1046" s="176"/>
      <c r="AE1046" s="176"/>
      <c r="AF1046" s="176"/>
      <c r="AG1046" s="176"/>
    </row>
    <row r="1047" spans="3:33" s="160" customFormat="1">
      <c r="C1047" s="825"/>
      <c r="M1047" s="247"/>
      <c r="Y1047" s="176"/>
      <c r="Z1047" s="176"/>
      <c r="AA1047" s="176"/>
      <c r="AB1047" s="176"/>
      <c r="AC1047" s="176"/>
      <c r="AD1047" s="176"/>
      <c r="AE1047" s="176"/>
      <c r="AF1047" s="176"/>
      <c r="AG1047" s="176"/>
    </row>
    <row r="1048" spans="3:33" s="160" customFormat="1">
      <c r="C1048" s="825"/>
      <c r="M1048" s="247"/>
      <c r="Y1048" s="176"/>
      <c r="Z1048" s="176"/>
      <c r="AA1048" s="176"/>
      <c r="AB1048" s="176"/>
      <c r="AC1048" s="176"/>
      <c r="AD1048" s="176"/>
      <c r="AE1048" s="176"/>
      <c r="AF1048" s="176"/>
      <c r="AG1048" s="176"/>
    </row>
    <row r="1049" spans="3:33" s="160" customFormat="1">
      <c r="C1049" s="825"/>
      <c r="M1049" s="247"/>
      <c r="Y1049" s="176"/>
      <c r="Z1049" s="176"/>
      <c r="AA1049" s="176"/>
      <c r="AB1049" s="176"/>
      <c r="AC1049" s="176"/>
      <c r="AD1049" s="176"/>
      <c r="AE1049" s="176"/>
      <c r="AF1049" s="176"/>
      <c r="AG1049" s="176"/>
    </row>
    <row r="1050" spans="3:33" s="160" customFormat="1">
      <c r="C1050" s="825"/>
      <c r="M1050" s="247"/>
      <c r="Y1050" s="176"/>
      <c r="Z1050" s="176"/>
      <c r="AA1050" s="176"/>
      <c r="AB1050" s="176"/>
      <c r="AC1050" s="176"/>
      <c r="AD1050" s="176"/>
      <c r="AE1050" s="176"/>
      <c r="AF1050" s="176"/>
      <c r="AG1050" s="176"/>
    </row>
    <row r="1051" spans="3:33" s="160" customFormat="1">
      <c r="C1051" s="825"/>
      <c r="M1051" s="247"/>
      <c r="Y1051" s="176"/>
      <c r="Z1051" s="176"/>
      <c r="AA1051" s="176"/>
      <c r="AB1051" s="176"/>
      <c r="AC1051" s="176"/>
      <c r="AD1051" s="176"/>
      <c r="AE1051" s="176"/>
      <c r="AF1051" s="176"/>
      <c r="AG1051" s="176"/>
    </row>
    <row r="1052" spans="3:33" s="160" customFormat="1">
      <c r="C1052" s="825"/>
      <c r="M1052" s="247"/>
      <c r="Y1052" s="176"/>
      <c r="Z1052" s="176"/>
      <c r="AA1052" s="176"/>
      <c r="AB1052" s="176"/>
      <c r="AC1052" s="176"/>
      <c r="AD1052" s="176"/>
      <c r="AE1052" s="176"/>
      <c r="AF1052" s="176"/>
      <c r="AG1052" s="176"/>
    </row>
    <row r="1053" spans="3:33" s="160" customFormat="1">
      <c r="C1053" s="825"/>
      <c r="M1053" s="247"/>
      <c r="Y1053" s="176"/>
      <c r="Z1053" s="176"/>
      <c r="AA1053" s="176"/>
      <c r="AB1053" s="176"/>
      <c r="AC1053" s="176"/>
      <c r="AD1053" s="176"/>
      <c r="AE1053" s="176"/>
      <c r="AF1053" s="176"/>
      <c r="AG1053" s="176"/>
    </row>
    <row r="1054" spans="3:33" s="160" customFormat="1">
      <c r="C1054" s="825"/>
      <c r="M1054" s="247"/>
      <c r="Y1054" s="176"/>
      <c r="Z1054" s="176"/>
      <c r="AA1054" s="176"/>
      <c r="AB1054" s="176"/>
      <c r="AC1054" s="176"/>
      <c r="AD1054" s="176"/>
      <c r="AE1054" s="176"/>
      <c r="AF1054" s="176"/>
      <c r="AG1054" s="176"/>
    </row>
    <row r="1055" spans="3:33" s="160" customFormat="1">
      <c r="C1055" s="825"/>
      <c r="M1055" s="247"/>
      <c r="Y1055" s="176"/>
      <c r="Z1055" s="176"/>
      <c r="AA1055" s="176"/>
      <c r="AB1055" s="176"/>
      <c r="AC1055" s="176"/>
      <c r="AD1055" s="176"/>
      <c r="AE1055" s="176"/>
      <c r="AF1055" s="176"/>
      <c r="AG1055" s="176"/>
    </row>
    <row r="1056" spans="3:33" s="160" customFormat="1">
      <c r="C1056" s="825"/>
      <c r="M1056" s="247"/>
      <c r="Y1056" s="176"/>
      <c r="Z1056" s="176"/>
      <c r="AA1056" s="176"/>
      <c r="AB1056" s="176"/>
      <c r="AC1056" s="176"/>
      <c r="AD1056" s="176"/>
      <c r="AE1056" s="176"/>
      <c r="AF1056" s="176"/>
      <c r="AG1056" s="176"/>
    </row>
    <row r="1057" spans="3:33" s="160" customFormat="1">
      <c r="C1057" s="825"/>
      <c r="M1057" s="247"/>
      <c r="Y1057" s="176"/>
      <c r="Z1057" s="176"/>
      <c r="AA1057" s="176"/>
      <c r="AB1057" s="176"/>
      <c r="AC1057" s="176"/>
      <c r="AD1057" s="176"/>
      <c r="AE1057" s="176"/>
      <c r="AF1057" s="176"/>
      <c r="AG1057" s="176"/>
    </row>
    <row r="1058" spans="3:33" s="160" customFormat="1">
      <c r="C1058" s="825"/>
      <c r="M1058" s="247"/>
      <c r="Y1058" s="176"/>
      <c r="Z1058" s="176"/>
      <c r="AA1058" s="176"/>
      <c r="AB1058" s="176"/>
      <c r="AC1058" s="176"/>
      <c r="AD1058" s="176"/>
      <c r="AE1058" s="176"/>
      <c r="AF1058" s="176"/>
      <c r="AG1058" s="176"/>
    </row>
    <row r="1059" spans="3:33" s="160" customFormat="1">
      <c r="C1059" s="825"/>
      <c r="M1059" s="247"/>
      <c r="Y1059" s="176"/>
      <c r="Z1059" s="176"/>
      <c r="AA1059" s="176"/>
      <c r="AB1059" s="176"/>
      <c r="AC1059" s="176"/>
      <c r="AD1059" s="176"/>
      <c r="AE1059" s="176"/>
      <c r="AF1059" s="176"/>
      <c r="AG1059" s="176"/>
    </row>
    <row r="1060" spans="3:33" s="160" customFormat="1">
      <c r="C1060" s="825"/>
      <c r="M1060" s="247"/>
      <c r="Y1060" s="176"/>
      <c r="Z1060" s="176"/>
      <c r="AA1060" s="176"/>
      <c r="AB1060" s="176"/>
      <c r="AC1060" s="176"/>
      <c r="AD1060" s="176"/>
      <c r="AE1060" s="176"/>
      <c r="AF1060" s="176"/>
      <c r="AG1060" s="176"/>
    </row>
    <row r="1061" spans="3:33" s="160" customFormat="1">
      <c r="C1061" s="825"/>
      <c r="M1061" s="247"/>
      <c r="Y1061" s="176"/>
      <c r="Z1061" s="176"/>
      <c r="AA1061" s="176"/>
      <c r="AB1061" s="176"/>
      <c r="AC1061" s="176"/>
      <c r="AD1061" s="176"/>
      <c r="AE1061" s="176"/>
      <c r="AF1061" s="176"/>
      <c r="AG1061" s="176"/>
    </row>
    <row r="1062" spans="3:33" s="160" customFormat="1">
      <c r="C1062" s="825"/>
      <c r="M1062" s="247"/>
      <c r="Y1062" s="176"/>
      <c r="Z1062" s="176"/>
      <c r="AA1062" s="176"/>
      <c r="AB1062" s="176"/>
      <c r="AC1062" s="176"/>
      <c r="AD1062" s="176"/>
      <c r="AE1062" s="176"/>
      <c r="AF1062" s="176"/>
      <c r="AG1062" s="176"/>
    </row>
    <row r="1063" spans="3:33" s="160" customFormat="1">
      <c r="C1063" s="825"/>
      <c r="M1063" s="247"/>
      <c r="Y1063" s="176"/>
      <c r="Z1063" s="176"/>
      <c r="AA1063" s="176"/>
      <c r="AB1063" s="176"/>
      <c r="AC1063" s="176"/>
      <c r="AD1063" s="176"/>
      <c r="AE1063" s="176"/>
      <c r="AF1063" s="176"/>
      <c r="AG1063" s="176"/>
    </row>
    <row r="1064" spans="3:33" s="160" customFormat="1">
      <c r="C1064" s="825"/>
      <c r="M1064" s="247"/>
      <c r="Y1064" s="176"/>
      <c r="Z1064" s="176"/>
      <c r="AA1064" s="176"/>
      <c r="AB1064" s="176"/>
      <c r="AC1064" s="176"/>
      <c r="AD1064" s="176"/>
      <c r="AE1064" s="176"/>
      <c r="AF1064" s="176"/>
      <c r="AG1064" s="176"/>
    </row>
    <row r="1065" spans="3:33" s="160" customFormat="1">
      <c r="C1065" s="825"/>
      <c r="M1065" s="247"/>
      <c r="Y1065" s="176"/>
      <c r="Z1065" s="176"/>
      <c r="AA1065" s="176"/>
      <c r="AB1065" s="176"/>
      <c r="AC1065" s="176"/>
      <c r="AD1065" s="176"/>
      <c r="AE1065" s="176"/>
      <c r="AF1065" s="176"/>
      <c r="AG1065" s="176"/>
    </row>
    <row r="1066" spans="3:33" s="160" customFormat="1">
      <c r="C1066" s="825"/>
      <c r="M1066" s="247"/>
      <c r="Y1066" s="176"/>
      <c r="Z1066" s="176"/>
      <c r="AA1066" s="176"/>
      <c r="AB1066" s="176"/>
      <c r="AC1066" s="176"/>
      <c r="AD1066" s="176"/>
      <c r="AE1066" s="176"/>
      <c r="AF1066" s="176"/>
      <c r="AG1066" s="176"/>
    </row>
    <row r="1067" spans="3:33" s="160" customFormat="1">
      <c r="C1067" s="825"/>
      <c r="M1067" s="247"/>
      <c r="Y1067" s="176"/>
      <c r="Z1067" s="176"/>
      <c r="AA1067" s="176"/>
      <c r="AB1067" s="176"/>
      <c r="AC1067" s="176"/>
      <c r="AD1067" s="176"/>
      <c r="AE1067" s="176"/>
      <c r="AF1067" s="176"/>
      <c r="AG1067" s="176"/>
    </row>
    <row r="1068" spans="3:33" s="160" customFormat="1">
      <c r="C1068" s="825"/>
      <c r="M1068" s="247"/>
      <c r="Y1068" s="176"/>
      <c r="Z1068" s="176"/>
      <c r="AA1068" s="176"/>
      <c r="AB1068" s="176"/>
      <c r="AC1068" s="176"/>
      <c r="AD1068" s="176"/>
      <c r="AE1068" s="176"/>
      <c r="AF1068" s="176"/>
      <c r="AG1068" s="176"/>
    </row>
    <row r="1069" spans="3:33" s="160" customFormat="1">
      <c r="C1069" s="825"/>
      <c r="M1069" s="247"/>
      <c r="Y1069" s="176"/>
      <c r="Z1069" s="176"/>
      <c r="AA1069" s="176"/>
      <c r="AB1069" s="176"/>
      <c r="AC1069" s="176"/>
      <c r="AD1069" s="176"/>
      <c r="AE1069" s="176"/>
      <c r="AF1069" s="176"/>
      <c r="AG1069" s="176"/>
    </row>
    <row r="1070" spans="3:33" s="160" customFormat="1">
      <c r="C1070" s="825"/>
      <c r="M1070" s="247"/>
      <c r="Y1070" s="176"/>
      <c r="Z1070" s="176"/>
      <c r="AA1070" s="176"/>
      <c r="AB1070" s="176"/>
      <c r="AC1070" s="176"/>
      <c r="AD1070" s="176"/>
      <c r="AE1070" s="176"/>
      <c r="AF1070" s="176"/>
      <c r="AG1070" s="176"/>
    </row>
    <row r="1071" spans="3:33" s="160" customFormat="1">
      <c r="C1071" s="825"/>
      <c r="M1071" s="247"/>
      <c r="Y1071" s="176"/>
      <c r="Z1071" s="176"/>
      <c r="AA1071" s="176"/>
      <c r="AB1071" s="176"/>
      <c r="AC1071" s="176"/>
      <c r="AD1071" s="176"/>
      <c r="AE1071" s="176"/>
      <c r="AF1071" s="176"/>
      <c r="AG1071" s="176"/>
    </row>
    <row r="1072" spans="3:33" s="160" customFormat="1">
      <c r="C1072" s="825"/>
      <c r="M1072" s="247"/>
      <c r="Y1072" s="176"/>
      <c r="Z1072" s="176"/>
      <c r="AA1072" s="176"/>
      <c r="AB1072" s="176"/>
      <c r="AC1072" s="176"/>
      <c r="AD1072" s="176"/>
      <c r="AE1072" s="176"/>
      <c r="AF1072" s="176"/>
      <c r="AG1072" s="176"/>
    </row>
    <row r="1073" spans="3:33" s="160" customFormat="1">
      <c r="C1073" s="825"/>
      <c r="M1073" s="247"/>
      <c r="Y1073" s="176"/>
      <c r="Z1073" s="176"/>
      <c r="AA1073" s="176"/>
      <c r="AB1073" s="176"/>
      <c r="AC1073" s="176"/>
      <c r="AD1073" s="176"/>
      <c r="AE1073" s="176"/>
      <c r="AF1073" s="176"/>
      <c r="AG1073" s="176"/>
    </row>
    <row r="1074" spans="3:33" s="160" customFormat="1">
      <c r="C1074" s="825"/>
      <c r="M1074" s="247"/>
      <c r="Y1074" s="176"/>
      <c r="Z1074" s="176"/>
      <c r="AA1074" s="176"/>
      <c r="AB1074" s="176"/>
      <c r="AC1074" s="176"/>
      <c r="AD1074" s="176"/>
      <c r="AE1074" s="176"/>
      <c r="AF1074" s="176"/>
      <c r="AG1074" s="176"/>
    </row>
    <row r="1075" spans="3:33" s="160" customFormat="1">
      <c r="C1075" s="825"/>
      <c r="M1075" s="247"/>
      <c r="Y1075" s="176"/>
      <c r="Z1075" s="176"/>
      <c r="AA1075" s="176"/>
      <c r="AB1075" s="176"/>
      <c r="AC1075" s="176"/>
      <c r="AD1075" s="176"/>
      <c r="AE1075" s="176"/>
      <c r="AF1075" s="176"/>
      <c r="AG1075" s="176"/>
    </row>
    <row r="1076" spans="3:33" s="160" customFormat="1">
      <c r="C1076" s="825"/>
      <c r="M1076" s="247"/>
      <c r="Y1076" s="176"/>
      <c r="Z1076" s="176"/>
      <c r="AA1076" s="176"/>
      <c r="AB1076" s="176"/>
      <c r="AC1076" s="176"/>
      <c r="AD1076" s="176"/>
      <c r="AE1076" s="176"/>
      <c r="AF1076" s="176"/>
      <c r="AG1076" s="176"/>
    </row>
    <row r="1077" spans="3:33" s="160" customFormat="1">
      <c r="C1077" s="825"/>
      <c r="M1077" s="247"/>
      <c r="Y1077" s="176"/>
      <c r="Z1077" s="176"/>
      <c r="AA1077" s="176"/>
      <c r="AB1077" s="176"/>
      <c r="AC1077" s="176"/>
      <c r="AD1077" s="176"/>
      <c r="AE1077" s="176"/>
      <c r="AF1077" s="176"/>
      <c r="AG1077" s="176"/>
    </row>
    <row r="1078" spans="3:33" s="160" customFormat="1">
      <c r="C1078" s="825"/>
      <c r="M1078" s="247"/>
      <c r="Y1078" s="176"/>
      <c r="Z1078" s="176"/>
      <c r="AA1078" s="176"/>
      <c r="AB1078" s="176"/>
      <c r="AC1078" s="176"/>
      <c r="AD1078" s="176"/>
      <c r="AE1078" s="176"/>
      <c r="AF1078" s="176"/>
      <c r="AG1078" s="176"/>
    </row>
    <row r="1079" spans="3:33" s="160" customFormat="1">
      <c r="C1079" s="825"/>
      <c r="M1079" s="247"/>
      <c r="Y1079" s="176"/>
      <c r="Z1079" s="176"/>
      <c r="AA1079" s="176"/>
      <c r="AB1079" s="176"/>
      <c r="AC1079" s="176"/>
      <c r="AD1079" s="176"/>
      <c r="AE1079" s="176"/>
      <c r="AF1079" s="176"/>
      <c r="AG1079" s="176"/>
    </row>
    <row r="1080" spans="3:33" s="160" customFormat="1">
      <c r="C1080" s="825"/>
      <c r="M1080" s="247"/>
      <c r="Y1080" s="176"/>
      <c r="Z1080" s="176"/>
      <c r="AA1080" s="176"/>
      <c r="AB1080" s="176"/>
      <c r="AC1080" s="176"/>
      <c r="AD1080" s="176"/>
      <c r="AE1080" s="176"/>
      <c r="AF1080" s="176"/>
      <c r="AG1080" s="176"/>
    </row>
    <row r="1081" spans="3:33" s="160" customFormat="1">
      <c r="C1081" s="825"/>
      <c r="M1081" s="247"/>
      <c r="Y1081" s="176"/>
      <c r="Z1081" s="176"/>
      <c r="AA1081" s="176"/>
      <c r="AB1081" s="176"/>
      <c r="AC1081" s="176"/>
      <c r="AD1081" s="176"/>
      <c r="AE1081" s="176"/>
      <c r="AF1081" s="176"/>
      <c r="AG1081" s="176"/>
    </row>
    <row r="1082" spans="3:33" s="160" customFormat="1">
      <c r="C1082" s="825"/>
      <c r="M1082" s="247"/>
      <c r="Y1082" s="176"/>
      <c r="Z1082" s="176"/>
      <c r="AA1082" s="176"/>
      <c r="AB1082" s="176"/>
      <c r="AC1082" s="176"/>
      <c r="AD1082" s="176"/>
      <c r="AE1082" s="176"/>
      <c r="AF1082" s="176"/>
      <c r="AG1082" s="176"/>
    </row>
    <row r="1083" spans="3:33" s="160" customFormat="1">
      <c r="C1083" s="825"/>
      <c r="M1083" s="247"/>
      <c r="Y1083" s="176"/>
      <c r="Z1083" s="176"/>
      <c r="AA1083" s="176"/>
      <c r="AB1083" s="176"/>
      <c r="AC1083" s="176"/>
      <c r="AD1083" s="176"/>
      <c r="AE1083" s="176"/>
      <c r="AF1083" s="176"/>
      <c r="AG1083" s="176"/>
    </row>
    <row r="1084" spans="3:33" s="160" customFormat="1">
      <c r="C1084" s="825"/>
      <c r="M1084" s="247"/>
      <c r="Y1084" s="176"/>
      <c r="Z1084" s="176"/>
      <c r="AA1084" s="176"/>
      <c r="AB1084" s="176"/>
      <c r="AC1084" s="176"/>
      <c r="AD1084" s="176"/>
      <c r="AE1084" s="176"/>
      <c r="AF1084" s="176"/>
      <c r="AG1084" s="176"/>
    </row>
    <row r="1085" spans="3:33" s="160" customFormat="1">
      <c r="C1085" s="825"/>
      <c r="M1085" s="247"/>
      <c r="Y1085" s="176"/>
      <c r="Z1085" s="176"/>
      <c r="AA1085" s="176"/>
      <c r="AB1085" s="176"/>
      <c r="AC1085" s="176"/>
      <c r="AD1085" s="176"/>
      <c r="AE1085" s="176"/>
      <c r="AF1085" s="176"/>
      <c r="AG1085" s="176"/>
    </row>
    <row r="1086" spans="3:33" s="160" customFormat="1">
      <c r="C1086" s="825"/>
      <c r="M1086" s="247"/>
      <c r="Y1086" s="176"/>
      <c r="Z1086" s="176"/>
      <c r="AA1086" s="176"/>
      <c r="AB1086" s="176"/>
      <c r="AC1086" s="176"/>
      <c r="AD1086" s="176"/>
      <c r="AE1086" s="176"/>
      <c r="AF1086" s="176"/>
      <c r="AG1086" s="176"/>
    </row>
    <row r="1087" spans="3:33" s="160" customFormat="1">
      <c r="C1087" s="825"/>
      <c r="M1087" s="247"/>
      <c r="Y1087" s="176"/>
      <c r="Z1087" s="176"/>
      <c r="AA1087" s="176"/>
      <c r="AB1087" s="176"/>
      <c r="AC1087" s="176"/>
      <c r="AD1087" s="176"/>
      <c r="AE1087" s="176"/>
      <c r="AF1087" s="176"/>
      <c r="AG1087" s="176"/>
    </row>
    <row r="1088" spans="3:33" s="160" customFormat="1">
      <c r="C1088" s="825"/>
      <c r="M1088" s="247"/>
      <c r="Y1088" s="176"/>
      <c r="Z1088" s="176"/>
      <c r="AA1088" s="176"/>
      <c r="AB1088" s="176"/>
      <c r="AC1088" s="176"/>
      <c r="AD1088" s="176"/>
      <c r="AE1088" s="176"/>
      <c r="AF1088" s="176"/>
      <c r="AG1088" s="176"/>
    </row>
    <row r="1089" spans="3:33" s="160" customFormat="1">
      <c r="C1089" s="825"/>
      <c r="M1089" s="247"/>
      <c r="Y1089" s="176"/>
      <c r="Z1089" s="176"/>
      <c r="AA1089" s="176"/>
      <c r="AB1089" s="176"/>
      <c r="AC1089" s="176"/>
      <c r="AD1089" s="176"/>
      <c r="AE1089" s="176"/>
      <c r="AF1089" s="176"/>
      <c r="AG1089" s="176"/>
    </row>
    <row r="1090" spans="3:33" s="160" customFormat="1">
      <c r="C1090" s="825"/>
      <c r="M1090" s="247"/>
      <c r="Y1090" s="176"/>
      <c r="Z1090" s="176"/>
      <c r="AA1090" s="176"/>
      <c r="AB1090" s="176"/>
      <c r="AC1090" s="176"/>
      <c r="AD1090" s="176"/>
      <c r="AE1090" s="176"/>
      <c r="AF1090" s="176"/>
      <c r="AG1090" s="176"/>
    </row>
    <row r="1091" spans="3:33" s="160" customFormat="1">
      <c r="C1091" s="825"/>
      <c r="M1091" s="247"/>
      <c r="Y1091" s="176"/>
      <c r="Z1091" s="176"/>
      <c r="AA1091" s="176"/>
      <c r="AB1091" s="176"/>
      <c r="AC1091" s="176"/>
      <c r="AD1091" s="176"/>
      <c r="AE1091" s="176"/>
      <c r="AF1091" s="176"/>
      <c r="AG1091" s="176"/>
    </row>
    <row r="1092" spans="3:33" s="160" customFormat="1">
      <c r="C1092" s="825"/>
      <c r="M1092" s="247"/>
      <c r="Y1092" s="176"/>
      <c r="Z1092" s="176"/>
      <c r="AA1092" s="176"/>
      <c r="AB1092" s="176"/>
      <c r="AC1092" s="176"/>
      <c r="AD1092" s="176"/>
      <c r="AE1092" s="176"/>
      <c r="AF1092" s="176"/>
      <c r="AG1092" s="176"/>
    </row>
    <row r="1093" spans="3:33" s="160" customFormat="1">
      <c r="C1093" s="825"/>
      <c r="M1093" s="247"/>
      <c r="Y1093" s="176"/>
      <c r="Z1093" s="176"/>
      <c r="AA1093" s="176"/>
      <c r="AB1093" s="176"/>
      <c r="AC1093" s="176"/>
      <c r="AD1093" s="176"/>
      <c r="AE1093" s="176"/>
      <c r="AF1093" s="176"/>
      <c r="AG1093" s="176"/>
    </row>
    <row r="1094" spans="3:33" s="160" customFormat="1">
      <c r="C1094" s="825"/>
      <c r="M1094" s="247"/>
      <c r="Y1094" s="176"/>
      <c r="Z1094" s="176"/>
      <c r="AA1094" s="176"/>
      <c r="AB1094" s="176"/>
      <c r="AC1094" s="176"/>
      <c r="AD1094" s="176"/>
      <c r="AE1094" s="176"/>
      <c r="AF1094" s="176"/>
      <c r="AG1094" s="176"/>
    </row>
    <row r="1095" spans="3:33" s="160" customFormat="1">
      <c r="C1095" s="825"/>
      <c r="M1095" s="247"/>
      <c r="Y1095" s="176"/>
      <c r="Z1095" s="176"/>
      <c r="AA1095" s="176"/>
      <c r="AB1095" s="176"/>
      <c r="AC1095" s="176"/>
      <c r="AD1095" s="176"/>
      <c r="AE1095" s="176"/>
      <c r="AF1095" s="176"/>
      <c r="AG1095" s="176"/>
    </row>
    <row r="1096" spans="3:33" s="160" customFormat="1">
      <c r="C1096" s="825"/>
      <c r="M1096" s="247"/>
      <c r="Y1096" s="176"/>
      <c r="Z1096" s="176"/>
      <c r="AA1096" s="176"/>
      <c r="AB1096" s="176"/>
      <c r="AC1096" s="176"/>
      <c r="AD1096" s="176"/>
      <c r="AE1096" s="176"/>
      <c r="AF1096" s="176"/>
      <c r="AG1096" s="176"/>
    </row>
    <row r="1097" spans="3:33" s="160" customFormat="1">
      <c r="C1097" s="825"/>
      <c r="M1097" s="247"/>
      <c r="Y1097" s="176"/>
      <c r="Z1097" s="176"/>
      <c r="AA1097" s="176"/>
      <c r="AB1097" s="176"/>
      <c r="AC1097" s="176"/>
      <c r="AD1097" s="176"/>
      <c r="AE1097" s="176"/>
      <c r="AF1097" s="176"/>
      <c r="AG1097" s="176"/>
    </row>
    <row r="1098" spans="3:33" s="160" customFormat="1">
      <c r="C1098" s="825"/>
      <c r="M1098" s="247"/>
      <c r="Y1098" s="176"/>
      <c r="Z1098" s="176"/>
      <c r="AA1098" s="176"/>
      <c r="AB1098" s="176"/>
      <c r="AC1098" s="176"/>
      <c r="AD1098" s="176"/>
      <c r="AE1098" s="176"/>
      <c r="AF1098" s="176"/>
      <c r="AG1098" s="176"/>
    </row>
    <row r="1099" spans="3:33" s="160" customFormat="1">
      <c r="C1099" s="825"/>
      <c r="M1099" s="247"/>
      <c r="Y1099" s="176"/>
      <c r="Z1099" s="176"/>
      <c r="AA1099" s="176"/>
      <c r="AB1099" s="176"/>
      <c r="AC1099" s="176"/>
      <c r="AD1099" s="176"/>
      <c r="AE1099" s="176"/>
      <c r="AF1099" s="176"/>
      <c r="AG1099" s="176"/>
    </row>
    <row r="1100" spans="3:33" s="160" customFormat="1">
      <c r="C1100" s="825"/>
      <c r="M1100" s="247"/>
      <c r="Y1100" s="176"/>
      <c r="Z1100" s="176"/>
      <c r="AA1100" s="176"/>
      <c r="AB1100" s="176"/>
      <c r="AC1100" s="176"/>
      <c r="AD1100" s="176"/>
      <c r="AE1100" s="176"/>
      <c r="AF1100" s="176"/>
      <c r="AG1100" s="176"/>
    </row>
    <row r="1101" spans="3:33" s="160" customFormat="1">
      <c r="C1101" s="825"/>
      <c r="M1101" s="247"/>
      <c r="Y1101" s="176"/>
      <c r="Z1101" s="176"/>
      <c r="AA1101" s="176"/>
      <c r="AB1101" s="176"/>
      <c r="AC1101" s="176"/>
      <c r="AD1101" s="176"/>
      <c r="AE1101" s="176"/>
      <c r="AF1101" s="176"/>
      <c r="AG1101" s="176"/>
    </row>
    <row r="1102" spans="3:33" s="160" customFormat="1">
      <c r="C1102" s="825"/>
      <c r="M1102" s="247"/>
      <c r="Y1102" s="176"/>
      <c r="Z1102" s="176"/>
      <c r="AA1102" s="176"/>
      <c r="AB1102" s="176"/>
      <c r="AC1102" s="176"/>
      <c r="AD1102" s="176"/>
      <c r="AE1102" s="176"/>
      <c r="AF1102" s="176"/>
      <c r="AG1102" s="176"/>
    </row>
    <row r="1103" spans="3:33" s="160" customFormat="1">
      <c r="C1103" s="825"/>
      <c r="M1103" s="247"/>
      <c r="Y1103" s="176"/>
      <c r="Z1103" s="176"/>
      <c r="AA1103" s="176"/>
      <c r="AB1103" s="176"/>
      <c r="AC1103" s="176"/>
      <c r="AD1103" s="176"/>
      <c r="AE1103" s="176"/>
      <c r="AF1103" s="176"/>
      <c r="AG1103" s="176"/>
    </row>
    <row r="1104" spans="3:33" s="160" customFormat="1">
      <c r="C1104" s="825"/>
      <c r="M1104" s="247"/>
      <c r="Y1104" s="176"/>
      <c r="Z1104" s="176"/>
      <c r="AA1104" s="176"/>
      <c r="AB1104" s="176"/>
      <c r="AC1104" s="176"/>
      <c r="AD1104" s="176"/>
      <c r="AE1104" s="176"/>
      <c r="AF1104" s="176"/>
      <c r="AG1104" s="176"/>
    </row>
    <row r="1105" spans="3:33" s="160" customFormat="1">
      <c r="C1105" s="825"/>
      <c r="M1105" s="247"/>
      <c r="Y1105" s="176"/>
      <c r="Z1105" s="176"/>
      <c r="AA1105" s="176"/>
      <c r="AB1105" s="176"/>
      <c r="AC1105" s="176"/>
      <c r="AD1105" s="176"/>
      <c r="AE1105" s="176"/>
      <c r="AF1105" s="176"/>
      <c r="AG1105" s="176"/>
    </row>
    <row r="1106" spans="3:33" s="160" customFormat="1">
      <c r="C1106" s="825"/>
      <c r="M1106" s="247"/>
      <c r="Y1106" s="176"/>
      <c r="Z1106" s="176"/>
      <c r="AA1106" s="176"/>
      <c r="AB1106" s="176"/>
      <c r="AC1106" s="176"/>
      <c r="AD1106" s="176"/>
      <c r="AE1106" s="176"/>
      <c r="AF1106" s="176"/>
      <c r="AG1106" s="176"/>
    </row>
    <row r="1107" spans="3:33" s="160" customFormat="1">
      <c r="C1107" s="825"/>
      <c r="M1107" s="247"/>
      <c r="Y1107" s="176"/>
      <c r="Z1107" s="176"/>
      <c r="AA1107" s="176"/>
      <c r="AB1107" s="176"/>
      <c r="AC1107" s="176"/>
      <c r="AD1107" s="176"/>
      <c r="AE1107" s="176"/>
      <c r="AF1107" s="176"/>
      <c r="AG1107" s="176"/>
    </row>
    <row r="1108" spans="3:33" s="160" customFormat="1">
      <c r="C1108" s="825"/>
      <c r="M1108" s="247"/>
      <c r="Y1108" s="176"/>
      <c r="Z1108" s="176"/>
      <c r="AA1108" s="176"/>
      <c r="AB1108" s="176"/>
      <c r="AC1108" s="176"/>
      <c r="AD1108" s="176"/>
      <c r="AE1108" s="176"/>
      <c r="AF1108" s="176"/>
      <c r="AG1108" s="176"/>
    </row>
    <row r="1109" spans="3:33" s="160" customFormat="1">
      <c r="C1109" s="825"/>
      <c r="M1109" s="247"/>
      <c r="Y1109" s="176"/>
      <c r="Z1109" s="176"/>
      <c r="AA1109" s="176"/>
      <c r="AB1109" s="176"/>
      <c r="AC1109" s="176"/>
      <c r="AD1109" s="176"/>
      <c r="AE1109" s="176"/>
      <c r="AF1109" s="176"/>
      <c r="AG1109" s="176"/>
    </row>
    <row r="1110" spans="3:33" s="160" customFormat="1">
      <c r="C1110" s="825"/>
      <c r="M1110" s="247"/>
      <c r="Y1110" s="176"/>
      <c r="Z1110" s="176"/>
      <c r="AA1110" s="176"/>
      <c r="AB1110" s="176"/>
      <c r="AC1110" s="176"/>
      <c r="AD1110" s="176"/>
      <c r="AE1110" s="176"/>
      <c r="AF1110" s="176"/>
      <c r="AG1110" s="176"/>
    </row>
    <row r="1111" spans="3:33" s="160" customFormat="1">
      <c r="C1111" s="825"/>
      <c r="M1111" s="247"/>
      <c r="Y1111" s="176"/>
      <c r="Z1111" s="176"/>
      <c r="AA1111" s="176"/>
      <c r="AB1111" s="176"/>
      <c r="AC1111" s="176"/>
      <c r="AD1111" s="176"/>
      <c r="AE1111" s="176"/>
      <c r="AF1111" s="176"/>
      <c r="AG1111" s="176"/>
    </row>
    <row r="1112" spans="3:33" s="160" customFormat="1">
      <c r="C1112" s="825"/>
      <c r="M1112" s="247"/>
      <c r="Y1112" s="176"/>
      <c r="Z1112" s="176"/>
      <c r="AA1112" s="176"/>
      <c r="AB1112" s="176"/>
      <c r="AC1112" s="176"/>
      <c r="AD1112" s="176"/>
      <c r="AE1112" s="176"/>
      <c r="AF1112" s="176"/>
      <c r="AG1112" s="176"/>
    </row>
    <row r="1113" spans="3:33" s="160" customFormat="1">
      <c r="C1113" s="825"/>
      <c r="M1113" s="247"/>
      <c r="Y1113" s="176"/>
      <c r="Z1113" s="176"/>
      <c r="AA1113" s="176"/>
      <c r="AB1113" s="176"/>
      <c r="AC1113" s="176"/>
      <c r="AD1113" s="176"/>
      <c r="AE1113" s="176"/>
      <c r="AF1113" s="176"/>
      <c r="AG1113" s="176"/>
    </row>
    <row r="1114" spans="3:33" s="160" customFormat="1">
      <c r="C1114" s="825"/>
      <c r="M1114" s="247"/>
      <c r="Y1114" s="176"/>
      <c r="Z1114" s="176"/>
      <c r="AA1114" s="176"/>
      <c r="AB1114" s="176"/>
      <c r="AC1114" s="176"/>
      <c r="AD1114" s="176"/>
      <c r="AE1114" s="176"/>
      <c r="AF1114" s="176"/>
      <c r="AG1114" s="176"/>
    </row>
    <row r="1115" spans="3:33" s="160" customFormat="1">
      <c r="C1115" s="825"/>
      <c r="M1115" s="247"/>
      <c r="Y1115" s="176"/>
      <c r="Z1115" s="176"/>
      <c r="AA1115" s="176"/>
      <c r="AB1115" s="176"/>
      <c r="AC1115" s="176"/>
      <c r="AD1115" s="176"/>
      <c r="AE1115" s="176"/>
      <c r="AF1115" s="176"/>
      <c r="AG1115" s="176"/>
    </row>
    <row r="1116" spans="3:33" s="160" customFormat="1">
      <c r="C1116" s="825"/>
      <c r="M1116" s="247"/>
      <c r="Y1116" s="176"/>
      <c r="Z1116" s="176"/>
      <c r="AA1116" s="176"/>
      <c r="AB1116" s="176"/>
      <c r="AC1116" s="176"/>
      <c r="AD1116" s="176"/>
      <c r="AE1116" s="176"/>
      <c r="AF1116" s="176"/>
      <c r="AG1116" s="176"/>
    </row>
    <row r="1117" spans="3:33" s="160" customFormat="1">
      <c r="C1117" s="825"/>
      <c r="M1117" s="247"/>
      <c r="Y1117" s="176"/>
      <c r="Z1117" s="176"/>
      <c r="AA1117" s="176"/>
      <c r="AB1117" s="176"/>
      <c r="AC1117" s="176"/>
      <c r="AD1117" s="176"/>
      <c r="AE1117" s="176"/>
      <c r="AF1117" s="176"/>
      <c r="AG1117" s="176"/>
    </row>
    <row r="1118" spans="3:33" s="160" customFormat="1">
      <c r="C1118" s="825"/>
      <c r="M1118" s="247"/>
      <c r="Y1118" s="176"/>
      <c r="Z1118" s="176"/>
      <c r="AA1118" s="176"/>
      <c r="AB1118" s="176"/>
      <c r="AC1118" s="176"/>
      <c r="AD1118" s="176"/>
      <c r="AE1118" s="176"/>
      <c r="AF1118" s="176"/>
      <c r="AG1118" s="176"/>
    </row>
    <row r="1119" spans="3:33" s="160" customFormat="1">
      <c r="C1119" s="825"/>
      <c r="M1119" s="247"/>
      <c r="Y1119" s="176"/>
      <c r="Z1119" s="176"/>
      <c r="AA1119" s="176"/>
      <c r="AB1119" s="176"/>
      <c r="AC1119" s="176"/>
      <c r="AD1119" s="176"/>
      <c r="AE1119" s="176"/>
      <c r="AF1119" s="176"/>
      <c r="AG1119" s="176"/>
    </row>
    <row r="1120" spans="3:33" s="160" customFormat="1">
      <c r="C1120" s="825"/>
      <c r="M1120" s="247"/>
      <c r="Y1120" s="176"/>
      <c r="Z1120" s="176"/>
      <c r="AA1120" s="176"/>
      <c r="AB1120" s="176"/>
      <c r="AC1120" s="176"/>
      <c r="AD1120" s="176"/>
      <c r="AE1120" s="176"/>
      <c r="AF1120" s="176"/>
      <c r="AG1120" s="176"/>
    </row>
    <row r="1121" spans="3:33" s="160" customFormat="1">
      <c r="C1121" s="825"/>
      <c r="M1121" s="247"/>
      <c r="Y1121" s="176"/>
      <c r="Z1121" s="176"/>
      <c r="AA1121" s="176"/>
      <c r="AB1121" s="176"/>
      <c r="AC1121" s="176"/>
      <c r="AD1121" s="176"/>
      <c r="AE1121" s="176"/>
      <c r="AF1121" s="176"/>
      <c r="AG1121" s="176"/>
    </row>
    <row r="1122" spans="3:33" s="160" customFormat="1">
      <c r="C1122" s="825"/>
      <c r="M1122" s="247"/>
      <c r="Y1122" s="176"/>
      <c r="Z1122" s="176"/>
      <c r="AA1122" s="176"/>
      <c r="AB1122" s="176"/>
      <c r="AC1122" s="176"/>
      <c r="AD1122" s="176"/>
      <c r="AE1122" s="176"/>
      <c r="AF1122" s="176"/>
      <c r="AG1122" s="176"/>
    </row>
    <row r="1123" spans="3:33" s="160" customFormat="1">
      <c r="C1123" s="825"/>
      <c r="M1123" s="247"/>
      <c r="Y1123" s="176"/>
      <c r="Z1123" s="176"/>
      <c r="AA1123" s="176"/>
      <c r="AB1123" s="176"/>
      <c r="AC1123" s="176"/>
      <c r="AD1123" s="176"/>
      <c r="AE1123" s="176"/>
      <c r="AF1123" s="176"/>
      <c r="AG1123" s="176"/>
    </row>
    <row r="1124" spans="3:33" s="160" customFormat="1">
      <c r="C1124" s="825"/>
      <c r="M1124" s="247"/>
      <c r="Y1124" s="176"/>
      <c r="Z1124" s="176"/>
      <c r="AA1124" s="176"/>
      <c r="AB1124" s="176"/>
      <c r="AC1124" s="176"/>
      <c r="AD1124" s="176"/>
      <c r="AE1124" s="176"/>
      <c r="AF1124" s="176"/>
      <c r="AG1124" s="176"/>
    </row>
    <row r="1125" spans="3:33" s="160" customFormat="1">
      <c r="C1125" s="825"/>
      <c r="M1125" s="247"/>
      <c r="Y1125" s="176"/>
      <c r="Z1125" s="176"/>
      <c r="AA1125" s="176"/>
      <c r="AB1125" s="176"/>
      <c r="AC1125" s="176"/>
      <c r="AD1125" s="176"/>
      <c r="AE1125" s="176"/>
      <c r="AF1125" s="176"/>
      <c r="AG1125" s="176"/>
    </row>
    <row r="1126" spans="3:33" s="160" customFormat="1">
      <c r="C1126" s="825"/>
      <c r="M1126" s="247"/>
      <c r="Y1126" s="176"/>
      <c r="Z1126" s="176"/>
      <c r="AA1126" s="176"/>
      <c r="AB1126" s="176"/>
      <c r="AC1126" s="176"/>
      <c r="AD1126" s="176"/>
      <c r="AE1126" s="176"/>
      <c r="AF1126" s="176"/>
      <c r="AG1126" s="176"/>
    </row>
    <row r="1127" spans="3:33" s="160" customFormat="1">
      <c r="C1127" s="825"/>
      <c r="M1127" s="247"/>
      <c r="Y1127" s="176"/>
      <c r="Z1127" s="176"/>
      <c r="AA1127" s="176"/>
      <c r="AB1127" s="176"/>
      <c r="AC1127" s="176"/>
      <c r="AD1127" s="176"/>
      <c r="AE1127" s="176"/>
      <c r="AF1127" s="176"/>
      <c r="AG1127" s="176"/>
    </row>
    <row r="1128" spans="3:33" s="160" customFormat="1">
      <c r="C1128" s="825"/>
      <c r="M1128" s="247"/>
      <c r="Y1128" s="176"/>
      <c r="Z1128" s="176"/>
      <c r="AA1128" s="176"/>
      <c r="AB1128" s="176"/>
      <c r="AC1128" s="176"/>
      <c r="AD1128" s="176"/>
      <c r="AE1128" s="176"/>
      <c r="AF1128" s="176"/>
      <c r="AG1128" s="176"/>
    </row>
    <row r="1129" spans="3:33" s="160" customFormat="1">
      <c r="C1129" s="825"/>
      <c r="M1129" s="247"/>
      <c r="Y1129" s="176"/>
      <c r="Z1129" s="176"/>
      <c r="AA1129" s="176"/>
      <c r="AB1129" s="176"/>
      <c r="AC1129" s="176"/>
      <c r="AD1129" s="176"/>
      <c r="AE1129" s="176"/>
      <c r="AF1129" s="176"/>
      <c r="AG1129" s="176"/>
    </row>
    <row r="1130" spans="3:33" s="160" customFormat="1">
      <c r="C1130" s="825"/>
      <c r="M1130" s="247"/>
      <c r="Y1130" s="176"/>
      <c r="Z1130" s="176"/>
      <c r="AA1130" s="176"/>
      <c r="AB1130" s="176"/>
      <c r="AC1130" s="176"/>
      <c r="AD1130" s="176"/>
      <c r="AE1130" s="176"/>
      <c r="AF1130" s="176"/>
      <c r="AG1130" s="176"/>
    </row>
    <row r="1131" spans="3:33" s="160" customFormat="1">
      <c r="C1131" s="825"/>
      <c r="M1131" s="247"/>
      <c r="Y1131" s="176"/>
      <c r="Z1131" s="176"/>
      <c r="AA1131" s="176"/>
      <c r="AB1131" s="176"/>
      <c r="AC1131" s="176"/>
      <c r="AD1131" s="176"/>
      <c r="AE1131" s="176"/>
      <c r="AF1131" s="176"/>
      <c r="AG1131" s="176"/>
    </row>
    <row r="1132" spans="3:33" s="160" customFormat="1">
      <c r="C1132" s="825"/>
      <c r="M1132" s="247"/>
      <c r="Y1132" s="176"/>
      <c r="Z1132" s="176"/>
      <c r="AA1132" s="176"/>
      <c r="AB1132" s="176"/>
      <c r="AC1132" s="176"/>
      <c r="AD1132" s="176"/>
      <c r="AE1132" s="176"/>
      <c r="AF1132" s="176"/>
      <c r="AG1132" s="176"/>
    </row>
    <row r="1133" spans="3:33" s="160" customFormat="1">
      <c r="C1133" s="825"/>
      <c r="M1133" s="247"/>
      <c r="Y1133" s="176"/>
      <c r="Z1133" s="176"/>
      <c r="AA1133" s="176"/>
      <c r="AB1133" s="176"/>
      <c r="AC1133" s="176"/>
      <c r="AD1133" s="176"/>
      <c r="AE1133" s="176"/>
      <c r="AF1133" s="176"/>
      <c r="AG1133" s="176"/>
    </row>
    <row r="1134" spans="3:33" s="160" customFormat="1">
      <c r="C1134" s="825"/>
      <c r="M1134" s="247"/>
      <c r="Y1134" s="176"/>
      <c r="Z1134" s="176"/>
      <c r="AA1134" s="176"/>
      <c r="AB1134" s="176"/>
      <c r="AC1134" s="176"/>
      <c r="AD1134" s="176"/>
      <c r="AE1134" s="176"/>
      <c r="AF1134" s="176"/>
      <c r="AG1134" s="176"/>
    </row>
    <row r="1135" spans="3:33" s="160" customFormat="1">
      <c r="C1135" s="825"/>
      <c r="M1135" s="247"/>
      <c r="Y1135" s="176"/>
      <c r="Z1135" s="176"/>
      <c r="AA1135" s="176"/>
      <c r="AB1135" s="176"/>
      <c r="AC1135" s="176"/>
      <c r="AD1135" s="176"/>
      <c r="AE1135" s="176"/>
      <c r="AF1135" s="176"/>
      <c r="AG1135" s="176"/>
    </row>
    <row r="1136" spans="3:33" s="160" customFormat="1">
      <c r="C1136" s="825"/>
      <c r="M1136" s="247"/>
      <c r="Y1136" s="176"/>
      <c r="Z1136" s="176"/>
      <c r="AA1136" s="176"/>
      <c r="AB1136" s="176"/>
      <c r="AC1136" s="176"/>
      <c r="AD1136" s="176"/>
      <c r="AE1136" s="176"/>
      <c r="AF1136" s="176"/>
      <c r="AG1136" s="176"/>
    </row>
    <row r="1137" spans="3:33" s="160" customFormat="1">
      <c r="C1137" s="825"/>
      <c r="M1137" s="247"/>
      <c r="Y1137" s="176"/>
      <c r="Z1137" s="176"/>
      <c r="AA1137" s="176"/>
      <c r="AB1137" s="176"/>
      <c r="AC1137" s="176"/>
      <c r="AD1137" s="176"/>
      <c r="AE1137" s="176"/>
      <c r="AF1137" s="176"/>
      <c r="AG1137" s="176"/>
    </row>
    <row r="1138" spans="3:33" s="160" customFormat="1">
      <c r="C1138" s="825"/>
      <c r="M1138" s="247"/>
      <c r="Y1138" s="176"/>
      <c r="Z1138" s="176"/>
      <c r="AA1138" s="176"/>
      <c r="AB1138" s="176"/>
      <c r="AC1138" s="176"/>
      <c r="AD1138" s="176"/>
      <c r="AE1138" s="176"/>
      <c r="AF1138" s="176"/>
      <c r="AG1138" s="176"/>
    </row>
    <row r="1139" spans="3:33" s="160" customFormat="1">
      <c r="C1139" s="825"/>
      <c r="M1139" s="247"/>
      <c r="Y1139" s="176"/>
      <c r="Z1139" s="176"/>
      <c r="AA1139" s="176"/>
      <c r="AB1139" s="176"/>
      <c r="AC1139" s="176"/>
      <c r="AD1139" s="176"/>
      <c r="AE1139" s="176"/>
      <c r="AF1139" s="176"/>
      <c r="AG1139" s="176"/>
    </row>
    <row r="1140" spans="3:33" s="160" customFormat="1">
      <c r="C1140" s="825"/>
      <c r="M1140" s="247"/>
      <c r="Y1140" s="176"/>
      <c r="Z1140" s="176"/>
      <c r="AA1140" s="176"/>
      <c r="AB1140" s="176"/>
      <c r="AC1140" s="176"/>
      <c r="AD1140" s="176"/>
      <c r="AE1140" s="176"/>
      <c r="AF1140" s="176"/>
      <c r="AG1140" s="176"/>
    </row>
    <row r="1141" spans="3:33" s="160" customFormat="1">
      <c r="C1141" s="825"/>
      <c r="M1141" s="247"/>
      <c r="Y1141" s="176"/>
      <c r="Z1141" s="176"/>
      <c r="AA1141" s="176"/>
      <c r="AB1141" s="176"/>
      <c r="AC1141" s="176"/>
      <c r="AD1141" s="176"/>
      <c r="AE1141" s="176"/>
      <c r="AF1141" s="176"/>
      <c r="AG1141" s="176"/>
    </row>
    <row r="1142" spans="3:33" s="160" customFormat="1">
      <c r="C1142" s="825"/>
      <c r="M1142" s="247"/>
      <c r="Y1142" s="176"/>
      <c r="Z1142" s="176"/>
      <c r="AA1142" s="176"/>
      <c r="AB1142" s="176"/>
      <c r="AC1142" s="176"/>
      <c r="AD1142" s="176"/>
      <c r="AE1142" s="176"/>
      <c r="AF1142" s="176"/>
      <c r="AG1142" s="176"/>
    </row>
    <row r="1143" spans="3:33" s="160" customFormat="1">
      <c r="C1143" s="825"/>
      <c r="M1143" s="247"/>
      <c r="Y1143" s="176"/>
      <c r="Z1143" s="176"/>
      <c r="AA1143" s="176"/>
      <c r="AB1143" s="176"/>
      <c r="AC1143" s="176"/>
      <c r="AD1143" s="176"/>
      <c r="AE1143" s="176"/>
      <c r="AF1143" s="176"/>
      <c r="AG1143" s="176"/>
    </row>
    <row r="1144" spans="3:33" s="160" customFormat="1">
      <c r="C1144" s="825"/>
      <c r="M1144" s="247"/>
      <c r="Y1144" s="176"/>
      <c r="Z1144" s="176"/>
      <c r="AA1144" s="176"/>
      <c r="AB1144" s="176"/>
      <c r="AC1144" s="176"/>
      <c r="AD1144" s="176"/>
      <c r="AE1144" s="176"/>
      <c r="AF1144" s="176"/>
      <c r="AG1144" s="176"/>
    </row>
    <row r="1145" spans="3:33" s="160" customFormat="1">
      <c r="C1145" s="825"/>
      <c r="M1145" s="247"/>
      <c r="Y1145" s="176"/>
      <c r="Z1145" s="176"/>
      <c r="AA1145" s="176"/>
      <c r="AB1145" s="176"/>
      <c r="AC1145" s="176"/>
      <c r="AD1145" s="176"/>
      <c r="AE1145" s="176"/>
      <c r="AF1145" s="176"/>
      <c r="AG1145" s="176"/>
    </row>
    <row r="1146" spans="3:33" s="160" customFormat="1">
      <c r="C1146" s="825"/>
      <c r="M1146" s="247"/>
      <c r="Y1146" s="176"/>
      <c r="Z1146" s="176"/>
      <c r="AA1146" s="176"/>
      <c r="AB1146" s="176"/>
      <c r="AC1146" s="176"/>
      <c r="AD1146" s="176"/>
      <c r="AE1146" s="176"/>
      <c r="AF1146" s="176"/>
      <c r="AG1146" s="176"/>
    </row>
    <row r="1147" spans="3:33" s="160" customFormat="1">
      <c r="C1147" s="825"/>
      <c r="M1147" s="247"/>
      <c r="Y1147" s="176"/>
      <c r="Z1147" s="176"/>
      <c r="AA1147" s="176"/>
      <c r="AB1147" s="176"/>
      <c r="AC1147" s="176"/>
      <c r="AD1147" s="176"/>
      <c r="AE1147" s="176"/>
      <c r="AF1147" s="176"/>
      <c r="AG1147" s="176"/>
    </row>
    <row r="1148" spans="3:33" s="160" customFormat="1">
      <c r="C1148" s="825"/>
      <c r="M1148" s="247"/>
      <c r="Y1148" s="176"/>
      <c r="Z1148" s="176"/>
      <c r="AA1148" s="176"/>
      <c r="AB1148" s="176"/>
      <c r="AC1148" s="176"/>
      <c r="AD1148" s="176"/>
      <c r="AE1148" s="176"/>
      <c r="AF1148" s="176"/>
      <c r="AG1148" s="176"/>
    </row>
    <row r="1149" spans="3:33" s="160" customFormat="1">
      <c r="C1149" s="825"/>
      <c r="M1149" s="247"/>
      <c r="Y1149" s="176"/>
      <c r="Z1149" s="176"/>
      <c r="AA1149" s="176"/>
      <c r="AB1149" s="176"/>
      <c r="AC1149" s="176"/>
      <c r="AD1149" s="176"/>
      <c r="AE1149" s="176"/>
      <c r="AF1149" s="176"/>
      <c r="AG1149" s="176"/>
    </row>
    <row r="1150" spans="3:33" s="160" customFormat="1">
      <c r="C1150" s="825"/>
      <c r="M1150" s="247"/>
      <c r="Y1150" s="176"/>
      <c r="Z1150" s="176"/>
      <c r="AA1150" s="176"/>
      <c r="AB1150" s="176"/>
      <c r="AC1150" s="176"/>
      <c r="AD1150" s="176"/>
      <c r="AE1150" s="176"/>
      <c r="AF1150" s="176"/>
      <c r="AG1150" s="176"/>
    </row>
    <row r="1151" spans="3:33" s="160" customFormat="1">
      <c r="C1151" s="825"/>
      <c r="M1151" s="247"/>
      <c r="Y1151" s="176"/>
      <c r="Z1151" s="176"/>
      <c r="AA1151" s="176"/>
      <c r="AB1151" s="176"/>
      <c r="AC1151" s="176"/>
      <c r="AD1151" s="176"/>
      <c r="AE1151" s="176"/>
      <c r="AF1151" s="176"/>
      <c r="AG1151" s="176"/>
    </row>
    <row r="1152" spans="3:33" s="160" customFormat="1">
      <c r="C1152" s="825"/>
      <c r="M1152" s="247"/>
      <c r="Y1152" s="176"/>
      <c r="Z1152" s="176"/>
      <c r="AA1152" s="176"/>
      <c r="AB1152" s="176"/>
      <c r="AC1152" s="176"/>
      <c r="AD1152" s="176"/>
      <c r="AE1152" s="176"/>
      <c r="AF1152" s="176"/>
      <c r="AG1152" s="176"/>
    </row>
    <row r="1153" spans="3:33" s="160" customFormat="1">
      <c r="C1153" s="825"/>
      <c r="M1153" s="247"/>
      <c r="Y1153" s="176"/>
      <c r="Z1153" s="176"/>
      <c r="AA1153" s="176"/>
      <c r="AB1153" s="176"/>
      <c r="AC1153" s="176"/>
      <c r="AD1153" s="176"/>
      <c r="AE1153" s="176"/>
      <c r="AF1153" s="176"/>
      <c r="AG1153" s="176"/>
    </row>
    <row r="1154" spans="3:33" s="160" customFormat="1">
      <c r="C1154" s="825"/>
      <c r="M1154" s="247"/>
      <c r="Y1154" s="176"/>
      <c r="Z1154" s="176"/>
      <c r="AA1154" s="176"/>
      <c r="AB1154" s="176"/>
      <c r="AC1154" s="176"/>
      <c r="AD1154" s="176"/>
      <c r="AE1154" s="176"/>
      <c r="AF1154" s="176"/>
      <c r="AG1154" s="176"/>
    </row>
    <row r="1155" spans="3:33" s="160" customFormat="1">
      <c r="C1155" s="825"/>
      <c r="M1155" s="247"/>
      <c r="Y1155" s="176"/>
      <c r="Z1155" s="176"/>
      <c r="AA1155" s="176"/>
      <c r="AB1155" s="176"/>
      <c r="AC1155" s="176"/>
      <c r="AD1155" s="176"/>
      <c r="AE1155" s="176"/>
      <c r="AF1155" s="176"/>
      <c r="AG1155" s="176"/>
    </row>
    <row r="1156" spans="3:33" s="160" customFormat="1">
      <c r="C1156" s="825"/>
      <c r="M1156" s="247"/>
      <c r="Y1156" s="176"/>
      <c r="Z1156" s="176"/>
      <c r="AA1156" s="176"/>
      <c r="AB1156" s="176"/>
      <c r="AC1156" s="176"/>
      <c r="AD1156" s="176"/>
      <c r="AE1156" s="176"/>
      <c r="AF1156" s="176"/>
      <c r="AG1156" s="176"/>
    </row>
    <row r="1157" spans="3:33" s="160" customFormat="1">
      <c r="C1157" s="825"/>
      <c r="M1157" s="247"/>
      <c r="Y1157" s="176"/>
      <c r="Z1157" s="176"/>
      <c r="AA1157" s="176"/>
      <c r="AB1157" s="176"/>
      <c r="AC1157" s="176"/>
      <c r="AD1157" s="176"/>
      <c r="AE1157" s="176"/>
      <c r="AF1157" s="176"/>
      <c r="AG1157" s="176"/>
    </row>
    <row r="1158" spans="3:33" s="160" customFormat="1">
      <c r="C1158" s="825"/>
      <c r="M1158" s="247"/>
      <c r="Y1158" s="176"/>
      <c r="Z1158" s="176"/>
      <c r="AA1158" s="176"/>
      <c r="AB1158" s="176"/>
      <c r="AC1158" s="176"/>
      <c r="AD1158" s="176"/>
      <c r="AE1158" s="176"/>
      <c r="AF1158" s="176"/>
      <c r="AG1158" s="176"/>
    </row>
    <row r="1159" spans="3:33" s="160" customFormat="1">
      <c r="C1159" s="825"/>
      <c r="M1159" s="247"/>
      <c r="Y1159" s="176"/>
      <c r="Z1159" s="176"/>
      <c r="AA1159" s="176"/>
      <c r="AB1159" s="176"/>
      <c r="AC1159" s="176"/>
      <c r="AD1159" s="176"/>
      <c r="AE1159" s="176"/>
      <c r="AF1159" s="176"/>
      <c r="AG1159" s="176"/>
    </row>
    <row r="1160" spans="3:33" s="160" customFormat="1">
      <c r="C1160" s="825"/>
      <c r="M1160" s="247"/>
      <c r="Y1160" s="176"/>
      <c r="Z1160" s="176"/>
      <c r="AA1160" s="176"/>
      <c r="AB1160" s="176"/>
      <c r="AC1160" s="176"/>
      <c r="AD1160" s="176"/>
      <c r="AE1160" s="176"/>
      <c r="AF1160" s="176"/>
      <c r="AG1160" s="176"/>
    </row>
    <row r="1161" spans="3:33" s="160" customFormat="1">
      <c r="C1161" s="825"/>
      <c r="M1161" s="247"/>
      <c r="Y1161" s="176"/>
      <c r="Z1161" s="176"/>
      <c r="AA1161" s="176"/>
      <c r="AB1161" s="176"/>
      <c r="AC1161" s="176"/>
      <c r="AD1161" s="176"/>
      <c r="AE1161" s="176"/>
      <c r="AF1161" s="176"/>
      <c r="AG1161" s="176"/>
    </row>
    <row r="1162" spans="3:33" s="160" customFormat="1">
      <c r="C1162" s="825"/>
      <c r="M1162" s="247"/>
      <c r="Y1162" s="176"/>
      <c r="Z1162" s="176"/>
      <c r="AA1162" s="176"/>
      <c r="AB1162" s="176"/>
      <c r="AC1162" s="176"/>
      <c r="AD1162" s="176"/>
      <c r="AE1162" s="176"/>
      <c r="AF1162" s="176"/>
      <c r="AG1162" s="176"/>
    </row>
    <row r="1163" spans="3:33" s="160" customFormat="1">
      <c r="C1163" s="825"/>
      <c r="M1163" s="247"/>
      <c r="Y1163" s="176"/>
      <c r="Z1163" s="176"/>
      <c r="AA1163" s="176"/>
      <c r="AB1163" s="176"/>
      <c r="AC1163" s="176"/>
      <c r="AD1163" s="176"/>
      <c r="AE1163" s="176"/>
      <c r="AF1163" s="176"/>
      <c r="AG1163" s="176"/>
    </row>
    <row r="1164" spans="3:33" s="160" customFormat="1">
      <c r="C1164" s="825"/>
      <c r="M1164" s="247"/>
      <c r="Y1164" s="176"/>
      <c r="Z1164" s="176"/>
      <c r="AA1164" s="176"/>
      <c r="AB1164" s="176"/>
      <c r="AC1164" s="176"/>
      <c r="AD1164" s="176"/>
      <c r="AE1164" s="176"/>
      <c r="AF1164" s="176"/>
      <c r="AG1164" s="176"/>
    </row>
    <row r="1165" spans="3:33" s="160" customFormat="1">
      <c r="C1165" s="825"/>
      <c r="M1165" s="247"/>
      <c r="Y1165" s="176"/>
      <c r="Z1165" s="176"/>
      <c r="AA1165" s="176"/>
      <c r="AB1165" s="176"/>
      <c r="AC1165" s="176"/>
      <c r="AD1165" s="176"/>
      <c r="AE1165" s="176"/>
      <c r="AF1165" s="176"/>
      <c r="AG1165" s="176"/>
    </row>
    <row r="1166" spans="3:33" s="160" customFormat="1">
      <c r="C1166" s="825"/>
      <c r="M1166" s="247"/>
      <c r="Y1166" s="176"/>
      <c r="Z1166" s="176"/>
      <c r="AA1166" s="176"/>
      <c r="AB1166" s="176"/>
      <c r="AC1166" s="176"/>
      <c r="AD1166" s="176"/>
      <c r="AE1166" s="176"/>
      <c r="AF1166" s="176"/>
      <c r="AG1166" s="176"/>
    </row>
    <row r="1167" spans="3:33" s="160" customFormat="1">
      <c r="C1167" s="825"/>
      <c r="M1167" s="247"/>
      <c r="Y1167" s="176"/>
      <c r="Z1167" s="176"/>
      <c r="AA1167" s="176"/>
      <c r="AB1167" s="176"/>
      <c r="AC1167" s="176"/>
      <c r="AD1167" s="176"/>
      <c r="AE1167" s="176"/>
      <c r="AF1167" s="176"/>
      <c r="AG1167" s="176"/>
    </row>
    <row r="1168" spans="3:33" s="160" customFormat="1">
      <c r="C1168" s="825"/>
      <c r="M1168" s="247"/>
      <c r="Y1168" s="176"/>
      <c r="Z1168" s="176"/>
      <c r="AA1168" s="176"/>
      <c r="AB1168" s="176"/>
      <c r="AC1168" s="176"/>
      <c r="AD1168" s="176"/>
      <c r="AE1168" s="176"/>
      <c r="AF1168" s="176"/>
      <c r="AG1168" s="176"/>
    </row>
    <row r="1169" spans="3:33" s="160" customFormat="1">
      <c r="C1169" s="825"/>
      <c r="M1169" s="247"/>
      <c r="Y1169" s="176"/>
      <c r="Z1169" s="176"/>
      <c r="AA1169" s="176"/>
      <c r="AB1169" s="176"/>
      <c r="AC1169" s="176"/>
      <c r="AD1169" s="176"/>
      <c r="AE1169" s="176"/>
      <c r="AF1169" s="176"/>
      <c r="AG1169" s="176"/>
    </row>
    <row r="1170" spans="3:33" s="160" customFormat="1">
      <c r="C1170" s="825"/>
      <c r="M1170" s="247"/>
      <c r="Y1170" s="176"/>
      <c r="Z1170" s="176"/>
      <c r="AA1170" s="176"/>
      <c r="AB1170" s="176"/>
      <c r="AC1170" s="176"/>
      <c r="AD1170" s="176"/>
      <c r="AE1170" s="176"/>
      <c r="AF1170" s="176"/>
      <c r="AG1170" s="176"/>
    </row>
    <row r="1171" spans="3:33" s="160" customFormat="1">
      <c r="C1171" s="825"/>
      <c r="M1171" s="247"/>
      <c r="Y1171" s="176"/>
      <c r="Z1171" s="176"/>
      <c r="AA1171" s="176"/>
      <c r="AB1171" s="176"/>
      <c r="AC1171" s="176"/>
      <c r="AD1171" s="176"/>
      <c r="AE1171" s="176"/>
      <c r="AF1171" s="176"/>
      <c r="AG1171" s="176"/>
    </row>
    <row r="1172" spans="3:33" s="160" customFormat="1">
      <c r="C1172" s="825"/>
      <c r="M1172" s="247"/>
      <c r="Y1172" s="176"/>
      <c r="Z1172" s="176"/>
      <c r="AA1172" s="176"/>
      <c r="AB1172" s="176"/>
      <c r="AC1172" s="176"/>
      <c r="AD1172" s="176"/>
      <c r="AE1172" s="176"/>
      <c r="AF1172" s="176"/>
      <c r="AG1172" s="176"/>
    </row>
    <row r="1173" spans="3:33" s="160" customFormat="1">
      <c r="C1173" s="825"/>
      <c r="M1173" s="247"/>
      <c r="Y1173" s="176"/>
      <c r="Z1173" s="176"/>
      <c r="AA1173" s="176"/>
      <c r="AB1173" s="176"/>
      <c r="AC1173" s="176"/>
      <c r="AD1173" s="176"/>
      <c r="AE1173" s="176"/>
      <c r="AF1173" s="176"/>
      <c r="AG1173" s="176"/>
    </row>
    <row r="1174" spans="3:33" s="160" customFormat="1">
      <c r="C1174" s="825"/>
      <c r="M1174" s="247"/>
      <c r="Y1174" s="176"/>
      <c r="Z1174" s="176"/>
      <c r="AA1174" s="176"/>
      <c r="AB1174" s="176"/>
      <c r="AC1174" s="176"/>
      <c r="AD1174" s="176"/>
      <c r="AE1174" s="176"/>
      <c r="AF1174" s="176"/>
      <c r="AG1174" s="176"/>
    </row>
    <row r="1175" spans="3:33" s="160" customFormat="1">
      <c r="C1175" s="825"/>
      <c r="M1175" s="247"/>
      <c r="Y1175" s="176"/>
      <c r="Z1175" s="176"/>
      <c r="AA1175" s="176"/>
      <c r="AB1175" s="176"/>
      <c r="AC1175" s="176"/>
      <c r="AD1175" s="176"/>
      <c r="AE1175" s="176"/>
      <c r="AF1175" s="176"/>
      <c r="AG1175" s="176"/>
    </row>
    <row r="1176" spans="3:33" s="160" customFormat="1">
      <c r="C1176" s="825"/>
      <c r="M1176" s="247"/>
      <c r="Y1176" s="176"/>
      <c r="Z1176" s="176"/>
      <c r="AA1176" s="176"/>
      <c r="AB1176" s="176"/>
      <c r="AC1176" s="176"/>
      <c r="AD1176" s="176"/>
      <c r="AE1176" s="176"/>
      <c r="AF1176" s="176"/>
      <c r="AG1176" s="176"/>
    </row>
    <row r="1177" spans="3:33" s="160" customFormat="1">
      <c r="C1177" s="825"/>
      <c r="M1177" s="247"/>
      <c r="Y1177" s="176"/>
      <c r="Z1177" s="176"/>
      <c r="AA1177" s="176"/>
      <c r="AB1177" s="176"/>
      <c r="AC1177" s="176"/>
      <c r="AD1177" s="176"/>
      <c r="AE1177" s="176"/>
      <c r="AF1177" s="176"/>
      <c r="AG1177" s="176"/>
    </row>
    <row r="1178" spans="3:33" s="160" customFormat="1">
      <c r="C1178" s="825"/>
      <c r="M1178" s="247"/>
      <c r="Y1178" s="176"/>
      <c r="Z1178" s="176"/>
      <c r="AA1178" s="176"/>
      <c r="AB1178" s="176"/>
      <c r="AC1178" s="176"/>
      <c r="AD1178" s="176"/>
      <c r="AE1178" s="176"/>
      <c r="AF1178" s="176"/>
      <c r="AG1178" s="176"/>
    </row>
    <row r="1179" spans="3:33" s="160" customFormat="1">
      <c r="C1179" s="825"/>
      <c r="M1179" s="247"/>
      <c r="Y1179" s="176"/>
      <c r="Z1179" s="176"/>
      <c r="AA1179" s="176"/>
      <c r="AB1179" s="176"/>
      <c r="AC1179" s="176"/>
      <c r="AD1179" s="176"/>
      <c r="AE1179" s="176"/>
      <c r="AF1179" s="176"/>
      <c r="AG1179" s="176"/>
    </row>
    <row r="1180" spans="3:33" s="160" customFormat="1">
      <c r="C1180" s="825"/>
      <c r="M1180" s="247"/>
      <c r="Y1180" s="176"/>
      <c r="Z1180" s="176"/>
      <c r="AA1180" s="176"/>
      <c r="AB1180" s="176"/>
      <c r="AC1180" s="176"/>
      <c r="AD1180" s="176"/>
      <c r="AE1180" s="176"/>
      <c r="AF1180" s="176"/>
      <c r="AG1180" s="176"/>
    </row>
    <row r="1181" spans="3:33" s="160" customFormat="1">
      <c r="C1181" s="825"/>
      <c r="M1181" s="247"/>
      <c r="Y1181" s="176"/>
      <c r="Z1181" s="176"/>
      <c r="AA1181" s="176"/>
      <c r="AB1181" s="176"/>
      <c r="AC1181" s="176"/>
      <c r="AD1181" s="176"/>
      <c r="AE1181" s="176"/>
      <c r="AF1181" s="176"/>
      <c r="AG1181" s="176"/>
    </row>
    <row r="1182" spans="3:33" s="160" customFormat="1">
      <c r="C1182" s="825"/>
      <c r="M1182" s="247"/>
      <c r="Y1182" s="176"/>
      <c r="Z1182" s="176"/>
      <c r="AA1182" s="176"/>
      <c r="AB1182" s="176"/>
      <c r="AC1182" s="176"/>
      <c r="AD1182" s="176"/>
      <c r="AE1182" s="176"/>
      <c r="AF1182" s="176"/>
      <c r="AG1182" s="176"/>
    </row>
    <row r="1183" spans="3:33" s="160" customFormat="1">
      <c r="C1183" s="825"/>
      <c r="M1183" s="247"/>
      <c r="Y1183" s="176"/>
      <c r="Z1183" s="176"/>
      <c r="AA1183" s="176"/>
      <c r="AB1183" s="176"/>
      <c r="AC1183" s="176"/>
      <c r="AD1183" s="176"/>
      <c r="AE1183" s="176"/>
      <c r="AF1183" s="176"/>
      <c r="AG1183" s="176"/>
    </row>
    <row r="1184" spans="3:33" s="160" customFormat="1">
      <c r="C1184" s="825"/>
      <c r="M1184" s="247"/>
      <c r="Y1184" s="176"/>
      <c r="Z1184" s="176"/>
      <c r="AA1184" s="176"/>
      <c r="AB1184" s="176"/>
      <c r="AC1184" s="176"/>
      <c r="AD1184" s="176"/>
      <c r="AE1184" s="176"/>
      <c r="AF1184" s="176"/>
      <c r="AG1184" s="176"/>
    </row>
    <row r="1185" spans="3:33" s="160" customFormat="1">
      <c r="C1185" s="825"/>
      <c r="M1185" s="247"/>
      <c r="Y1185" s="176"/>
      <c r="Z1185" s="176"/>
      <c r="AA1185" s="176"/>
      <c r="AB1185" s="176"/>
      <c r="AC1185" s="176"/>
      <c r="AD1185" s="176"/>
      <c r="AE1185" s="176"/>
      <c r="AF1185" s="176"/>
      <c r="AG1185" s="176"/>
    </row>
    <row r="1186" spans="3:33" s="160" customFormat="1">
      <c r="C1186" s="825"/>
      <c r="M1186" s="247"/>
      <c r="Y1186" s="176"/>
      <c r="Z1186" s="176"/>
      <c r="AA1186" s="176"/>
      <c r="AB1186" s="176"/>
      <c r="AC1186" s="176"/>
      <c r="AD1186" s="176"/>
      <c r="AE1186" s="176"/>
      <c r="AF1186" s="176"/>
      <c r="AG1186" s="176"/>
    </row>
    <row r="1187" spans="3:33" s="160" customFormat="1">
      <c r="C1187" s="825"/>
      <c r="M1187" s="247"/>
      <c r="Y1187" s="176"/>
      <c r="Z1187" s="176"/>
      <c r="AA1187" s="176"/>
      <c r="AB1187" s="176"/>
      <c r="AC1187" s="176"/>
      <c r="AD1187" s="176"/>
      <c r="AE1187" s="176"/>
      <c r="AF1187" s="176"/>
      <c r="AG1187" s="176"/>
    </row>
    <row r="1188" spans="3:33" s="160" customFormat="1">
      <c r="C1188" s="825"/>
      <c r="M1188" s="247"/>
      <c r="Y1188" s="176"/>
      <c r="Z1188" s="176"/>
      <c r="AA1188" s="176"/>
      <c r="AB1188" s="176"/>
      <c r="AC1188" s="176"/>
      <c r="AD1188" s="176"/>
      <c r="AE1188" s="176"/>
      <c r="AF1188" s="176"/>
      <c r="AG1188" s="176"/>
    </row>
    <row r="1189" spans="3:33" s="160" customFormat="1">
      <c r="C1189" s="825"/>
      <c r="M1189" s="247"/>
      <c r="Y1189" s="176"/>
      <c r="Z1189" s="176"/>
      <c r="AA1189" s="176"/>
      <c r="AB1189" s="176"/>
      <c r="AC1189" s="176"/>
      <c r="AD1189" s="176"/>
      <c r="AE1189" s="176"/>
      <c r="AF1189" s="176"/>
      <c r="AG1189" s="176"/>
    </row>
    <row r="1190" spans="3:33" s="160" customFormat="1">
      <c r="C1190" s="825"/>
      <c r="M1190" s="247"/>
      <c r="Y1190" s="176"/>
      <c r="Z1190" s="176"/>
      <c r="AA1190" s="176"/>
      <c r="AB1190" s="176"/>
      <c r="AC1190" s="176"/>
      <c r="AD1190" s="176"/>
      <c r="AE1190" s="176"/>
      <c r="AF1190" s="176"/>
      <c r="AG1190" s="176"/>
    </row>
    <row r="1191" spans="3:33" s="160" customFormat="1">
      <c r="C1191" s="825"/>
      <c r="M1191" s="247"/>
      <c r="Y1191" s="176"/>
      <c r="Z1191" s="176"/>
      <c r="AA1191" s="176"/>
      <c r="AB1191" s="176"/>
      <c r="AC1191" s="176"/>
      <c r="AD1191" s="176"/>
      <c r="AE1191" s="176"/>
      <c r="AF1191" s="176"/>
      <c r="AG1191" s="176"/>
    </row>
    <row r="1192" spans="3:33" s="160" customFormat="1">
      <c r="C1192" s="825"/>
      <c r="M1192" s="247"/>
      <c r="Y1192" s="176"/>
      <c r="Z1192" s="176"/>
      <c r="AA1192" s="176"/>
      <c r="AB1192" s="176"/>
      <c r="AC1192" s="176"/>
      <c r="AD1192" s="176"/>
      <c r="AE1192" s="176"/>
      <c r="AF1192" s="176"/>
      <c r="AG1192" s="176"/>
    </row>
    <row r="1193" spans="3:33" s="160" customFormat="1">
      <c r="C1193" s="825"/>
      <c r="M1193" s="247"/>
      <c r="Y1193" s="176"/>
      <c r="Z1193" s="176"/>
      <c r="AA1193" s="176"/>
      <c r="AB1193" s="176"/>
      <c r="AC1193" s="176"/>
      <c r="AD1193" s="176"/>
      <c r="AE1193" s="176"/>
      <c r="AF1193" s="176"/>
      <c r="AG1193" s="176"/>
    </row>
    <row r="1194" spans="3:33" s="160" customFormat="1">
      <c r="C1194" s="825"/>
      <c r="M1194" s="247"/>
      <c r="Y1194" s="176"/>
      <c r="Z1194" s="176"/>
      <c r="AA1194" s="176"/>
      <c r="AB1194" s="176"/>
      <c r="AC1194" s="176"/>
      <c r="AD1194" s="176"/>
      <c r="AE1194" s="176"/>
      <c r="AF1194" s="176"/>
      <c r="AG1194" s="176"/>
    </row>
    <row r="1195" spans="3:33" s="160" customFormat="1">
      <c r="C1195" s="825"/>
      <c r="M1195" s="247"/>
      <c r="Y1195" s="176"/>
      <c r="Z1195" s="176"/>
      <c r="AA1195" s="176"/>
      <c r="AB1195" s="176"/>
      <c r="AC1195" s="176"/>
      <c r="AD1195" s="176"/>
      <c r="AE1195" s="176"/>
      <c r="AF1195" s="176"/>
      <c r="AG1195" s="176"/>
    </row>
    <row r="1196" spans="3:33" s="160" customFormat="1">
      <c r="C1196" s="825"/>
      <c r="M1196" s="247"/>
      <c r="Y1196" s="176"/>
      <c r="Z1196" s="176"/>
      <c r="AA1196" s="176"/>
      <c r="AB1196" s="176"/>
      <c r="AC1196" s="176"/>
      <c r="AD1196" s="176"/>
      <c r="AE1196" s="176"/>
      <c r="AF1196" s="176"/>
      <c r="AG1196" s="176"/>
    </row>
    <row r="1197" spans="3:33" s="160" customFormat="1">
      <c r="C1197" s="825"/>
      <c r="M1197" s="247"/>
      <c r="Y1197" s="176"/>
      <c r="Z1197" s="176"/>
      <c r="AA1197" s="176"/>
      <c r="AB1197" s="176"/>
      <c r="AC1197" s="176"/>
      <c r="AD1197" s="176"/>
      <c r="AE1197" s="176"/>
      <c r="AF1197" s="176"/>
      <c r="AG1197" s="176"/>
    </row>
    <row r="1198" spans="3:33" s="160" customFormat="1">
      <c r="C1198" s="825"/>
      <c r="M1198" s="247"/>
      <c r="Y1198" s="176"/>
      <c r="Z1198" s="176"/>
      <c r="AA1198" s="176"/>
      <c r="AB1198" s="176"/>
      <c r="AC1198" s="176"/>
      <c r="AD1198" s="176"/>
      <c r="AE1198" s="176"/>
      <c r="AF1198" s="176"/>
      <c r="AG1198" s="176"/>
    </row>
    <row r="1199" spans="3:33" s="160" customFormat="1">
      <c r="C1199" s="825"/>
      <c r="M1199" s="247"/>
      <c r="Y1199" s="176"/>
      <c r="Z1199" s="176"/>
      <c r="AA1199" s="176"/>
      <c r="AB1199" s="176"/>
      <c r="AC1199" s="176"/>
      <c r="AD1199" s="176"/>
      <c r="AE1199" s="176"/>
      <c r="AF1199" s="176"/>
      <c r="AG1199" s="176"/>
    </row>
    <row r="1200" spans="3:33" s="160" customFormat="1">
      <c r="C1200" s="825"/>
      <c r="M1200" s="247"/>
      <c r="Y1200" s="176"/>
      <c r="Z1200" s="176"/>
      <c r="AA1200" s="176"/>
      <c r="AB1200" s="176"/>
      <c r="AC1200" s="176"/>
      <c r="AD1200" s="176"/>
      <c r="AE1200" s="176"/>
      <c r="AF1200" s="176"/>
      <c r="AG1200" s="176"/>
    </row>
    <row r="1201" spans="3:33" s="160" customFormat="1">
      <c r="C1201" s="825"/>
      <c r="M1201" s="247"/>
      <c r="Y1201" s="176"/>
      <c r="Z1201" s="176"/>
      <c r="AA1201" s="176"/>
      <c r="AB1201" s="176"/>
      <c r="AC1201" s="176"/>
      <c r="AD1201" s="176"/>
      <c r="AE1201" s="176"/>
      <c r="AF1201" s="176"/>
      <c r="AG1201" s="176"/>
    </row>
    <row r="1202" spans="3:33" s="160" customFormat="1">
      <c r="C1202" s="825"/>
      <c r="M1202" s="247"/>
      <c r="Y1202" s="176"/>
      <c r="Z1202" s="176"/>
      <c r="AA1202" s="176"/>
      <c r="AB1202" s="176"/>
      <c r="AC1202" s="176"/>
      <c r="AD1202" s="176"/>
      <c r="AE1202" s="176"/>
      <c r="AF1202" s="176"/>
      <c r="AG1202" s="176"/>
    </row>
    <row r="1203" spans="3:33" s="160" customFormat="1">
      <c r="C1203" s="825"/>
      <c r="M1203" s="247"/>
      <c r="Y1203" s="176"/>
      <c r="Z1203" s="176"/>
      <c r="AA1203" s="176"/>
      <c r="AB1203" s="176"/>
      <c r="AC1203" s="176"/>
      <c r="AD1203" s="176"/>
      <c r="AE1203" s="176"/>
      <c r="AF1203" s="176"/>
      <c r="AG1203" s="176"/>
    </row>
    <row r="1204" spans="3:33" s="160" customFormat="1">
      <c r="C1204" s="825"/>
      <c r="M1204" s="247"/>
      <c r="Y1204" s="176"/>
      <c r="Z1204" s="176"/>
      <c r="AA1204" s="176"/>
      <c r="AB1204" s="176"/>
      <c r="AC1204" s="176"/>
      <c r="AD1204" s="176"/>
      <c r="AE1204" s="176"/>
      <c r="AF1204" s="176"/>
      <c r="AG1204" s="176"/>
    </row>
    <row r="1205" spans="3:33" s="160" customFormat="1">
      <c r="C1205" s="825"/>
      <c r="M1205" s="247"/>
      <c r="Y1205" s="176"/>
      <c r="Z1205" s="176"/>
      <c r="AA1205" s="176"/>
      <c r="AB1205" s="176"/>
      <c r="AC1205" s="176"/>
      <c r="AD1205" s="176"/>
      <c r="AE1205" s="176"/>
      <c r="AF1205" s="176"/>
      <c r="AG1205" s="176"/>
    </row>
    <row r="1206" spans="3:33" s="160" customFormat="1">
      <c r="C1206" s="825"/>
      <c r="M1206" s="247"/>
      <c r="Y1206" s="176"/>
      <c r="Z1206" s="176"/>
      <c r="AA1206" s="176"/>
      <c r="AB1206" s="176"/>
      <c r="AC1206" s="176"/>
      <c r="AD1206" s="176"/>
      <c r="AE1206" s="176"/>
      <c r="AF1206" s="176"/>
      <c r="AG1206" s="176"/>
    </row>
    <row r="1207" spans="3:33" s="160" customFormat="1">
      <c r="C1207" s="825"/>
      <c r="M1207" s="247"/>
      <c r="Y1207" s="176"/>
      <c r="Z1207" s="176"/>
      <c r="AA1207" s="176"/>
      <c r="AB1207" s="176"/>
      <c r="AC1207" s="176"/>
      <c r="AD1207" s="176"/>
      <c r="AE1207" s="176"/>
      <c r="AF1207" s="176"/>
      <c r="AG1207" s="176"/>
    </row>
    <row r="1208" spans="3:33" s="160" customFormat="1">
      <c r="C1208" s="825"/>
      <c r="M1208" s="247"/>
      <c r="Y1208" s="176"/>
      <c r="Z1208" s="176"/>
      <c r="AA1208" s="176"/>
      <c r="AB1208" s="176"/>
      <c r="AC1208" s="176"/>
      <c r="AD1208" s="176"/>
      <c r="AE1208" s="176"/>
      <c r="AF1208" s="176"/>
      <c r="AG1208" s="176"/>
    </row>
    <row r="1209" spans="3:33" s="160" customFormat="1">
      <c r="C1209" s="825"/>
      <c r="M1209" s="247"/>
      <c r="Y1209" s="176"/>
      <c r="Z1209" s="176"/>
      <c r="AA1209" s="176"/>
      <c r="AB1209" s="176"/>
      <c r="AC1209" s="176"/>
      <c r="AD1209" s="176"/>
      <c r="AE1209" s="176"/>
      <c r="AF1209" s="176"/>
      <c r="AG1209" s="176"/>
    </row>
    <row r="1210" spans="3:33" s="160" customFormat="1">
      <c r="C1210" s="825"/>
      <c r="M1210" s="247"/>
      <c r="Y1210" s="176"/>
      <c r="Z1210" s="176"/>
      <c r="AA1210" s="176"/>
      <c r="AB1210" s="176"/>
      <c r="AC1210" s="176"/>
      <c r="AD1210" s="176"/>
      <c r="AE1210" s="176"/>
      <c r="AF1210" s="176"/>
      <c r="AG1210" s="176"/>
    </row>
    <row r="1211" spans="3:33" s="160" customFormat="1">
      <c r="C1211" s="825"/>
      <c r="M1211" s="247"/>
      <c r="Y1211" s="176"/>
      <c r="Z1211" s="176"/>
      <c r="AA1211" s="176"/>
      <c r="AB1211" s="176"/>
      <c r="AC1211" s="176"/>
      <c r="AD1211" s="176"/>
      <c r="AE1211" s="176"/>
      <c r="AF1211" s="176"/>
      <c r="AG1211" s="176"/>
    </row>
    <row r="1212" spans="3:33" s="160" customFormat="1">
      <c r="C1212" s="825"/>
      <c r="M1212" s="247"/>
      <c r="Y1212" s="176"/>
      <c r="Z1212" s="176"/>
      <c r="AA1212" s="176"/>
      <c r="AB1212" s="176"/>
      <c r="AC1212" s="176"/>
      <c r="AD1212" s="176"/>
      <c r="AE1212" s="176"/>
      <c r="AF1212" s="176"/>
      <c r="AG1212" s="176"/>
    </row>
    <row r="1213" spans="3:33" s="160" customFormat="1">
      <c r="C1213" s="825"/>
      <c r="M1213" s="247"/>
      <c r="Y1213" s="176"/>
      <c r="Z1213" s="176"/>
      <c r="AA1213" s="176"/>
      <c r="AB1213" s="176"/>
      <c r="AC1213" s="176"/>
      <c r="AD1213" s="176"/>
      <c r="AE1213" s="176"/>
      <c r="AF1213" s="176"/>
      <c r="AG1213" s="176"/>
    </row>
    <row r="1214" spans="3:33" s="160" customFormat="1">
      <c r="C1214" s="825"/>
      <c r="M1214" s="247"/>
      <c r="Y1214" s="176"/>
      <c r="Z1214" s="176"/>
      <c r="AA1214" s="176"/>
      <c r="AB1214" s="176"/>
      <c r="AC1214" s="176"/>
      <c r="AD1214" s="176"/>
      <c r="AE1214" s="176"/>
      <c r="AF1214" s="176"/>
      <c r="AG1214" s="176"/>
    </row>
    <row r="1215" spans="3:33" s="160" customFormat="1">
      <c r="C1215" s="825"/>
      <c r="M1215" s="247"/>
      <c r="Y1215" s="176"/>
      <c r="Z1215" s="176"/>
      <c r="AA1215" s="176"/>
      <c r="AB1215" s="176"/>
      <c r="AC1215" s="176"/>
      <c r="AD1215" s="176"/>
      <c r="AE1215" s="176"/>
      <c r="AF1215" s="176"/>
      <c r="AG1215" s="176"/>
    </row>
    <row r="1216" spans="3:33" s="160" customFormat="1">
      <c r="C1216" s="825"/>
      <c r="M1216" s="247"/>
      <c r="Y1216" s="176"/>
      <c r="Z1216" s="176"/>
      <c r="AA1216" s="176"/>
      <c r="AB1216" s="176"/>
      <c r="AC1216" s="176"/>
      <c r="AD1216" s="176"/>
      <c r="AE1216" s="176"/>
      <c r="AF1216" s="176"/>
      <c r="AG1216" s="176"/>
    </row>
    <row r="1217" spans="3:33" s="160" customFormat="1">
      <c r="C1217" s="825"/>
      <c r="M1217" s="247"/>
      <c r="Y1217" s="176"/>
      <c r="Z1217" s="176"/>
      <c r="AA1217" s="176"/>
      <c r="AB1217" s="176"/>
      <c r="AC1217" s="176"/>
      <c r="AD1217" s="176"/>
      <c r="AE1217" s="176"/>
      <c r="AF1217" s="176"/>
      <c r="AG1217" s="176"/>
    </row>
    <row r="1218" spans="3:33" s="160" customFormat="1">
      <c r="C1218" s="825"/>
      <c r="M1218" s="247"/>
      <c r="Y1218" s="176"/>
      <c r="Z1218" s="176"/>
      <c r="AA1218" s="176"/>
      <c r="AB1218" s="176"/>
      <c r="AC1218" s="176"/>
      <c r="AD1218" s="176"/>
      <c r="AE1218" s="176"/>
      <c r="AF1218" s="176"/>
      <c r="AG1218" s="176"/>
    </row>
    <row r="1219" spans="3:33" s="160" customFormat="1">
      <c r="C1219" s="825"/>
      <c r="M1219" s="247"/>
      <c r="Y1219" s="176"/>
      <c r="Z1219" s="176"/>
      <c r="AA1219" s="176"/>
      <c r="AB1219" s="176"/>
      <c r="AC1219" s="176"/>
      <c r="AD1219" s="176"/>
      <c r="AE1219" s="176"/>
      <c r="AF1219" s="176"/>
      <c r="AG1219" s="176"/>
    </row>
    <row r="1220" spans="3:33" s="160" customFormat="1">
      <c r="C1220" s="825"/>
      <c r="M1220" s="247"/>
      <c r="Y1220" s="176"/>
      <c r="Z1220" s="176"/>
      <c r="AA1220" s="176"/>
      <c r="AB1220" s="176"/>
      <c r="AC1220" s="176"/>
      <c r="AD1220" s="176"/>
      <c r="AE1220" s="176"/>
      <c r="AF1220" s="176"/>
      <c r="AG1220" s="176"/>
    </row>
    <row r="1221" spans="3:33" s="160" customFormat="1">
      <c r="C1221" s="825"/>
      <c r="M1221" s="247"/>
      <c r="Y1221" s="176"/>
      <c r="Z1221" s="176"/>
      <c r="AA1221" s="176"/>
      <c r="AB1221" s="176"/>
      <c r="AC1221" s="176"/>
      <c r="AD1221" s="176"/>
      <c r="AE1221" s="176"/>
      <c r="AF1221" s="176"/>
      <c r="AG1221" s="176"/>
    </row>
    <row r="1222" spans="3:33" s="160" customFormat="1">
      <c r="C1222" s="825"/>
      <c r="M1222" s="247"/>
      <c r="Y1222" s="176"/>
      <c r="Z1222" s="176"/>
      <c r="AA1222" s="176"/>
      <c r="AB1222" s="176"/>
      <c r="AC1222" s="176"/>
      <c r="AD1222" s="176"/>
      <c r="AE1222" s="176"/>
      <c r="AF1222" s="176"/>
      <c r="AG1222" s="176"/>
    </row>
    <row r="1223" spans="3:33" s="160" customFormat="1">
      <c r="C1223" s="825"/>
      <c r="M1223" s="247"/>
      <c r="Y1223" s="176"/>
      <c r="Z1223" s="176"/>
      <c r="AA1223" s="176"/>
      <c r="AB1223" s="176"/>
      <c r="AC1223" s="176"/>
      <c r="AD1223" s="176"/>
      <c r="AE1223" s="176"/>
      <c r="AF1223" s="176"/>
      <c r="AG1223" s="176"/>
    </row>
    <row r="1224" spans="3:33" s="160" customFormat="1">
      <c r="C1224" s="825"/>
      <c r="M1224" s="247"/>
      <c r="Y1224" s="176"/>
      <c r="Z1224" s="176"/>
      <c r="AA1224" s="176"/>
      <c r="AB1224" s="176"/>
      <c r="AC1224" s="176"/>
      <c r="AD1224" s="176"/>
      <c r="AE1224" s="176"/>
      <c r="AF1224" s="176"/>
      <c r="AG1224" s="176"/>
    </row>
    <row r="1225" spans="3:33" s="160" customFormat="1">
      <c r="C1225" s="825"/>
      <c r="M1225" s="247"/>
      <c r="Y1225" s="176"/>
      <c r="Z1225" s="176"/>
      <c r="AA1225" s="176"/>
      <c r="AB1225" s="176"/>
      <c r="AC1225" s="176"/>
      <c r="AD1225" s="176"/>
      <c r="AE1225" s="176"/>
      <c r="AF1225" s="176"/>
      <c r="AG1225" s="176"/>
    </row>
    <row r="1226" spans="3:33" s="160" customFormat="1">
      <c r="C1226" s="825"/>
      <c r="M1226" s="247"/>
      <c r="Y1226" s="176"/>
      <c r="Z1226" s="176"/>
      <c r="AA1226" s="176"/>
      <c r="AB1226" s="176"/>
      <c r="AC1226" s="176"/>
      <c r="AD1226" s="176"/>
      <c r="AE1226" s="176"/>
      <c r="AF1226" s="176"/>
      <c r="AG1226" s="176"/>
    </row>
    <row r="1227" spans="3:33" s="160" customFormat="1">
      <c r="C1227" s="825"/>
      <c r="M1227" s="247"/>
      <c r="Y1227" s="176"/>
      <c r="Z1227" s="176"/>
      <c r="AA1227" s="176"/>
      <c r="AB1227" s="176"/>
      <c r="AC1227" s="176"/>
      <c r="AD1227" s="176"/>
      <c r="AE1227" s="176"/>
      <c r="AF1227" s="176"/>
      <c r="AG1227" s="176"/>
    </row>
    <row r="1228" spans="3:33" s="160" customFormat="1">
      <c r="C1228" s="825"/>
      <c r="M1228" s="247"/>
      <c r="Y1228" s="176"/>
      <c r="Z1228" s="176"/>
      <c r="AA1228" s="176"/>
      <c r="AB1228" s="176"/>
      <c r="AC1228" s="176"/>
      <c r="AD1228" s="176"/>
      <c r="AE1228" s="176"/>
      <c r="AF1228" s="176"/>
      <c r="AG1228" s="176"/>
    </row>
    <row r="1229" spans="3:33" s="160" customFormat="1">
      <c r="C1229" s="825"/>
      <c r="M1229" s="247"/>
      <c r="Y1229" s="176"/>
      <c r="Z1229" s="176"/>
      <c r="AA1229" s="176"/>
      <c r="AB1229" s="176"/>
      <c r="AC1229" s="176"/>
      <c r="AD1229" s="176"/>
      <c r="AE1229" s="176"/>
      <c r="AF1229" s="176"/>
      <c r="AG1229" s="176"/>
    </row>
    <row r="1230" spans="3:33" s="160" customFormat="1">
      <c r="C1230" s="825"/>
      <c r="M1230" s="247"/>
      <c r="Y1230" s="176"/>
      <c r="Z1230" s="176"/>
      <c r="AA1230" s="176"/>
      <c r="AB1230" s="176"/>
      <c r="AC1230" s="176"/>
      <c r="AD1230" s="176"/>
      <c r="AE1230" s="176"/>
      <c r="AF1230" s="176"/>
      <c r="AG1230" s="176"/>
    </row>
    <row r="1231" spans="3:33" s="160" customFormat="1">
      <c r="C1231" s="825"/>
      <c r="M1231" s="247"/>
      <c r="Y1231" s="176"/>
      <c r="Z1231" s="176"/>
      <c r="AA1231" s="176"/>
      <c r="AB1231" s="176"/>
      <c r="AC1231" s="176"/>
      <c r="AD1231" s="176"/>
      <c r="AE1231" s="176"/>
      <c r="AF1231" s="176"/>
      <c r="AG1231" s="176"/>
    </row>
    <row r="1232" spans="3:33" s="160" customFormat="1">
      <c r="C1232" s="825"/>
      <c r="M1232" s="247"/>
      <c r="Y1232" s="176"/>
      <c r="Z1232" s="176"/>
      <c r="AA1232" s="176"/>
      <c r="AB1232" s="176"/>
      <c r="AC1232" s="176"/>
      <c r="AD1232" s="176"/>
      <c r="AE1232" s="176"/>
      <c r="AF1232" s="176"/>
      <c r="AG1232" s="176"/>
    </row>
    <row r="1233" spans="3:33" s="160" customFormat="1">
      <c r="C1233" s="825"/>
      <c r="M1233" s="247"/>
      <c r="Y1233" s="176"/>
      <c r="Z1233" s="176"/>
      <c r="AA1233" s="176"/>
      <c r="AB1233" s="176"/>
      <c r="AC1233" s="176"/>
      <c r="AD1233" s="176"/>
      <c r="AE1233" s="176"/>
      <c r="AF1233" s="176"/>
      <c r="AG1233" s="176"/>
    </row>
    <row r="1234" spans="3:33" s="160" customFormat="1">
      <c r="C1234" s="825"/>
      <c r="M1234" s="247"/>
      <c r="Y1234" s="176"/>
      <c r="Z1234" s="176"/>
      <c r="AA1234" s="176"/>
      <c r="AB1234" s="176"/>
      <c r="AC1234" s="176"/>
      <c r="AD1234" s="176"/>
      <c r="AE1234" s="176"/>
      <c r="AF1234" s="176"/>
      <c r="AG1234" s="176"/>
    </row>
    <row r="1235" spans="3:33" s="160" customFormat="1">
      <c r="C1235" s="825"/>
      <c r="M1235" s="247"/>
      <c r="Y1235" s="176"/>
      <c r="Z1235" s="176"/>
      <c r="AA1235" s="176"/>
      <c r="AB1235" s="176"/>
      <c r="AC1235" s="176"/>
      <c r="AD1235" s="176"/>
      <c r="AE1235" s="176"/>
      <c r="AF1235" s="176"/>
      <c r="AG1235" s="176"/>
    </row>
    <row r="1236" spans="3:33" s="160" customFormat="1">
      <c r="C1236" s="825"/>
      <c r="M1236" s="247"/>
      <c r="Y1236" s="176"/>
      <c r="Z1236" s="176"/>
      <c r="AA1236" s="176"/>
      <c r="AB1236" s="176"/>
      <c r="AC1236" s="176"/>
      <c r="AD1236" s="176"/>
      <c r="AE1236" s="176"/>
      <c r="AF1236" s="176"/>
      <c r="AG1236" s="176"/>
    </row>
    <row r="1237" spans="3:33" s="160" customFormat="1">
      <c r="C1237" s="825"/>
      <c r="M1237" s="247"/>
      <c r="Y1237" s="176"/>
      <c r="Z1237" s="176"/>
      <c r="AA1237" s="176"/>
      <c r="AB1237" s="176"/>
      <c r="AC1237" s="176"/>
      <c r="AD1237" s="176"/>
      <c r="AE1237" s="176"/>
      <c r="AF1237" s="176"/>
      <c r="AG1237" s="176"/>
    </row>
    <row r="1238" spans="3:33" s="160" customFormat="1">
      <c r="C1238" s="825"/>
      <c r="M1238" s="247"/>
      <c r="Y1238" s="176"/>
      <c r="Z1238" s="176"/>
      <c r="AA1238" s="176"/>
      <c r="AB1238" s="176"/>
      <c r="AC1238" s="176"/>
      <c r="AD1238" s="176"/>
      <c r="AE1238" s="176"/>
      <c r="AF1238" s="176"/>
      <c r="AG1238" s="176"/>
    </row>
    <row r="1239" spans="3:33" s="160" customFormat="1">
      <c r="C1239" s="825"/>
      <c r="M1239" s="247"/>
      <c r="Y1239" s="176"/>
      <c r="Z1239" s="176"/>
      <c r="AA1239" s="176"/>
      <c r="AB1239" s="176"/>
      <c r="AC1239" s="176"/>
      <c r="AD1239" s="176"/>
      <c r="AE1239" s="176"/>
      <c r="AF1239" s="176"/>
      <c r="AG1239" s="176"/>
    </row>
    <row r="1240" spans="3:33" s="160" customFormat="1">
      <c r="C1240" s="825"/>
      <c r="M1240" s="247"/>
      <c r="Y1240" s="176"/>
      <c r="Z1240" s="176"/>
      <c r="AA1240" s="176"/>
      <c r="AB1240" s="176"/>
      <c r="AC1240" s="176"/>
      <c r="AD1240" s="176"/>
      <c r="AE1240" s="176"/>
      <c r="AF1240" s="176"/>
      <c r="AG1240" s="176"/>
    </row>
    <row r="1241" spans="3:33" s="160" customFormat="1">
      <c r="C1241" s="825"/>
      <c r="M1241" s="247"/>
      <c r="Y1241" s="176"/>
      <c r="Z1241" s="176"/>
      <c r="AA1241" s="176"/>
      <c r="AB1241" s="176"/>
      <c r="AC1241" s="176"/>
      <c r="AD1241" s="176"/>
      <c r="AE1241" s="176"/>
      <c r="AF1241" s="176"/>
      <c r="AG1241" s="176"/>
    </row>
    <row r="1242" spans="3:33" s="160" customFormat="1">
      <c r="C1242" s="825"/>
      <c r="M1242" s="247"/>
      <c r="Y1242" s="176"/>
      <c r="Z1242" s="176"/>
      <c r="AA1242" s="176"/>
      <c r="AB1242" s="176"/>
      <c r="AC1242" s="176"/>
      <c r="AD1242" s="176"/>
      <c r="AE1242" s="176"/>
      <c r="AF1242" s="176"/>
      <c r="AG1242" s="176"/>
    </row>
    <row r="1243" spans="3:33" s="160" customFormat="1">
      <c r="C1243" s="825"/>
      <c r="M1243" s="247"/>
      <c r="Y1243" s="176"/>
      <c r="Z1243" s="176"/>
      <c r="AA1243" s="176"/>
      <c r="AB1243" s="176"/>
      <c r="AC1243" s="176"/>
      <c r="AD1243" s="176"/>
      <c r="AE1243" s="176"/>
      <c r="AF1243" s="176"/>
      <c r="AG1243" s="176"/>
    </row>
    <row r="1244" spans="3:33" s="160" customFormat="1">
      <c r="C1244" s="825"/>
      <c r="M1244" s="247"/>
      <c r="Y1244" s="176"/>
      <c r="Z1244" s="176"/>
      <c r="AA1244" s="176"/>
      <c r="AB1244" s="176"/>
      <c r="AC1244" s="176"/>
      <c r="AD1244" s="176"/>
      <c r="AE1244" s="176"/>
      <c r="AF1244" s="176"/>
      <c r="AG1244" s="176"/>
    </row>
    <row r="1245" spans="3:33" s="160" customFormat="1">
      <c r="C1245" s="825"/>
      <c r="M1245" s="247"/>
      <c r="Y1245" s="176"/>
      <c r="Z1245" s="176"/>
      <c r="AA1245" s="176"/>
      <c r="AB1245" s="176"/>
      <c r="AC1245" s="176"/>
      <c r="AD1245" s="176"/>
      <c r="AE1245" s="176"/>
      <c r="AF1245" s="176"/>
      <c r="AG1245" s="176"/>
    </row>
    <row r="1246" spans="3:33" s="160" customFormat="1">
      <c r="C1246" s="825"/>
      <c r="M1246" s="247"/>
      <c r="Y1246" s="176"/>
      <c r="Z1246" s="176"/>
      <c r="AA1246" s="176"/>
      <c r="AB1246" s="176"/>
      <c r="AC1246" s="176"/>
      <c r="AD1246" s="176"/>
      <c r="AE1246" s="176"/>
      <c r="AF1246" s="176"/>
      <c r="AG1246" s="176"/>
    </row>
    <row r="1247" spans="3:33" s="160" customFormat="1">
      <c r="C1247" s="825"/>
      <c r="M1247" s="247"/>
      <c r="Y1247" s="176"/>
      <c r="Z1247" s="176"/>
      <c r="AA1247" s="176"/>
      <c r="AB1247" s="176"/>
      <c r="AC1247" s="176"/>
      <c r="AD1247" s="176"/>
      <c r="AE1247" s="176"/>
      <c r="AF1247" s="176"/>
      <c r="AG1247" s="176"/>
    </row>
    <row r="1248" spans="3:33" s="160" customFormat="1">
      <c r="C1248" s="825"/>
      <c r="M1248" s="247"/>
      <c r="Y1248" s="176"/>
      <c r="Z1248" s="176"/>
      <c r="AA1248" s="176"/>
      <c r="AB1248" s="176"/>
      <c r="AC1248" s="176"/>
      <c r="AD1248" s="176"/>
      <c r="AE1248" s="176"/>
      <c r="AF1248" s="176"/>
      <c r="AG1248" s="176"/>
    </row>
    <row r="1249" spans="3:33" s="160" customFormat="1">
      <c r="C1249" s="825"/>
      <c r="M1249" s="247"/>
      <c r="Y1249" s="176"/>
      <c r="Z1249" s="176"/>
      <c r="AA1249" s="176"/>
      <c r="AB1249" s="176"/>
      <c r="AC1249" s="176"/>
      <c r="AD1249" s="176"/>
      <c r="AE1249" s="176"/>
      <c r="AF1249" s="176"/>
      <c r="AG1249" s="176"/>
    </row>
    <row r="1250" spans="3:33" s="160" customFormat="1">
      <c r="C1250" s="825"/>
      <c r="M1250" s="247"/>
      <c r="Y1250" s="176"/>
      <c r="Z1250" s="176"/>
      <c r="AA1250" s="176"/>
      <c r="AB1250" s="176"/>
      <c r="AC1250" s="176"/>
      <c r="AD1250" s="176"/>
      <c r="AE1250" s="176"/>
      <c r="AF1250" s="176"/>
      <c r="AG1250" s="176"/>
    </row>
    <row r="1251" spans="3:33" s="160" customFormat="1">
      <c r="C1251" s="825"/>
      <c r="M1251" s="247"/>
      <c r="Y1251" s="176"/>
      <c r="Z1251" s="176"/>
      <c r="AA1251" s="176"/>
      <c r="AB1251" s="176"/>
      <c r="AC1251" s="176"/>
      <c r="AD1251" s="176"/>
      <c r="AE1251" s="176"/>
      <c r="AF1251" s="176"/>
      <c r="AG1251" s="176"/>
    </row>
    <row r="1252" spans="3:33" s="160" customFormat="1">
      <c r="C1252" s="825"/>
      <c r="M1252" s="247"/>
      <c r="Y1252" s="176"/>
      <c r="Z1252" s="176"/>
      <c r="AA1252" s="176"/>
      <c r="AB1252" s="176"/>
      <c r="AC1252" s="176"/>
      <c r="AD1252" s="176"/>
      <c r="AE1252" s="176"/>
      <c r="AF1252" s="176"/>
      <c r="AG1252" s="176"/>
    </row>
    <row r="1253" spans="3:33" s="160" customFormat="1">
      <c r="C1253" s="825"/>
      <c r="M1253" s="247"/>
      <c r="Y1253" s="176"/>
      <c r="Z1253" s="176"/>
      <c r="AA1253" s="176"/>
      <c r="AB1253" s="176"/>
      <c r="AC1253" s="176"/>
      <c r="AD1253" s="176"/>
      <c r="AE1253" s="176"/>
      <c r="AF1253" s="176"/>
      <c r="AG1253" s="176"/>
    </row>
    <row r="1254" spans="3:33" s="160" customFormat="1">
      <c r="C1254" s="825"/>
      <c r="M1254" s="247"/>
      <c r="Y1254" s="176"/>
      <c r="Z1254" s="176"/>
      <c r="AA1254" s="176"/>
      <c r="AB1254" s="176"/>
      <c r="AC1254" s="176"/>
      <c r="AD1254" s="176"/>
      <c r="AE1254" s="176"/>
      <c r="AF1254" s="176"/>
      <c r="AG1254" s="176"/>
    </row>
    <row r="1255" spans="3:33" s="160" customFormat="1">
      <c r="C1255" s="825"/>
      <c r="M1255" s="247"/>
      <c r="Y1255" s="176"/>
      <c r="Z1255" s="176"/>
      <c r="AA1255" s="176"/>
      <c r="AB1255" s="176"/>
      <c r="AC1255" s="176"/>
      <c r="AD1255" s="176"/>
      <c r="AE1255" s="176"/>
      <c r="AF1255" s="176"/>
      <c r="AG1255" s="176"/>
    </row>
    <row r="1256" spans="3:33" s="160" customFormat="1">
      <c r="C1256" s="825"/>
      <c r="M1256" s="247"/>
      <c r="Y1256" s="176"/>
      <c r="Z1256" s="176"/>
      <c r="AA1256" s="176"/>
      <c r="AB1256" s="176"/>
      <c r="AC1256" s="176"/>
      <c r="AD1256" s="176"/>
      <c r="AE1256" s="176"/>
      <c r="AF1256" s="176"/>
      <c r="AG1256" s="176"/>
    </row>
    <row r="1257" spans="3:33" s="160" customFormat="1">
      <c r="C1257" s="825"/>
      <c r="M1257" s="247"/>
      <c r="Y1257" s="176"/>
      <c r="Z1257" s="176"/>
      <c r="AA1257" s="176"/>
      <c r="AB1257" s="176"/>
      <c r="AC1257" s="176"/>
      <c r="AD1257" s="176"/>
      <c r="AE1257" s="176"/>
      <c r="AF1257" s="176"/>
      <c r="AG1257" s="176"/>
    </row>
    <row r="1258" spans="3:33" s="160" customFormat="1">
      <c r="C1258" s="825"/>
      <c r="M1258" s="247"/>
      <c r="Y1258" s="176"/>
      <c r="Z1258" s="176"/>
      <c r="AA1258" s="176"/>
      <c r="AB1258" s="176"/>
      <c r="AC1258" s="176"/>
      <c r="AD1258" s="176"/>
      <c r="AE1258" s="176"/>
      <c r="AF1258" s="176"/>
      <c r="AG1258" s="176"/>
    </row>
    <row r="1259" spans="3:33" s="160" customFormat="1">
      <c r="C1259" s="825"/>
      <c r="M1259" s="247"/>
      <c r="Y1259" s="176"/>
      <c r="Z1259" s="176"/>
      <c r="AA1259" s="176"/>
      <c r="AB1259" s="176"/>
      <c r="AC1259" s="176"/>
      <c r="AD1259" s="176"/>
      <c r="AE1259" s="176"/>
      <c r="AF1259" s="176"/>
      <c r="AG1259" s="176"/>
    </row>
    <row r="1260" spans="3:33" s="160" customFormat="1">
      <c r="C1260" s="825"/>
      <c r="M1260" s="247"/>
      <c r="Y1260" s="176"/>
      <c r="Z1260" s="176"/>
      <c r="AA1260" s="176"/>
      <c r="AB1260" s="176"/>
      <c r="AC1260" s="176"/>
      <c r="AD1260" s="176"/>
      <c r="AE1260" s="176"/>
      <c r="AF1260" s="176"/>
      <c r="AG1260" s="176"/>
    </row>
    <row r="1261" spans="3:33" s="160" customFormat="1">
      <c r="C1261" s="825"/>
      <c r="M1261" s="247"/>
      <c r="Y1261" s="176"/>
      <c r="Z1261" s="176"/>
      <c r="AA1261" s="176"/>
      <c r="AB1261" s="176"/>
      <c r="AC1261" s="176"/>
      <c r="AD1261" s="176"/>
      <c r="AE1261" s="176"/>
      <c r="AF1261" s="176"/>
      <c r="AG1261" s="176"/>
    </row>
    <row r="1262" spans="3:33" s="160" customFormat="1">
      <c r="C1262" s="825"/>
      <c r="M1262" s="247"/>
      <c r="Y1262" s="176"/>
      <c r="Z1262" s="176"/>
      <c r="AA1262" s="176"/>
      <c r="AB1262" s="176"/>
      <c r="AC1262" s="176"/>
      <c r="AD1262" s="176"/>
      <c r="AE1262" s="176"/>
      <c r="AF1262" s="176"/>
      <c r="AG1262" s="176"/>
    </row>
    <row r="1263" spans="3:33" s="160" customFormat="1">
      <c r="C1263" s="825"/>
      <c r="M1263" s="247"/>
      <c r="Y1263" s="176"/>
      <c r="Z1263" s="176"/>
      <c r="AA1263" s="176"/>
      <c r="AB1263" s="176"/>
      <c r="AC1263" s="176"/>
      <c r="AD1263" s="176"/>
      <c r="AE1263" s="176"/>
      <c r="AF1263" s="176"/>
      <c r="AG1263" s="176"/>
    </row>
    <row r="1264" spans="3:33" s="160" customFormat="1">
      <c r="C1264" s="825"/>
      <c r="M1264" s="247"/>
      <c r="Y1264" s="176"/>
      <c r="Z1264" s="176"/>
      <c r="AA1264" s="176"/>
      <c r="AB1264" s="176"/>
      <c r="AC1264" s="176"/>
      <c r="AD1264" s="176"/>
      <c r="AE1264" s="176"/>
      <c r="AF1264" s="176"/>
      <c r="AG1264" s="176"/>
    </row>
    <row r="1265" spans="3:33" s="160" customFormat="1">
      <c r="C1265" s="825"/>
      <c r="M1265" s="247"/>
      <c r="Y1265" s="176"/>
      <c r="Z1265" s="176"/>
      <c r="AA1265" s="176"/>
      <c r="AB1265" s="176"/>
      <c r="AC1265" s="176"/>
      <c r="AD1265" s="176"/>
      <c r="AE1265" s="176"/>
      <c r="AF1265" s="176"/>
      <c r="AG1265" s="176"/>
    </row>
    <row r="1266" spans="3:33" s="160" customFormat="1">
      <c r="C1266" s="825"/>
      <c r="M1266" s="247"/>
      <c r="Y1266" s="176"/>
      <c r="Z1266" s="176"/>
      <c r="AA1266" s="176"/>
      <c r="AB1266" s="176"/>
      <c r="AC1266" s="176"/>
      <c r="AD1266" s="176"/>
      <c r="AE1266" s="176"/>
      <c r="AF1266" s="176"/>
      <c r="AG1266" s="176"/>
    </row>
    <row r="1267" spans="3:33" s="160" customFormat="1">
      <c r="C1267" s="825"/>
      <c r="M1267" s="247"/>
      <c r="Y1267" s="176"/>
      <c r="Z1267" s="176"/>
      <c r="AA1267" s="176"/>
      <c r="AB1267" s="176"/>
      <c r="AC1267" s="176"/>
      <c r="AD1267" s="176"/>
      <c r="AE1267" s="176"/>
      <c r="AF1267" s="176"/>
      <c r="AG1267" s="176"/>
    </row>
    <row r="1268" spans="3:33" s="160" customFormat="1">
      <c r="C1268" s="825"/>
      <c r="M1268" s="247"/>
      <c r="Y1268" s="176"/>
      <c r="Z1268" s="176"/>
      <c r="AA1268" s="176"/>
      <c r="AB1268" s="176"/>
      <c r="AC1268" s="176"/>
      <c r="AD1268" s="176"/>
      <c r="AE1268" s="176"/>
      <c r="AF1268" s="176"/>
      <c r="AG1268" s="176"/>
    </row>
    <row r="1269" spans="3:33" s="160" customFormat="1">
      <c r="C1269" s="825"/>
      <c r="M1269" s="247"/>
      <c r="Y1269" s="176"/>
      <c r="Z1269" s="176"/>
      <c r="AA1269" s="176"/>
      <c r="AB1269" s="176"/>
      <c r="AC1269" s="176"/>
      <c r="AD1269" s="176"/>
      <c r="AE1269" s="176"/>
      <c r="AF1269" s="176"/>
      <c r="AG1269" s="176"/>
    </row>
    <row r="1270" spans="3:33" s="160" customFormat="1">
      <c r="C1270" s="825"/>
      <c r="M1270" s="247"/>
      <c r="Y1270" s="176"/>
      <c r="Z1270" s="176"/>
      <c r="AA1270" s="176"/>
      <c r="AB1270" s="176"/>
      <c r="AC1270" s="176"/>
      <c r="AD1270" s="176"/>
      <c r="AE1270" s="176"/>
      <c r="AF1270" s="176"/>
      <c r="AG1270" s="176"/>
    </row>
    <row r="1271" spans="3:33" s="160" customFormat="1">
      <c r="C1271" s="825"/>
      <c r="M1271" s="247"/>
      <c r="Y1271" s="176"/>
      <c r="Z1271" s="176"/>
      <c r="AA1271" s="176"/>
      <c r="AB1271" s="176"/>
      <c r="AC1271" s="176"/>
      <c r="AD1271" s="176"/>
      <c r="AE1271" s="176"/>
      <c r="AF1271" s="176"/>
      <c r="AG1271" s="176"/>
    </row>
    <row r="1272" spans="3:33" s="160" customFormat="1">
      <c r="C1272" s="825"/>
      <c r="M1272" s="247"/>
      <c r="Y1272" s="176"/>
      <c r="Z1272" s="176"/>
      <c r="AA1272" s="176"/>
      <c r="AB1272" s="176"/>
      <c r="AC1272" s="176"/>
      <c r="AD1272" s="176"/>
      <c r="AE1272" s="176"/>
      <c r="AF1272" s="176"/>
      <c r="AG1272" s="176"/>
    </row>
    <row r="1273" spans="3:33" s="160" customFormat="1">
      <c r="C1273" s="825"/>
      <c r="M1273" s="247"/>
      <c r="Y1273" s="176"/>
      <c r="Z1273" s="176"/>
      <c r="AA1273" s="176"/>
      <c r="AB1273" s="176"/>
      <c r="AC1273" s="176"/>
      <c r="AD1273" s="176"/>
      <c r="AE1273" s="176"/>
      <c r="AF1273" s="176"/>
      <c r="AG1273" s="176"/>
    </row>
    <row r="1274" spans="3:33" s="160" customFormat="1">
      <c r="C1274" s="825"/>
      <c r="M1274" s="247"/>
      <c r="Y1274" s="176"/>
      <c r="Z1274" s="176"/>
      <c r="AA1274" s="176"/>
      <c r="AB1274" s="176"/>
      <c r="AC1274" s="176"/>
      <c r="AD1274" s="176"/>
      <c r="AE1274" s="176"/>
      <c r="AF1274" s="176"/>
      <c r="AG1274" s="176"/>
    </row>
    <row r="1275" spans="3:33" s="160" customFormat="1">
      <c r="C1275" s="825"/>
      <c r="M1275" s="247"/>
      <c r="Y1275" s="176"/>
      <c r="Z1275" s="176"/>
      <c r="AA1275" s="176"/>
      <c r="AB1275" s="176"/>
      <c r="AC1275" s="176"/>
      <c r="AD1275" s="176"/>
      <c r="AE1275" s="176"/>
      <c r="AF1275" s="176"/>
      <c r="AG1275" s="176"/>
    </row>
    <row r="1276" spans="3:33" s="160" customFormat="1">
      <c r="C1276" s="825"/>
      <c r="M1276" s="247"/>
      <c r="Y1276" s="176"/>
      <c r="Z1276" s="176"/>
      <c r="AA1276" s="176"/>
      <c r="AB1276" s="176"/>
      <c r="AC1276" s="176"/>
      <c r="AD1276" s="176"/>
      <c r="AE1276" s="176"/>
      <c r="AF1276" s="176"/>
      <c r="AG1276" s="176"/>
    </row>
    <row r="1277" spans="3:33" s="160" customFormat="1">
      <c r="C1277" s="825"/>
      <c r="M1277" s="247"/>
      <c r="Y1277" s="176"/>
      <c r="Z1277" s="176"/>
      <c r="AA1277" s="176"/>
      <c r="AB1277" s="176"/>
      <c r="AC1277" s="176"/>
      <c r="AD1277" s="176"/>
      <c r="AE1277" s="176"/>
      <c r="AF1277" s="176"/>
      <c r="AG1277" s="176"/>
    </row>
    <row r="1278" spans="3:33" s="160" customFormat="1">
      <c r="C1278" s="825"/>
      <c r="M1278" s="247"/>
      <c r="Y1278" s="176"/>
      <c r="Z1278" s="176"/>
      <c r="AA1278" s="176"/>
      <c r="AB1278" s="176"/>
      <c r="AC1278" s="176"/>
      <c r="AD1278" s="176"/>
      <c r="AE1278" s="176"/>
      <c r="AF1278" s="176"/>
      <c r="AG1278" s="176"/>
    </row>
    <row r="1279" spans="3:33" s="160" customFormat="1">
      <c r="C1279" s="825"/>
      <c r="M1279" s="247"/>
      <c r="Y1279" s="176"/>
      <c r="Z1279" s="176"/>
      <c r="AA1279" s="176"/>
      <c r="AB1279" s="176"/>
      <c r="AC1279" s="176"/>
      <c r="AD1279" s="176"/>
      <c r="AE1279" s="176"/>
      <c r="AF1279" s="176"/>
      <c r="AG1279" s="176"/>
    </row>
    <row r="1280" spans="3:33" s="160" customFormat="1">
      <c r="C1280" s="825"/>
      <c r="M1280" s="247"/>
      <c r="Y1280" s="176"/>
      <c r="Z1280" s="176"/>
      <c r="AA1280" s="176"/>
      <c r="AB1280" s="176"/>
      <c r="AC1280" s="176"/>
      <c r="AD1280" s="176"/>
      <c r="AE1280" s="176"/>
      <c r="AF1280" s="176"/>
      <c r="AG1280" s="176"/>
    </row>
    <row r="1281" spans="3:33" s="160" customFormat="1">
      <c r="C1281" s="825"/>
      <c r="M1281" s="247"/>
      <c r="Y1281" s="176"/>
      <c r="Z1281" s="176"/>
      <c r="AA1281" s="176"/>
      <c r="AB1281" s="176"/>
      <c r="AC1281" s="176"/>
      <c r="AD1281" s="176"/>
      <c r="AE1281" s="176"/>
      <c r="AF1281" s="176"/>
      <c r="AG1281" s="176"/>
    </row>
    <row r="1282" spans="3:33" s="160" customFormat="1">
      <c r="C1282" s="825"/>
      <c r="M1282" s="247"/>
      <c r="Y1282" s="176"/>
      <c r="Z1282" s="176"/>
      <c r="AA1282" s="176"/>
      <c r="AB1282" s="176"/>
      <c r="AC1282" s="176"/>
      <c r="AD1282" s="176"/>
      <c r="AE1282" s="176"/>
      <c r="AF1282" s="176"/>
      <c r="AG1282" s="176"/>
    </row>
    <row r="1283" spans="3:33" s="160" customFormat="1">
      <c r="C1283" s="825"/>
      <c r="M1283" s="247"/>
      <c r="Y1283" s="176"/>
      <c r="Z1283" s="176"/>
      <c r="AA1283" s="176"/>
      <c r="AB1283" s="176"/>
      <c r="AC1283" s="176"/>
      <c r="AD1283" s="176"/>
      <c r="AE1283" s="176"/>
      <c r="AF1283" s="176"/>
      <c r="AG1283" s="176"/>
    </row>
    <row r="1284" spans="3:33" s="160" customFormat="1">
      <c r="C1284" s="825"/>
      <c r="M1284" s="247"/>
      <c r="Y1284" s="176"/>
      <c r="Z1284" s="176"/>
      <c r="AA1284" s="176"/>
      <c r="AB1284" s="176"/>
      <c r="AC1284" s="176"/>
      <c r="AD1284" s="176"/>
      <c r="AE1284" s="176"/>
      <c r="AF1284" s="176"/>
      <c r="AG1284" s="176"/>
    </row>
    <row r="1285" spans="3:33" s="160" customFormat="1">
      <c r="C1285" s="825"/>
      <c r="M1285" s="247"/>
      <c r="Y1285" s="176"/>
      <c r="Z1285" s="176"/>
      <c r="AA1285" s="176"/>
      <c r="AB1285" s="176"/>
      <c r="AC1285" s="176"/>
      <c r="AD1285" s="176"/>
      <c r="AE1285" s="176"/>
      <c r="AF1285" s="176"/>
      <c r="AG1285" s="176"/>
    </row>
    <row r="1286" spans="3:33" s="160" customFormat="1">
      <c r="C1286" s="825"/>
      <c r="M1286" s="247"/>
      <c r="Y1286" s="176"/>
      <c r="Z1286" s="176"/>
      <c r="AA1286" s="176"/>
      <c r="AB1286" s="176"/>
      <c r="AC1286" s="176"/>
      <c r="AD1286" s="176"/>
      <c r="AE1286" s="176"/>
      <c r="AF1286" s="176"/>
      <c r="AG1286" s="176"/>
    </row>
    <row r="1287" spans="3:33" s="160" customFormat="1">
      <c r="C1287" s="825"/>
      <c r="M1287" s="247"/>
      <c r="Y1287" s="176"/>
      <c r="Z1287" s="176"/>
      <c r="AA1287" s="176"/>
      <c r="AB1287" s="176"/>
      <c r="AC1287" s="176"/>
      <c r="AD1287" s="176"/>
      <c r="AE1287" s="176"/>
      <c r="AF1287" s="176"/>
      <c r="AG1287" s="176"/>
    </row>
    <row r="1288" spans="3:33" s="160" customFormat="1">
      <c r="C1288" s="825"/>
      <c r="M1288" s="247"/>
      <c r="Y1288" s="176"/>
      <c r="Z1288" s="176"/>
      <c r="AA1288" s="176"/>
      <c r="AB1288" s="176"/>
      <c r="AC1288" s="176"/>
      <c r="AD1288" s="176"/>
      <c r="AE1288" s="176"/>
      <c r="AF1288" s="176"/>
      <c r="AG1288" s="176"/>
    </row>
    <row r="1289" spans="3:33" s="160" customFormat="1">
      <c r="C1289" s="825"/>
      <c r="M1289" s="247"/>
      <c r="Y1289" s="176"/>
      <c r="Z1289" s="176"/>
      <c r="AA1289" s="176"/>
      <c r="AB1289" s="176"/>
      <c r="AC1289" s="176"/>
      <c r="AD1289" s="176"/>
      <c r="AE1289" s="176"/>
      <c r="AF1289" s="176"/>
      <c r="AG1289" s="176"/>
    </row>
    <row r="1290" spans="3:33" s="160" customFormat="1">
      <c r="C1290" s="825"/>
      <c r="M1290" s="247"/>
      <c r="Y1290" s="176"/>
      <c r="Z1290" s="176"/>
      <c r="AA1290" s="176"/>
      <c r="AB1290" s="176"/>
      <c r="AC1290" s="176"/>
      <c r="AD1290" s="176"/>
      <c r="AE1290" s="176"/>
      <c r="AF1290" s="176"/>
      <c r="AG1290" s="176"/>
    </row>
    <row r="1291" spans="3:33" s="160" customFormat="1">
      <c r="C1291" s="825"/>
      <c r="M1291" s="247"/>
      <c r="Y1291" s="176"/>
      <c r="Z1291" s="176"/>
      <c r="AA1291" s="176"/>
      <c r="AB1291" s="176"/>
      <c r="AC1291" s="176"/>
      <c r="AD1291" s="176"/>
      <c r="AE1291" s="176"/>
      <c r="AF1291" s="176"/>
      <c r="AG1291" s="176"/>
    </row>
    <row r="1292" spans="3:33" s="160" customFormat="1">
      <c r="C1292" s="825"/>
      <c r="M1292" s="247"/>
      <c r="Y1292" s="176"/>
      <c r="Z1292" s="176"/>
      <c r="AA1292" s="176"/>
      <c r="AB1292" s="176"/>
      <c r="AC1292" s="176"/>
      <c r="AD1292" s="176"/>
      <c r="AE1292" s="176"/>
      <c r="AF1292" s="176"/>
      <c r="AG1292" s="176"/>
    </row>
    <row r="1293" spans="3:33" s="160" customFormat="1">
      <c r="C1293" s="825"/>
      <c r="M1293" s="247"/>
      <c r="Y1293" s="176"/>
      <c r="Z1293" s="176"/>
      <c r="AA1293" s="176"/>
      <c r="AB1293" s="176"/>
      <c r="AC1293" s="176"/>
      <c r="AD1293" s="176"/>
      <c r="AE1293" s="176"/>
      <c r="AF1293" s="176"/>
      <c r="AG1293" s="176"/>
    </row>
    <row r="1294" spans="3:33" s="160" customFormat="1">
      <c r="C1294" s="825"/>
      <c r="M1294" s="247"/>
      <c r="Y1294" s="176"/>
      <c r="Z1294" s="176"/>
      <c r="AA1294" s="176"/>
      <c r="AB1294" s="176"/>
      <c r="AC1294" s="176"/>
      <c r="AD1294" s="176"/>
      <c r="AE1294" s="176"/>
      <c r="AF1294" s="176"/>
      <c r="AG1294" s="176"/>
    </row>
    <row r="1295" spans="3:33" s="160" customFormat="1">
      <c r="C1295" s="825"/>
      <c r="M1295" s="247"/>
      <c r="Y1295" s="176"/>
      <c r="Z1295" s="176"/>
      <c r="AA1295" s="176"/>
      <c r="AB1295" s="176"/>
      <c r="AC1295" s="176"/>
      <c r="AD1295" s="176"/>
      <c r="AE1295" s="176"/>
      <c r="AF1295" s="176"/>
      <c r="AG1295" s="176"/>
    </row>
    <row r="1296" spans="3:33" s="160" customFormat="1">
      <c r="C1296" s="825"/>
      <c r="M1296" s="247"/>
      <c r="Y1296" s="176"/>
      <c r="Z1296" s="176"/>
      <c r="AA1296" s="176"/>
      <c r="AB1296" s="176"/>
      <c r="AC1296" s="176"/>
      <c r="AD1296" s="176"/>
      <c r="AE1296" s="176"/>
      <c r="AF1296" s="176"/>
      <c r="AG1296" s="176"/>
    </row>
    <row r="1297" spans="3:33" s="160" customFormat="1">
      <c r="C1297" s="825"/>
      <c r="M1297" s="247"/>
      <c r="Y1297" s="176"/>
      <c r="Z1297" s="176"/>
      <c r="AA1297" s="176"/>
      <c r="AB1297" s="176"/>
      <c r="AC1297" s="176"/>
      <c r="AD1297" s="176"/>
      <c r="AE1297" s="176"/>
      <c r="AF1297" s="176"/>
      <c r="AG1297" s="176"/>
    </row>
    <row r="1298" spans="3:33" s="160" customFormat="1">
      <c r="C1298" s="825"/>
      <c r="M1298" s="247"/>
      <c r="Y1298" s="176"/>
      <c r="Z1298" s="176"/>
      <c r="AA1298" s="176"/>
      <c r="AB1298" s="176"/>
      <c r="AC1298" s="176"/>
      <c r="AD1298" s="176"/>
      <c r="AE1298" s="176"/>
      <c r="AF1298" s="176"/>
      <c r="AG1298" s="176"/>
    </row>
    <row r="1299" spans="3:33" s="160" customFormat="1">
      <c r="C1299" s="825"/>
      <c r="M1299" s="247"/>
      <c r="Y1299" s="176"/>
      <c r="Z1299" s="176"/>
      <c r="AA1299" s="176"/>
      <c r="AB1299" s="176"/>
      <c r="AC1299" s="176"/>
      <c r="AD1299" s="176"/>
      <c r="AE1299" s="176"/>
      <c r="AF1299" s="176"/>
      <c r="AG1299" s="176"/>
    </row>
    <row r="1300" spans="3:33" s="160" customFormat="1">
      <c r="C1300" s="825"/>
      <c r="M1300" s="247"/>
      <c r="Y1300" s="176"/>
      <c r="Z1300" s="176"/>
      <c r="AA1300" s="176"/>
      <c r="AB1300" s="176"/>
      <c r="AC1300" s="176"/>
      <c r="AD1300" s="176"/>
      <c r="AE1300" s="176"/>
      <c r="AF1300" s="176"/>
      <c r="AG1300" s="176"/>
    </row>
    <row r="1301" spans="3:33" s="160" customFormat="1">
      <c r="C1301" s="825"/>
      <c r="M1301" s="247"/>
      <c r="Y1301" s="176"/>
      <c r="Z1301" s="176"/>
      <c r="AA1301" s="176"/>
      <c r="AB1301" s="176"/>
      <c r="AC1301" s="176"/>
      <c r="AD1301" s="176"/>
      <c r="AE1301" s="176"/>
      <c r="AF1301" s="176"/>
      <c r="AG1301" s="176"/>
    </row>
    <row r="1302" spans="3:33" s="160" customFormat="1">
      <c r="C1302" s="825"/>
      <c r="M1302" s="247"/>
      <c r="Y1302" s="176"/>
      <c r="Z1302" s="176"/>
      <c r="AA1302" s="176"/>
      <c r="AB1302" s="176"/>
      <c r="AC1302" s="176"/>
      <c r="AD1302" s="176"/>
      <c r="AE1302" s="176"/>
      <c r="AF1302" s="176"/>
      <c r="AG1302" s="176"/>
    </row>
    <row r="1303" spans="3:33" s="160" customFormat="1">
      <c r="C1303" s="825"/>
      <c r="M1303" s="247"/>
      <c r="Y1303" s="176"/>
      <c r="Z1303" s="176"/>
      <c r="AA1303" s="176"/>
      <c r="AB1303" s="176"/>
      <c r="AC1303" s="176"/>
      <c r="AD1303" s="176"/>
      <c r="AE1303" s="176"/>
      <c r="AF1303" s="176"/>
      <c r="AG1303" s="176"/>
    </row>
    <row r="1304" spans="3:33" s="160" customFormat="1">
      <c r="C1304" s="825"/>
      <c r="M1304" s="247"/>
      <c r="Y1304" s="176"/>
      <c r="Z1304" s="176"/>
      <c r="AA1304" s="176"/>
      <c r="AB1304" s="176"/>
      <c r="AC1304" s="176"/>
      <c r="AD1304" s="176"/>
      <c r="AE1304" s="176"/>
      <c r="AF1304" s="176"/>
      <c r="AG1304" s="176"/>
    </row>
    <row r="1305" spans="3:33" s="160" customFormat="1">
      <c r="C1305" s="825"/>
      <c r="M1305" s="247"/>
      <c r="Y1305" s="176"/>
      <c r="Z1305" s="176"/>
      <c r="AA1305" s="176"/>
      <c r="AB1305" s="176"/>
      <c r="AC1305" s="176"/>
      <c r="AD1305" s="176"/>
      <c r="AE1305" s="176"/>
      <c r="AF1305" s="176"/>
      <c r="AG1305" s="176"/>
    </row>
    <row r="1306" spans="3:33" s="160" customFormat="1">
      <c r="C1306" s="825"/>
      <c r="M1306" s="247"/>
      <c r="Y1306" s="176"/>
      <c r="Z1306" s="176"/>
      <c r="AA1306" s="176"/>
      <c r="AB1306" s="176"/>
      <c r="AC1306" s="176"/>
      <c r="AD1306" s="176"/>
      <c r="AE1306" s="176"/>
      <c r="AF1306" s="176"/>
      <c r="AG1306" s="176"/>
    </row>
    <row r="1307" spans="3:33" s="160" customFormat="1">
      <c r="C1307" s="825"/>
      <c r="M1307" s="247"/>
      <c r="Y1307" s="176"/>
      <c r="Z1307" s="176"/>
      <c r="AA1307" s="176"/>
      <c r="AB1307" s="176"/>
      <c r="AC1307" s="176"/>
      <c r="AD1307" s="176"/>
      <c r="AE1307" s="176"/>
      <c r="AF1307" s="176"/>
      <c r="AG1307" s="176"/>
    </row>
    <row r="1308" spans="3:33" s="160" customFormat="1">
      <c r="C1308" s="825"/>
      <c r="M1308" s="247"/>
      <c r="Y1308" s="176"/>
      <c r="Z1308" s="176"/>
      <c r="AA1308" s="176"/>
      <c r="AB1308" s="176"/>
      <c r="AC1308" s="176"/>
      <c r="AD1308" s="176"/>
      <c r="AE1308" s="176"/>
      <c r="AF1308" s="176"/>
      <c r="AG1308" s="176"/>
    </row>
    <row r="1309" spans="3:33" s="160" customFormat="1">
      <c r="C1309" s="825"/>
      <c r="M1309" s="247"/>
      <c r="Y1309" s="176"/>
      <c r="Z1309" s="176"/>
      <c r="AA1309" s="176"/>
      <c r="AB1309" s="176"/>
      <c r="AC1309" s="176"/>
      <c r="AD1309" s="176"/>
      <c r="AE1309" s="176"/>
      <c r="AF1309" s="176"/>
      <c r="AG1309" s="176"/>
    </row>
    <row r="1310" spans="3:33" s="160" customFormat="1">
      <c r="C1310" s="825"/>
      <c r="M1310" s="247"/>
      <c r="Y1310" s="176"/>
      <c r="Z1310" s="176"/>
      <c r="AA1310" s="176"/>
      <c r="AB1310" s="176"/>
      <c r="AC1310" s="176"/>
      <c r="AD1310" s="176"/>
      <c r="AE1310" s="176"/>
      <c r="AF1310" s="176"/>
      <c r="AG1310" s="176"/>
    </row>
    <row r="1311" spans="3:33" s="160" customFormat="1">
      <c r="C1311" s="825"/>
      <c r="M1311" s="247"/>
      <c r="Y1311" s="176"/>
      <c r="Z1311" s="176"/>
      <c r="AA1311" s="176"/>
      <c r="AB1311" s="176"/>
      <c r="AC1311" s="176"/>
      <c r="AD1311" s="176"/>
      <c r="AE1311" s="176"/>
      <c r="AF1311" s="176"/>
      <c r="AG1311" s="176"/>
    </row>
    <row r="1312" spans="3:33" s="160" customFormat="1">
      <c r="C1312" s="825"/>
      <c r="M1312" s="247"/>
      <c r="Y1312" s="176"/>
      <c r="Z1312" s="176"/>
      <c r="AA1312" s="176"/>
      <c r="AB1312" s="176"/>
      <c r="AC1312" s="176"/>
      <c r="AD1312" s="176"/>
      <c r="AE1312" s="176"/>
      <c r="AF1312" s="176"/>
      <c r="AG1312" s="176"/>
    </row>
    <row r="1313" spans="3:33" s="160" customFormat="1">
      <c r="C1313" s="825"/>
      <c r="M1313" s="247"/>
      <c r="Y1313" s="176"/>
      <c r="Z1313" s="176"/>
      <c r="AA1313" s="176"/>
      <c r="AB1313" s="176"/>
      <c r="AC1313" s="176"/>
      <c r="AD1313" s="176"/>
      <c r="AE1313" s="176"/>
      <c r="AF1313" s="176"/>
      <c r="AG1313" s="176"/>
    </row>
    <row r="1314" spans="3:33" s="160" customFormat="1">
      <c r="C1314" s="825"/>
      <c r="M1314" s="247"/>
      <c r="Y1314" s="176"/>
      <c r="Z1314" s="176"/>
      <c r="AA1314" s="176"/>
      <c r="AB1314" s="176"/>
      <c r="AC1314" s="176"/>
      <c r="AD1314" s="176"/>
      <c r="AE1314" s="176"/>
      <c r="AF1314" s="176"/>
      <c r="AG1314" s="176"/>
    </row>
    <row r="1315" spans="3:33" s="160" customFormat="1">
      <c r="C1315" s="825"/>
      <c r="M1315" s="247"/>
      <c r="Y1315" s="176"/>
      <c r="Z1315" s="176"/>
      <c r="AA1315" s="176"/>
      <c r="AB1315" s="176"/>
      <c r="AC1315" s="176"/>
      <c r="AD1315" s="176"/>
      <c r="AE1315" s="176"/>
      <c r="AF1315" s="176"/>
      <c r="AG1315" s="176"/>
    </row>
    <row r="1316" spans="3:33" s="160" customFormat="1">
      <c r="C1316" s="825"/>
      <c r="M1316" s="247"/>
      <c r="Y1316" s="176"/>
      <c r="Z1316" s="176"/>
      <c r="AA1316" s="176"/>
      <c r="AB1316" s="176"/>
      <c r="AC1316" s="176"/>
      <c r="AD1316" s="176"/>
      <c r="AE1316" s="176"/>
      <c r="AF1316" s="176"/>
      <c r="AG1316" s="176"/>
    </row>
    <row r="1317" spans="3:33" s="160" customFormat="1">
      <c r="C1317" s="825"/>
      <c r="M1317" s="247"/>
      <c r="Y1317" s="176"/>
      <c r="Z1317" s="176"/>
      <c r="AA1317" s="176"/>
      <c r="AB1317" s="176"/>
      <c r="AC1317" s="176"/>
      <c r="AD1317" s="176"/>
      <c r="AE1317" s="176"/>
      <c r="AF1317" s="176"/>
      <c r="AG1317" s="176"/>
    </row>
    <row r="1318" spans="3:33" s="160" customFormat="1">
      <c r="C1318" s="825"/>
      <c r="M1318" s="247"/>
      <c r="Y1318" s="176"/>
      <c r="Z1318" s="176"/>
      <c r="AA1318" s="176"/>
      <c r="AB1318" s="176"/>
      <c r="AC1318" s="176"/>
      <c r="AD1318" s="176"/>
      <c r="AE1318" s="176"/>
      <c r="AF1318" s="176"/>
      <c r="AG1318" s="176"/>
    </row>
    <row r="1319" spans="3:33" s="160" customFormat="1">
      <c r="C1319" s="825"/>
      <c r="M1319" s="247"/>
      <c r="Y1319" s="176"/>
      <c r="Z1319" s="176"/>
      <c r="AA1319" s="176"/>
      <c r="AB1319" s="176"/>
      <c r="AC1319" s="176"/>
      <c r="AD1319" s="176"/>
      <c r="AE1319" s="176"/>
      <c r="AF1319" s="176"/>
      <c r="AG1319" s="176"/>
    </row>
    <row r="1320" spans="3:33" s="160" customFormat="1">
      <c r="C1320" s="825"/>
      <c r="M1320" s="247"/>
      <c r="Y1320" s="176"/>
      <c r="Z1320" s="176"/>
      <c r="AA1320" s="176"/>
      <c r="AB1320" s="176"/>
      <c r="AC1320" s="176"/>
      <c r="AD1320" s="176"/>
      <c r="AE1320" s="176"/>
      <c r="AF1320" s="176"/>
      <c r="AG1320" s="176"/>
    </row>
    <row r="1321" spans="3:33" s="160" customFormat="1">
      <c r="C1321" s="825"/>
      <c r="M1321" s="247"/>
      <c r="Y1321" s="176"/>
      <c r="Z1321" s="176"/>
      <c r="AA1321" s="176"/>
      <c r="AB1321" s="176"/>
      <c r="AC1321" s="176"/>
      <c r="AD1321" s="176"/>
      <c r="AE1321" s="176"/>
      <c r="AF1321" s="176"/>
      <c r="AG1321" s="176"/>
    </row>
    <row r="1322" spans="3:33" s="160" customFormat="1">
      <c r="C1322" s="825"/>
      <c r="M1322" s="247"/>
      <c r="Y1322" s="176"/>
      <c r="Z1322" s="176"/>
      <c r="AA1322" s="176"/>
      <c r="AB1322" s="176"/>
      <c r="AC1322" s="176"/>
      <c r="AD1322" s="176"/>
      <c r="AE1322" s="176"/>
      <c r="AF1322" s="176"/>
      <c r="AG1322" s="176"/>
    </row>
    <row r="1323" spans="3:33" s="160" customFormat="1">
      <c r="C1323" s="825"/>
      <c r="M1323" s="247"/>
      <c r="Y1323" s="176"/>
      <c r="Z1323" s="176"/>
      <c r="AA1323" s="176"/>
      <c r="AB1323" s="176"/>
      <c r="AC1323" s="176"/>
      <c r="AD1323" s="176"/>
      <c r="AE1323" s="176"/>
      <c r="AF1323" s="176"/>
      <c r="AG1323" s="176"/>
    </row>
    <row r="1324" spans="3:33" s="160" customFormat="1">
      <c r="C1324" s="825"/>
      <c r="M1324" s="247"/>
      <c r="Y1324" s="176"/>
      <c r="Z1324" s="176"/>
      <c r="AA1324" s="176"/>
      <c r="AB1324" s="176"/>
      <c r="AC1324" s="176"/>
      <c r="AD1324" s="176"/>
      <c r="AE1324" s="176"/>
      <c r="AF1324" s="176"/>
      <c r="AG1324" s="176"/>
    </row>
    <row r="1325" spans="3:33" s="160" customFormat="1">
      <c r="C1325" s="825"/>
      <c r="M1325" s="247"/>
      <c r="Y1325" s="176"/>
      <c r="Z1325" s="176"/>
      <c r="AA1325" s="176"/>
      <c r="AB1325" s="176"/>
      <c r="AC1325" s="176"/>
      <c r="AD1325" s="176"/>
      <c r="AE1325" s="176"/>
      <c r="AF1325" s="176"/>
      <c r="AG1325" s="176"/>
    </row>
    <row r="1326" spans="3:33" s="160" customFormat="1">
      <c r="C1326" s="825"/>
      <c r="M1326" s="247"/>
      <c r="Y1326" s="176"/>
      <c r="Z1326" s="176"/>
      <c r="AA1326" s="176"/>
      <c r="AB1326" s="176"/>
      <c r="AC1326" s="176"/>
      <c r="AD1326" s="176"/>
      <c r="AE1326" s="176"/>
      <c r="AF1326" s="176"/>
      <c r="AG1326" s="176"/>
    </row>
    <row r="1327" spans="3:33" s="160" customFormat="1">
      <c r="C1327" s="825"/>
      <c r="M1327" s="247"/>
      <c r="Y1327" s="176"/>
      <c r="Z1327" s="176"/>
      <c r="AA1327" s="176"/>
      <c r="AB1327" s="176"/>
      <c r="AC1327" s="176"/>
      <c r="AD1327" s="176"/>
      <c r="AE1327" s="176"/>
      <c r="AF1327" s="176"/>
      <c r="AG1327" s="176"/>
    </row>
    <row r="1328" spans="3:33" s="160" customFormat="1">
      <c r="C1328" s="825"/>
      <c r="M1328" s="247"/>
      <c r="Y1328" s="176"/>
      <c r="Z1328" s="176"/>
      <c r="AA1328" s="176"/>
      <c r="AB1328" s="176"/>
      <c r="AC1328" s="176"/>
      <c r="AD1328" s="176"/>
      <c r="AE1328" s="176"/>
      <c r="AF1328" s="176"/>
      <c r="AG1328" s="176"/>
    </row>
    <row r="1329" spans="3:33" s="160" customFormat="1">
      <c r="C1329" s="825"/>
      <c r="M1329" s="247"/>
      <c r="Y1329" s="176"/>
      <c r="Z1329" s="176"/>
      <c r="AA1329" s="176"/>
      <c r="AB1329" s="176"/>
      <c r="AC1329" s="176"/>
      <c r="AD1329" s="176"/>
      <c r="AE1329" s="176"/>
      <c r="AF1329" s="176"/>
      <c r="AG1329" s="176"/>
    </row>
    <row r="1330" spans="3:33" s="160" customFormat="1">
      <c r="C1330" s="825"/>
      <c r="M1330" s="247"/>
      <c r="Y1330" s="176"/>
      <c r="Z1330" s="176"/>
      <c r="AA1330" s="176"/>
      <c r="AB1330" s="176"/>
      <c r="AC1330" s="176"/>
      <c r="AD1330" s="176"/>
      <c r="AE1330" s="176"/>
      <c r="AF1330" s="176"/>
      <c r="AG1330" s="176"/>
    </row>
    <row r="1331" spans="3:33" s="160" customFormat="1">
      <c r="C1331" s="825"/>
      <c r="M1331" s="247"/>
      <c r="Y1331" s="176"/>
      <c r="Z1331" s="176"/>
      <c r="AA1331" s="176"/>
      <c r="AB1331" s="176"/>
      <c r="AC1331" s="176"/>
      <c r="AD1331" s="176"/>
      <c r="AE1331" s="176"/>
      <c r="AF1331" s="176"/>
      <c r="AG1331" s="176"/>
    </row>
    <row r="1332" spans="3:33" s="160" customFormat="1">
      <c r="C1332" s="825"/>
      <c r="M1332" s="247"/>
      <c r="Y1332" s="176"/>
      <c r="Z1332" s="176"/>
      <c r="AA1332" s="176"/>
      <c r="AB1332" s="176"/>
      <c r="AC1332" s="176"/>
      <c r="AD1332" s="176"/>
      <c r="AE1332" s="176"/>
      <c r="AF1332" s="176"/>
      <c r="AG1332" s="176"/>
    </row>
    <row r="1333" spans="3:33" s="160" customFormat="1">
      <c r="C1333" s="825"/>
      <c r="M1333" s="247"/>
      <c r="Y1333" s="176"/>
      <c r="Z1333" s="176"/>
      <c r="AA1333" s="176"/>
      <c r="AB1333" s="176"/>
      <c r="AC1333" s="176"/>
      <c r="AD1333" s="176"/>
      <c r="AE1333" s="176"/>
      <c r="AF1333" s="176"/>
      <c r="AG1333" s="176"/>
    </row>
    <row r="1334" spans="3:33" s="160" customFormat="1">
      <c r="C1334" s="825"/>
      <c r="M1334" s="247"/>
      <c r="Y1334" s="176"/>
      <c r="Z1334" s="176"/>
      <c r="AA1334" s="176"/>
      <c r="AB1334" s="176"/>
      <c r="AC1334" s="176"/>
      <c r="AD1334" s="176"/>
      <c r="AE1334" s="176"/>
      <c r="AF1334" s="176"/>
      <c r="AG1334" s="176"/>
    </row>
    <row r="1335" spans="3:33" s="160" customFormat="1">
      <c r="C1335" s="825"/>
      <c r="M1335" s="247"/>
      <c r="Y1335" s="176"/>
      <c r="Z1335" s="176"/>
      <c r="AA1335" s="176"/>
      <c r="AB1335" s="176"/>
      <c r="AC1335" s="176"/>
      <c r="AD1335" s="176"/>
      <c r="AE1335" s="176"/>
      <c r="AF1335" s="176"/>
      <c r="AG1335" s="176"/>
    </row>
    <row r="1336" spans="3:33" s="160" customFormat="1">
      <c r="C1336" s="825"/>
      <c r="M1336" s="247"/>
      <c r="Y1336" s="176"/>
      <c r="Z1336" s="176"/>
      <c r="AA1336" s="176"/>
      <c r="AB1336" s="176"/>
      <c r="AC1336" s="176"/>
      <c r="AD1336" s="176"/>
      <c r="AE1336" s="176"/>
      <c r="AF1336" s="176"/>
      <c r="AG1336" s="176"/>
    </row>
    <row r="1337" spans="3:33" s="160" customFormat="1">
      <c r="C1337" s="825"/>
      <c r="M1337" s="247"/>
      <c r="Y1337" s="176"/>
      <c r="Z1337" s="176"/>
      <c r="AA1337" s="176"/>
      <c r="AB1337" s="176"/>
      <c r="AC1337" s="176"/>
      <c r="AD1337" s="176"/>
      <c r="AE1337" s="176"/>
      <c r="AF1337" s="176"/>
      <c r="AG1337" s="176"/>
    </row>
    <row r="1338" spans="3:33" s="160" customFormat="1">
      <c r="C1338" s="825"/>
      <c r="M1338" s="247"/>
      <c r="Y1338" s="176"/>
      <c r="Z1338" s="176"/>
      <c r="AA1338" s="176"/>
      <c r="AB1338" s="176"/>
      <c r="AC1338" s="176"/>
      <c r="AD1338" s="176"/>
      <c r="AE1338" s="176"/>
      <c r="AF1338" s="176"/>
      <c r="AG1338" s="176"/>
    </row>
    <row r="1339" spans="3:33" s="160" customFormat="1">
      <c r="C1339" s="825"/>
      <c r="M1339" s="247"/>
      <c r="Y1339" s="176"/>
      <c r="Z1339" s="176"/>
      <c r="AA1339" s="176"/>
      <c r="AB1339" s="176"/>
      <c r="AC1339" s="176"/>
      <c r="AD1339" s="176"/>
      <c r="AE1339" s="176"/>
      <c r="AF1339" s="176"/>
      <c r="AG1339" s="176"/>
    </row>
    <row r="1340" spans="3:33" s="160" customFormat="1">
      <c r="C1340" s="825"/>
      <c r="M1340" s="247"/>
      <c r="Y1340" s="176"/>
      <c r="Z1340" s="176"/>
      <c r="AA1340" s="176"/>
      <c r="AB1340" s="176"/>
      <c r="AC1340" s="176"/>
      <c r="AD1340" s="176"/>
      <c r="AE1340" s="176"/>
      <c r="AF1340" s="176"/>
      <c r="AG1340" s="176"/>
    </row>
    <row r="1341" spans="3:33" s="160" customFormat="1">
      <c r="C1341" s="825"/>
      <c r="M1341" s="247"/>
      <c r="Y1341" s="176"/>
      <c r="Z1341" s="176"/>
      <c r="AA1341" s="176"/>
      <c r="AB1341" s="176"/>
      <c r="AC1341" s="176"/>
      <c r="AD1341" s="176"/>
      <c r="AE1341" s="176"/>
      <c r="AF1341" s="176"/>
      <c r="AG1341" s="176"/>
    </row>
    <row r="1342" spans="3:33" s="160" customFormat="1">
      <c r="C1342" s="825"/>
      <c r="M1342" s="247"/>
      <c r="Y1342" s="176"/>
      <c r="Z1342" s="176"/>
      <c r="AA1342" s="176"/>
      <c r="AB1342" s="176"/>
      <c r="AC1342" s="176"/>
      <c r="AD1342" s="176"/>
      <c r="AE1342" s="176"/>
      <c r="AF1342" s="176"/>
      <c r="AG1342" s="176"/>
    </row>
    <row r="1343" spans="3:33" s="160" customFormat="1">
      <c r="C1343" s="825"/>
      <c r="M1343" s="247"/>
      <c r="Y1343" s="176"/>
      <c r="Z1343" s="176"/>
      <c r="AA1343" s="176"/>
      <c r="AB1343" s="176"/>
      <c r="AC1343" s="176"/>
      <c r="AD1343" s="176"/>
      <c r="AE1343" s="176"/>
      <c r="AF1343" s="176"/>
      <c r="AG1343" s="176"/>
    </row>
    <row r="1344" spans="3:33" s="160" customFormat="1">
      <c r="C1344" s="825"/>
      <c r="M1344" s="247"/>
      <c r="Y1344" s="176"/>
      <c r="Z1344" s="176"/>
      <c r="AA1344" s="176"/>
      <c r="AB1344" s="176"/>
      <c r="AC1344" s="176"/>
      <c r="AD1344" s="176"/>
      <c r="AE1344" s="176"/>
      <c r="AF1344" s="176"/>
      <c r="AG1344" s="176"/>
    </row>
    <row r="1345" spans="3:33" s="160" customFormat="1">
      <c r="C1345" s="825"/>
      <c r="M1345" s="247"/>
      <c r="Y1345" s="176"/>
      <c r="Z1345" s="176"/>
      <c r="AA1345" s="176"/>
      <c r="AB1345" s="176"/>
      <c r="AC1345" s="176"/>
      <c r="AD1345" s="176"/>
      <c r="AE1345" s="176"/>
      <c r="AF1345" s="176"/>
      <c r="AG1345" s="176"/>
    </row>
    <row r="1346" spans="3:33" s="160" customFormat="1">
      <c r="C1346" s="825"/>
      <c r="M1346" s="247"/>
      <c r="Y1346" s="176"/>
      <c r="Z1346" s="176"/>
      <c r="AA1346" s="176"/>
      <c r="AB1346" s="176"/>
      <c r="AC1346" s="176"/>
      <c r="AD1346" s="176"/>
      <c r="AE1346" s="176"/>
      <c r="AF1346" s="176"/>
      <c r="AG1346" s="176"/>
    </row>
    <row r="1347" spans="3:33" s="160" customFormat="1">
      <c r="C1347" s="825"/>
      <c r="M1347" s="247"/>
      <c r="Y1347" s="176"/>
      <c r="Z1347" s="176"/>
      <c r="AA1347" s="176"/>
      <c r="AB1347" s="176"/>
      <c r="AC1347" s="176"/>
      <c r="AD1347" s="176"/>
      <c r="AE1347" s="176"/>
      <c r="AF1347" s="176"/>
      <c r="AG1347" s="176"/>
    </row>
    <row r="1348" spans="3:33" s="160" customFormat="1">
      <c r="C1348" s="825"/>
      <c r="M1348" s="247"/>
      <c r="Y1348" s="176"/>
      <c r="Z1348" s="176"/>
      <c r="AA1348" s="176"/>
      <c r="AB1348" s="176"/>
      <c r="AC1348" s="176"/>
      <c r="AD1348" s="176"/>
      <c r="AE1348" s="176"/>
      <c r="AF1348" s="176"/>
      <c r="AG1348" s="176"/>
    </row>
    <row r="1349" spans="3:33" s="160" customFormat="1">
      <c r="C1349" s="825"/>
      <c r="M1349" s="247"/>
      <c r="Y1349" s="176"/>
      <c r="Z1349" s="176"/>
      <c r="AA1349" s="176"/>
      <c r="AB1349" s="176"/>
      <c r="AC1349" s="176"/>
      <c r="AD1349" s="176"/>
      <c r="AE1349" s="176"/>
      <c r="AF1349" s="176"/>
      <c r="AG1349" s="176"/>
    </row>
    <row r="1350" spans="3:33" s="160" customFormat="1">
      <c r="C1350" s="825"/>
      <c r="M1350" s="247"/>
      <c r="Y1350" s="176"/>
      <c r="Z1350" s="176"/>
      <c r="AA1350" s="176"/>
      <c r="AB1350" s="176"/>
      <c r="AC1350" s="176"/>
      <c r="AD1350" s="176"/>
      <c r="AE1350" s="176"/>
      <c r="AF1350" s="176"/>
      <c r="AG1350" s="176"/>
    </row>
    <row r="1351" spans="3:33" s="160" customFormat="1">
      <c r="C1351" s="825"/>
      <c r="M1351" s="247"/>
      <c r="Y1351" s="176"/>
      <c r="Z1351" s="176"/>
      <c r="AA1351" s="176"/>
      <c r="AB1351" s="176"/>
      <c r="AC1351" s="176"/>
      <c r="AD1351" s="176"/>
      <c r="AE1351" s="176"/>
      <c r="AF1351" s="176"/>
      <c r="AG1351" s="176"/>
    </row>
    <row r="1352" spans="3:33" s="160" customFormat="1">
      <c r="C1352" s="825"/>
      <c r="M1352" s="247"/>
      <c r="Y1352" s="176"/>
      <c r="Z1352" s="176"/>
      <c r="AA1352" s="176"/>
      <c r="AB1352" s="176"/>
      <c r="AC1352" s="176"/>
      <c r="AD1352" s="176"/>
      <c r="AE1352" s="176"/>
      <c r="AF1352" s="176"/>
      <c r="AG1352" s="176"/>
    </row>
    <row r="1353" spans="3:33" s="160" customFormat="1">
      <c r="C1353" s="825"/>
      <c r="M1353" s="247"/>
      <c r="Y1353" s="176"/>
      <c r="Z1353" s="176"/>
      <c r="AA1353" s="176"/>
      <c r="AB1353" s="176"/>
      <c r="AC1353" s="176"/>
      <c r="AD1353" s="176"/>
      <c r="AE1353" s="176"/>
      <c r="AF1353" s="176"/>
      <c r="AG1353" s="176"/>
    </row>
    <row r="1354" spans="3:33" s="160" customFormat="1">
      <c r="C1354" s="825"/>
      <c r="M1354" s="247"/>
      <c r="Y1354" s="176"/>
      <c r="Z1354" s="176"/>
      <c r="AA1354" s="176"/>
      <c r="AB1354" s="176"/>
      <c r="AC1354" s="176"/>
      <c r="AD1354" s="176"/>
      <c r="AE1354" s="176"/>
      <c r="AF1354" s="176"/>
      <c r="AG1354" s="176"/>
    </row>
    <row r="1355" spans="3:33" s="160" customFormat="1">
      <c r="C1355" s="825"/>
      <c r="M1355" s="247"/>
      <c r="Y1355" s="176"/>
      <c r="Z1355" s="176"/>
      <c r="AA1355" s="176"/>
      <c r="AB1355" s="176"/>
      <c r="AC1355" s="176"/>
      <c r="AD1355" s="176"/>
      <c r="AE1355" s="176"/>
      <c r="AF1355" s="176"/>
      <c r="AG1355" s="176"/>
    </row>
    <row r="1356" spans="3:33" s="160" customFormat="1">
      <c r="C1356" s="825"/>
      <c r="M1356" s="247"/>
      <c r="Y1356" s="176"/>
      <c r="Z1356" s="176"/>
      <c r="AA1356" s="176"/>
      <c r="AB1356" s="176"/>
      <c r="AC1356" s="176"/>
      <c r="AD1356" s="176"/>
      <c r="AE1356" s="176"/>
      <c r="AF1356" s="176"/>
      <c r="AG1356" s="176"/>
    </row>
    <row r="1357" spans="3:33" s="160" customFormat="1">
      <c r="C1357" s="825"/>
      <c r="M1357" s="247"/>
      <c r="Y1357" s="176"/>
      <c r="Z1357" s="176"/>
      <c r="AA1357" s="176"/>
      <c r="AB1357" s="176"/>
      <c r="AC1357" s="176"/>
      <c r="AD1357" s="176"/>
      <c r="AE1357" s="176"/>
      <c r="AF1357" s="176"/>
      <c r="AG1357" s="176"/>
    </row>
    <row r="1358" spans="3:33" s="160" customFormat="1">
      <c r="C1358" s="825"/>
      <c r="M1358" s="247"/>
      <c r="Y1358" s="176"/>
      <c r="Z1358" s="176"/>
      <c r="AA1358" s="176"/>
      <c r="AB1358" s="176"/>
      <c r="AC1358" s="176"/>
      <c r="AD1358" s="176"/>
      <c r="AE1358" s="176"/>
      <c r="AF1358" s="176"/>
      <c r="AG1358" s="176"/>
    </row>
    <row r="1359" spans="3:33" s="160" customFormat="1">
      <c r="C1359" s="825"/>
      <c r="M1359" s="247"/>
      <c r="Y1359" s="176"/>
      <c r="Z1359" s="176"/>
      <c r="AA1359" s="176"/>
      <c r="AB1359" s="176"/>
      <c r="AC1359" s="176"/>
      <c r="AD1359" s="176"/>
      <c r="AE1359" s="176"/>
      <c r="AF1359" s="176"/>
      <c r="AG1359" s="176"/>
    </row>
    <row r="1360" spans="3:33" s="160" customFormat="1">
      <c r="C1360" s="825"/>
      <c r="M1360" s="247"/>
      <c r="Y1360" s="176"/>
      <c r="Z1360" s="176"/>
      <c r="AA1360" s="176"/>
      <c r="AB1360" s="176"/>
      <c r="AC1360" s="176"/>
      <c r="AD1360" s="176"/>
      <c r="AE1360" s="176"/>
      <c r="AF1360" s="176"/>
      <c r="AG1360" s="176"/>
    </row>
    <row r="1361" spans="3:33" s="160" customFormat="1">
      <c r="C1361" s="825"/>
      <c r="M1361" s="247"/>
      <c r="Y1361" s="176"/>
      <c r="Z1361" s="176"/>
      <c r="AA1361" s="176"/>
      <c r="AB1361" s="176"/>
      <c r="AC1361" s="176"/>
      <c r="AD1361" s="176"/>
      <c r="AE1361" s="176"/>
      <c r="AF1361" s="176"/>
      <c r="AG1361" s="176"/>
    </row>
    <row r="1362" spans="3:33" s="160" customFormat="1">
      <c r="C1362" s="825"/>
      <c r="M1362" s="247"/>
      <c r="Y1362" s="176"/>
      <c r="Z1362" s="176"/>
      <c r="AA1362" s="176"/>
      <c r="AB1362" s="176"/>
      <c r="AC1362" s="176"/>
      <c r="AD1362" s="176"/>
      <c r="AE1362" s="176"/>
      <c r="AF1362" s="176"/>
      <c r="AG1362" s="176"/>
    </row>
    <row r="1363" spans="3:33" s="160" customFormat="1">
      <c r="C1363" s="825"/>
      <c r="M1363" s="247"/>
      <c r="Y1363" s="176"/>
      <c r="Z1363" s="176"/>
      <c r="AA1363" s="176"/>
      <c r="AB1363" s="176"/>
      <c r="AC1363" s="176"/>
      <c r="AD1363" s="176"/>
      <c r="AE1363" s="176"/>
      <c r="AF1363" s="176"/>
      <c r="AG1363" s="176"/>
    </row>
    <row r="1364" spans="3:33" s="160" customFormat="1">
      <c r="C1364" s="825"/>
      <c r="M1364" s="247"/>
      <c r="Y1364" s="176"/>
      <c r="Z1364" s="176"/>
      <c r="AA1364" s="176"/>
      <c r="AB1364" s="176"/>
      <c r="AC1364" s="176"/>
      <c r="AD1364" s="176"/>
      <c r="AE1364" s="176"/>
      <c r="AF1364" s="176"/>
      <c r="AG1364" s="176"/>
    </row>
    <row r="1365" spans="3:33" s="160" customFormat="1">
      <c r="C1365" s="825"/>
      <c r="M1365" s="247"/>
      <c r="Y1365" s="176"/>
      <c r="Z1365" s="176"/>
      <c r="AA1365" s="176"/>
      <c r="AB1365" s="176"/>
      <c r="AC1365" s="176"/>
      <c r="AD1365" s="176"/>
      <c r="AE1365" s="176"/>
      <c r="AF1365" s="176"/>
      <c r="AG1365" s="176"/>
    </row>
    <row r="1366" spans="3:33" s="160" customFormat="1">
      <c r="C1366" s="825"/>
      <c r="M1366" s="247"/>
      <c r="Y1366" s="176"/>
      <c r="Z1366" s="176"/>
      <c r="AA1366" s="176"/>
      <c r="AB1366" s="176"/>
      <c r="AC1366" s="176"/>
      <c r="AD1366" s="176"/>
      <c r="AE1366" s="176"/>
      <c r="AF1366" s="176"/>
      <c r="AG1366" s="176"/>
    </row>
    <row r="1367" spans="3:33" s="160" customFormat="1">
      <c r="C1367" s="825"/>
      <c r="M1367" s="247"/>
      <c r="Y1367" s="176"/>
      <c r="Z1367" s="176"/>
      <c r="AA1367" s="176"/>
      <c r="AB1367" s="176"/>
      <c r="AC1367" s="176"/>
      <c r="AD1367" s="176"/>
      <c r="AE1367" s="176"/>
      <c r="AF1367" s="176"/>
      <c r="AG1367" s="176"/>
    </row>
    <row r="1368" spans="3:33" s="160" customFormat="1">
      <c r="C1368" s="825"/>
      <c r="M1368" s="247"/>
      <c r="Y1368" s="176"/>
      <c r="Z1368" s="176"/>
      <c r="AA1368" s="176"/>
      <c r="AB1368" s="176"/>
      <c r="AC1368" s="176"/>
      <c r="AD1368" s="176"/>
      <c r="AE1368" s="176"/>
      <c r="AF1368" s="176"/>
      <c r="AG1368" s="176"/>
    </row>
    <row r="1369" spans="3:33" s="160" customFormat="1">
      <c r="C1369" s="825"/>
      <c r="M1369" s="247"/>
      <c r="Y1369" s="176"/>
      <c r="Z1369" s="176"/>
      <c r="AA1369" s="176"/>
      <c r="AB1369" s="176"/>
      <c r="AC1369" s="176"/>
      <c r="AD1369" s="176"/>
      <c r="AE1369" s="176"/>
      <c r="AF1369" s="176"/>
      <c r="AG1369" s="176"/>
    </row>
    <row r="1370" spans="3:33" s="160" customFormat="1">
      <c r="C1370" s="825"/>
      <c r="M1370" s="247"/>
      <c r="Y1370" s="176"/>
      <c r="Z1370" s="176"/>
      <c r="AA1370" s="176"/>
      <c r="AB1370" s="176"/>
      <c r="AC1370" s="176"/>
      <c r="AD1370" s="176"/>
      <c r="AE1370" s="176"/>
      <c r="AF1370" s="176"/>
      <c r="AG1370" s="176"/>
    </row>
    <row r="1371" spans="3:33" s="160" customFormat="1">
      <c r="C1371" s="825"/>
      <c r="M1371" s="247"/>
      <c r="Y1371" s="176"/>
      <c r="Z1371" s="176"/>
      <c r="AA1371" s="176"/>
      <c r="AB1371" s="176"/>
      <c r="AC1371" s="176"/>
      <c r="AD1371" s="176"/>
      <c r="AE1371" s="176"/>
      <c r="AF1371" s="176"/>
      <c r="AG1371" s="176"/>
    </row>
    <row r="1372" spans="3:33" s="160" customFormat="1">
      <c r="C1372" s="825"/>
      <c r="M1372" s="247"/>
      <c r="Y1372" s="176"/>
      <c r="Z1372" s="176"/>
      <c r="AA1372" s="176"/>
      <c r="AB1372" s="176"/>
      <c r="AC1372" s="176"/>
      <c r="AD1372" s="176"/>
      <c r="AE1372" s="176"/>
      <c r="AF1372" s="176"/>
      <c r="AG1372" s="176"/>
    </row>
    <row r="1373" spans="3:33" s="160" customFormat="1">
      <c r="C1373" s="825"/>
      <c r="M1373" s="247"/>
      <c r="Y1373" s="176"/>
      <c r="Z1373" s="176"/>
      <c r="AA1373" s="176"/>
      <c r="AB1373" s="176"/>
      <c r="AC1373" s="176"/>
      <c r="AD1373" s="176"/>
      <c r="AE1373" s="176"/>
      <c r="AF1373" s="176"/>
      <c r="AG1373" s="176"/>
    </row>
    <row r="1374" spans="3:33" s="160" customFormat="1">
      <c r="C1374" s="825"/>
      <c r="M1374" s="247"/>
      <c r="Y1374" s="176"/>
      <c r="Z1374" s="176"/>
      <c r="AA1374" s="176"/>
      <c r="AB1374" s="176"/>
      <c r="AC1374" s="176"/>
      <c r="AD1374" s="176"/>
      <c r="AE1374" s="176"/>
      <c r="AF1374" s="176"/>
      <c r="AG1374" s="176"/>
    </row>
    <row r="1375" spans="3:33" s="160" customFormat="1">
      <c r="C1375" s="825"/>
      <c r="M1375" s="247"/>
      <c r="Y1375" s="176"/>
      <c r="Z1375" s="176"/>
      <c r="AA1375" s="176"/>
      <c r="AB1375" s="176"/>
      <c r="AC1375" s="176"/>
      <c r="AD1375" s="176"/>
      <c r="AE1375" s="176"/>
      <c r="AF1375" s="176"/>
      <c r="AG1375" s="176"/>
    </row>
    <row r="1376" spans="3:33" s="160" customFormat="1">
      <c r="C1376" s="825"/>
      <c r="M1376" s="247"/>
      <c r="Y1376" s="176"/>
      <c r="Z1376" s="176"/>
      <c r="AA1376" s="176"/>
      <c r="AB1376" s="176"/>
      <c r="AC1376" s="176"/>
      <c r="AD1376" s="176"/>
      <c r="AE1376" s="176"/>
      <c r="AF1376" s="176"/>
      <c r="AG1376" s="176"/>
    </row>
    <row r="1377" spans="3:33" s="160" customFormat="1">
      <c r="C1377" s="825"/>
      <c r="M1377" s="247"/>
      <c r="Y1377" s="176"/>
      <c r="Z1377" s="176"/>
      <c r="AA1377" s="176"/>
      <c r="AB1377" s="176"/>
      <c r="AC1377" s="176"/>
      <c r="AD1377" s="176"/>
      <c r="AE1377" s="176"/>
      <c r="AF1377" s="176"/>
      <c r="AG1377" s="176"/>
    </row>
    <row r="1378" spans="3:33" s="160" customFormat="1">
      <c r="C1378" s="825"/>
      <c r="M1378" s="247"/>
      <c r="Y1378" s="176"/>
      <c r="Z1378" s="176"/>
      <c r="AA1378" s="176"/>
      <c r="AB1378" s="176"/>
      <c r="AC1378" s="176"/>
      <c r="AD1378" s="176"/>
      <c r="AE1378" s="176"/>
      <c r="AF1378" s="176"/>
      <c r="AG1378" s="176"/>
    </row>
    <row r="1379" spans="3:33" s="160" customFormat="1">
      <c r="C1379" s="825"/>
      <c r="M1379" s="247"/>
      <c r="Y1379" s="176"/>
      <c r="Z1379" s="176"/>
      <c r="AA1379" s="176"/>
      <c r="AB1379" s="176"/>
      <c r="AC1379" s="176"/>
      <c r="AD1379" s="176"/>
      <c r="AE1379" s="176"/>
      <c r="AF1379" s="176"/>
      <c r="AG1379" s="176"/>
    </row>
    <row r="1380" spans="3:33" s="160" customFormat="1">
      <c r="C1380" s="825"/>
      <c r="M1380" s="247"/>
      <c r="Y1380" s="176"/>
      <c r="Z1380" s="176"/>
      <c r="AA1380" s="176"/>
      <c r="AB1380" s="176"/>
      <c r="AC1380" s="176"/>
      <c r="AD1380" s="176"/>
      <c r="AE1380" s="176"/>
      <c r="AF1380" s="176"/>
      <c r="AG1380" s="176"/>
    </row>
    <row r="1381" spans="3:33" s="160" customFormat="1">
      <c r="C1381" s="825"/>
      <c r="M1381" s="247"/>
      <c r="Y1381" s="176"/>
      <c r="Z1381" s="176"/>
      <c r="AA1381" s="176"/>
      <c r="AB1381" s="176"/>
      <c r="AC1381" s="176"/>
      <c r="AD1381" s="176"/>
      <c r="AE1381" s="176"/>
      <c r="AF1381" s="176"/>
      <c r="AG1381" s="176"/>
    </row>
    <row r="1382" spans="3:33" s="160" customFormat="1">
      <c r="C1382" s="825"/>
      <c r="M1382" s="247"/>
      <c r="Y1382" s="176"/>
      <c r="Z1382" s="176"/>
      <c r="AA1382" s="176"/>
      <c r="AB1382" s="176"/>
      <c r="AC1382" s="176"/>
      <c r="AD1382" s="176"/>
      <c r="AE1382" s="176"/>
      <c r="AF1382" s="176"/>
      <c r="AG1382" s="176"/>
    </row>
    <row r="1383" spans="3:33" s="160" customFormat="1">
      <c r="C1383" s="825"/>
      <c r="M1383" s="247"/>
      <c r="Y1383" s="176"/>
      <c r="Z1383" s="176"/>
      <c r="AA1383" s="176"/>
      <c r="AB1383" s="176"/>
      <c r="AC1383" s="176"/>
      <c r="AD1383" s="176"/>
      <c r="AE1383" s="176"/>
      <c r="AF1383" s="176"/>
      <c r="AG1383" s="176"/>
    </row>
    <row r="1384" spans="3:33" s="160" customFormat="1">
      <c r="C1384" s="825"/>
      <c r="M1384" s="247"/>
      <c r="Y1384" s="176"/>
      <c r="Z1384" s="176"/>
      <c r="AA1384" s="176"/>
      <c r="AB1384" s="176"/>
      <c r="AC1384" s="176"/>
      <c r="AD1384" s="176"/>
      <c r="AE1384" s="176"/>
      <c r="AF1384" s="176"/>
      <c r="AG1384" s="176"/>
    </row>
    <row r="1385" spans="3:33" s="160" customFormat="1">
      <c r="C1385" s="825"/>
      <c r="M1385" s="247"/>
      <c r="Y1385" s="176"/>
      <c r="Z1385" s="176"/>
      <c r="AA1385" s="176"/>
      <c r="AB1385" s="176"/>
      <c r="AC1385" s="176"/>
      <c r="AD1385" s="176"/>
      <c r="AE1385" s="176"/>
      <c r="AF1385" s="176"/>
      <c r="AG1385" s="176"/>
    </row>
    <row r="1386" spans="3:33" s="160" customFormat="1">
      <c r="C1386" s="825"/>
      <c r="M1386" s="247"/>
      <c r="Y1386" s="176"/>
      <c r="Z1386" s="176"/>
      <c r="AA1386" s="176"/>
      <c r="AB1386" s="176"/>
      <c r="AC1386" s="176"/>
      <c r="AD1386" s="176"/>
      <c r="AE1386" s="176"/>
      <c r="AF1386" s="176"/>
      <c r="AG1386" s="176"/>
    </row>
    <row r="1387" spans="3:33" s="160" customFormat="1">
      <c r="C1387" s="825"/>
      <c r="M1387" s="247"/>
      <c r="Y1387" s="176"/>
      <c r="Z1387" s="176"/>
      <c r="AA1387" s="176"/>
      <c r="AB1387" s="176"/>
      <c r="AC1387" s="176"/>
      <c r="AD1387" s="176"/>
      <c r="AE1387" s="176"/>
      <c r="AF1387" s="176"/>
      <c r="AG1387" s="176"/>
    </row>
    <row r="1388" spans="3:33" s="160" customFormat="1">
      <c r="C1388" s="825"/>
      <c r="M1388" s="247"/>
      <c r="Y1388" s="176"/>
      <c r="Z1388" s="176"/>
      <c r="AA1388" s="176"/>
      <c r="AB1388" s="176"/>
      <c r="AC1388" s="176"/>
      <c r="AD1388" s="176"/>
      <c r="AE1388" s="176"/>
      <c r="AF1388" s="176"/>
      <c r="AG1388" s="176"/>
    </row>
    <row r="1389" spans="3:33" s="160" customFormat="1">
      <c r="C1389" s="825"/>
      <c r="M1389" s="247"/>
      <c r="Y1389" s="176"/>
      <c r="Z1389" s="176"/>
      <c r="AA1389" s="176"/>
      <c r="AB1389" s="176"/>
      <c r="AC1389" s="176"/>
      <c r="AD1389" s="176"/>
      <c r="AE1389" s="176"/>
      <c r="AF1389" s="176"/>
      <c r="AG1389" s="176"/>
    </row>
    <row r="1390" spans="3:33" s="160" customFormat="1">
      <c r="C1390" s="825"/>
      <c r="M1390" s="247"/>
      <c r="Y1390" s="176"/>
      <c r="Z1390" s="176"/>
      <c r="AA1390" s="176"/>
      <c r="AB1390" s="176"/>
      <c r="AC1390" s="176"/>
      <c r="AD1390" s="176"/>
      <c r="AE1390" s="176"/>
      <c r="AF1390" s="176"/>
      <c r="AG1390" s="176"/>
    </row>
    <row r="1391" spans="3:33" s="160" customFormat="1">
      <c r="C1391" s="825"/>
      <c r="M1391" s="247"/>
      <c r="Y1391" s="176"/>
      <c r="Z1391" s="176"/>
      <c r="AA1391" s="176"/>
      <c r="AB1391" s="176"/>
      <c r="AC1391" s="176"/>
      <c r="AD1391" s="176"/>
      <c r="AE1391" s="176"/>
      <c r="AF1391" s="176"/>
      <c r="AG1391" s="176"/>
    </row>
    <row r="1392" spans="3:33" s="160" customFormat="1">
      <c r="C1392" s="825"/>
      <c r="M1392" s="247"/>
      <c r="Y1392" s="176"/>
      <c r="Z1392" s="176"/>
      <c r="AA1392" s="176"/>
      <c r="AB1392" s="176"/>
      <c r="AC1392" s="176"/>
      <c r="AD1392" s="176"/>
      <c r="AE1392" s="176"/>
      <c r="AF1392" s="176"/>
      <c r="AG1392" s="176"/>
    </row>
    <row r="1393" spans="3:33" s="160" customFormat="1">
      <c r="C1393" s="825"/>
      <c r="M1393" s="247"/>
      <c r="Y1393" s="176"/>
      <c r="Z1393" s="176"/>
      <c r="AA1393" s="176"/>
      <c r="AB1393" s="176"/>
      <c r="AC1393" s="176"/>
      <c r="AD1393" s="176"/>
      <c r="AE1393" s="176"/>
      <c r="AF1393" s="176"/>
      <c r="AG1393" s="176"/>
    </row>
    <row r="1394" spans="3:33" s="160" customFormat="1">
      <c r="C1394" s="825"/>
      <c r="M1394" s="247"/>
      <c r="Y1394" s="176"/>
      <c r="Z1394" s="176"/>
      <c r="AA1394" s="176"/>
      <c r="AB1394" s="176"/>
      <c r="AC1394" s="176"/>
      <c r="AD1394" s="176"/>
      <c r="AE1394" s="176"/>
      <c r="AF1394" s="176"/>
      <c r="AG1394" s="176"/>
    </row>
    <row r="1395" spans="3:33" s="160" customFormat="1">
      <c r="C1395" s="825"/>
      <c r="M1395" s="247"/>
      <c r="Y1395" s="176"/>
      <c r="Z1395" s="176"/>
      <c r="AA1395" s="176"/>
      <c r="AB1395" s="176"/>
      <c r="AC1395" s="176"/>
      <c r="AD1395" s="176"/>
      <c r="AE1395" s="176"/>
      <c r="AF1395" s="176"/>
      <c r="AG1395" s="176"/>
    </row>
    <row r="1396" spans="3:33" s="160" customFormat="1">
      <c r="C1396" s="825"/>
      <c r="M1396" s="247"/>
      <c r="Y1396" s="176"/>
      <c r="Z1396" s="176"/>
      <c r="AA1396" s="176"/>
      <c r="AB1396" s="176"/>
      <c r="AC1396" s="176"/>
      <c r="AD1396" s="176"/>
      <c r="AE1396" s="176"/>
      <c r="AF1396" s="176"/>
      <c r="AG1396" s="176"/>
    </row>
    <row r="1397" spans="3:33" s="160" customFormat="1">
      <c r="C1397" s="825"/>
      <c r="M1397" s="247"/>
      <c r="Y1397" s="176"/>
      <c r="Z1397" s="176"/>
      <c r="AA1397" s="176"/>
      <c r="AB1397" s="176"/>
      <c r="AC1397" s="176"/>
      <c r="AD1397" s="176"/>
      <c r="AE1397" s="176"/>
      <c r="AF1397" s="176"/>
      <c r="AG1397" s="176"/>
    </row>
    <row r="1398" spans="3:33" s="160" customFormat="1">
      <c r="C1398" s="825"/>
      <c r="M1398" s="247"/>
      <c r="Y1398" s="176"/>
      <c r="Z1398" s="176"/>
      <c r="AA1398" s="176"/>
      <c r="AB1398" s="176"/>
      <c r="AC1398" s="176"/>
      <c r="AD1398" s="176"/>
      <c r="AE1398" s="176"/>
      <c r="AF1398" s="176"/>
      <c r="AG1398" s="176"/>
    </row>
    <row r="1399" spans="3:33" s="160" customFormat="1">
      <c r="C1399" s="825"/>
      <c r="M1399" s="247"/>
      <c r="Y1399" s="176"/>
      <c r="Z1399" s="176"/>
      <c r="AA1399" s="176"/>
      <c r="AB1399" s="176"/>
      <c r="AC1399" s="176"/>
      <c r="AD1399" s="176"/>
      <c r="AE1399" s="176"/>
      <c r="AF1399" s="176"/>
      <c r="AG1399" s="176"/>
    </row>
    <row r="1400" spans="3:33" s="160" customFormat="1">
      <c r="C1400" s="825"/>
      <c r="M1400" s="247"/>
      <c r="Y1400" s="176"/>
      <c r="Z1400" s="176"/>
      <c r="AA1400" s="176"/>
      <c r="AB1400" s="176"/>
      <c r="AC1400" s="176"/>
      <c r="AD1400" s="176"/>
      <c r="AE1400" s="176"/>
      <c r="AF1400" s="176"/>
      <c r="AG1400" s="176"/>
    </row>
    <row r="1401" spans="3:33" s="160" customFormat="1">
      <c r="C1401" s="825"/>
      <c r="M1401" s="247"/>
      <c r="Y1401" s="176"/>
      <c r="Z1401" s="176"/>
      <c r="AA1401" s="176"/>
      <c r="AB1401" s="176"/>
      <c r="AC1401" s="176"/>
      <c r="AD1401" s="176"/>
      <c r="AE1401" s="176"/>
      <c r="AF1401" s="176"/>
      <c r="AG1401" s="176"/>
    </row>
    <row r="1402" spans="3:33" s="160" customFormat="1">
      <c r="C1402" s="825"/>
      <c r="M1402" s="247"/>
      <c r="Y1402" s="176"/>
      <c r="Z1402" s="176"/>
      <c r="AA1402" s="176"/>
      <c r="AB1402" s="176"/>
      <c r="AC1402" s="176"/>
      <c r="AD1402" s="176"/>
      <c r="AE1402" s="176"/>
      <c r="AF1402" s="176"/>
      <c r="AG1402" s="176"/>
    </row>
    <row r="1403" spans="3:33" s="160" customFormat="1">
      <c r="C1403" s="825"/>
      <c r="M1403" s="247"/>
      <c r="Y1403" s="176"/>
      <c r="Z1403" s="176"/>
      <c r="AA1403" s="176"/>
      <c r="AB1403" s="176"/>
      <c r="AC1403" s="176"/>
      <c r="AD1403" s="176"/>
      <c r="AE1403" s="176"/>
      <c r="AF1403" s="176"/>
      <c r="AG1403" s="176"/>
    </row>
    <row r="1404" spans="3:33" s="160" customFormat="1">
      <c r="C1404" s="825"/>
      <c r="M1404" s="247"/>
      <c r="Y1404" s="176"/>
      <c r="Z1404" s="176"/>
      <c r="AA1404" s="176"/>
      <c r="AB1404" s="176"/>
      <c r="AC1404" s="176"/>
      <c r="AD1404" s="176"/>
      <c r="AE1404" s="176"/>
      <c r="AF1404" s="176"/>
      <c r="AG1404" s="176"/>
    </row>
    <row r="1405" spans="3:33" s="160" customFormat="1">
      <c r="C1405" s="825"/>
      <c r="M1405" s="247"/>
      <c r="Y1405" s="176"/>
      <c r="Z1405" s="176"/>
      <c r="AA1405" s="176"/>
      <c r="AB1405" s="176"/>
      <c r="AC1405" s="176"/>
      <c r="AD1405" s="176"/>
      <c r="AE1405" s="176"/>
      <c r="AF1405" s="176"/>
      <c r="AG1405" s="176"/>
    </row>
    <row r="1406" spans="3:33" s="160" customFormat="1">
      <c r="C1406" s="825"/>
      <c r="M1406" s="247"/>
      <c r="Y1406" s="176"/>
      <c r="Z1406" s="176"/>
      <c r="AA1406" s="176"/>
      <c r="AB1406" s="176"/>
      <c r="AC1406" s="176"/>
      <c r="AD1406" s="176"/>
      <c r="AE1406" s="176"/>
      <c r="AF1406" s="176"/>
      <c r="AG1406" s="176"/>
    </row>
    <row r="1407" spans="3:33" s="160" customFormat="1">
      <c r="C1407" s="825"/>
      <c r="M1407" s="247"/>
      <c r="Y1407" s="176"/>
      <c r="Z1407" s="176"/>
      <c r="AA1407" s="176"/>
      <c r="AB1407" s="176"/>
      <c r="AC1407" s="176"/>
      <c r="AD1407" s="176"/>
      <c r="AE1407" s="176"/>
      <c r="AF1407" s="176"/>
      <c r="AG1407" s="176"/>
    </row>
    <row r="1408" spans="3:33" s="160" customFormat="1">
      <c r="C1408" s="825"/>
      <c r="M1408" s="247"/>
      <c r="Y1408" s="176"/>
      <c r="Z1408" s="176"/>
      <c r="AA1408" s="176"/>
      <c r="AB1408" s="176"/>
      <c r="AC1408" s="176"/>
      <c r="AD1408" s="176"/>
      <c r="AE1408" s="176"/>
      <c r="AF1408" s="176"/>
      <c r="AG1408" s="176"/>
    </row>
    <row r="1409" spans="3:33" s="160" customFormat="1">
      <c r="C1409" s="825"/>
      <c r="M1409" s="247"/>
      <c r="Y1409" s="176"/>
      <c r="Z1409" s="176"/>
      <c r="AA1409" s="176"/>
      <c r="AB1409" s="176"/>
      <c r="AC1409" s="176"/>
      <c r="AD1409" s="176"/>
      <c r="AE1409" s="176"/>
      <c r="AF1409" s="176"/>
      <c r="AG1409" s="176"/>
    </row>
    <row r="1410" spans="3:33" s="160" customFormat="1">
      <c r="C1410" s="825"/>
      <c r="M1410" s="247"/>
      <c r="Y1410" s="176"/>
      <c r="Z1410" s="176"/>
      <c r="AA1410" s="176"/>
      <c r="AB1410" s="176"/>
      <c r="AC1410" s="176"/>
      <c r="AD1410" s="176"/>
      <c r="AE1410" s="176"/>
      <c r="AF1410" s="176"/>
      <c r="AG1410" s="176"/>
    </row>
    <row r="1411" spans="3:33" s="160" customFormat="1">
      <c r="C1411" s="825"/>
      <c r="M1411" s="247"/>
      <c r="Y1411" s="176"/>
      <c r="Z1411" s="176"/>
      <c r="AA1411" s="176"/>
      <c r="AB1411" s="176"/>
      <c r="AC1411" s="176"/>
      <c r="AD1411" s="176"/>
      <c r="AE1411" s="176"/>
      <c r="AF1411" s="176"/>
      <c r="AG1411" s="176"/>
    </row>
    <row r="1412" spans="3:33" s="160" customFormat="1">
      <c r="C1412" s="825"/>
      <c r="M1412" s="247"/>
      <c r="Y1412" s="176"/>
      <c r="Z1412" s="176"/>
      <c r="AA1412" s="176"/>
      <c r="AB1412" s="176"/>
      <c r="AC1412" s="176"/>
      <c r="AD1412" s="176"/>
      <c r="AE1412" s="176"/>
      <c r="AF1412" s="176"/>
      <c r="AG1412" s="176"/>
    </row>
    <row r="1413" spans="3:33" s="160" customFormat="1">
      <c r="C1413" s="825"/>
      <c r="M1413" s="247"/>
      <c r="Y1413" s="176"/>
      <c r="Z1413" s="176"/>
      <c r="AA1413" s="176"/>
      <c r="AB1413" s="176"/>
      <c r="AC1413" s="176"/>
      <c r="AD1413" s="176"/>
      <c r="AE1413" s="176"/>
      <c r="AF1413" s="176"/>
      <c r="AG1413" s="176"/>
    </row>
    <row r="1414" spans="3:33" s="160" customFormat="1">
      <c r="C1414" s="825"/>
      <c r="M1414" s="247"/>
      <c r="Y1414" s="176"/>
      <c r="Z1414" s="176"/>
      <c r="AA1414" s="176"/>
      <c r="AB1414" s="176"/>
      <c r="AC1414" s="176"/>
      <c r="AD1414" s="176"/>
      <c r="AE1414" s="176"/>
      <c r="AF1414" s="176"/>
      <c r="AG1414" s="176"/>
    </row>
    <row r="1415" spans="3:33" s="160" customFormat="1">
      <c r="C1415" s="825"/>
      <c r="M1415" s="247"/>
      <c r="Y1415" s="176"/>
      <c r="Z1415" s="176"/>
      <c r="AA1415" s="176"/>
      <c r="AB1415" s="176"/>
      <c r="AC1415" s="176"/>
      <c r="AD1415" s="176"/>
      <c r="AE1415" s="176"/>
      <c r="AF1415" s="176"/>
      <c r="AG1415" s="176"/>
    </row>
    <row r="1416" spans="3:33" s="160" customFormat="1">
      <c r="C1416" s="825"/>
      <c r="M1416" s="247"/>
      <c r="Y1416" s="176"/>
      <c r="Z1416" s="176"/>
      <c r="AA1416" s="176"/>
      <c r="AB1416" s="176"/>
      <c r="AC1416" s="176"/>
      <c r="AD1416" s="176"/>
      <c r="AE1416" s="176"/>
      <c r="AF1416" s="176"/>
      <c r="AG1416" s="176"/>
    </row>
    <row r="1417" spans="3:33" s="160" customFormat="1">
      <c r="C1417" s="825"/>
      <c r="M1417" s="247"/>
      <c r="Y1417" s="176"/>
      <c r="Z1417" s="176"/>
      <c r="AA1417" s="176"/>
      <c r="AB1417" s="176"/>
      <c r="AC1417" s="176"/>
      <c r="AD1417" s="176"/>
      <c r="AE1417" s="176"/>
      <c r="AF1417" s="176"/>
      <c r="AG1417" s="176"/>
    </row>
    <row r="1418" spans="3:33" s="160" customFormat="1">
      <c r="C1418" s="825"/>
      <c r="M1418" s="247"/>
      <c r="Y1418" s="176"/>
      <c r="Z1418" s="176"/>
      <c r="AA1418" s="176"/>
      <c r="AB1418" s="176"/>
      <c r="AC1418" s="176"/>
      <c r="AD1418" s="176"/>
      <c r="AE1418" s="176"/>
      <c r="AF1418" s="176"/>
      <c r="AG1418" s="176"/>
    </row>
    <row r="1419" spans="3:33" s="160" customFormat="1">
      <c r="C1419" s="825"/>
      <c r="M1419" s="247"/>
      <c r="Y1419" s="176"/>
      <c r="Z1419" s="176"/>
      <c r="AA1419" s="176"/>
      <c r="AB1419" s="176"/>
      <c r="AC1419" s="176"/>
      <c r="AD1419" s="176"/>
      <c r="AE1419" s="176"/>
      <c r="AF1419" s="176"/>
      <c r="AG1419" s="176"/>
    </row>
    <row r="1420" spans="3:33" s="160" customFormat="1">
      <c r="C1420" s="825"/>
      <c r="M1420" s="247"/>
      <c r="Y1420" s="176"/>
      <c r="Z1420" s="176"/>
      <c r="AA1420" s="176"/>
      <c r="AB1420" s="176"/>
      <c r="AC1420" s="176"/>
      <c r="AD1420" s="176"/>
      <c r="AE1420" s="176"/>
      <c r="AF1420" s="176"/>
      <c r="AG1420" s="176"/>
    </row>
    <row r="1421" spans="3:33" s="160" customFormat="1">
      <c r="C1421" s="825"/>
      <c r="M1421" s="247"/>
      <c r="Y1421" s="176"/>
      <c r="Z1421" s="176"/>
      <c r="AA1421" s="176"/>
      <c r="AB1421" s="176"/>
      <c r="AC1421" s="176"/>
      <c r="AD1421" s="176"/>
      <c r="AE1421" s="176"/>
      <c r="AF1421" s="176"/>
      <c r="AG1421" s="176"/>
    </row>
    <row r="1422" spans="3:33" s="160" customFormat="1">
      <c r="C1422" s="825"/>
      <c r="M1422" s="247"/>
      <c r="Y1422" s="176"/>
      <c r="Z1422" s="176"/>
      <c r="AA1422" s="176"/>
      <c r="AB1422" s="176"/>
      <c r="AC1422" s="176"/>
      <c r="AD1422" s="176"/>
      <c r="AE1422" s="176"/>
      <c r="AF1422" s="176"/>
      <c r="AG1422" s="176"/>
    </row>
    <row r="1423" spans="3:33" s="160" customFormat="1">
      <c r="C1423" s="825"/>
      <c r="M1423" s="247"/>
      <c r="Y1423" s="176"/>
      <c r="Z1423" s="176"/>
      <c r="AA1423" s="176"/>
      <c r="AB1423" s="176"/>
      <c r="AC1423" s="176"/>
      <c r="AD1423" s="176"/>
      <c r="AE1423" s="176"/>
      <c r="AF1423" s="176"/>
      <c r="AG1423" s="176"/>
    </row>
    <row r="1424" spans="3:33" s="160" customFormat="1">
      <c r="C1424" s="825"/>
      <c r="M1424" s="247"/>
      <c r="Y1424" s="176"/>
      <c r="Z1424" s="176"/>
      <c r="AA1424" s="176"/>
      <c r="AB1424" s="176"/>
      <c r="AC1424" s="176"/>
      <c r="AD1424" s="176"/>
      <c r="AE1424" s="176"/>
      <c r="AF1424" s="176"/>
      <c r="AG1424" s="176"/>
    </row>
    <row r="1425" spans="3:33" s="160" customFormat="1">
      <c r="C1425" s="825"/>
      <c r="M1425" s="247"/>
      <c r="Y1425" s="176"/>
      <c r="Z1425" s="176"/>
      <c r="AA1425" s="176"/>
      <c r="AB1425" s="176"/>
      <c r="AC1425" s="176"/>
      <c r="AD1425" s="176"/>
      <c r="AE1425" s="176"/>
      <c r="AF1425" s="176"/>
      <c r="AG1425" s="176"/>
    </row>
    <row r="1426" spans="3:33" s="160" customFormat="1">
      <c r="C1426" s="825"/>
      <c r="M1426" s="247"/>
      <c r="Y1426" s="176"/>
      <c r="Z1426" s="176"/>
      <c r="AA1426" s="176"/>
      <c r="AB1426" s="176"/>
      <c r="AC1426" s="176"/>
      <c r="AD1426" s="176"/>
      <c r="AE1426" s="176"/>
      <c r="AF1426" s="176"/>
      <c r="AG1426" s="176"/>
    </row>
    <row r="1427" spans="3:33" s="160" customFormat="1">
      <c r="C1427" s="825"/>
      <c r="M1427" s="247"/>
      <c r="Y1427" s="176"/>
      <c r="Z1427" s="176"/>
      <c r="AA1427" s="176"/>
      <c r="AB1427" s="176"/>
      <c r="AC1427" s="176"/>
      <c r="AD1427" s="176"/>
      <c r="AE1427" s="176"/>
      <c r="AF1427" s="176"/>
      <c r="AG1427" s="176"/>
    </row>
    <row r="1428" spans="3:33" s="160" customFormat="1">
      <c r="C1428" s="825"/>
      <c r="M1428" s="247"/>
      <c r="Y1428" s="176"/>
      <c r="Z1428" s="176"/>
      <c r="AA1428" s="176"/>
      <c r="AB1428" s="176"/>
      <c r="AC1428" s="176"/>
      <c r="AD1428" s="176"/>
      <c r="AE1428" s="176"/>
      <c r="AF1428" s="176"/>
      <c r="AG1428" s="176"/>
    </row>
    <row r="1429" spans="3:33" s="160" customFormat="1">
      <c r="C1429" s="825"/>
      <c r="M1429" s="247"/>
      <c r="Y1429" s="176"/>
      <c r="Z1429" s="176"/>
      <c r="AA1429" s="176"/>
      <c r="AB1429" s="176"/>
      <c r="AC1429" s="176"/>
      <c r="AD1429" s="176"/>
      <c r="AE1429" s="176"/>
      <c r="AF1429" s="176"/>
      <c r="AG1429" s="176"/>
    </row>
    <row r="1430" spans="3:33" s="160" customFormat="1">
      <c r="C1430" s="825"/>
      <c r="M1430" s="247"/>
      <c r="Y1430" s="176"/>
      <c r="Z1430" s="176"/>
      <c r="AA1430" s="176"/>
      <c r="AB1430" s="176"/>
      <c r="AC1430" s="176"/>
      <c r="AD1430" s="176"/>
      <c r="AE1430" s="176"/>
      <c r="AF1430" s="176"/>
      <c r="AG1430" s="176"/>
    </row>
    <row r="1431" spans="3:33" s="160" customFormat="1">
      <c r="C1431" s="825"/>
      <c r="M1431" s="247"/>
      <c r="Y1431" s="176"/>
      <c r="Z1431" s="176"/>
      <c r="AA1431" s="176"/>
      <c r="AB1431" s="176"/>
      <c r="AC1431" s="176"/>
      <c r="AD1431" s="176"/>
      <c r="AE1431" s="176"/>
      <c r="AF1431" s="176"/>
      <c r="AG1431" s="176"/>
    </row>
    <row r="1432" spans="3:33" s="160" customFormat="1">
      <c r="C1432" s="825"/>
      <c r="M1432" s="247"/>
      <c r="Y1432" s="176"/>
      <c r="Z1432" s="176"/>
      <c r="AA1432" s="176"/>
      <c r="AB1432" s="176"/>
      <c r="AC1432" s="176"/>
      <c r="AD1432" s="176"/>
      <c r="AE1432" s="176"/>
      <c r="AF1432" s="176"/>
      <c r="AG1432" s="176"/>
    </row>
    <row r="1433" spans="3:33" s="160" customFormat="1">
      <c r="C1433" s="825"/>
      <c r="M1433" s="247"/>
      <c r="Y1433" s="176"/>
      <c r="Z1433" s="176"/>
      <c r="AA1433" s="176"/>
      <c r="AB1433" s="176"/>
      <c r="AC1433" s="176"/>
      <c r="AD1433" s="176"/>
      <c r="AE1433" s="176"/>
      <c r="AF1433" s="176"/>
      <c r="AG1433" s="176"/>
    </row>
    <row r="1434" spans="3:33" s="160" customFormat="1">
      <c r="C1434" s="825"/>
      <c r="M1434" s="247"/>
      <c r="Y1434" s="176"/>
      <c r="Z1434" s="176"/>
      <c r="AA1434" s="176"/>
      <c r="AB1434" s="176"/>
      <c r="AC1434" s="176"/>
      <c r="AD1434" s="176"/>
      <c r="AE1434" s="176"/>
      <c r="AF1434" s="176"/>
      <c r="AG1434" s="176"/>
    </row>
    <row r="1435" spans="3:33" s="160" customFormat="1">
      <c r="C1435" s="825"/>
      <c r="M1435" s="247"/>
      <c r="Y1435" s="176"/>
      <c r="Z1435" s="176"/>
      <c r="AA1435" s="176"/>
      <c r="AB1435" s="176"/>
      <c r="AC1435" s="176"/>
      <c r="AD1435" s="176"/>
      <c r="AE1435" s="176"/>
      <c r="AF1435" s="176"/>
      <c r="AG1435" s="176"/>
    </row>
    <row r="1436" spans="3:33" s="160" customFormat="1">
      <c r="C1436" s="825"/>
      <c r="M1436" s="247"/>
      <c r="Y1436" s="176"/>
      <c r="Z1436" s="176"/>
      <c r="AA1436" s="176"/>
      <c r="AB1436" s="176"/>
      <c r="AC1436" s="176"/>
      <c r="AD1436" s="176"/>
      <c r="AE1436" s="176"/>
      <c r="AF1436" s="176"/>
      <c r="AG1436" s="176"/>
    </row>
    <row r="1437" spans="3:33" s="160" customFormat="1">
      <c r="C1437" s="825"/>
      <c r="M1437" s="247"/>
      <c r="Y1437" s="176"/>
      <c r="Z1437" s="176"/>
      <c r="AA1437" s="176"/>
      <c r="AB1437" s="176"/>
      <c r="AC1437" s="176"/>
      <c r="AD1437" s="176"/>
      <c r="AE1437" s="176"/>
      <c r="AF1437" s="176"/>
      <c r="AG1437" s="176"/>
    </row>
    <row r="1438" spans="3:33" s="160" customFormat="1">
      <c r="C1438" s="825"/>
      <c r="M1438" s="247"/>
      <c r="Y1438" s="176"/>
      <c r="Z1438" s="176"/>
      <c r="AA1438" s="176"/>
      <c r="AB1438" s="176"/>
      <c r="AC1438" s="176"/>
      <c r="AD1438" s="176"/>
      <c r="AE1438" s="176"/>
      <c r="AF1438" s="176"/>
      <c r="AG1438" s="176"/>
    </row>
    <row r="1439" spans="3:33" s="160" customFormat="1">
      <c r="C1439" s="825"/>
      <c r="M1439" s="247"/>
      <c r="Y1439" s="176"/>
      <c r="Z1439" s="176"/>
      <c r="AA1439" s="176"/>
      <c r="AB1439" s="176"/>
      <c r="AC1439" s="176"/>
      <c r="AD1439" s="176"/>
      <c r="AE1439" s="176"/>
      <c r="AF1439" s="176"/>
      <c r="AG1439" s="176"/>
    </row>
    <row r="1440" spans="3:33" s="160" customFormat="1">
      <c r="C1440" s="825"/>
      <c r="M1440" s="247"/>
      <c r="Y1440" s="176"/>
      <c r="Z1440" s="176"/>
      <c r="AA1440" s="176"/>
      <c r="AB1440" s="176"/>
      <c r="AC1440" s="176"/>
      <c r="AD1440" s="176"/>
      <c r="AE1440" s="176"/>
      <c r="AF1440" s="176"/>
      <c r="AG1440" s="176"/>
    </row>
    <row r="1441" spans="3:33" s="160" customFormat="1">
      <c r="C1441" s="825"/>
      <c r="M1441" s="247"/>
      <c r="Y1441" s="176"/>
      <c r="Z1441" s="176"/>
      <c r="AA1441" s="176"/>
      <c r="AB1441" s="176"/>
      <c r="AC1441" s="176"/>
      <c r="AD1441" s="176"/>
      <c r="AE1441" s="176"/>
      <c r="AF1441" s="176"/>
      <c r="AG1441" s="176"/>
    </row>
    <row r="1442" spans="3:33" s="160" customFormat="1">
      <c r="C1442" s="825"/>
      <c r="M1442" s="247"/>
      <c r="Y1442" s="176"/>
      <c r="Z1442" s="176"/>
      <c r="AA1442" s="176"/>
      <c r="AB1442" s="176"/>
      <c r="AC1442" s="176"/>
      <c r="AD1442" s="176"/>
      <c r="AE1442" s="176"/>
      <c r="AF1442" s="176"/>
      <c r="AG1442" s="176"/>
    </row>
    <row r="1443" spans="3:33" s="160" customFormat="1">
      <c r="C1443" s="825"/>
      <c r="M1443" s="247"/>
      <c r="Y1443" s="176"/>
      <c r="Z1443" s="176"/>
      <c r="AA1443" s="176"/>
      <c r="AB1443" s="176"/>
      <c r="AC1443" s="176"/>
      <c r="AD1443" s="176"/>
      <c r="AE1443" s="176"/>
      <c r="AF1443" s="176"/>
      <c r="AG1443" s="176"/>
    </row>
    <row r="1444" spans="3:33" s="160" customFormat="1">
      <c r="C1444" s="825"/>
      <c r="M1444" s="247"/>
      <c r="Y1444" s="176"/>
      <c r="Z1444" s="176"/>
      <c r="AA1444" s="176"/>
      <c r="AB1444" s="176"/>
      <c r="AC1444" s="176"/>
      <c r="AD1444" s="176"/>
      <c r="AE1444" s="176"/>
      <c r="AF1444" s="176"/>
      <c r="AG1444" s="176"/>
    </row>
    <row r="1445" spans="3:33" s="160" customFormat="1">
      <c r="C1445" s="825"/>
      <c r="M1445" s="247"/>
      <c r="Y1445" s="176"/>
      <c r="Z1445" s="176"/>
      <c r="AA1445" s="176"/>
      <c r="AB1445" s="176"/>
      <c r="AC1445" s="176"/>
      <c r="AD1445" s="176"/>
      <c r="AE1445" s="176"/>
      <c r="AF1445" s="176"/>
      <c r="AG1445" s="176"/>
    </row>
    <row r="1446" spans="3:33" s="160" customFormat="1">
      <c r="C1446" s="825"/>
      <c r="M1446" s="247"/>
      <c r="Y1446" s="176"/>
      <c r="Z1446" s="176"/>
      <c r="AA1446" s="176"/>
      <c r="AB1446" s="176"/>
      <c r="AC1446" s="176"/>
      <c r="AD1446" s="176"/>
      <c r="AE1446" s="176"/>
      <c r="AF1446" s="176"/>
      <c r="AG1446" s="176"/>
    </row>
    <row r="1447" spans="3:33" s="160" customFormat="1">
      <c r="C1447" s="825"/>
      <c r="M1447" s="247"/>
      <c r="Y1447" s="176"/>
      <c r="Z1447" s="176"/>
      <c r="AA1447" s="176"/>
      <c r="AB1447" s="176"/>
      <c r="AC1447" s="176"/>
      <c r="AD1447" s="176"/>
      <c r="AE1447" s="176"/>
      <c r="AF1447" s="176"/>
      <c r="AG1447" s="176"/>
    </row>
    <row r="1448" spans="3:33" s="160" customFormat="1">
      <c r="C1448" s="825"/>
      <c r="M1448" s="247"/>
      <c r="Y1448" s="176"/>
      <c r="Z1448" s="176"/>
      <c r="AA1448" s="176"/>
      <c r="AB1448" s="176"/>
      <c r="AC1448" s="176"/>
      <c r="AD1448" s="176"/>
      <c r="AE1448" s="176"/>
      <c r="AF1448" s="176"/>
      <c r="AG1448" s="176"/>
    </row>
    <row r="1449" spans="3:33" s="160" customFormat="1">
      <c r="C1449" s="825"/>
      <c r="M1449" s="247"/>
      <c r="Y1449" s="176"/>
      <c r="Z1449" s="176"/>
      <c r="AA1449" s="176"/>
      <c r="AB1449" s="176"/>
      <c r="AC1449" s="176"/>
      <c r="AD1449" s="176"/>
      <c r="AE1449" s="176"/>
      <c r="AF1449" s="176"/>
      <c r="AG1449" s="176"/>
    </row>
    <row r="1450" spans="3:33" s="160" customFormat="1">
      <c r="C1450" s="825"/>
      <c r="M1450" s="247"/>
      <c r="Y1450" s="176"/>
      <c r="Z1450" s="176"/>
      <c r="AA1450" s="176"/>
      <c r="AB1450" s="176"/>
      <c r="AC1450" s="176"/>
      <c r="AD1450" s="176"/>
      <c r="AE1450" s="176"/>
      <c r="AF1450" s="176"/>
      <c r="AG1450" s="176"/>
    </row>
    <row r="1451" spans="3:33" s="160" customFormat="1">
      <c r="C1451" s="825"/>
      <c r="M1451" s="247"/>
      <c r="Y1451" s="176"/>
      <c r="Z1451" s="176"/>
      <c r="AA1451" s="176"/>
      <c r="AB1451" s="176"/>
      <c r="AC1451" s="176"/>
      <c r="AD1451" s="176"/>
      <c r="AE1451" s="176"/>
      <c r="AF1451" s="176"/>
      <c r="AG1451" s="176"/>
    </row>
    <row r="1452" spans="3:33" s="160" customFormat="1">
      <c r="C1452" s="825"/>
      <c r="M1452" s="247"/>
      <c r="Y1452" s="176"/>
      <c r="Z1452" s="176"/>
      <c r="AA1452" s="176"/>
      <c r="AB1452" s="176"/>
      <c r="AC1452" s="176"/>
      <c r="AD1452" s="176"/>
      <c r="AE1452" s="176"/>
      <c r="AF1452" s="176"/>
      <c r="AG1452" s="176"/>
    </row>
    <row r="1453" spans="3:33" s="160" customFormat="1">
      <c r="C1453" s="825"/>
      <c r="M1453" s="247"/>
      <c r="Y1453" s="176"/>
      <c r="Z1453" s="176"/>
      <c r="AA1453" s="176"/>
      <c r="AB1453" s="176"/>
      <c r="AC1453" s="176"/>
      <c r="AD1453" s="176"/>
      <c r="AE1453" s="176"/>
      <c r="AF1453" s="176"/>
      <c r="AG1453" s="176"/>
    </row>
    <row r="1454" spans="3:33" s="160" customFormat="1">
      <c r="C1454" s="825"/>
      <c r="M1454" s="247"/>
      <c r="Y1454" s="176"/>
      <c r="Z1454" s="176"/>
      <c r="AA1454" s="176"/>
      <c r="AB1454" s="176"/>
      <c r="AC1454" s="176"/>
      <c r="AD1454" s="176"/>
      <c r="AE1454" s="176"/>
      <c r="AF1454" s="176"/>
      <c r="AG1454" s="176"/>
    </row>
    <row r="1455" spans="3:33" s="160" customFormat="1">
      <c r="C1455" s="825"/>
      <c r="M1455" s="247"/>
      <c r="Y1455" s="176"/>
      <c r="Z1455" s="176"/>
      <c r="AA1455" s="176"/>
      <c r="AB1455" s="176"/>
      <c r="AC1455" s="176"/>
      <c r="AD1455" s="176"/>
      <c r="AE1455" s="176"/>
      <c r="AF1455" s="176"/>
      <c r="AG1455" s="176"/>
    </row>
    <row r="1456" spans="3:33" s="160" customFormat="1">
      <c r="C1456" s="825"/>
      <c r="M1456" s="247"/>
      <c r="Y1456" s="176"/>
      <c r="Z1456" s="176"/>
      <c r="AA1456" s="176"/>
      <c r="AB1456" s="176"/>
      <c r="AC1456" s="176"/>
      <c r="AD1456" s="176"/>
      <c r="AE1456" s="176"/>
      <c r="AF1456" s="176"/>
      <c r="AG1456" s="176"/>
    </row>
    <row r="1457" spans="3:33" s="160" customFormat="1">
      <c r="C1457" s="825"/>
      <c r="M1457" s="247"/>
      <c r="Y1457" s="176"/>
      <c r="Z1457" s="176"/>
      <c r="AA1457" s="176"/>
      <c r="AB1457" s="176"/>
      <c r="AC1457" s="176"/>
      <c r="AD1457" s="176"/>
      <c r="AE1457" s="176"/>
      <c r="AF1457" s="176"/>
      <c r="AG1457" s="176"/>
    </row>
    <row r="1458" spans="3:33" s="160" customFormat="1">
      <c r="C1458" s="825"/>
      <c r="M1458" s="247"/>
      <c r="Y1458" s="176"/>
      <c r="Z1458" s="176"/>
      <c r="AA1458" s="176"/>
      <c r="AB1458" s="176"/>
      <c r="AC1458" s="176"/>
      <c r="AD1458" s="176"/>
      <c r="AE1458" s="176"/>
      <c r="AF1458" s="176"/>
      <c r="AG1458" s="176"/>
    </row>
    <row r="1459" spans="3:33" s="160" customFormat="1">
      <c r="C1459" s="825"/>
      <c r="M1459" s="247"/>
      <c r="Y1459" s="176"/>
      <c r="Z1459" s="176"/>
      <c r="AA1459" s="176"/>
      <c r="AB1459" s="176"/>
      <c r="AC1459" s="176"/>
      <c r="AD1459" s="176"/>
      <c r="AE1459" s="176"/>
      <c r="AF1459" s="176"/>
      <c r="AG1459" s="176"/>
    </row>
    <row r="1460" spans="3:33" s="160" customFormat="1">
      <c r="C1460" s="825"/>
      <c r="M1460" s="247"/>
      <c r="Y1460" s="176"/>
      <c r="Z1460" s="176"/>
      <c r="AA1460" s="176"/>
      <c r="AB1460" s="176"/>
      <c r="AC1460" s="176"/>
      <c r="AD1460" s="176"/>
      <c r="AE1460" s="176"/>
      <c r="AF1460" s="176"/>
      <c r="AG1460" s="176"/>
    </row>
    <row r="1461" spans="3:33" s="160" customFormat="1">
      <c r="C1461" s="825"/>
      <c r="M1461" s="247"/>
      <c r="Y1461" s="176"/>
      <c r="Z1461" s="176"/>
      <c r="AA1461" s="176"/>
      <c r="AB1461" s="176"/>
      <c r="AC1461" s="176"/>
      <c r="AD1461" s="176"/>
      <c r="AE1461" s="176"/>
      <c r="AF1461" s="176"/>
      <c r="AG1461" s="176"/>
    </row>
    <row r="1462" spans="3:33" s="160" customFormat="1">
      <c r="C1462" s="825"/>
      <c r="M1462" s="247"/>
      <c r="Y1462" s="176"/>
      <c r="Z1462" s="176"/>
      <c r="AA1462" s="176"/>
      <c r="AB1462" s="176"/>
      <c r="AC1462" s="176"/>
      <c r="AD1462" s="176"/>
      <c r="AE1462" s="176"/>
      <c r="AF1462" s="176"/>
      <c r="AG1462" s="176"/>
    </row>
    <row r="1463" spans="3:33" s="160" customFormat="1">
      <c r="C1463" s="825"/>
      <c r="M1463" s="247"/>
      <c r="Y1463" s="176"/>
      <c r="Z1463" s="176"/>
      <c r="AA1463" s="176"/>
      <c r="AB1463" s="176"/>
      <c r="AC1463" s="176"/>
      <c r="AD1463" s="176"/>
      <c r="AE1463" s="176"/>
      <c r="AF1463" s="176"/>
      <c r="AG1463" s="176"/>
    </row>
    <row r="1464" spans="3:33" s="160" customFormat="1">
      <c r="C1464" s="825"/>
      <c r="M1464" s="247"/>
      <c r="Y1464" s="176"/>
      <c r="Z1464" s="176"/>
      <c r="AA1464" s="176"/>
      <c r="AB1464" s="176"/>
      <c r="AC1464" s="176"/>
      <c r="AD1464" s="176"/>
      <c r="AE1464" s="176"/>
      <c r="AF1464" s="176"/>
      <c r="AG1464" s="176"/>
    </row>
    <row r="1465" spans="3:33" s="160" customFormat="1">
      <c r="C1465" s="825"/>
      <c r="M1465" s="247"/>
      <c r="Y1465" s="176"/>
      <c r="Z1465" s="176"/>
      <c r="AA1465" s="176"/>
      <c r="AB1465" s="176"/>
      <c r="AC1465" s="176"/>
      <c r="AD1465" s="176"/>
      <c r="AE1465" s="176"/>
      <c r="AF1465" s="176"/>
      <c r="AG1465" s="176"/>
    </row>
    <row r="1466" spans="3:33" s="160" customFormat="1">
      <c r="C1466" s="825"/>
      <c r="M1466" s="247"/>
      <c r="Y1466" s="176"/>
      <c r="Z1466" s="176"/>
      <c r="AA1466" s="176"/>
      <c r="AB1466" s="176"/>
      <c r="AC1466" s="176"/>
      <c r="AD1466" s="176"/>
      <c r="AE1466" s="176"/>
      <c r="AF1466" s="176"/>
      <c r="AG1466" s="176"/>
    </row>
    <row r="1467" spans="3:33" s="160" customFormat="1">
      <c r="C1467" s="825"/>
      <c r="M1467" s="247"/>
      <c r="Y1467" s="176"/>
      <c r="Z1467" s="176"/>
      <c r="AA1467" s="176"/>
      <c r="AB1467" s="176"/>
      <c r="AC1467" s="176"/>
      <c r="AD1467" s="176"/>
      <c r="AE1467" s="176"/>
      <c r="AF1467" s="176"/>
      <c r="AG1467" s="176"/>
    </row>
    <row r="1468" spans="3:33" s="160" customFormat="1">
      <c r="C1468" s="825"/>
      <c r="M1468" s="247"/>
      <c r="Y1468" s="176"/>
      <c r="Z1468" s="176"/>
      <c r="AA1468" s="176"/>
      <c r="AB1468" s="176"/>
      <c r="AC1468" s="176"/>
      <c r="AD1468" s="176"/>
      <c r="AE1468" s="176"/>
      <c r="AF1468" s="176"/>
      <c r="AG1468" s="176"/>
    </row>
    <row r="1469" spans="3:33" s="160" customFormat="1">
      <c r="C1469" s="825"/>
      <c r="M1469" s="247"/>
      <c r="Y1469" s="176"/>
      <c r="Z1469" s="176"/>
      <c r="AA1469" s="176"/>
      <c r="AB1469" s="176"/>
      <c r="AC1469" s="176"/>
      <c r="AD1469" s="176"/>
      <c r="AE1469" s="176"/>
      <c r="AF1469" s="176"/>
      <c r="AG1469" s="176"/>
    </row>
    <row r="1470" spans="3:33" s="160" customFormat="1">
      <c r="C1470" s="825"/>
      <c r="M1470" s="247"/>
      <c r="Y1470" s="176"/>
      <c r="Z1470" s="176"/>
      <c r="AA1470" s="176"/>
      <c r="AB1470" s="176"/>
      <c r="AC1470" s="176"/>
      <c r="AD1470" s="176"/>
      <c r="AE1470" s="176"/>
      <c r="AF1470" s="176"/>
      <c r="AG1470" s="176"/>
    </row>
    <row r="1471" spans="3:33" s="160" customFormat="1">
      <c r="C1471" s="825"/>
      <c r="M1471" s="247"/>
      <c r="Y1471" s="176"/>
      <c r="Z1471" s="176"/>
      <c r="AA1471" s="176"/>
      <c r="AB1471" s="176"/>
      <c r="AC1471" s="176"/>
      <c r="AD1471" s="176"/>
      <c r="AE1471" s="176"/>
      <c r="AF1471" s="176"/>
      <c r="AG1471" s="176"/>
    </row>
    <row r="1472" spans="3:33" s="160" customFormat="1">
      <c r="C1472" s="825"/>
      <c r="M1472" s="247"/>
      <c r="Y1472" s="176"/>
      <c r="Z1472" s="176"/>
      <c r="AA1472" s="176"/>
      <c r="AB1472" s="176"/>
      <c r="AC1472" s="176"/>
      <c r="AD1472" s="176"/>
      <c r="AE1472" s="176"/>
      <c r="AF1472" s="176"/>
      <c r="AG1472" s="176"/>
    </row>
    <row r="1473" spans="3:33" s="160" customFormat="1">
      <c r="C1473" s="825"/>
      <c r="M1473" s="247"/>
      <c r="Y1473" s="176"/>
      <c r="Z1473" s="176"/>
      <c r="AA1473" s="176"/>
      <c r="AB1473" s="176"/>
      <c r="AC1473" s="176"/>
      <c r="AD1473" s="176"/>
      <c r="AE1473" s="176"/>
      <c r="AF1473" s="176"/>
      <c r="AG1473" s="176"/>
    </row>
    <row r="1474" spans="3:33" s="160" customFormat="1">
      <c r="C1474" s="825"/>
      <c r="M1474" s="247"/>
      <c r="Y1474" s="176"/>
      <c r="Z1474" s="176"/>
      <c r="AA1474" s="176"/>
      <c r="AB1474" s="176"/>
      <c r="AC1474" s="176"/>
      <c r="AD1474" s="176"/>
      <c r="AE1474" s="176"/>
      <c r="AF1474" s="176"/>
      <c r="AG1474" s="176"/>
    </row>
    <row r="1475" spans="3:33" s="160" customFormat="1">
      <c r="C1475" s="825"/>
      <c r="M1475" s="247"/>
      <c r="Y1475" s="176"/>
      <c r="Z1475" s="176"/>
      <c r="AA1475" s="176"/>
      <c r="AB1475" s="176"/>
      <c r="AC1475" s="176"/>
      <c r="AD1475" s="176"/>
      <c r="AE1475" s="176"/>
      <c r="AF1475" s="176"/>
      <c r="AG1475" s="176"/>
    </row>
    <row r="1476" spans="3:33" s="160" customFormat="1">
      <c r="C1476" s="825"/>
      <c r="M1476" s="247"/>
      <c r="Y1476" s="176"/>
      <c r="Z1476" s="176"/>
      <c r="AA1476" s="176"/>
      <c r="AB1476" s="176"/>
      <c r="AC1476" s="176"/>
      <c r="AD1476" s="176"/>
      <c r="AE1476" s="176"/>
      <c r="AF1476" s="176"/>
      <c r="AG1476" s="176"/>
    </row>
    <row r="1477" spans="3:33" s="160" customFormat="1">
      <c r="C1477" s="825"/>
      <c r="M1477" s="247"/>
      <c r="Y1477" s="176"/>
      <c r="Z1477" s="176"/>
      <c r="AA1477" s="176"/>
      <c r="AB1477" s="176"/>
      <c r="AC1477" s="176"/>
      <c r="AD1477" s="176"/>
      <c r="AE1477" s="176"/>
      <c r="AF1477" s="176"/>
      <c r="AG1477" s="176"/>
    </row>
    <row r="1478" spans="3:33" s="160" customFormat="1">
      <c r="C1478" s="825"/>
      <c r="M1478" s="247"/>
      <c r="Y1478" s="176"/>
      <c r="Z1478" s="176"/>
      <c r="AA1478" s="176"/>
      <c r="AB1478" s="176"/>
      <c r="AC1478" s="176"/>
      <c r="AD1478" s="176"/>
      <c r="AE1478" s="176"/>
      <c r="AF1478" s="176"/>
      <c r="AG1478" s="176"/>
    </row>
    <row r="1479" spans="3:33" s="160" customFormat="1">
      <c r="C1479" s="825"/>
      <c r="M1479" s="247"/>
      <c r="Y1479" s="176"/>
      <c r="Z1479" s="176"/>
      <c r="AA1479" s="176"/>
      <c r="AB1479" s="176"/>
      <c r="AC1479" s="176"/>
      <c r="AD1479" s="176"/>
      <c r="AE1479" s="176"/>
      <c r="AF1479" s="176"/>
      <c r="AG1479" s="176"/>
    </row>
    <row r="1480" spans="3:33" s="160" customFormat="1">
      <c r="C1480" s="825"/>
      <c r="M1480" s="247"/>
      <c r="Y1480" s="176"/>
      <c r="Z1480" s="176"/>
      <c r="AA1480" s="176"/>
      <c r="AB1480" s="176"/>
      <c r="AC1480" s="176"/>
      <c r="AD1480" s="176"/>
      <c r="AE1480" s="176"/>
      <c r="AF1480" s="176"/>
      <c r="AG1480" s="176"/>
    </row>
    <row r="1481" spans="3:33" s="160" customFormat="1">
      <c r="C1481" s="825"/>
      <c r="M1481" s="247"/>
      <c r="Y1481" s="176"/>
      <c r="Z1481" s="176"/>
      <c r="AA1481" s="176"/>
      <c r="AB1481" s="176"/>
      <c r="AC1481" s="176"/>
      <c r="AD1481" s="176"/>
      <c r="AE1481" s="176"/>
      <c r="AF1481" s="176"/>
      <c r="AG1481" s="176"/>
    </row>
    <row r="1482" spans="3:33" s="160" customFormat="1">
      <c r="C1482" s="825"/>
      <c r="M1482" s="247"/>
      <c r="Y1482" s="176"/>
      <c r="Z1482" s="176"/>
      <c r="AA1482" s="176"/>
      <c r="AB1482" s="176"/>
      <c r="AC1482" s="176"/>
      <c r="AD1482" s="176"/>
      <c r="AE1482" s="176"/>
      <c r="AF1482" s="176"/>
      <c r="AG1482" s="176"/>
    </row>
    <row r="1483" spans="3:33" s="160" customFormat="1">
      <c r="C1483" s="825"/>
      <c r="M1483" s="247"/>
      <c r="Y1483" s="176"/>
      <c r="Z1483" s="176"/>
      <c r="AA1483" s="176"/>
      <c r="AB1483" s="176"/>
      <c r="AC1483" s="176"/>
      <c r="AD1483" s="176"/>
      <c r="AE1483" s="176"/>
      <c r="AF1483" s="176"/>
      <c r="AG1483" s="176"/>
    </row>
    <row r="1484" spans="3:33" s="160" customFormat="1">
      <c r="C1484" s="825"/>
      <c r="M1484" s="247"/>
      <c r="Y1484" s="176"/>
      <c r="Z1484" s="176"/>
      <c r="AA1484" s="176"/>
      <c r="AB1484" s="176"/>
      <c r="AC1484" s="176"/>
      <c r="AD1484" s="176"/>
      <c r="AE1484" s="176"/>
      <c r="AF1484" s="176"/>
      <c r="AG1484" s="176"/>
    </row>
    <row r="1485" spans="3:33" s="160" customFormat="1">
      <c r="C1485" s="825"/>
      <c r="M1485" s="247"/>
      <c r="Y1485" s="176"/>
      <c r="Z1485" s="176"/>
      <c r="AA1485" s="176"/>
      <c r="AB1485" s="176"/>
      <c r="AC1485" s="176"/>
      <c r="AD1485" s="176"/>
      <c r="AE1485" s="176"/>
      <c r="AF1485" s="176"/>
      <c r="AG1485" s="176"/>
    </row>
    <row r="1486" spans="3:33" s="160" customFormat="1">
      <c r="C1486" s="825"/>
      <c r="M1486" s="247"/>
      <c r="Y1486" s="176"/>
      <c r="Z1486" s="176"/>
      <c r="AA1486" s="176"/>
      <c r="AB1486" s="176"/>
      <c r="AC1486" s="176"/>
      <c r="AD1486" s="176"/>
      <c r="AE1486" s="176"/>
      <c r="AF1486" s="176"/>
      <c r="AG1486" s="176"/>
    </row>
    <row r="1487" spans="3:33" s="160" customFormat="1">
      <c r="C1487" s="825"/>
      <c r="M1487" s="247"/>
      <c r="Y1487" s="176"/>
      <c r="Z1487" s="176"/>
      <c r="AA1487" s="176"/>
      <c r="AB1487" s="176"/>
      <c r="AC1487" s="176"/>
      <c r="AD1487" s="176"/>
      <c r="AE1487" s="176"/>
      <c r="AF1487" s="176"/>
      <c r="AG1487" s="176"/>
    </row>
    <row r="1488" spans="3:33" s="160" customFormat="1">
      <c r="C1488" s="825"/>
      <c r="M1488" s="247"/>
      <c r="Y1488" s="176"/>
      <c r="Z1488" s="176"/>
      <c r="AA1488" s="176"/>
      <c r="AB1488" s="176"/>
      <c r="AC1488" s="176"/>
      <c r="AD1488" s="176"/>
      <c r="AE1488" s="176"/>
      <c r="AF1488" s="176"/>
      <c r="AG1488" s="176"/>
    </row>
    <row r="1489" spans="3:33" s="160" customFormat="1">
      <c r="C1489" s="825"/>
      <c r="M1489" s="247"/>
      <c r="Y1489" s="176"/>
      <c r="Z1489" s="176"/>
      <c r="AA1489" s="176"/>
      <c r="AB1489" s="176"/>
      <c r="AC1489" s="176"/>
      <c r="AD1489" s="176"/>
      <c r="AE1489" s="176"/>
      <c r="AF1489" s="176"/>
      <c r="AG1489" s="176"/>
    </row>
    <row r="1490" spans="3:33" s="160" customFormat="1">
      <c r="C1490" s="825"/>
      <c r="M1490" s="247"/>
      <c r="Y1490" s="176"/>
      <c r="Z1490" s="176"/>
      <c r="AA1490" s="176"/>
      <c r="AB1490" s="176"/>
      <c r="AC1490" s="176"/>
      <c r="AD1490" s="176"/>
      <c r="AE1490" s="176"/>
      <c r="AF1490" s="176"/>
      <c r="AG1490" s="176"/>
    </row>
    <row r="1491" spans="3:33" s="160" customFormat="1">
      <c r="C1491" s="825"/>
      <c r="M1491" s="247"/>
      <c r="Y1491" s="176"/>
      <c r="Z1491" s="176"/>
      <c r="AA1491" s="176"/>
      <c r="AB1491" s="176"/>
      <c r="AC1491" s="176"/>
      <c r="AD1491" s="176"/>
      <c r="AE1491" s="176"/>
      <c r="AF1491" s="176"/>
      <c r="AG1491" s="176"/>
    </row>
    <row r="1492" spans="3:33" s="160" customFormat="1">
      <c r="C1492" s="825"/>
      <c r="M1492" s="247"/>
      <c r="Y1492" s="176"/>
      <c r="Z1492" s="176"/>
      <c r="AA1492" s="176"/>
      <c r="AB1492" s="176"/>
      <c r="AC1492" s="176"/>
      <c r="AD1492" s="176"/>
      <c r="AE1492" s="176"/>
      <c r="AF1492" s="176"/>
      <c r="AG1492" s="176"/>
    </row>
    <row r="1493" spans="3:33" s="160" customFormat="1">
      <c r="C1493" s="825"/>
      <c r="M1493" s="247"/>
      <c r="Y1493" s="176"/>
      <c r="Z1493" s="176"/>
      <c r="AA1493" s="176"/>
      <c r="AB1493" s="176"/>
      <c r="AC1493" s="176"/>
      <c r="AD1493" s="176"/>
      <c r="AE1493" s="176"/>
      <c r="AF1493" s="176"/>
      <c r="AG1493" s="176"/>
    </row>
    <row r="1494" spans="3:33" s="160" customFormat="1">
      <c r="C1494" s="825"/>
      <c r="M1494" s="247"/>
      <c r="Y1494" s="176"/>
      <c r="Z1494" s="176"/>
      <c r="AA1494" s="176"/>
      <c r="AB1494" s="176"/>
      <c r="AC1494" s="176"/>
      <c r="AD1494" s="176"/>
      <c r="AE1494" s="176"/>
      <c r="AF1494" s="176"/>
      <c r="AG1494" s="176"/>
    </row>
    <row r="1495" spans="3:33" s="160" customFormat="1">
      <c r="C1495" s="825"/>
      <c r="M1495" s="247"/>
      <c r="Y1495" s="176"/>
      <c r="Z1495" s="176"/>
      <c r="AA1495" s="176"/>
      <c r="AB1495" s="176"/>
      <c r="AC1495" s="176"/>
      <c r="AD1495" s="176"/>
      <c r="AE1495" s="176"/>
      <c r="AF1495" s="176"/>
      <c r="AG1495" s="176"/>
    </row>
    <row r="1496" spans="3:33" s="160" customFormat="1">
      <c r="C1496" s="825"/>
      <c r="M1496" s="247"/>
      <c r="Y1496" s="176"/>
      <c r="Z1496" s="176"/>
      <c r="AA1496" s="176"/>
      <c r="AB1496" s="176"/>
      <c r="AC1496" s="176"/>
      <c r="AD1496" s="176"/>
      <c r="AE1496" s="176"/>
      <c r="AF1496" s="176"/>
      <c r="AG1496" s="176"/>
    </row>
    <row r="1497" spans="3:33" s="160" customFormat="1">
      <c r="C1497" s="825"/>
      <c r="M1497" s="247"/>
      <c r="Y1497" s="176"/>
      <c r="Z1497" s="176"/>
      <c r="AA1497" s="176"/>
      <c r="AB1497" s="176"/>
      <c r="AC1497" s="176"/>
      <c r="AD1497" s="176"/>
      <c r="AE1497" s="176"/>
      <c r="AF1497" s="176"/>
      <c r="AG1497" s="176"/>
    </row>
    <row r="1498" spans="3:33" s="160" customFormat="1">
      <c r="C1498" s="825"/>
      <c r="M1498" s="247"/>
      <c r="Y1498" s="176"/>
      <c r="Z1498" s="176"/>
      <c r="AA1498" s="176"/>
      <c r="AB1498" s="176"/>
      <c r="AC1498" s="176"/>
      <c r="AD1498" s="176"/>
      <c r="AE1498" s="176"/>
      <c r="AF1498" s="176"/>
      <c r="AG1498" s="176"/>
    </row>
    <row r="1499" spans="3:33" s="160" customFormat="1">
      <c r="C1499" s="825"/>
      <c r="M1499" s="247"/>
      <c r="Y1499" s="176"/>
      <c r="Z1499" s="176"/>
      <c r="AA1499" s="176"/>
      <c r="AB1499" s="176"/>
      <c r="AC1499" s="176"/>
      <c r="AD1499" s="176"/>
      <c r="AE1499" s="176"/>
      <c r="AF1499" s="176"/>
      <c r="AG1499" s="176"/>
    </row>
    <row r="1500" spans="3:33" s="160" customFormat="1">
      <c r="C1500" s="825"/>
      <c r="M1500" s="247"/>
      <c r="Y1500" s="176"/>
      <c r="Z1500" s="176"/>
      <c r="AA1500" s="176"/>
      <c r="AB1500" s="176"/>
      <c r="AC1500" s="176"/>
      <c r="AD1500" s="176"/>
      <c r="AE1500" s="176"/>
      <c r="AF1500" s="176"/>
      <c r="AG1500" s="176"/>
    </row>
    <row r="1501" spans="3:33" s="160" customFormat="1">
      <c r="C1501" s="825"/>
      <c r="M1501" s="247"/>
      <c r="Y1501" s="176"/>
      <c r="Z1501" s="176"/>
      <c r="AA1501" s="176"/>
      <c r="AB1501" s="176"/>
      <c r="AC1501" s="176"/>
      <c r="AD1501" s="176"/>
      <c r="AE1501" s="176"/>
      <c r="AF1501" s="176"/>
      <c r="AG1501" s="176"/>
    </row>
    <row r="1502" spans="3:33" s="160" customFormat="1">
      <c r="C1502" s="825"/>
      <c r="M1502" s="247"/>
      <c r="Y1502" s="176"/>
      <c r="Z1502" s="176"/>
      <c r="AA1502" s="176"/>
      <c r="AB1502" s="176"/>
      <c r="AC1502" s="176"/>
      <c r="AD1502" s="176"/>
      <c r="AE1502" s="176"/>
      <c r="AF1502" s="176"/>
      <c r="AG1502" s="176"/>
    </row>
    <row r="1503" spans="3:33" s="160" customFormat="1">
      <c r="C1503" s="825"/>
      <c r="M1503" s="247"/>
      <c r="Y1503" s="176"/>
      <c r="Z1503" s="176"/>
      <c r="AA1503" s="176"/>
      <c r="AB1503" s="176"/>
      <c r="AC1503" s="176"/>
      <c r="AD1503" s="176"/>
      <c r="AE1503" s="176"/>
      <c r="AF1503" s="176"/>
      <c r="AG1503" s="176"/>
    </row>
    <row r="1504" spans="3:33" s="160" customFormat="1">
      <c r="C1504" s="825"/>
      <c r="M1504" s="247"/>
      <c r="Y1504" s="176"/>
      <c r="Z1504" s="176"/>
      <c r="AA1504" s="176"/>
      <c r="AB1504" s="176"/>
      <c r="AC1504" s="176"/>
      <c r="AD1504" s="176"/>
      <c r="AE1504" s="176"/>
      <c r="AF1504" s="176"/>
      <c r="AG1504" s="176"/>
    </row>
    <row r="1505" spans="3:33" s="160" customFormat="1">
      <c r="C1505" s="825"/>
      <c r="M1505" s="247"/>
      <c r="Y1505" s="176"/>
      <c r="Z1505" s="176"/>
      <c r="AA1505" s="176"/>
      <c r="AB1505" s="176"/>
      <c r="AC1505" s="176"/>
      <c r="AD1505" s="176"/>
      <c r="AE1505" s="176"/>
      <c r="AF1505" s="176"/>
      <c r="AG1505" s="176"/>
    </row>
    <row r="1506" spans="3:33" s="160" customFormat="1">
      <c r="C1506" s="825"/>
      <c r="M1506" s="247"/>
      <c r="Y1506" s="176"/>
      <c r="Z1506" s="176"/>
      <c r="AA1506" s="176"/>
      <c r="AB1506" s="176"/>
      <c r="AC1506" s="176"/>
      <c r="AD1506" s="176"/>
      <c r="AE1506" s="176"/>
      <c r="AF1506" s="176"/>
      <c r="AG1506" s="176"/>
    </row>
    <row r="1507" spans="3:33" s="160" customFormat="1">
      <c r="C1507" s="825"/>
      <c r="M1507" s="247"/>
      <c r="Y1507" s="176"/>
      <c r="Z1507" s="176"/>
      <c r="AA1507" s="176"/>
      <c r="AB1507" s="176"/>
      <c r="AC1507" s="176"/>
      <c r="AD1507" s="176"/>
      <c r="AE1507" s="176"/>
      <c r="AF1507" s="176"/>
      <c r="AG1507" s="176"/>
    </row>
    <row r="1508" spans="3:33" s="160" customFormat="1">
      <c r="C1508" s="825"/>
      <c r="M1508" s="247"/>
      <c r="Y1508" s="176"/>
      <c r="Z1508" s="176"/>
      <c r="AA1508" s="176"/>
      <c r="AB1508" s="176"/>
      <c r="AC1508" s="176"/>
      <c r="AD1508" s="176"/>
      <c r="AE1508" s="176"/>
      <c r="AF1508" s="176"/>
      <c r="AG1508" s="176"/>
    </row>
    <row r="1509" spans="3:33" s="160" customFormat="1">
      <c r="C1509" s="825"/>
      <c r="M1509" s="247"/>
      <c r="Y1509" s="176"/>
      <c r="Z1509" s="176"/>
      <c r="AA1509" s="176"/>
      <c r="AB1509" s="176"/>
      <c r="AC1509" s="176"/>
      <c r="AD1509" s="176"/>
      <c r="AE1509" s="176"/>
      <c r="AF1509" s="176"/>
      <c r="AG1509" s="176"/>
    </row>
    <row r="1510" spans="3:33" s="160" customFormat="1">
      <c r="C1510" s="825"/>
      <c r="M1510" s="247"/>
      <c r="Y1510" s="176"/>
      <c r="Z1510" s="176"/>
      <c r="AA1510" s="176"/>
      <c r="AB1510" s="176"/>
      <c r="AC1510" s="176"/>
      <c r="AD1510" s="176"/>
      <c r="AE1510" s="176"/>
      <c r="AF1510" s="176"/>
      <c r="AG1510" s="176"/>
    </row>
    <row r="1511" spans="3:33" s="160" customFormat="1">
      <c r="C1511" s="825"/>
      <c r="M1511" s="247"/>
      <c r="Y1511" s="176"/>
      <c r="Z1511" s="176"/>
      <c r="AA1511" s="176"/>
      <c r="AB1511" s="176"/>
      <c r="AC1511" s="176"/>
      <c r="AD1511" s="176"/>
      <c r="AE1511" s="176"/>
      <c r="AF1511" s="176"/>
      <c r="AG1511" s="176"/>
    </row>
    <row r="1512" spans="3:33" s="160" customFormat="1">
      <c r="C1512" s="825"/>
      <c r="M1512" s="247"/>
      <c r="Y1512" s="176"/>
      <c r="Z1512" s="176"/>
      <c r="AA1512" s="176"/>
      <c r="AB1512" s="176"/>
      <c r="AC1512" s="176"/>
      <c r="AD1512" s="176"/>
      <c r="AE1512" s="176"/>
      <c r="AF1512" s="176"/>
      <c r="AG1512" s="176"/>
    </row>
    <row r="1513" spans="3:33" s="160" customFormat="1">
      <c r="C1513" s="825"/>
      <c r="M1513" s="247"/>
      <c r="Y1513" s="176"/>
      <c r="Z1513" s="176"/>
      <c r="AA1513" s="176"/>
      <c r="AB1513" s="176"/>
      <c r="AC1513" s="176"/>
      <c r="AD1513" s="176"/>
      <c r="AE1513" s="176"/>
      <c r="AF1513" s="176"/>
      <c r="AG1513" s="176"/>
    </row>
    <row r="1514" spans="3:33" s="160" customFormat="1">
      <c r="C1514" s="825"/>
      <c r="M1514" s="247"/>
      <c r="Y1514" s="176"/>
      <c r="Z1514" s="176"/>
      <c r="AA1514" s="176"/>
      <c r="AB1514" s="176"/>
      <c r="AC1514" s="176"/>
      <c r="AD1514" s="176"/>
      <c r="AE1514" s="176"/>
      <c r="AF1514" s="176"/>
      <c r="AG1514" s="176"/>
    </row>
    <row r="1515" spans="3:33" s="160" customFormat="1">
      <c r="C1515" s="825"/>
      <c r="M1515" s="247"/>
      <c r="Y1515" s="176"/>
      <c r="Z1515" s="176"/>
      <c r="AA1515" s="176"/>
      <c r="AB1515" s="176"/>
      <c r="AC1515" s="176"/>
      <c r="AD1515" s="176"/>
      <c r="AE1515" s="176"/>
      <c r="AF1515" s="176"/>
      <c r="AG1515" s="176"/>
    </row>
    <row r="1516" spans="3:33" s="160" customFormat="1">
      <c r="C1516" s="825"/>
      <c r="M1516" s="247"/>
      <c r="Y1516" s="176"/>
      <c r="Z1516" s="176"/>
      <c r="AA1516" s="176"/>
      <c r="AB1516" s="176"/>
      <c r="AC1516" s="176"/>
      <c r="AD1516" s="176"/>
      <c r="AE1516" s="176"/>
      <c r="AF1516" s="176"/>
      <c r="AG1516" s="176"/>
    </row>
    <row r="1517" spans="3:33" s="160" customFormat="1">
      <c r="C1517" s="825"/>
      <c r="M1517" s="247"/>
      <c r="Y1517" s="176"/>
      <c r="Z1517" s="176"/>
      <c r="AA1517" s="176"/>
      <c r="AB1517" s="176"/>
      <c r="AC1517" s="176"/>
      <c r="AD1517" s="176"/>
      <c r="AE1517" s="176"/>
      <c r="AF1517" s="176"/>
      <c r="AG1517" s="176"/>
    </row>
    <row r="1518" spans="3:33" s="160" customFormat="1">
      <c r="C1518" s="825"/>
      <c r="M1518" s="247"/>
      <c r="Y1518" s="176"/>
      <c r="Z1518" s="176"/>
      <c r="AA1518" s="176"/>
      <c r="AB1518" s="176"/>
      <c r="AC1518" s="176"/>
      <c r="AD1518" s="176"/>
      <c r="AE1518" s="176"/>
      <c r="AF1518" s="176"/>
      <c r="AG1518" s="176"/>
    </row>
    <row r="1519" spans="3:33" s="160" customFormat="1">
      <c r="C1519" s="825"/>
      <c r="M1519" s="247"/>
      <c r="Y1519" s="176"/>
      <c r="Z1519" s="176"/>
      <c r="AA1519" s="176"/>
      <c r="AB1519" s="176"/>
      <c r="AC1519" s="176"/>
      <c r="AD1519" s="176"/>
      <c r="AE1519" s="176"/>
      <c r="AF1519" s="176"/>
      <c r="AG1519" s="176"/>
    </row>
    <row r="1520" spans="3:33" s="160" customFormat="1">
      <c r="C1520" s="825"/>
      <c r="M1520" s="247"/>
      <c r="Y1520" s="176"/>
      <c r="Z1520" s="176"/>
      <c r="AA1520" s="176"/>
      <c r="AB1520" s="176"/>
      <c r="AC1520" s="176"/>
      <c r="AD1520" s="176"/>
      <c r="AE1520" s="176"/>
      <c r="AF1520" s="176"/>
      <c r="AG1520" s="176"/>
    </row>
    <row r="1521" spans="3:33" s="160" customFormat="1">
      <c r="C1521" s="825"/>
      <c r="M1521" s="247"/>
      <c r="Y1521" s="176"/>
      <c r="Z1521" s="176"/>
      <c r="AA1521" s="176"/>
      <c r="AB1521" s="176"/>
      <c r="AC1521" s="176"/>
      <c r="AD1521" s="176"/>
      <c r="AE1521" s="176"/>
      <c r="AF1521" s="176"/>
      <c r="AG1521" s="176"/>
    </row>
    <row r="1522" spans="3:33" s="160" customFormat="1">
      <c r="C1522" s="825"/>
      <c r="M1522" s="247"/>
      <c r="Y1522" s="176"/>
      <c r="Z1522" s="176"/>
      <c r="AA1522" s="176"/>
      <c r="AB1522" s="176"/>
      <c r="AC1522" s="176"/>
      <c r="AD1522" s="176"/>
      <c r="AE1522" s="176"/>
      <c r="AF1522" s="176"/>
      <c r="AG1522" s="176"/>
    </row>
    <row r="1523" spans="3:33" s="160" customFormat="1">
      <c r="C1523" s="825"/>
      <c r="M1523" s="247"/>
      <c r="Y1523" s="176"/>
      <c r="Z1523" s="176"/>
      <c r="AA1523" s="176"/>
      <c r="AB1523" s="176"/>
      <c r="AC1523" s="176"/>
      <c r="AD1523" s="176"/>
      <c r="AE1523" s="176"/>
      <c r="AF1523" s="176"/>
      <c r="AG1523" s="176"/>
    </row>
    <row r="1524" spans="3:33" s="160" customFormat="1">
      <c r="C1524" s="825"/>
      <c r="M1524" s="247"/>
      <c r="Y1524" s="176"/>
      <c r="Z1524" s="176"/>
      <c r="AA1524" s="176"/>
      <c r="AB1524" s="176"/>
      <c r="AC1524" s="176"/>
      <c r="AD1524" s="176"/>
      <c r="AE1524" s="176"/>
      <c r="AF1524" s="176"/>
      <c r="AG1524" s="176"/>
    </row>
    <row r="1525" spans="3:33" s="160" customFormat="1">
      <c r="C1525" s="825"/>
      <c r="M1525" s="247"/>
      <c r="Y1525" s="176"/>
      <c r="Z1525" s="176"/>
      <c r="AA1525" s="176"/>
      <c r="AB1525" s="176"/>
      <c r="AC1525" s="176"/>
      <c r="AD1525" s="176"/>
      <c r="AE1525" s="176"/>
      <c r="AF1525" s="176"/>
      <c r="AG1525" s="176"/>
    </row>
    <row r="1526" spans="3:33" s="160" customFormat="1">
      <c r="C1526" s="825"/>
      <c r="M1526" s="247"/>
      <c r="Y1526" s="176"/>
      <c r="Z1526" s="176"/>
      <c r="AA1526" s="176"/>
      <c r="AB1526" s="176"/>
      <c r="AC1526" s="176"/>
      <c r="AD1526" s="176"/>
      <c r="AE1526" s="176"/>
      <c r="AF1526" s="176"/>
      <c r="AG1526" s="176"/>
    </row>
    <row r="1527" spans="3:33" s="160" customFormat="1">
      <c r="C1527" s="825"/>
      <c r="M1527" s="247"/>
      <c r="Y1527" s="176"/>
      <c r="Z1527" s="176"/>
      <c r="AA1527" s="176"/>
      <c r="AB1527" s="176"/>
      <c r="AC1527" s="176"/>
      <c r="AD1527" s="176"/>
      <c r="AE1527" s="176"/>
      <c r="AF1527" s="176"/>
      <c r="AG1527" s="176"/>
    </row>
    <row r="1528" spans="3:33" s="160" customFormat="1">
      <c r="C1528" s="825"/>
      <c r="M1528" s="247"/>
      <c r="Y1528" s="176"/>
      <c r="Z1528" s="176"/>
      <c r="AA1528" s="176"/>
      <c r="AB1528" s="176"/>
      <c r="AC1528" s="176"/>
      <c r="AD1528" s="176"/>
      <c r="AE1528" s="176"/>
      <c r="AF1528" s="176"/>
      <c r="AG1528" s="176"/>
    </row>
    <row r="1529" spans="3:33" s="160" customFormat="1">
      <c r="C1529" s="825"/>
      <c r="M1529" s="247"/>
      <c r="Y1529" s="176"/>
      <c r="Z1529" s="176"/>
      <c r="AA1529" s="176"/>
      <c r="AB1529" s="176"/>
      <c r="AC1529" s="176"/>
      <c r="AD1529" s="176"/>
      <c r="AE1529" s="176"/>
      <c r="AF1529" s="176"/>
      <c r="AG1529" s="176"/>
    </row>
    <row r="1530" spans="3:33" s="160" customFormat="1">
      <c r="C1530" s="825"/>
      <c r="M1530" s="247"/>
      <c r="Y1530" s="176"/>
      <c r="Z1530" s="176"/>
      <c r="AA1530" s="176"/>
      <c r="AB1530" s="176"/>
      <c r="AC1530" s="176"/>
      <c r="AD1530" s="176"/>
      <c r="AE1530" s="176"/>
      <c r="AF1530" s="176"/>
      <c r="AG1530" s="176"/>
    </row>
    <row r="1531" spans="3:33" s="160" customFormat="1">
      <c r="C1531" s="825"/>
      <c r="M1531" s="247"/>
      <c r="Y1531" s="176"/>
      <c r="Z1531" s="176"/>
      <c r="AA1531" s="176"/>
      <c r="AB1531" s="176"/>
      <c r="AC1531" s="176"/>
      <c r="AD1531" s="176"/>
      <c r="AE1531" s="176"/>
      <c r="AF1531" s="176"/>
      <c r="AG1531" s="176"/>
    </row>
    <row r="1532" spans="3:33" s="160" customFormat="1">
      <c r="C1532" s="825"/>
      <c r="M1532" s="247"/>
      <c r="Y1532" s="176"/>
      <c r="Z1532" s="176"/>
      <c r="AA1532" s="176"/>
      <c r="AB1532" s="176"/>
      <c r="AC1532" s="176"/>
      <c r="AD1532" s="176"/>
      <c r="AE1532" s="176"/>
      <c r="AF1532" s="176"/>
      <c r="AG1532" s="176"/>
    </row>
    <row r="1533" spans="3:33" s="160" customFormat="1">
      <c r="C1533" s="825"/>
      <c r="M1533" s="247"/>
      <c r="Y1533" s="176"/>
      <c r="Z1533" s="176"/>
      <c r="AA1533" s="176"/>
      <c r="AB1533" s="176"/>
      <c r="AC1533" s="176"/>
      <c r="AD1533" s="176"/>
      <c r="AE1533" s="176"/>
      <c r="AF1533" s="176"/>
      <c r="AG1533" s="176"/>
    </row>
    <row r="1534" spans="3:33" s="160" customFormat="1">
      <c r="C1534" s="825"/>
      <c r="M1534" s="247"/>
      <c r="Y1534" s="176"/>
      <c r="Z1534" s="176"/>
      <c r="AA1534" s="176"/>
      <c r="AB1534" s="176"/>
      <c r="AC1534" s="176"/>
      <c r="AD1534" s="176"/>
      <c r="AE1534" s="176"/>
      <c r="AF1534" s="176"/>
      <c r="AG1534" s="176"/>
    </row>
    <row r="1535" spans="3:33" s="160" customFormat="1">
      <c r="C1535" s="825"/>
      <c r="M1535" s="247"/>
      <c r="Y1535" s="176"/>
      <c r="Z1535" s="176"/>
      <c r="AA1535" s="176"/>
      <c r="AB1535" s="176"/>
      <c r="AC1535" s="176"/>
      <c r="AD1535" s="176"/>
      <c r="AE1535" s="176"/>
      <c r="AF1535" s="176"/>
      <c r="AG1535" s="176"/>
    </row>
    <row r="1536" spans="3:33" s="160" customFormat="1">
      <c r="C1536" s="825"/>
      <c r="M1536" s="247"/>
      <c r="Y1536" s="176"/>
      <c r="Z1536" s="176"/>
      <c r="AA1536" s="176"/>
      <c r="AB1536" s="176"/>
      <c r="AC1536" s="176"/>
      <c r="AD1536" s="176"/>
      <c r="AE1536" s="176"/>
      <c r="AF1536" s="176"/>
      <c r="AG1536" s="176"/>
    </row>
    <row r="1537" spans="3:33" s="160" customFormat="1">
      <c r="C1537" s="825"/>
      <c r="M1537" s="247"/>
      <c r="Y1537" s="176"/>
      <c r="Z1537" s="176"/>
      <c r="AA1537" s="176"/>
      <c r="AB1537" s="176"/>
      <c r="AC1537" s="176"/>
      <c r="AD1537" s="176"/>
      <c r="AE1537" s="176"/>
      <c r="AF1537" s="176"/>
      <c r="AG1537" s="176"/>
    </row>
    <row r="1538" spans="3:33" s="160" customFormat="1">
      <c r="C1538" s="825"/>
      <c r="M1538" s="247"/>
      <c r="Y1538" s="176"/>
      <c r="Z1538" s="176"/>
      <c r="AA1538" s="176"/>
      <c r="AB1538" s="176"/>
      <c r="AC1538" s="176"/>
      <c r="AD1538" s="176"/>
      <c r="AE1538" s="176"/>
      <c r="AF1538" s="176"/>
      <c r="AG1538" s="176"/>
    </row>
    <row r="1539" spans="3:33" s="160" customFormat="1">
      <c r="C1539" s="825"/>
      <c r="M1539" s="247"/>
      <c r="Y1539" s="176"/>
      <c r="Z1539" s="176"/>
      <c r="AA1539" s="176"/>
      <c r="AB1539" s="176"/>
      <c r="AC1539" s="176"/>
      <c r="AD1539" s="176"/>
      <c r="AE1539" s="176"/>
      <c r="AF1539" s="176"/>
      <c r="AG1539" s="176"/>
    </row>
    <row r="1540" spans="3:33" s="160" customFormat="1">
      <c r="C1540" s="825"/>
      <c r="M1540" s="247"/>
      <c r="Y1540" s="176"/>
      <c r="Z1540" s="176"/>
      <c r="AA1540" s="176"/>
      <c r="AB1540" s="176"/>
      <c r="AC1540" s="176"/>
      <c r="AD1540" s="176"/>
      <c r="AE1540" s="176"/>
      <c r="AF1540" s="176"/>
      <c r="AG1540" s="176"/>
    </row>
    <row r="1541" spans="3:33" s="160" customFormat="1">
      <c r="C1541" s="825"/>
      <c r="M1541" s="247"/>
      <c r="Y1541" s="176"/>
      <c r="Z1541" s="176"/>
      <c r="AA1541" s="176"/>
      <c r="AB1541" s="176"/>
      <c r="AC1541" s="176"/>
      <c r="AD1541" s="176"/>
      <c r="AE1541" s="176"/>
      <c r="AF1541" s="176"/>
      <c r="AG1541" s="176"/>
    </row>
    <row r="1542" spans="3:33" s="160" customFormat="1">
      <c r="C1542" s="825"/>
      <c r="M1542" s="247"/>
      <c r="Y1542" s="176"/>
      <c r="Z1542" s="176"/>
      <c r="AA1542" s="176"/>
      <c r="AB1542" s="176"/>
      <c r="AC1542" s="176"/>
      <c r="AD1542" s="176"/>
      <c r="AE1542" s="176"/>
      <c r="AF1542" s="176"/>
      <c r="AG1542" s="176"/>
    </row>
    <row r="1543" spans="3:33" s="160" customFormat="1">
      <c r="C1543" s="825"/>
      <c r="M1543" s="247"/>
      <c r="Y1543" s="176"/>
      <c r="Z1543" s="176"/>
      <c r="AA1543" s="176"/>
      <c r="AB1543" s="176"/>
      <c r="AC1543" s="176"/>
      <c r="AD1543" s="176"/>
      <c r="AE1543" s="176"/>
      <c r="AF1543" s="176"/>
      <c r="AG1543" s="176"/>
    </row>
    <row r="1544" spans="3:33" s="160" customFormat="1">
      <c r="C1544" s="825"/>
      <c r="M1544" s="247"/>
      <c r="Y1544" s="176"/>
      <c r="Z1544" s="176"/>
      <c r="AA1544" s="176"/>
      <c r="AB1544" s="176"/>
      <c r="AC1544" s="176"/>
      <c r="AD1544" s="176"/>
      <c r="AE1544" s="176"/>
      <c r="AF1544" s="176"/>
      <c r="AG1544" s="176"/>
    </row>
    <row r="1545" spans="3:33" s="160" customFormat="1">
      <c r="C1545" s="825"/>
      <c r="M1545" s="247"/>
      <c r="Y1545" s="176"/>
      <c r="Z1545" s="176"/>
      <c r="AA1545" s="176"/>
      <c r="AB1545" s="176"/>
      <c r="AC1545" s="176"/>
      <c r="AD1545" s="176"/>
      <c r="AE1545" s="176"/>
      <c r="AF1545" s="176"/>
      <c r="AG1545" s="176"/>
    </row>
    <row r="1546" spans="3:33" s="160" customFormat="1">
      <c r="C1546" s="825"/>
      <c r="M1546" s="247"/>
      <c r="Y1546" s="176"/>
      <c r="Z1546" s="176"/>
      <c r="AA1546" s="176"/>
      <c r="AB1546" s="176"/>
      <c r="AC1546" s="176"/>
      <c r="AD1546" s="176"/>
      <c r="AE1546" s="176"/>
      <c r="AF1546" s="176"/>
      <c r="AG1546" s="176"/>
    </row>
    <row r="1547" spans="3:33" s="160" customFormat="1">
      <c r="C1547" s="825"/>
      <c r="M1547" s="247"/>
      <c r="Y1547" s="176"/>
      <c r="Z1547" s="176"/>
      <c r="AA1547" s="176"/>
      <c r="AB1547" s="176"/>
      <c r="AC1547" s="176"/>
      <c r="AD1547" s="176"/>
      <c r="AE1547" s="176"/>
      <c r="AF1547" s="176"/>
      <c r="AG1547" s="176"/>
    </row>
    <row r="1548" spans="3:33" s="160" customFormat="1">
      <c r="C1548" s="825"/>
      <c r="M1548" s="247"/>
      <c r="Y1548" s="176"/>
      <c r="Z1548" s="176"/>
      <c r="AA1548" s="176"/>
      <c r="AB1548" s="176"/>
      <c r="AC1548" s="176"/>
      <c r="AD1548" s="176"/>
      <c r="AE1548" s="176"/>
      <c r="AF1548" s="176"/>
      <c r="AG1548" s="176"/>
    </row>
    <row r="1549" spans="3:33" s="160" customFormat="1">
      <c r="C1549" s="825"/>
      <c r="M1549" s="247"/>
      <c r="Y1549" s="176"/>
      <c r="Z1549" s="176"/>
      <c r="AA1549" s="176"/>
      <c r="AB1549" s="176"/>
      <c r="AC1549" s="176"/>
      <c r="AD1549" s="176"/>
      <c r="AE1549" s="176"/>
      <c r="AF1549" s="176"/>
      <c r="AG1549" s="176"/>
    </row>
    <row r="1550" spans="3:33" s="160" customFormat="1">
      <c r="C1550" s="825"/>
      <c r="M1550" s="247"/>
      <c r="Y1550" s="176"/>
      <c r="Z1550" s="176"/>
      <c r="AA1550" s="176"/>
      <c r="AB1550" s="176"/>
      <c r="AC1550" s="176"/>
      <c r="AD1550" s="176"/>
      <c r="AE1550" s="176"/>
      <c r="AF1550" s="176"/>
      <c r="AG1550" s="176"/>
    </row>
    <row r="1551" spans="3:33" s="160" customFormat="1">
      <c r="C1551" s="825"/>
      <c r="M1551" s="247"/>
      <c r="Y1551" s="176"/>
      <c r="Z1551" s="176"/>
      <c r="AA1551" s="176"/>
      <c r="AB1551" s="176"/>
      <c r="AC1551" s="176"/>
      <c r="AD1551" s="176"/>
      <c r="AE1551" s="176"/>
      <c r="AF1551" s="176"/>
      <c r="AG1551" s="176"/>
    </row>
    <row r="1552" spans="3:33" s="160" customFormat="1">
      <c r="C1552" s="825"/>
      <c r="M1552" s="247"/>
      <c r="Y1552" s="176"/>
      <c r="Z1552" s="176"/>
      <c r="AA1552" s="176"/>
      <c r="AB1552" s="176"/>
      <c r="AC1552" s="176"/>
      <c r="AD1552" s="176"/>
      <c r="AE1552" s="176"/>
      <c r="AF1552" s="176"/>
      <c r="AG1552" s="176"/>
    </row>
    <row r="1553" spans="3:33" s="160" customFormat="1">
      <c r="C1553" s="825"/>
      <c r="M1553" s="247"/>
      <c r="Y1553" s="176"/>
      <c r="Z1553" s="176"/>
      <c r="AA1553" s="176"/>
      <c r="AB1553" s="176"/>
      <c r="AC1553" s="176"/>
      <c r="AD1553" s="176"/>
      <c r="AE1553" s="176"/>
      <c r="AF1553" s="176"/>
      <c r="AG1553" s="176"/>
    </row>
    <row r="1554" spans="3:33" s="160" customFormat="1">
      <c r="C1554" s="825"/>
      <c r="M1554" s="247"/>
      <c r="Y1554" s="176"/>
      <c r="Z1554" s="176"/>
      <c r="AA1554" s="176"/>
      <c r="AB1554" s="176"/>
      <c r="AC1554" s="176"/>
      <c r="AD1554" s="176"/>
      <c r="AE1554" s="176"/>
      <c r="AF1554" s="176"/>
      <c r="AG1554" s="176"/>
    </row>
    <row r="1555" spans="3:33" s="160" customFormat="1">
      <c r="C1555" s="825"/>
      <c r="M1555" s="247"/>
      <c r="Y1555" s="176"/>
      <c r="Z1555" s="176"/>
      <c r="AA1555" s="176"/>
      <c r="AB1555" s="176"/>
      <c r="AC1555" s="176"/>
      <c r="AD1555" s="176"/>
      <c r="AE1555" s="176"/>
      <c r="AF1555" s="176"/>
      <c r="AG1555" s="176"/>
    </row>
    <row r="1556" spans="3:33" s="160" customFormat="1">
      <c r="C1556" s="825"/>
      <c r="M1556" s="247"/>
      <c r="Y1556" s="176"/>
      <c r="Z1556" s="176"/>
      <c r="AA1556" s="176"/>
      <c r="AB1556" s="176"/>
      <c r="AC1556" s="176"/>
      <c r="AD1556" s="176"/>
      <c r="AE1556" s="176"/>
      <c r="AF1556" s="176"/>
      <c r="AG1556" s="176"/>
    </row>
    <row r="1557" spans="3:33" s="160" customFormat="1">
      <c r="C1557" s="825"/>
      <c r="M1557" s="247"/>
      <c r="Y1557" s="176"/>
      <c r="Z1557" s="176"/>
      <c r="AA1557" s="176"/>
      <c r="AB1557" s="176"/>
      <c r="AC1557" s="176"/>
      <c r="AD1557" s="176"/>
      <c r="AE1557" s="176"/>
      <c r="AF1557" s="176"/>
      <c r="AG1557" s="176"/>
    </row>
    <row r="1558" spans="3:33" s="160" customFormat="1">
      <c r="C1558" s="825"/>
      <c r="M1558" s="247"/>
      <c r="Y1558" s="176"/>
      <c r="Z1558" s="176"/>
      <c r="AA1558" s="176"/>
      <c r="AB1558" s="176"/>
      <c r="AC1558" s="176"/>
      <c r="AD1558" s="176"/>
      <c r="AE1558" s="176"/>
      <c r="AF1558" s="176"/>
      <c r="AG1558" s="176"/>
    </row>
    <row r="1559" spans="3:33" s="160" customFormat="1">
      <c r="C1559" s="825"/>
      <c r="M1559" s="247"/>
      <c r="Y1559" s="176"/>
      <c r="Z1559" s="176"/>
      <c r="AA1559" s="176"/>
      <c r="AB1559" s="176"/>
      <c r="AC1559" s="176"/>
      <c r="AD1559" s="176"/>
      <c r="AE1559" s="176"/>
      <c r="AF1559" s="176"/>
      <c r="AG1559" s="176"/>
    </row>
    <row r="1560" spans="3:33" s="160" customFormat="1">
      <c r="C1560" s="825"/>
      <c r="M1560" s="247"/>
      <c r="Y1560" s="176"/>
      <c r="Z1560" s="176"/>
      <c r="AA1560" s="176"/>
      <c r="AB1560" s="176"/>
      <c r="AC1560" s="176"/>
      <c r="AD1560" s="176"/>
      <c r="AE1560" s="176"/>
      <c r="AF1560" s="176"/>
      <c r="AG1560" s="176"/>
    </row>
    <row r="1561" spans="3:33" s="160" customFormat="1">
      <c r="C1561" s="825"/>
      <c r="M1561" s="247"/>
      <c r="Y1561" s="176"/>
      <c r="Z1561" s="176"/>
      <c r="AA1561" s="176"/>
      <c r="AB1561" s="176"/>
      <c r="AC1561" s="176"/>
      <c r="AD1561" s="176"/>
      <c r="AE1561" s="176"/>
      <c r="AF1561" s="176"/>
      <c r="AG1561" s="176"/>
    </row>
    <row r="1562" spans="3:33" s="160" customFormat="1">
      <c r="C1562" s="825"/>
      <c r="M1562" s="247"/>
      <c r="Y1562" s="176"/>
      <c r="Z1562" s="176"/>
      <c r="AA1562" s="176"/>
      <c r="AB1562" s="176"/>
      <c r="AC1562" s="176"/>
      <c r="AD1562" s="176"/>
      <c r="AE1562" s="176"/>
      <c r="AF1562" s="176"/>
      <c r="AG1562" s="176"/>
    </row>
    <row r="1563" spans="3:33" s="160" customFormat="1">
      <c r="C1563" s="825"/>
      <c r="M1563" s="247"/>
      <c r="Y1563" s="176"/>
      <c r="Z1563" s="176"/>
      <c r="AA1563" s="176"/>
      <c r="AB1563" s="176"/>
      <c r="AC1563" s="176"/>
      <c r="AD1563" s="176"/>
      <c r="AE1563" s="176"/>
      <c r="AF1563" s="176"/>
      <c r="AG1563" s="176"/>
    </row>
    <row r="1564" spans="3:33" s="160" customFormat="1">
      <c r="C1564" s="825"/>
      <c r="M1564" s="247"/>
      <c r="Y1564" s="176"/>
      <c r="Z1564" s="176"/>
      <c r="AA1564" s="176"/>
      <c r="AB1564" s="176"/>
      <c r="AC1564" s="176"/>
      <c r="AD1564" s="176"/>
      <c r="AE1564" s="176"/>
      <c r="AF1564" s="176"/>
      <c r="AG1564" s="176"/>
    </row>
    <row r="1565" spans="3:33" s="160" customFormat="1">
      <c r="C1565" s="825"/>
      <c r="M1565" s="247"/>
      <c r="Y1565" s="176"/>
      <c r="Z1565" s="176"/>
      <c r="AA1565" s="176"/>
      <c r="AB1565" s="176"/>
      <c r="AC1565" s="176"/>
      <c r="AD1565" s="176"/>
      <c r="AE1565" s="176"/>
      <c r="AF1565" s="176"/>
      <c r="AG1565" s="176"/>
    </row>
    <row r="1566" spans="3:33" s="160" customFormat="1">
      <c r="C1566" s="825"/>
      <c r="M1566" s="247"/>
      <c r="Y1566" s="176"/>
      <c r="Z1566" s="176"/>
      <c r="AA1566" s="176"/>
      <c r="AB1566" s="176"/>
      <c r="AC1566" s="176"/>
      <c r="AD1566" s="176"/>
      <c r="AE1566" s="176"/>
      <c r="AF1566" s="176"/>
      <c r="AG1566" s="176"/>
    </row>
    <row r="1567" spans="3:33" s="160" customFormat="1">
      <c r="C1567" s="825"/>
      <c r="M1567" s="247"/>
      <c r="Y1567" s="176"/>
      <c r="Z1567" s="176"/>
      <c r="AA1567" s="176"/>
      <c r="AB1567" s="176"/>
      <c r="AC1567" s="176"/>
      <c r="AD1567" s="176"/>
      <c r="AE1567" s="176"/>
      <c r="AF1567" s="176"/>
      <c r="AG1567" s="176"/>
    </row>
    <row r="1568" spans="3:33" s="160" customFormat="1">
      <c r="C1568" s="825"/>
      <c r="M1568" s="247"/>
      <c r="Y1568" s="176"/>
      <c r="Z1568" s="176"/>
      <c r="AA1568" s="176"/>
      <c r="AB1568" s="176"/>
      <c r="AC1568" s="176"/>
      <c r="AD1568" s="176"/>
      <c r="AE1568" s="176"/>
      <c r="AF1568" s="176"/>
      <c r="AG1568" s="176"/>
    </row>
    <row r="1569" spans="3:33" s="160" customFormat="1">
      <c r="C1569" s="825"/>
      <c r="M1569" s="247"/>
      <c r="Y1569" s="176"/>
      <c r="Z1569" s="176"/>
      <c r="AA1569" s="176"/>
      <c r="AB1569" s="176"/>
      <c r="AC1569" s="176"/>
      <c r="AD1569" s="176"/>
      <c r="AE1569" s="176"/>
      <c r="AF1569" s="176"/>
      <c r="AG1569" s="176"/>
    </row>
    <row r="1570" spans="3:33" s="160" customFormat="1">
      <c r="C1570" s="825"/>
      <c r="M1570" s="247"/>
      <c r="Y1570" s="176"/>
      <c r="Z1570" s="176"/>
      <c r="AA1570" s="176"/>
      <c r="AB1570" s="176"/>
      <c r="AC1570" s="176"/>
      <c r="AD1570" s="176"/>
      <c r="AE1570" s="176"/>
      <c r="AF1570" s="176"/>
      <c r="AG1570" s="176"/>
    </row>
    <row r="1571" spans="3:33" s="160" customFormat="1">
      <c r="C1571" s="825"/>
      <c r="M1571" s="247"/>
      <c r="Y1571" s="176"/>
      <c r="Z1571" s="176"/>
      <c r="AA1571" s="176"/>
      <c r="AB1571" s="176"/>
      <c r="AC1571" s="176"/>
      <c r="AD1571" s="176"/>
      <c r="AE1571" s="176"/>
      <c r="AF1571" s="176"/>
      <c r="AG1571" s="176"/>
    </row>
    <row r="1572" spans="3:33" s="160" customFormat="1">
      <c r="C1572" s="825"/>
      <c r="M1572" s="247"/>
      <c r="Y1572" s="176"/>
      <c r="Z1572" s="176"/>
      <c r="AA1572" s="176"/>
      <c r="AB1572" s="176"/>
      <c r="AC1572" s="176"/>
      <c r="AD1572" s="176"/>
      <c r="AE1572" s="176"/>
      <c r="AF1572" s="176"/>
      <c r="AG1572" s="176"/>
    </row>
    <row r="1573" spans="3:33" s="160" customFormat="1">
      <c r="C1573" s="825"/>
      <c r="M1573" s="247"/>
      <c r="Y1573" s="176"/>
      <c r="Z1573" s="176"/>
      <c r="AA1573" s="176"/>
      <c r="AB1573" s="176"/>
      <c r="AC1573" s="176"/>
      <c r="AD1573" s="176"/>
      <c r="AE1573" s="176"/>
      <c r="AF1573" s="176"/>
      <c r="AG1573" s="176"/>
    </row>
    <row r="1574" spans="3:33" s="160" customFormat="1">
      <c r="C1574" s="825"/>
      <c r="M1574" s="247"/>
      <c r="Y1574" s="176"/>
      <c r="Z1574" s="176"/>
      <c r="AA1574" s="176"/>
      <c r="AB1574" s="176"/>
      <c r="AC1574" s="176"/>
      <c r="AD1574" s="176"/>
      <c r="AE1574" s="176"/>
      <c r="AF1574" s="176"/>
      <c r="AG1574" s="176"/>
    </row>
    <row r="1575" spans="3:33" s="160" customFormat="1">
      <c r="C1575" s="825"/>
      <c r="M1575" s="247"/>
      <c r="Y1575" s="176"/>
      <c r="Z1575" s="176"/>
      <c r="AA1575" s="176"/>
      <c r="AB1575" s="176"/>
      <c r="AC1575" s="176"/>
      <c r="AD1575" s="176"/>
      <c r="AE1575" s="176"/>
      <c r="AF1575" s="176"/>
      <c r="AG1575" s="176"/>
    </row>
    <row r="1576" spans="3:33" s="160" customFormat="1">
      <c r="C1576" s="825"/>
      <c r="M1576" s="247"/>
      <c r="Y1576" s="176"/>
      <c r="Z1576" s="176"/>
      <c r="AA1576" s="176"/>
      <c r="AB1576" s="176"/>
      <c r="AC1576" s="176"/>
      <c r="AD1576" s="176"/>
      <c r="AE1576" s="176"/>
      <c r="AF1576" s="176"/>
      <c r="AG1576" s="176"/>
    </row>
    <row r="1577" spans="3:33" s="160" customFormat="1">
      <c r="C1577" s="825"/>
      <c r="M1577" s="247"/>
      <c r="Y1577" s="176"/>
      <c r="Z1577" s="176"/>
      <c r="AA1577" s="176"/>
      <c r="AB1577" s="176"/>
      <c r="AC1577" s="176"/>
      <c r="AD1577" s="176"/>
      <c r="AE1577" s="176"/>
      <c r="AF1577" s="176"/>
      <c r="AG1577" s="176"/>
    </row>
    <row r="1578" spans="3:33" s="160" customFormat="1">
      <c r="C1578" s="825"/>
      <c r="M1578" s="247"/>
      <c r="Y1578" s="176"/>
      <c r="Z1578" s="176"/>
      <c r="AA1578" s="176"/>
      <c r="AB1578" s="176"/>
      <c r="AC1578" s="176"/>
      <c r="AD1578" s="176"/>
      <c r="AE1578" s="176"/>
      <c r="AF1578" s="176"/>
      <c r="AG1578" s="176"/>
    </row>
    <row r="1579" spans="3:33" s="160" customFormat="1">
      <c r="C1579" s="825"/>
      <c r="M1579" s="247"/>
      <c r="Y1579" s="176"/>
      <c r="Z1579" s="176"/>
      <c r="AA1579" s="176"/>
      <c r="AB1579" s="176"/>
      <c r="AC1579" s="176"/>
      <c r="AD1579" s="176"/>
      <c r="AE1579" s="176"/>
      <c r="AF1579" s="176"/>
      <c r="AG1579" s="176"/>
    </row>
    <row r="1580" spans="3:33" s="160" customFormat="1">
      <c r="C1580" s="825"/>
      <c r="M1580" s="247"/>
      <c r="Y1580" s="176"/>
      <c r="Z1580" s="176"/>
      <c r="AA1580" s="176"/>
      <c r="AB1580" s="176"/>
      <c r="AC1580" s="176"/>
      <c r="AD1580" s="176"/>
      <c r="AE1580" s="176"/>
      <c r="AF1580" s="176"/>
      <c r="AG1580" s="176"/>
    </row>
    <row r="1581" spans="3:33" s="160" customFormat="1">
      <c r="C1581" s="825"/>
      <c r="M1581" s="247"/>
      <c r="Y1581" s="176"/>
      <c r="Z1581" s="176"/>
      <c r="AA1581" s="176"/>
      <c r="AB1581" s="176"/>
      <c r="AC1581" s="176"/>
      <c r="AD1581" s="176"/>
      <c r="AE1581" s="176"/>
      <c r="AF1581" s="176"/>
      <c r="AG1581" s="176"/>
    </row>
    <row r="1582" spans="3:33" s="160" customFormat="1">
      <c r="C1582" s="825"/>
      <c r="M1582" s="247"/>
      <c r="Y1582" s="176"/>
      <c r="Z1582" s="176"/>
      <c r="AA1582" s="176"/>
      <c r="AB1582" s="176"/>
      <c r="AC1582" s="176"/>
      <c r="AD1582" s="176"/>
      <c r="AE1582" s="176"/>
      <c r="AF1582" s="176"/>
      <c r="AG1582" s="176"/>
    </row>
    <row r="1583" spans="3:33" s="160" customFormat="1">
      <c r="C1583" s="825"/>
      <c r="M1583" s="247"/>
      <c r="Y1583" s="176"/>
      <c r="Z1583" s="176"/>
      <c r="AA1583" s="176"/>
      <c r="AB1583" s="176"/>
      <c r="AC1583" s="176"/>
      <c r="AD1583" s="176"/>
      <c r="AE1583" s="176"/>
      <c r="AF1583" s="176"/>
      <c r="AG1583" s="176"/>
    </row>
    <row r="1584" spans="3:33" s="160" customFormat="1">
      <c r="C1584" s="825"/>
      <c r="M1584" s="247"/>
      <c r="Y1584" s="176"/>
      <c r="Z1584" s="176"/>
      <c r="AA1584" s="176"/>
      <c r="AB1584" s="176"/>
      <c r="AC1584" s="176"/>
      <c r="AD1584" s="176"/>
      <c r="AE1584" s="176"/>
      <c r="AF1584" s="176"/>
      <c r="AG1584" s="176"/>
    </row>
    <row r="1585" spans="3:33" s="160" customFormat="1">
      <c r="C1585" s="825"/>
      <c r="M1585" s="247"/>
      <c r="Y1585" s="176"/>
      <c r="Z1585" s="176"/>
      <c r="AA1585" s="176"/>
      <c r="AB1585" s="176"/>
      <c r="AC1585" s="176"/>
      <c r="AD1585" s="176"/>
      <c r="AE1585" s="176"/>
      <c r="AF1585" s="176"/>
      <c r="AG1585" s="176"/>
    </row>
    <row r="1586" spans="3:33" s="160" customFormat="1">
      <c r="C1586" s="825"/>
      <c r="M1586" s="247"/>
      <c r="Y1586" s="176"/>
      <c r="Z1586" s="176"/>
      <c r="AA1586" s="176"/>
      <c r="AB1586" s="176"/>
      <c r="AC1586" s="176"/>
      <c r="AD1586" s="176"/>
      <c r="AE1586" s="176"/>
      <c r="AF1586" s="176"/>
      <c r="AG1586" s="176"/>
    </row>
    <row r="1587" spans="3:33" s="160" customFormat="1">
      <c r="C1587" s="825"/>
      <c r="M1587" s="247"/>
      <c r="Y1587" s="176"/>
      <c r="Z1587" s="176"/>
      <c r="AA1587" s="176"/>
      <c r="AB1587" s="176"/>
      <c r="AC1587" s="176"/>
      <c r="AD1587" s="176"/>
      <c r="AE1587" s="176"/>
      <c r="AF1587" s="176"/>
      <c r="AG1587" s="176"/>
    </row>
    <row r="1588" spans="3:33" s="160" customFormat="1">
      <c r="C1588" s="825"/>
      <c r="M1588" s="247"/>
      <c r="Y1588" s="176"/>
      <c r="Z1588" s="176"/>
      <c r="AA1588" s="176"/>
      <c r="AB1588" s="176"/>
      <c r="AC1588" s="176"/>
      <c r="AD1588" s="176"/>
      <c r="AE1588" s="176"/>
      <c r="AF1588" s="176"/>
      <c r="AG1588" s="176"/>
    </row>
    <row r="1589" spans="3:33" s="160" customFormat="1">
      <c r="C1589" s="825"/>
      <c r="M1589" s="247"/>
      <c r="Y1589" s="176"/>
      <c r="Z1589" s="176"/>
      <c r="AA1589" s="176"/>
      <c r="AB1589" s="176"/>
      <c r="AC1589" s="176"/>
      <c r="AD1589" s="176"/>
      <c r="AE1589" s="176"/>
      <c r="AF1589" s="176"/>
      <c r="AG1589" s="176"/>
    </row>
    <row r="1590" spans="3:33" s="160" customFormat="1">
      <c r="C1590" s="825"/>
      <c r="M1590" s="247"/>
      <c r="Y1590" s="176"/>
      <c r="Z1590" s="176"/>
      <c r="AA1590" s="176"/>
      <c r="AB1590" s="176"/>
      <c r="AC1590" s="176"/>
      <c r="AD1590" s="176"/>
      <c r="AE1590" s="176"/>
      <c r="AF1590" s="176"/>
      <c r="AG1590" s="176"/>
    </row>
    <row r="1591" spans="3:33" s="160" customFormat="1">
      <c r="C1591" s="825"/>
      <c r="M1591" s="247"/>
      <c r="Y1591" s="176"/>
      <c r="Z1591" s="176"/>
      <c r="AA1591" s="176"/>
      <c r="AB1591" s="176"/>
      <c r="AC1591" s="176"/>
      <c r="AD1591" s="176"/>
      <c r="AE1591" s="176"/>
      <c r="AF1591" s="176"/>
      <c r="AG1591" s="176"/>
    </row>
    <row r="1592" spans="3:33" s="160" customFormat="1">
      <c r="C1592" s="825"/>
      <c r="M1592" s="247"/>
      <c r="Y1592" s="176"/>
      <c r="Z1592" s="176"/>
      <c r="AA1592" s="176"/>
      <c r="AB1592" s="176"/>
      <c r="AC1592" s="176"/>
      <c r="AD1592" s="176"/>
      <c r="AE1592" s="176"/>
      <c r="AF1592" s="176"/>
      <c r="AG1592" s="176"/>
    </row>
    <row r="1593" spans="3:33" s="160" customFormat="1">
      <c r="C1593" s="825"/>
      <c r="M1593" s="247"/>
      <c r="Y1593" s="176"/>
      <c r="Z1593" s="176"/>
      <c r="AA1593" s="176"/>
      <c r="AB1593" s="176"/>
      <c r="AC1593" s="176"/>
      <c r="AD1593" s="176"/>
      <c r="AE1593" s="176"/>
      <c r="AF1593" s="176"/>
      <c r="AG1593" s="176"/>
    </row>
    <row r="1594" spans="3:33" s="160" customFormat="1">
      <c r="C1594" s="825"/>
      <c r="M1594" s="247"/>
      <c r="Y1594" s="176"/>
      <c r="Z1594" s="176"/>
      <c r="AA1594" s="176"/>
      <c r="AB1594" s="176"/>
      <c r="AC1594" s="176"/>
      <c r="AD1594" s="176"/>
      <c r="AE1594" s="176"/>
      <c r="AF1594" s="176"/>
      <c r="AG1594" s="176"/>
    </row>
    <row r="1595" spans="3:33" s="160" customFormat="1">
      <c r="C1595" s="825"/>
      <c r="M1595" s="247"/>
      <c r="Y1595" s="176"/>
      <c r="Z1595" s="176"/>
      <c r="AA1595" s="176"/>
      <c r="AB1595" s="176"/>
      <c r="AC1595" s="176"/>
      <c r="AD1595" s="176"/>
      <c r="AE1595" s="176"/>
      <c r="AF1595" s="176"/>
      <c r="AG1595" s="176"/>
    </row>
    <row r="1596" spans="3:33" s="160" customFormat="1">
      <c r="C1596" s="825"/>
      <c r="M1596" s="247"/>
      <c r="Y1596" s="176"/>
      <c r="Z1596" s="176"/>
      <c r="AA1596" s="176"/>
      <c r="AB1596" s="176"/>
      <c r="AC1596" s="176"/>
      <c r="AD1596" s="176"/>
      <c r="AE1596" s="176"/>
      <c r="AF1596" s="176"/>
      <c r="AG1596" s="176"/>
    </row>
    <row r="1597" spans="3:33" s="160" customFormat="1">
      <c r="C1597" s="825"/>
      <c r="M1597" s="247"/>
      <c r="Y1597" s="176"/>
      <c r="Z1597" s="176"/>
      <c r="AA1597" s="176"/>
      <c r="AB1597" s="176"/>
      <c r="AC1597" s="176"/>
      <c r="AD1597" s="176"/>
      <c r="AE1597" s="176"/>
      <c r="AF1597" s="176"/>
      <c r="AG1597" s="176"/>
    </row>
    <row r="1598" spans="3:33" s="160" customFormat="1">
      <c r="C1598" s="825"/>
      <c r="M1598" s="247"/>
      <c r="Y1598" s="176"/>
      <c r="Z1598" s="176"/>
      <c r="AA1598" s="176"/>
      <c r="AB1598" s="176"/>
      <c r="AC1598" s="176"/>
      <c r="AD1598" s="176"/>
      <c r="AE1598" s="176"/>
      <c r="AF1598" s="176"/>
      <c r="AG1598" s="176"/>
    </row>
    <row r="1599" spans="3:33" s="160" customFormat="1">
      <c r="C1599" s="825"/>
      <c r="M1599" s="247"/>
      <c r="Y1599" s="176"/>
      <c r="Z1599" s="176"/>
      <c r="AA1599" s="176"/>
      <c r="AB1599" s="176"/>
      <c r="AC1599" s="176"/>
      <c r="AD1599" s="176"/>
      <c r="AE1599" s="176"/>
      <c r="AF1599" s="176"/>
      <c r="AG1599" s="176"/>
    </row>
    <row r="1600" spans="3:33" s="160" customFormat="1">
      <c r="C1600" s="825"/>
      <c r="M1600" s="247"/>
      <c r="Y1600" s="176"/>
      <c r="Z1600" s="176"/>
      <c r="AA1600" s="176"/>
      <c r="AB1600" s="176"/>
      <c r="AC1600" s="176"/>
      <c r="AD1600" s="176"/>
      <c r="AE1600" s="176"/>
      <c r="AF1600" s="176"/>
      <c r="AG1600" s="176"/>
    </row>
    <row r="1601" spans="3:33" s="160" customFormat="1">
      <c r="C1601" s="825"/>
      <c r="M1601" s="247"/>
      <c r="Y1601" s="176"/>
      <c r="Z1601" s="176"/>
      <c r="AA1601" s="176"/>
      <c r="AB1601" s="176"/>
      <c r="AC1601" s="176"/>
      <c r="AD1601" s="176"/>
      <c r="AE1601" s="176"/>
      <c r="AF1601" s="176"/>
      <c r="AG1601" s="176"/>
    </row>
    <row r="1602" spans="3:33" s="160" customFormat="1">
      <c r="C1602" s="825"/>
      <c r="M1602" s="247"/>
      <c r="Y1602" s="176"/>
      <c r="Z1602" s="176"/>
      <c r="AA1602" s="176"/>
      <c r="AB1602" s="176"/>
      <c r="AC1602" s="176"/>
      <c r="AD1602" s="176"/>
      <c r="AE1602" s="176"/>
      <c r="AF1602" s="176"/>
      <c r="AG1602" s="176"/>
    </row>
    <row r="1603" spans="3:33" s="160" customFormat="1">
      <c r="C1603" s="825"/>
      <c r="M1603" s="247"/>
      <c r="Y1603" s="176"/>
      <c r="Z1603" s="176"/>
      <c r="AA1603" s="176"/>
      <c r="AB1603" s="176"/>
      <c r="AC1603" s="176"/>
      <c r="AD1603" s="176"/>
      <c r="AE1603" s="176"/>
      <c r="AF1603" s="176"/>
      <c r="AG1603" s="176"/>
    </row>
    <row r="1604" spans="3:33" s="160" customFormat="1">
      <c r="C1604" s="825"/>
      <c r="M1604" s="247"/>
      <c r="Y1604" s="176"/>
      <c r="Z1604" s="176"/>
      <c r="AA1604" s="176"/>
      <c r="AB1604" s="176"/>
      <c r="AC1604" s="176"/>
      <c r="AD1604" s="176"/>
      <c r="AE1604" s="176"/>
      <c r="AF1604" s="176"/>
      <c r="AG1604" s="176"/>
    </row>
    <row r="1605" spans="3:33" s="160" customFormat="1">
      <c r="C1605" s="825"/>
      <c r="M1605" s="247"/>
      <c r="Y1605" s="176"/>
      <c r="Z1605" s="176"/>
      <c r="AA1605" s="176"/>
      <c r="AB1605" s="176"/>
      <c r="AC1605" s="176"/>
      <c r="AD1605" s="176"/>
      <c r="AE1605" s="176"/>
      <c r="AF1605" s="176"/>
      <c r="AG1605" s="176"/>
    </row>
    <row r="1606" spans="3:33" s="160" customFormat="1">
      <c r="C1606" s="825"/>
      <c r="M1606" s="247"/>
      <c r="Y1606" s="176"/>
      <c r="Z1606" s="176"/>
      <c r="AA1606" s="176"/>
      <c r="AB1606" s="176"/>
      <c r="AC1606" s="176"/>
      <c r="AD1606" s="176"/>
      <c r="AE1606" s="176"/>
      <c r="AF1606" s="176"/>
      <c r="AG1606" s="176"/>
    </row>
    <row r="1607" spans="3:33" s="160" customFormat="1">
      <c r="C1607" s="825"/>
      <c r="M1607" s="247"/>
      <c r="Y1607" s="176"/>
      <c r="Z1607" s="176"/>
      <c r="AA1607" s="176"/>
      <c r="AB1607" s="176"/>
      <c r="AC1607" s="176"/>
      <c r="AD1607" s="176"/>
      <c r="AE1607" s="176"/>
      <c r="AF1607" s="176"/>
      <c r="AG1607" s="176"/>
    </row>
    <row r="1608" spans="3:33" s="160" customFormat="1">
      <c r="C1608" s="825"/>
      <c r="M1608" s="247"/>
      <c r="Y1608" s="176"/>
      <c r="Z1608" s="176"/>
      <c r="AA1608" s="176"/>
      <c r="AB1608" s="176"/>
      <c r="AC1608" s="176"/>
      <c r="AD1608" s="176"/>
      <c r="AE1608" s="176"/>
      <c r="AF1608" s="176"/>
      <c r="AG1608" s="176"/>
    </row>
    <row r="1609" spans="3:33" s="160" customFormat="1">
      <c r="C1609" s="825"/>
      <c r="M1609" s="247"/>
      <c r="Y1609" s="176"/>
      <c r="Z1609" s="176"/>
      <c r="AA1609" s="176"/>
      <c r="AB1609" s="176"/>
      <c r="AC1609" s="176"/>
      <c r="AD1609" s="176"/>
      <c r="AE1609" s="176"/>
      <c r="AF1609" s="176"/>
      <c r="AG1609" s="176"/>
    </row>
    <row r="1610" spans="3:33" s="160" customFormat="1">
      <c r="C1610" s="825"/>
      <c r="M1610" s="247"/>
      <c r="Y1610" s="176"/>
      <c r="Z1610" s="176"/>
      <c r="AA1610" s="176"/>
      <c r="AB1610" s="176"/>
      <c r="AC1610" s="176"/>
      <c r="AD1610" s="176"/>
      <c r="AE1610" s="176"/>
      <c r="AF1610" s="176"/>
      <c r="AG1610" s="176"/>
    </row>
    <row r="1611" spans="3:33" s="160" customFormat="1">
      <c r="C1611" s="825"/>
      <c r="M1611" s="247"/>
      <c r="Y1611" s="176"/>
      <c r="Z1611" s="176"/>
      <c r="AA1611" s="176"/>
      <c r="AB1611" s="176"/>
      <c r="AC1611" s="176"/>
      <c r="AD1611" s="176"/>
      <c r="AE1611" s="176"/>
      <c r="AF1611" s="176"/>
      <c r="AG1611" s="176"/>
    </row>
    <row r="1612" spans="3:33" s="160" customFormat="1">
      <c r="C1612" s="825"/>
      <c r="M1612" s="247"/>
      <c r="Y1612" s="176"/>
      <c r="Z1612" s="176"/>
      <c r="AA1612" s="176"/>
      <c r="AB1612" s="176"/>
      <c r="AC1612" s="176"/>
      <c r="AD1612" s="176"/>
      <c r="AE1612" s="176"/>
      <c r="AF1612" s="176"/>
      <c r="AG1612" s="176"/>
    </row>
    <row r="1613" spans="3:33" s="160" customFormat="1">
      <c r="C1613" s="825"/>
      <c r="M1613" s="247"/>
      <c r="Y1613" s="176"/>
      <c r="Z1613" s="176"/>
      <c r="AA1613" s="176"/>
      <c r="AB1613" s="176"/>
      <c r="AC1613" s="176"/>
      <c r="AD1613" s="176"/>
      <c r="AE1613" s="176"/>
      <c r="AF1613" s="176"/>
      <c r="AG1613" s="176"/>
    </row>
    <row r="1614" spans="3:33" s="160" customFormat="1">
      <c r="C1614" s="825"/>
      <c r="M1614" s="247"/>
      <c r="Y1614" s="176"/>
      <c r="Z1614" s="176"/>
      <c r="AA1614" s="176"/>
      <c r="AB1614" s="176"/>
      <c r="AC1614" s="176"/>
      <c r="AD1614" s="176"/>
      <c r="AE1614" s="176"/>
      <c r="AF1614" s="176"/>
      <c r="AG1614" s="176"/>
    </row>
    <row r="1615" spans="3:33" s="160" customFormat="1">
      <c r="C1615" s="825"/>
      <c r="M1615" s="247"/>
      <c r="Y1615" s="176"/>
      <c r="Z1615" s="176"/>
      <c r="AA1615" s="176"/>
      <c r="AB1615" s="176"/>
      <c r="AC1615" s="176"/>
      <c r="AD1615" s="176"/>
      <c r="AE1615" s="176"/>
      <c r="AF1615" s="176"/>
      <c r="AG1615" s="176"/>
    </row>
    <row r="1616" spans="3:33" s="160" customFormat="1">
      <c r="C1616" s="825"/>
      <c r="M1616" s="247"/>
      <c r="Y1616" s="176"/>
      <c r="Z1616" s="176"/>
      <c r="AA1616" s="176"/>
      <c r="AB1616" s="176"/>
      <c r="AC1616" s="176"/>
      <c r="AD1616" s="176"/>
      <c r="AE1616" s="176"/>
      <c r="AF1616" s="176"/>
      <c r="AG1616" s="176"/>
    </row>
    <row r="1617" spans="3:33" s="160" customFormat="1">
      <c r="C1617" s="825"/>
      <c r="M1617" s="247"/>
      <c r="Y1617" s="176"/>
      <c r="Z1617" s="176"/>
      <c r="AA1617" s="176"/>
      <c r="AB1617" s="176"/>
      <c r="AC1617" s="176"/>
      <c r="AD1617" s="176"/>
      <c r="AE1617" s="176"/>
      <c r="AF1617" s="176"/>
      <c r="AG1617" s="176"/>
    </row>
    <row r="1618" spans="3:33" s="160" customFormat="1">
      <c r="C1618" s="825"/>
      <c r="M1618" s="247"/>
      <c r="Y1618" s="176"/>
      <c r="Z1618" s="176"/>
      <c r="AA1618" s="176"/>
      <c r="AB1618" s="176"/>
      <c r="AC1618" s="176"/>
      <c r="AD1618" s="176"/>
      <c r="AE1618" s="176"/>
      <c r="AF1618" s="176"/>
      <c r="AG1618" s="176"/>
    </row>
    <row r="1619" spans="3:33" s="160" customFormat="1">
      <c r="C1619" s="825"/>
      <c r="M1619" s="247"/>
      <c r="Y1619" s="176"/>
      <c r="Z1619" s="176"/>
      <c r="AA1619" s="176"/>
      <c r="AB1619" s="176"/>
      <c r="AC1619" s="176"/>
      <c r="AD1619" s="176"/>
      <c r="AE1619" s="176"/>
      <c r="AF1619" s="176"/>
      <c r="AG1619" s="176"/>
    </row>
    <row r="1620" spans="3:33" s="160" customFormat="1">
      <c r="C1620" s="825"/>
      <c r="M1620" s="247"/>
      <c r="Y1620" s="176"/>
      <c r="Z1620" s="176"/>
      <c r="AA1620" s="176"/>
      <c r="AB1620" s="176"/>
      <c r="AC1620" s="176"/>
      <c r="AD1620" s="176"/>
      <c r="AE1620" s="176"/>
      <c r="AF1620" s="176"/>
      <c r="AG1620" s="176"/>
    </row>
    <row r="1621" spans="3:33" s="160" customFormat="1">
      <c r="C1621" s="825"/>
      <c r="M1621" s="247"/>
      <c r="Y1621" s="176"/>
      <c r="Z1621" s="176"/>
      <c r="AA1621" s="176"/>
      <c r="AB1621" s="176"/>
      <c r="AC1621" s="176"/>
      <c r="AD1621" s="176"/>
      <c r="AE1621" s="176"/>
      <c r="AF1621" s="176"/>
      <c r="AG1621" s="176"/>
    </row>
    <row r="1622" spans="3:33" s="160" customFormat="1">
      <c r="C1622" s="825"/>
      <c r="M1622" s="247"/>
      <c r="Y1622" s="176"/>
      <c r="Z1622" s="176"/>
      <c r="AA1622" s="176"/>
      <c r="AB1622" s="176"/>
      <c r="AC1622" s="176"/>
      <c r="AD1622" s="176"/>
      <c r="AE1622" s="176"/>
      <c r="AF1622" s="176"/>
      <c r="AG1622" s="176"/>
    </row>
    <row r="1623" spans="3:33" s="160" customFormat="1">
      <c r="C1623" s="825"/>
      <c r="M1623" s="247"/>
      <c r="Y1623" s="176"/>
      <c r="Z1623" s="176"/>
      <c r="AA1623" s="176"/>
      <c r="AB1623" s="176"/>
      <c r="AC1623" s="176"/>
      <c r="AD1623" s="176"/>
      <c r="AE1623" s="176"/>
      <c r="AF1623" s="176"/>
      <c r="AG1623" s="176"/>
    </row>
    <row r="1624" spans="3:33" s="160" customFormat="1">
      <c r="C1624" s="825"/>
      <c r="M1624" s="247"/>
      <c r="Y1624" s="176"/>
      <c r="Z1624" s="176"/>
      <c r="AA1624" s="176"/>
      <c r="AB1624" s="176"/>
      <c r="AC1624" s="176"/>
      <c r="AD1624" s="176"/>
      <c r="AE1624" s="176"/>
      <c r="AF1624" s="176"/>
      <c r="AG1624" s="176"/>
    </row>
    <row r="1625" spans="3:33" s="160" customFormat="1">
      <c r="C1625" s="825"/>
      <c r="M1625" s="247"/>
      <c r="Y1625" s="176"/>
      <c r="Z1625" s="176"/>
      <c r="AA1625" s="176"/>
      <c r="AB1625" s="176"/>
      <c r="AC1625" s="176"/>
      <c r="AD1625" s="176"/>
      <c r="AE1625" s="176"/>
      <c r="AF1625" s="176"/>
      <c r="AG1625" s="176"/>
    </row>
    <row r="1626" spans="3:33" s="160" customFormat="1">
      <c r="C1626" s="825"/>
      <c r="M1626" s="247"/>
      <c r="Y1626" s="176"/>
      <c r="Z1626" s="176"/>
      <c r="AA1626" s="176"/>
      <c r="AB1626" s="176"/>
      <c r="AC1626" s="176"/>
      <c r="AD1626" s="176"/>
      <c r="AE1626" s="176"/>
      <c r="AF1626" s="176"/>
      <c r="AG1626" s="176"/>
    </row>
    <row r="1627" spans="3:33" s="160" customFormat="1">
      <c r="C1627" s="825"/>
      <c r="M1627" s="247"/>
      <c r="Y1627" s="176"/>
      <c r="Z1627" s="176"/>
      <c r="AA1627" s="176"/>
      <c r="AB1627" s="176"/>
      <c r="AC1627" s="176"/>
      <c r="AD1627" s="176"/>
      <c r="AE1627" s="176"/>
      <c r="AF1627" s="176"/>
      <c r="AG1627" s="176"/>
    </row>
    <row r="1628" spans="3:33" s="160" customFormat="1">
      <c r="C1628" s="825"/>
      <c r="M1628" s="247"/>
      <c r="Y1628" s="176"/>
      <c r="Z1628" s="176"/>
      <c r="AA1628" s="176"/>
      <c r="AB1628" s="176"/>
      <c r="AC1628" s="176"/>
      <c r="AD1628" s="176"/>
      <c r="AE1628" s="176"/>
      <c r="AF1628" s="176"/>
      <c r="AG1628" s="176"/>
    </row>
    <row r="1629" spans="3:33" s="160" customFormat="1">
      <c r="C1629" s="825"/>
      <c r="M1629" s="247"/>
      <c r="Y1629" s="176"/>
      <c r="Z1629" s="176"/>
      <c r="AA1629" s="176"/>
      <c r="AB1629" s="176"/>
      <c r="AC1629" s="176"/>
      <c r="AD1629" s="176"/>
      <c r="AE1629" s="176"/>
      <c r="AF1629" s="176"/>
      <c r="AG1629" s="176"/>
    </row>
    <row r="1630" spans="3:33" s="160" customFormat="1">
      <c r="C1630" s="825"/>
      <c r="M1630" s="247"/>
      <c r="Y1630" s="176"/>
      <c r="Z1630" s="176"/>
      <c r="AA1630" s="176"/>
      <c r="AB1630" s="176"/>
      <c r="AC1630" s="176"/>
      <c r="AD1630" s="176"/>
      <c r="AE1630" s="176"/>
      <c r="AF1630" s="176"/>
      <c r="AG1630" s="176"/>
    </row>
    <row r="1631" spans="3:33" s="160" customFormat="1">
      <c r="C1631" s="825"/>
      <c r="M1631" s="247"/>
      <c r="Y1631" s="176"/>
      <c r="Z1631" s="176"/>
      <c r="AA1631" s="176"/>
      <c r="AB1631" s="176"/>
      <c r="AC1631" s="176"/>
      <c r="AD1631" s="176"/>
      <c r="AE1631" s="176"/>
      <c r="AF1631" s="176"/>
      <c r="AG1631" s="176"/>
    </row>
    <row r="1632" spans="3:33" s="160" customFormat="1">
      <c r="C1632" s="825"/>
      <c r="M1632" s="247"/>
      <c r="Y1632" s="176"/>
      <c r="Z1632" s="176"/>
      <c r="AA1632" s="176"/>
      <c r="AB1632" s="176"/>
      <c r="AC1632" s="176"/>
      <c r="AD1632" s="176"/>
      <c r="AE1632" s="176"/>
      <c r="AF1632" s="176"/>
      <c r="AG1632" s="176"/>
    </row>
    <row r="1633" spans="3:33" s="160" customFormat="1">
      <c r="C1633" s="825"/>
      <c r="M1633" s="247"/>
      <c r="Y1633" s="176"/>
      <c r="Z1633" s="176"/>
      <c r="AA1633" s="176"/>
      <c r="AB1633" s="176"/>
      <c r="AC1633" s="176"/>
      <c r="AD1633" s="176"/>
      <c r="AE1633" s="176"/>
      <c r="AF1633" s="176"/>
      <c r="AG1633" s="176"/>
    </row>
    <row r="1634" spans="3:33" s="160" customFormat="1">
      <c r="C1634" s="825"/>
      <c r="M1634" s="247"/>
      <c r="Y1634" s="176"/>
      <c r="Z1634" s="176"/>
      <c r="AA1634" s="176"/>
      <c r="AB1634" s="176"/>
      <c r="AC1634" s="176"/>
      <c r="AD1634" s="176"/>
      <c r="AE1634" s="176"/>
      <c r="AF1634" s="176"/>
      <c r="AG1634" s="176"/>
    </row>
    <row r="1635" spans="3:33" s="160" customFormat="1">
      <c r="C1635" s="825"/>
      <c r="M1635" s="247"/>
      <c r="Y1635" s="176"/>
      <c r="Z1635" s="176"/>
      <c r="AA1635" s="176"/>
      <c r="AB1635" s="176"/>
      <c r="AC1635" s="176"/>
      <c r="AD1635" s="176"/>
      <c r="AE1635" s="176"/>
      <c r="AF1635" s="176"/>
      <c r="AG1635" s="176"/>
    </row>
    <row r="1636" spans="3:33" s="160" customFormat="1">
      <c r="C1636" s="825"/>
      <c r="M1636" s="247"/>
      <c r="Y1636" s="176"/>
      <c r="Z1636" s="176"/>
      <c r="AA1636" s="176"/>
      <c r="AB1636" s="176"/>
      <c r="AC1636" s="176"/>
      <c r="AD1636" s="176"/>
      <c r="AE1636" s="176"/>
      <c r="AF1636" s="176"/>
      <c r="AG1636" s="176"/>
    </row>
    <row r="1637" spans="3:33" s="160" customFormat="1">
      <c r="C1637" s="825"/>
      <c r="M1637" s="247"/>
      <c r="Y1637" s="176"/>
      <c r="Z1637" s="176"/>
      <c r="AA1637" s="176"/>
      <c r="AB1637" s="176"/>
      <c r="AC1637" s="176"/>
      <c r="AD1637" s="176"/>
      <c r="AE1637" s="176"/>
      <c r="AF1637" s="176"/>
      <c r="AG1637" s="176"/>
    </row>
    <row r="1638" spans="3:33" s="160" customFormat="1">
      <c r="C1638" s="825"/>
      <c r="M1638" s="247"/>
      <c r="Y1638" s="176"/>
      <c r="Z1638" s="176"/>
      <c r="AA1638" s="176"/>
      <c r="AB1638" s="176"/>
      <c r="AC1638" s="176"/>
      <c r="AD1638" s="176"/>
      <c r="AE1638" s="176"/>
      <c r="AF1638" s="176"/>
      <c r="AG1638" s="176"/>
    </row>
    <row r="1639" spans="3:33" s="160" customFormat="1">
      <c r="C1639" s="825"/>
      <c r="M1639" s="247"/>
      <c r="Y1639" s="176"/>
      <c r="Z1639" s="176"/>
      <c r="AA1639" s="176"/>
      <c r="AB1639" s="176"/>
      <c r="AC1639" s="176"/>
      <c r="AD1639" s="176"/>
      <c r="AE1639" s="176"/>
      <c r="AF1639" s="176"/>
      <c r="AG1639" s="176"/>
    </row>
    <row r="1640" spans="3:33" s="160" customFormat="1">
      <c r="C1640" s="825"/>
      <c r="M1640" s="247"/>
      <c r="Y1640" s="176"/>
      <c r="Z1640" s="176"/>
      <c r="AA1640" s="176"/>
      <c r="AB1640" s="176"/>
      <c r="AC1640" s="176"/>
      <c r="AD1640" s="176"/>
      <c r="AE1640" s="176"/>
      <c r="AF1640" s="176"/>
      <c r="AG1640" s="176"/>
    </row>
    <row r="1641" spans="3:33" s="160" customFormat="1">
      <c r="C1641" s="825"/>
      <c r="M1641" s="247"/>
      <c r="Y1641" s="176"/>
      <c r="Z1641" s="176"/>
      <c r="AA1641" s="176"/>
      <c r="AB1641" s="176"/>
      <c r="AC1641" s="176"/>
      <c r="AD1641" s="176"/>
      <c r="AE1641" s="176"/>
      <c r="AF1641" s="176"/>
      <c r="AG1641" s="176"/>
    </row>
    <row r="1642" spans="3:33" s="160" customFormat="1">
      <c r="C1642" s="825"/>
      <c r="M1642" s="247"/>
      <c r="Y1642" s="176"/>
      <c r="Z1642" s="176"/>
      <c r="AA1642" s="176"/>
      <c r="AB1642" s="176"/>
      <c r="AC1642" s="176"/>
      <c r="AD1642" s="176"/>
      <c r="AE1642" s="176"/>
      <c r="AF1642" s="176"/>
      <c r="AG1642" s="176"/>
    </row>
    <row r="1643" spans="3:33" s="160" customFormat="1">
      <c r="C1643" s="825"/>
      <c r="M1643" s="247"/>
      <c r="Y1643" s="176"/>
      <c r="Z1643" s="176"/>
      <c r="AA1643" s="176"/>
      <c r="AB1643" s="176"/>
      <c r="AC1643" s="176"/>
      <c r="AD1643" s="176"/>
      <c r="AE1643" s="176"/>
      <c r="AF1643" s="176"/>
      <c r="AG1643" s="176"/>
    </row>
    <row r="1644" spans="3:33" s="160" customFormat="1">
      <c r="C1644" s="825"/>
      <c r="M1644" s="247"/>
      <c r="Y1644" s="176"/>
      <c r="Z1644" s="176"/>
      <c r="AA1644" s="176"/>
      <c r="AB1644" s="176"/>
      <c r="AC1644" s="176"/>
      <c r="AD1644" s="176"/>
      <c r="AE1644" s="176"/>
      <c r="AF1644" s="176"/>
      <c r="AG1644" s="176"/>
    </row>
    <row r="1645" spans="3:33" s="160" customFormat="1">
      <c r="C1645" s="825"/>
      <c r="M1645" s="247"/>
      <c r="Y1645" s="176"/>
      <c r="Z1645" s="176"/>
      <c r="AA1645" s="176"/>
      <c r="AB1645" s="176"/>
      <c r="AC1645" s="176"/>
      <c r="AD1645" s="176"/>
      <c r="AE1645" s="176"/>
      <c r="AF1645" s="176"/>
      <c r="AG1645" s="176"/>
    </row>
    <row r="1646" spans="3:33" s="160" customFormat="1">
      <c r="C1646" s="825"/>
      <c r="M1646" s="247"/>
      <c r="Y1646" s="176"/>
      <c r="Z1646" s="176"/>
      <c r="AA1646" s="176"/>
      <c r="AB1646" s="176"/>
      <c r="AC1646" s="176"/>
      <c r="AD1646" s="176"/>
      <c r="AE1646" s="176"/>
      <c r="AF1646" s="176"/>
      <c r="AG1646" s="176"/>
    </row>
    <row r="1647" spans="3:33" s="160" customFormat="1">
      <c r="C1647" s="825"/>
      <c r="M1647" s="247"/>
      <c r="Y1647" s="176"/>
      <c r="Z1647" s="176"/>
      <c r="AA1647" s="176"/>
      <c r="AB1647" s="176"/>
      <c r="AC1647" s="176"/>
      <c r="AD1647" s="176"/>
      <c r="AE1647" s="176"/>
      <c r="AF1647" s="176"/>
      <c r="AG1647" s="176"/>
    </row>
    <row r="1648" spans="3:33" s="160" customFormat="1">
      <c r="C1648" s="825"/>
      <c r="M1648" s="247"/>
      <c r="Y1648" s="176"/>
      <c r="Z1648" s="176"/>
      <c r="AA1648" s="176"/>
      <c r="AB1648" s="176"/>
      <c r="AC1648" s="176"/>
      <c r="AD1648" s="176"/>
      <c r="AE1648" s="176"/>
      <c r="AF1648" s="176"/>
      <c r="AG1648" s="176"/>
    </row>
    <row r="1649" spans="3:33" s="160" customFormat="1">
      <c r="C1649" s="825"/>
      <c r="M1649" s="247"/>
      <c r="Y1649" s="176"/>
      <c r="Z1649" s="176"/>
      <c r="AA1649" s="176"/>
      <c r="AB1649" s="176"/>
      <c r="AC1649" s="176"/>
      <c r="AD1649" s="176"/>
      <c r="AE1649" s="176"/>
      <c r="AF1649" s="176"/>
      <c r="AG1649" s="176"/>
    </row>
    <row r="1650" spans="3:33" s="160" customFormat="1">
      <c r="C1650" s="825"/>
      <c r="M1650" s="247"/>
      <c r="Y1650" s="176"/>
      <c r="Z1650" s="176"/>
      <c r="AA1650" s="176"/>
      <c r="AB1650" s="176"/>
      <c r="AC1650" s="176"/>
      <c r="AD1650" s="176"/>
      <c r="AE1650" s="176"/>
      <c r="AF1650" s="176"/>
      <c r="AG1650" s="176"/>
    </row>
    <row r="1651" spans="3:33" s="160" customFormat="1">
      <c r="C1651" s="825"/>
      <c r="M1651" s="247"/>
      <c r="Y1651" s="176"/>
      <c r="Z1651" s="176"/>
      <c r="AA1651" s="176"/>
      <c r="AB1651" s="176"/>
      <c r="AC1651" s="176"/>
      <c r="AD1651" s="176"/>
      <c r="AE1651" s="176"/>
      <c r="AF1651" s="176"/>
      <c r="AG1651" s="176"/>
    </row>
    <row r="1652" spans="3:33" s="160" customFormat="1">
      <c r="C1652" s="825"/>
      <c r="M1652" s="247"/>
      <c r="Y1652" s="176"/>
      <c r="Z1652" s="176"/>
      <c r="AA1652" s="176"/>
      <c r="AB1652" s="176"/>
      <c r="AC1652" s="176"/>
      <c r="AD1652" s="176"/>
      <c r="AE1652" s="176"/>
      <c r="AF1652" s="176"/>
      <c r="AG1652" s="176"/>
    </row>
    <row r="1653" spans="3:33" s="160" customFormat="1">
      <c r="C1653" s="825"/>
      <c r="M1653" s="247"/>
      <c r="Y1653" s="176"/>
      <c r="Z1653" s="176"/>
      <c r="AA1653" s="176"/>
      <c r="AB1653" s="176"/>
      <c r="AC1653" s="176"/>
      <c r="AD1653" s="176"/>
      <c r="AE1653" s="176"/>
      <c r="AF1653" s="176"/>
      <c r="AG1653" s="176"/>
    </row>
    <row r="1654" spans="3:33" s="160" customFormat="1">
      <c r="C1654" s="825"/>
      <c r="M1654" s="247"/>
      <c r="Y1654" s="176"/>
      <c r="Z1654" s="176"/>
      <c r="AA1654" s="176"/>
      <c r="AB1654" s="176"/>
      <c r="AC1654" s="176"/>
      <c r="AD1654" s="176"/>
      <c r="AE1654" s="176"/>
      <c r="AF1654" s="176"/>
      <c r="AG1654" s="176"/>
    </row>
    <row r="1655" spans="3:33" s="160" customFormat="1">
      <c r="C1655" s="825"/>
      <c r="M1655" s="247"/>
      <c r="Y1655" s="176"/>
      <c r="Z1655" s="176"/>
      <c r="AA1655" s="176"/>
      <c r="AB1655" s="176"/>
      <c r="AC1655" s="176"/>
      <c r="AD1655" s="176"/>
      <c r="AE1655" s="176"/>
      <c r="AF1655" s="176"/>
      <c r="AG1655" s="176"/>
    </row>
    <row r="1656" spans="3:33" s="160" customFormat="1">
      <c r="C1656" s="825"/>
      <c r="M1656" s="247"/>
      <c r="Y1656" s="176"/>
      <c r="Z1656" s="176"/>
      <c r="AA1656" s="176"/>
      <c r="AB1656" s="176"/>
      <c r="AC1656" s="176"/>
      <c r="AD1656" s="176"/>
      <c r="AE1656" s="176"/>
      <c r="AF1656" s="176"/>
      <c r="AG1656" s="176"/>
    </row>
    <row r="1657" spans="3:33" s="160" customFormat="1">
      <c r="C1657" s="825"/>
      <c r="M1657" s="247"/>
      <c r="Y1657" s="176"/>
      <c r="Z1657" s="176"/>
      <c r="AA1657" s="176"/>
      <c r="AB1657" s="176"/>
      <c r="AC1657" s="176"/>
      <c r="AD1657" s="176"/>
      <c r="AE1657" s="176"/>
      <c r="AF1657" s="176"/>
      <c r="AG1657" s="176"/>
    </row>
    <row r="1658" spans="3:33" s="160" customFormat="1">
      <c r="C1658" s="825"/>
      <c r="M1658" s="247"/>
      <c r="Y1658" s="176"/>
      <c r="Z1658" s="176"/>
      <c r="AA1658" s="176"/>
      <c r="AB1658" s="176"/>
      <c r="AC1658" s="176"/>
      <c r="AD1658" s="176"/>
      <c r="AE1658" s="176"/>
      <c r="AF1658" s="176"/>
      <c r="AG1658" s="176"/>
    </row>
    <row r="1659" spans="3:33" s="160" customFormat="1">
      <c r="C1659" s="825"/>
      <c r="M1659" s="247"/>
      <c r="Y1659" s="176"/>
      <c r="Z1659" s="176"/>
      <c r="AA1659" s="176"/>
      <c r="AB1659" s="176"/>
      <c r="AC1659" s="176"/>
      <c r="AD1659" s="176"/>
      <c r="AE1659" s="176"/>
      <c r="AF1659" s="176"/>
      <c r="AG1659" s="176"/>
    </row>
    <row r="1660" spans="3:33" s="160" customFormat="1">
      <c r="C1660" s="825"/>
      <c r="M1660" s="247"/>
      <c r="Y1660" s="176"/>
      <c r="Z1660" s="176"/>
      <c r="AA1660" s="176"/>
      <c r="AB1660" s="176"/>
      <c r="AC1660" s="176"/>
      <c r="AD1660" s="176"/>
      <c r="AE1660" s="176"/>
      <c r="AF1660" s="176"/>
      <c r="AG1660" s="176"/>
    </row>
    <row r="1661" spans="3:33" s="160" customFormat="1">
      <c r="C1661" s="825"/>
      <c r="M1661" s="247"/>
      <c r="Y1661" s="176"/>
      <c r="Z1661" s="176"/>
      <c r="AA1661" s="176"/>
      <c r="AB1661" s="176"/>
      <c r="AC1661" s="176"/>
      <c r="AD1661" s="176"/>
      <c r="AE1661" s="176"/>
      <c r="AF1661" s="176"/>
      <c r="AG1661" s="176"/>
    </row>
    <row r="1662" spans="3:33" s="160" customFormat="1">
      <c r="C1662" s="825"/>
      <c r="M1662" s="247"/>
      <c r="Y1662" s="176"/>
      <c r="Z1662" s="176"/>
      <c r="AA1662" s="176"/>
      <c r="AB1662" s="176"/>
      <c r="AC1662" s="176"/>
      <c r="AD1662" s="176"/>
      <c r="AE1662" s="176"/>
      <c r="AF1662" s="176"/>
      <c r="AG1662" s="176"/>
    </row>
    <row r="1663" spans="3:33" s="160" customFormat="1">
      <c r="C1663" s="825"/>
      <c r="M1663" s="247"/>
      <c r="Y1663" s="176"/>
      <c r="Z1663" s="176"/>
      <c r="AA1663" s="176"/>
      <c r="AB1663" s="176"/>
      <c r="AC1663" s="176"/>
      <c r="AD1663" s="176"/>
      <c r="AE1663" s="176"/>
      <c r="AF1663" s="176"/>
      <c r="AG1663" s="176"/>
    </row>
    <row r="1664" spans="3:33" s="160" customFormat="1">
      <c r="C1664" s="825"/>
      <c r="M1664" s="247"/>
      <c r="Y1664" s="176"/>
      <c r="Z1664" s="176"/>
      <c r="AA1664" s="176"/>
      <c r="AB1664" s="176"/>
      <c r="AC1664" s="176"/>
      <c r="AD1664" s="176"/>
      <c r="AE1664" s="176"/>
      <c r="AF1664" s="176"/>
      <c r="AG1664" s="176"/>
    </row>
    <row r="1665" spans="3:33" s="160" customFormat="1">
      <c r="C1665" s="825"/>
      <c r="M1665" s="247"/>
      <c r="Y1665" s="176"/>
      <c r="Z1665" s="176"/>
      <c r="AA1665" s="176"/>
      <c r="AB1665" s="176"/>
      <c r="AC1665" s="176"/>
      <c r="AD1665" s="176"/>
      <c r="AE1665" s="176"/>
      <c r="AF1665" s="176"/>
      <c r="AG1665" s="176"/>
    </row>
    <row r="1666" spans="3:33" s="160" customFormat="1">
      <c r="C1666" s="825"/>
      <c r="M1666" s="247"/>
      <c r="Y1666" s="176"/>
      <c r="Z1666" s="176"/>
      <c r="AA1666" s="176"/>
      <c r="AB1666" s="176"/>
      <c r="AC1666" s="176"/>
      <c r="AD1666" s="176"/>
      <c r="AE1666" s="176"/>
      <c r="AF1666" s="176"/>
      <c r="AG1666" s="176"/>
    </row>
    <row r="1667" spans="3:33" s="160" customFormat="1">
      <c r="C1667" s="825"/>
      <c r="M1667" s="247"/>
      <c r="Y1667" s="176"/>
      <c r="Z1667" s="176"/>
      <c r="AA1667" s="176"/>
      <c r="AB1667" s="176"/>
      <c r="AC1667" s="176"/>
      <c r="AD1667" s="176"/>
      <c r="AE1667" s="176"/>
      <c r="AF1667" s="176"/>
      <c r="AG1667" s="176"/>
    </row>
    <row r="1668" spans="3:33" s="160" customFormat="1">
      <c r="C1668" s="825"/>
      <c r="M1668" s="247"/>
      <c r="Y1668" s="176"/>
      <c r="Z1668" s="176"/>
      <c r="AA1668" s="176"/>
      <c r="AB1668" s="176"/>
      <c r="AC1668" s="176"/>
      <c r="AD1668" s="176"/>
      <c r="AE1668" s="176"/>
      <c r="AF1668" s="176"/>
      <c r="AG1668" s="176"/>
    </row>
    <row r="1669" spans="3:33" s="160" customFormat="1">
      <c r="C1669" s="825"/>
      <c r="M1669" s="247"/>
      <c r="Y1669" s="176"/>
      <c r="Z1669" s="176"/>
      <c r="AA1669" s="176"/>
      <c r="AB1669" s="176"/>
      <c r="AC1669" s="176"/>
      <c r="AD1669" s="176"/>
      <c r="AE1669" s="176"/>
      <c r="AF1669" s="176"/>
      <c r="AG1669" s="176"/>
    </row>
    <row r="1670" spans="3:33" s="160" customFormat="1">
      <c r="C1670" s="825"/>
      <c r="M1670" s="247"/>
      <c r="Y1670" s="176"/>
      <c r="Z1670" s="176"/>
      <c r="AA1670" s="176"/>
      <c r="AB1670" s="176"/>
      <c r="AC1670" s="176"/>
      <c r="AD1670" s="176"/>
      <c r="AE1670" s="176"/>
      <c r="AF1670" s="176"/>
      <c r="AG1670" s="176"/>
    </row>
    <row r="1671" spans="3:33" s="160" customFormat="1">
      <c r="C1671" s="825"/>
      <c r="M1671" s="247"/>
      <c r="Y1671" s="176"/>
      <c r="Z1671" s="176"/>
      <c r="AA1671" s="176"/>
      <c r="AB1671" s="176"/>
      <c r="AC1671" s="176"/>
      <c r="AD1671" s="176"/>
      <c r="AE1671" s="176"/>
      <c r="AF1671" s="176"/>
      <c r="AG1671" s="176"/>
    </row>
    <row r="1672" spans="3:33" s="160" customFormat="1">
      <c r="C1672" s="825"/>
      <c r="M1672" s="247"/>
      <c r="Y1672" s="176"/>
      <c r="Z1672" s="176"/>
      <c r="AA1672" s="176"/>
      <c r="AB1672" s="176"/>
      <c r="AC1672" s="176"/>
      <c r="AD1672" s="176"/>
      <c r="AE1672" s="176"/>
      <c r="AF1672" s="176"/>
      <c r="AG1672" s="176"/>
    </row>
    <row r="1673" spans="3:33" s="160" customFormat="1">
      <c r="C1673" s="825"/>
      <c r="M1673" s="247"/>
      <c r="Y1673" s="176"/>
      <c r="Z1673" s="176"/>
      <c r="AA1673" s="176"/>
      <c r="AB1673" s="176"/>
      <c r="AC1673" s="176"/>
      <c r="AD1673" s="176"/>
      <c r="AE1673" s="176"/>
      <c r="AF1673" s="176"/>
      <c r="AG1673" s="176"/>
    </row>
    <row r="1674" spans="3:33" s="160" customFormat="1">
      <c r="C1674" s="825"/>
      <c r="M1674" s="247"/>
      <c r="Y1674" s="176"/>
      <c r="Z1674" s="176"/>
      <c r="AA1674" s="176"/>
      <c r="AB1674" s="176"/>
      <c r="AC1674" s="176"/>
      <c r="AD1674" s="176"/>
      <c r="AE1674" s="176"/>
      <c r="AF1674" s="176"/>
      <c r="AG1674" s="176"/>
    </row>
    <row r="1675" spans="3:33" s="160" customFormat="1">
      <c r="C1675" s="825"/>
      <c r="M1675" s="247"/>
      <c r="Y1675" s="176"/>
      <c r="Z1675" s="176"/>
      <c r="AA1675" s="176"/>
      <c r="AB1675" s="176"/>
      <c r="AC1675" s="176"/>
      <c r="AD1675" s="176"/>
      <c r="AE1675" s="176"/>
      <c r="AF1675" s="176"/>
      <c r="AG1675" s="176"/>
    </row>
    <row r="1676" spans="3:33" s="160" customFormat="1">
      <c r="C1676" s="825"/>
      <c r="M1676" s="247"/>
      <c r="Y1676" s="176"/>
      <c r="Z1676" s="176"/>
      <c r="AA1676" s="176"/>
      <c r="AB1676" s="176"/>
      <c r="AC1676" s="176"/>
      <c r="AD1676" s="176"/>
      <c r="AE1676" s="176"/>
      <c r="AF1676" s="176"/>
      <c r="AG1676" s="176"/>
    </row>
    <row r="1677" spans="3:33" s="160" customFormat="1">
      <c r="C1677" s="825"/>
      <c r="M1677" s="247"/>
      <c r="Y1677" s="176"/>
      <c r="Z1677" s="176"/>
      <c r="AA1677" s="176"/>
      <c r="AB1677" s="176"/>
      <c r="AC1677" s="176"/>
      <c r="AD1677" s="176"/>
      <c r="AE1677" s="176"/>
      <c r="AF1677" s="176"/>
      <c r="AG1677" s="176"/>
    </row>
    <row r="1678" spans="3:33" s="160" customFormat="1">
      <c r="C1678" s="825"/>
      <c r="M1678" s="247"/>
      <c r="Y1678" s="176"/>
      <c r="Z1678" s="176"/>
      <c r="AA1678" s="176"/>
      <c r="AB1678" s="176"/>
      <c r="AC1678" s="176"/>
      <c r="AD1678" s="176"/>
      <c r="AE1678" s="176"/>
      <c r="AF1678" s="176"/>
      <c r="AG1678" s="176"/>
    </row>
    <row r="1679" spans="3:33" s="160" customFormat="1">
      <c r="C1679" s="825"/>
      <c r="M1679" s="247"/>
      <c r="Y1679" s="176"/>
      <c r="Z1679" s="176"/>
      <c r="AA1679" s="176"/>
      <c r="AB1679" s="176"/>
      <c r="AC1679" s="176"/>
      <c r="AD1679" s="176"/>
      <c r="AE1679" s="176"/>
      <c r="AF1679" s="176"/>
      <c r="AG1679" s="176"/>
    </row>
    <row r="1680" spans="3:33" s="160" customFormat="1">
      <c r="C1680" s="825"/>
      <c r="M1680" s="247"/>
      <c r="Y1680" s="176"/>
      <c r="Z1680" s="176"/>
      <c r="AA1680" s="176"/>
      <c r="AB1680" s="176"/>
      <c r="AC1680" s="176"/>
      <c r="AD1680" s="176"/>
      <c r="AE1680" s="176"/>
      <c r="AF1680" s="176"/>
      <c r="AG1680" s="176"/>
    </row>
    <row r="1681" spans="3:33" s="160" customFormat="1">
      <c r="C1681" s="825"/>
      <c r="M1681" s="247"/>
      <c r="Y1681" s="176"/>
      <c r="Z1681" s="176"/>
      <c r="AA1681" s="176"/>
      <c r="AB1681" s="176"/>
      <c r="AC1681" s="176"/>
      <c r="AD1681" s="176"/>
      <c r="AE1681" s="176"/>
      <c r="AF1681" s="176"/>
      <c r="AG1681" s="176"/>
    </row>
    <row r="1682" spans="3:33" s="160" customFormat="1">
      <c r="C1682" s="825"/>
      <c r="M1682" s="247"/>
      <c r="Y1682" s="176"/>
      <c r="Z1682" s="176"/>
      <c r="AA1682" s="176"/>
      <c r="AB1682" s="176"/>
      <c r="AC1682" s="176"/>
      <c r="AD1682" s="176"/>
      <c r="AE1682" s="176"/>
      <c r="AF1682" s="176"/>
      <c r="AG1682" s="176"/>
    </row>
    <row r="1683" spans="3:33" s="160" customFormat="1">
      <c r="C1683" s="825"/>
      <c r="M1683" s="247"/>
      <c r="Y1683" s="176"/>
      <c r="Z1683" s="176"/>
      <c r="AA1683" s="176"/>
      <c r="AB1683" s="176"/>
      <c r="AC1683" s="176"/>
      <c r="AD1683" s="176"/>
      <c r="AE1683" s="176"/>
      <c r="AF1683" s="176"/>
      <c r="AG1683" s="176"/>
    </row>
    <row r="1684" spans="3:33" s="160" customFormat="1">
      <c r="C1684" s="825"/>
      <c r="M1684" s="247"/>
      <c r="Y1684" s="176"/>
      <c r="Z1684" s="176"/>
      <c r="AA1684" s="176"/>
      <c r="AB1684" s="176"/>
      <c r="AC1684" s="176"/>
      <c r="AD1684" s="176"/>
      <c r="AE1684" s="176"/>
      <c r="AF1684" s="176"/>
      <c r="AG1684" s="176"/>
    </row>
    <row r="1685" spans="3:33" s="160" customFormat="1">
      <c r="C1685" s="825"/>
      <c r="M1685" s="247"/>
      <c r="Y1685" s="176"/>
      <c r="Z1685" s="176"/>
      <c r="AA1685" s="176"/>
      <c r="AB1685" s="176"/>
      <c r="AC1685" s="176"/>
      <c r="AD1685" s="176"/>
      <c r="AE1685" s="176"/>
      <c r="AF1685" s="176"/>
      <c r="AG1685" s="176"/>
    </row>
    <row r="1686" spans="3:33" s="160" customFormat="1">
      <c r="C1686" s="825"/>
      <c r="M1686" s="247"/>
      <c r="Y1686" s="176"/>
      <c r="Z1686" s="176"/>
      <c r="AA1686" s="176"/>
      <c r="AB1686" s="176"/>
      <c r="AC1686" s="176"/>
      <c r="AD1686" s="176"/>
      <c r="AE1686" s="176"/>
      <c r="AF1686" s="176"/>
      <c r="AG1686" s="176"/>
    </row>
    <row r="1687" spans="3:33" s="160" customFormat="1">
      <c r="C1687" s="825"/>
      <c r="M1687" s="247"/>
      <c r="Y1687" s="176"/>
      <c r="Z1687" s="176"/>
      <c r="AA1687" s="176"/>
      <c r="AB1687" s="176"/>
      <c r="AC1687" s="176"/>
      <c r="AD1687" s="176"/>
      <c r="AE1687" s="176"/>
      <c r="AF1687" s="176"/>
      <c r="AG1687" s="176"/>
    </row>
    <row r="1688" spans="3:33" s="160" customFormat="1">
      <c r="C1688" s="825"/>
      <c r="M1688" s="247"/>
      <c r="Y1688" s="176"/>
      <c r="Z1688" s="176"/>
      <c r="AA1688" s="176"/>
      <c r="AB1688" s="176"/>
      <c r="AC1688" s="176"/>
      <c r="AD1688" s="176"/>
      <c r="AE1688" s="176"/>
      <c r="AF1688" s="176"/>
      <c r="AG1688" s="176"/>
    </row>
    <row r="1689" spans="3:33" s="160" customFormat="1">
      <c r="C1689" s="825"/>
      <c r="M1689" s="247"/>
      <c r="Y1689" s="176"/>
      <c r="Z1689" s="176"/>
      <c r="AA1689" s="176"/>
      <c r="AB1689" s="176"/>
      <c r="AC1689" s="176"/>
      <c r="AD1689" s="176"/>
      <c r="AE1689" s="176"/>
      <c r="AF1689" s="176"/>
      <c r="AG1689" s="176"/>
    </row>
    <row r="1690" spans="3:33" s="160" customFormat="1">
      <c r="C1690" s="825"/>
      <c r="M1690" s="247"/>
      <c r="Y1690" s="176"/>
      <c r="Z1690" s="176"/>
      <c r="AA1690" s="176"/>
      <c r="AB1690" s="176"/>
      <c r="AC1690" s="176"/>
      <c r="AD1690" s="176"/>
      <c r="AE1690" s="176"/>
      <c r="AF1690" s="176"/>
      <c r="AG1690" s="176"/>
    </row>
    <row r="1691" spans="3:33" s="160" customFormat="1">
      <c r="C1691" s="825"/>
      <c r="M1691" s="247"/>
      <c r="Y1691" s="176"/>
      <c r="Z1691" s="176"/>
      <c r="AA1691" s="176"/>
      <c r="AB1691" s="176"/>
      <c r="AC1691" s="176"/>
      <c r="AD1691" s="176"/>
      <c r="AE1691" s="176"/>
      <c r="AF1691" s="176"/>
      <c r="AG1691" s="176"/>
    </row>
    <row r="1692" spans="3:33" s="160" customFormat="1">
      <c r="C1692" s="825"/>
      <c r="M1692" s="247"/>
      <c r="Y1692" s="176"/>
      <c r="Z1692" s="176"/>
      <c r="AA1692" s="176"/>
      <c r="AB1692" s="176"/>
      <c r="AC1692" s="176"/>
      <c r="AD1692" s="176"/>
      <c r="AE1692" s="176"/>
      <c r="AF1692" s="176"/>
      <c r="AG1692" s="176"/>
    </row>
    <row r="1693" spans="3:33" s="160" customFormat="1">
      <c r="C1693" s="825"/>
      <c r="M1693" s="247"/>
      <c r="Y1693" s="176"/>
      <c r="Z1693" s="176"/>
      <c r="AA1693" s="176"/>
      <c r="AB1693" s="176"/>
      <c r="AC1693" s="176"/>
      <c r="AD1693" s="176"/>
      <c r="AE1693" s="176"/>
      <c r="AF1693" s="176"/>
      <c r="AG1693" s="176"/>
    </row>
    <row r="1694" spans="3:33" s="160" customFormat="1">
      <c r="C1694" s="825"/>
      <c r="M1694" s="247"/>
      <c r="Y1694" s="176"/>
      <c r="Z1694" s="176"/>
      <c r="AA1694" s="176"/>
      <c r="AB1694" s="176"/>
      <c r="AC1694" s="176"/>
      <c r="AD1694" s="176"/>
      <c r="AE1694" s="176"/>
      <c r="AF1694" s="176"/>
      <c r="AG1694" s="176"/>
    </row>
    <row r="1695" spans="3:33" s="160" customFormat="1">
      <c r="C1695" s="825"/>
      <c r="M1695" s="247"/>
      <c r="Y1695" s="176"/>
      <c r="Z1695" s="176"/>
      <c r="AA1695" s="176"/>
      <c r="AB1695" s="176"/>
      <c r="AC1695" s="176"/>
      <c r="AD1695" s="176"/>
      <c r="AE1695" s="176"/>
      <c r="AF1695" s="176"/>
      <c r="AG1695" s="176"/>
    </row>
    <row r="1696" spans="3:33" s="160" customFormat="1">
      <c r="C1696" s="825"/>
      <c r="M1696" s="247"/>
      <c r="Y1696" s="176"/>
      <c r="Z1696" s="176"/>
      <c r="AA1696" s="176"/>
      <c r="AB1696" s="176"/>
      <c r="AC1696" s="176"/>
      <c r="AD1696" s="176"/>
      <c r="AE1696" s="176"/>
      <c r="AF1696" s="176"/>
      <c r="AG1696" s="176"/>
    </row>
    <row r="1697" spans="3:33" s="160" customFormat="1">
      <c r="C1697" s="825"/>
      <c r="M1697" s="247"/>
      <c r="Y1697" s="176"/>
      <c r="Z1697" s="176"/>
      <c r="AA1697" s="176"/>
      <c r="AB1697" s="176"/>
      <c r="AC1697" s="176"/>
      <c r="AD1697" s="176"/>
      <c r="AE1697" s="176"/>
      <c r="AF1697" s="176"/>
      <c r="AG1697" s="176"/>
    </row>
    <row r="1698" spans="3:33" s="160" customFormat="1">
      <c r="C1698" s="825"/>
      <c r="M1698" s="247"/>
      <c r="Y1698" s="176"/>
      <c r="Z1698" s="176"/>
      <c r="AA1698" s="176"/>
      <c r="AB1698" s="176"/>
      <c r="AC1698" s="176"/>
      <c r="AD1698" s="176"/>
      <c r="AE1698" s="176"/>
      <c r="AF1698" s="176"/>
      <c r="AG1698" s="176"/>
    </row>
    <row r="1699" spans="3:33" s="160" customFormat="1">
      <c r="C1699" s="825"/>
      <c r="M1699" s="247"/>
      <c r="Y1699" s="176"/>
      <c r="Z1699" s="176"/>
      <c r="AA1699" s="176"/>
      <c r="AB1699" s="176"/>
      <c r="AC1699" s="176"/>
      <c r="AD1699" s="176"/>
      <c r="AE1699" s="176"/>
      <c r="AF1699" s="176"/>
      <c r="AG1699" s="176"/>
    </row>
    <row r="1700" spans="3:33" s="160" customFormat="1">
      <c r="C1700" s="825"/>
      <c r="M1700" s="247"/>
      <c r="Y1700" s="176"/>
      <c r="Z1700" s="176"/>
      <c r="AA1700" s="176"/>
      <c r="AB1700" s="176"/>
      <c r="AC1700" s="176"/>
      <c r="AD1700" s="176"/>
      <c r="AE1700" s="176"/>
      <c r="AF1700" s="176"/>
      <c r="AG1700" s="176"/>
    </row>
    <row r="1701" spans="3:33" s="160" customFormat="1">
      <c r="C1701" s="825"/>
      <c r="M1701" s="247"/>
      <c r="Y1701" s="176"/>
      <c r="Z1701" s="176"/>
      <c r="AA1701" s="176"/>
      <c r="AB1701" s="176"/>
      <c r="AC1701" s="176"/>
      <c r="AD1701" s="176"/>
      <c r="AE1701" s="176"/>
      <c r="AF1701" s="176"/>
      <c r="AG1701" s="176"/>
    </row>
    <row r="1702" spans="3:33" s="160" customFormat="1">
      <c r="C1702" s="825"/>
      <c r="M1702" s="247"/>
      <c r="Y1702" s="176"/>
      <c r="Z1702" s="176"/>
      <c r="AA1702" s="176"/>
      <c r="AB1702" s="176"/>
      <c r="AC1702" s="176"/>
      <c r="AD1702" s="176"/>
      <c r="AE1702" s="176"/>
      <c r="AF1702" s="176"/>
      <c r="AG1702" s="176"/>
    </row>
    <row r="1703" spans="3:33" s="160" customFormat="1">
      <c r="C1703" s="825"/>
      <c r="M1703" s="247"/>
      <c r="Y1703" s="176"/>
      <c r="Z1703" s="176"/>
      <c r="AA1703" s="176"/>
      <c r="AB1703" s="176"/>
      <c r="AC1703" s="176"/>
      <c r="AD1703" s="176"/>
      <c r="AE1703" s="176"/>
      <c r="AF1703" s="176"/>
      <c r="AG1703" s="176"/>
    </row>
    <row r="1704" spans="3:33" s="160" customFormat="1">
      <c r="C1704" s="825"/>
      <c r="M1704" s="247"/>
      <c r="Y1704" s="176"/>
      <c r="Z1704" s="176"/>
      <c r="AA1704" s="176"/>
      <c r="AB1704" s="176"/>
      <c r="AC1704" s="176"/>
      <c r="AD1704" s="176"/>
      <c r="AE1704" s="176"/>
      <c r="AF1704" s="176"/>
      <c r="AG1704" s="176"/>
    </row>
    <row r="1705" spans="3:33" s="160" customFormat="1">
      <c r="C1705" s="825"/>
      <c r="M1705" s="247"/>
      <c r="Y1705" s="176"/>
      <c r="Z1705" s="176"/>
      <c r="AA1705" s="176"/>
      <c r="AB1705" s="176"/>
      <c r="AC1705" s="176"/>
      <c r="AD1705" s="176"/>
      <c r="AE1705" s="176"/>
      <c r="AF1705" s="176"/>
      <c r="AG1705" s="176"/>
    </row>
    <row r="1706" spans="3:33" s="160" customFormat="1">
      <c r="C1706" s="825"/>
      <c r="M1706" s="247"/>
      <c r="Y1706" s="176"/>
      <c r="Z1706" s="176"/>
      <c r="AA1706" s="176"/>
      <c r="AB1706" s="176"/>
      <c r="AC1706" s="176"/>
      <c r="AD1706" s="176"/>
      <c r="AE1706" s="176"/>
      <c r="AF1706" s="176"/>
      <c r="AG1706" s="176"/>
    </row>
    <row r="1707" spans="3:33" s="160" customFormat="1">
      <c r="C1707" s="825"/>
      <c r="M1707" s="247"/>
      <c r="Y1707" s="176"/>
      <c r="Z1707" s="176"/>
      <c r="AA1707" s="176"/>
      <c r="AB1707" s="176"/>
      <c r="AC1707" s="176"/>
      <c r="AD1707" s="176"/>
      <c r="AE1707" s="176"/>
      <c r="AF1707" s="176"/>
      <c r="AG1707" s="176"/>
    </row>
    <row r="1708" spans="3:33" s="160" customFormat="1">
      <c r="C1708" s="825"/>
      <c r="M1708" s="247"/>
      <c r="Y1708" s="176"/>
      <c r="Z1708" s="176"/>
      <c r="AA1708" s="176"/>
      <c r="AB1708" s="176"/>
      <c r="AC1708" s="176"/>
      <c r="AD1708" s="176"/>
      <c r="AE1708" s="176"/>
      <c r="AF1708" s="176"/>
      <c r="AG1708" s="176"/>
    </row>
    <row r="1709" spans="3:33" s="160" customFormat="1">
      <c r="C1709" s="825"/>
      <c r="M1709" s="247"/>
      <c r="Y1709" s="176"/>
      <c r="Z1709" s="176"/>
      <c r="AA1709" s="176"/>
      <c r="AB1709" s="176"/>
      <c r="AC1709" s="176"/>
      <c r="AD1709" s="176"/>
      <c r="AE1709" s="176"/>
      <c r="AF1709" s="176"/>
      <c r="AG1709" s="176"/>
    </row>
    <row r="1710" spans="3:33" s="160" customFormat="1">
      <c r="C1710" s="825"/>
      <c r="M1710" s="247"/>
      <c r="Y1710" s="176"/>
      <c r="Z1710" s="176"/>
      <c r="AA1710" s="176"/>
      <c r="AB1710" s="176"/>
      <c r="AC1710" s="176"/>
      <c r="AD1710" s="176"/>
      <c r="AE1710" s="176"/>
      <c r="AF1710" s="176"/>
      <c r="AG1710" s="176"/>
    </row>
    <row r="1711" spans="3:33" s="160" customFormat="1">
      <c r="C1711" s="825"/>
      <c r="M1711" s="247"/>
      <c r="Y1711" s="176"/>
      <c r="Z1711" s="176"/>
      <c r="AA1711" s="176"/>
      <c r="AB1711" s="176"/>
      <c r="AC1711" s="176"/>
      <c r="AD1711" s="176"/>
      <c r="AE1711" s="176"/>
      <c r="AF1711" s="176"/>
      <c r="AG1711" s="176"/>
    </row>
    <row r="1712" spans="3:33" s="160" customFormat="1">
      <c r="C1712" s="825"/>
      <c r="M1712" s="247"/>
      <c r="Y1712" s="176"/>
      <c r="Z1712" s="176"/>
      <c r="AA1712" s="176"/>
      <c r="AB1712" s="176"/>
      <c r="AC1712" s="176"/>
      <c r="AD1712" s="176"/>
      <c r="AE1712" s="176"/>
      <c r="AF1712" s="176"/>
      <c r="AG1712" s="176"/>
    </row>
    <row r="1713" spans="3:33" s="160" customFormat="1">
      <c r="C1713" s="825"/>
      <c r="M1713" s="247"/>
      <c r="Y1713" s="176"/>
      <c r="Z1713" s="176"/>
      <c r="AA1713" s="176"/>
      <c r="AB1713" s="176"/>
      <c r="AC1713" s="176"/>
      <c r="AD1713" s="176"/>
      <c r="AE1713" s="176"/>
      <c r="AF1713" s="176"/>
      <c r="AG1713" s="176"/>
    </row>
    <row r="1714" spans="3:33" s="160" customFormat="1">
      <c r="C1714" s="825"/>
      <c r="M1714" s="247"/>
      <c r="Y1714" s="176"/>
      <c r="Z1714" s="176"/>
      <c r="AA1714" s="176"/>
      <c r="AB1714" s="176"/>
      <c r="AC1714" s="176"/>
      <c r="AD1714" s="176"/>
      <c r="AE1714" s="176"/>
      <c r="AF1714" s="176"/>
      <c r="AG1714" s="176"/>
    </row>
    <row r="1715" spans="3:33" s="160" customFormat="1">
      <c r="C1715" s="825"/>
      <c r="M1715" s="247"/>
      <c r="Y1715" s="176"/>
      <c r="Z1715" s="176"/>
      <c r="AA1715" s="176"/>
      <c r="AB1715" s="176"/>
      <c r="AC1715" s="176"/>
      <c r="AD1715" s="176"/>
      <c r="AE1715" s="176"/>
      <c r="AF1715" s="176"/>
      <c r="AG1715" s="176"/>
    </row>
    <row r="1716" spans="3:33" s="160" customFormat="1">
      <c r="C1716" s="825"/>
      <c r="M1716" s="247"/>
      <c r="Y1716" s="176"/>
      <c r="Z1716" s="176"/>
      <c r="AA1716" s="176"/>
      <c r="AB1716" s="176"/>
      <c r="AC1716" s="176"/>
      <c r="AD1716" s="176"/>
      <c r="AE1716" s="176"/>
      <c r="AF1716" s="176"/>
      <c r="AG1716" s="176"/>
    </row>
    <row r="1717" spans="3:33" s="160" customFormat="1">
      <c r="C1717" s="825"/>
      <c r="M1717" s="247"/>
      <c r="Y1717" s="176"/>
      <c r="Z1717" s="176"/>
      <c r="AA1717" s="176"/>
      <c r="AB1717" s="176"/>
      <c r="AC1717" s="176"/>
      <c r="AD1717" s="176"/>
      <c r="AE1717" s="176"/>
      <c r="AF1717" s="176"/>
      <c r="AG1717" s="176"/>
    </row>
    <row r="1718" spans="3:33" s="160" customFormat="1">
      <c r="C1718" s="825"/>
      <c r="M1718" s="247"/>
      <c r="Y1718" s="176"/>
      <c r="Z1718" s="176"/>
      <c r="AA1718" s="176"/>
      <c r="AB1718" s="176"/>
      <c r="AC1718" s="176"/>
      <c r="AD1718" s="176"/>
      <c r="AE1718" s="176"/>
      <c r="AF1718" s="176"/>
      <c r="AG1718" s="176"/>
    </row>
    <row r="1719" spans="3:33" s="160" customFormat="1">
      <c r="C1719" s="825"/>
      <c r="M1719" s="247"/>
      <c r="Y1719" s="176"/>
      <c r="Z1719" s="176"/>
      <c r="AA1719" s="176"/>
      <c r="AB1719" s="176"/>
      <c r="AC1719" s="176"/>
      <c r="AD1719" s="176"/>
      <c r="AE1719" s="176"/>
      <c r="AF1719" s="176"/>
      <c r="AG1719" s="176"/>
    </row>
    <row r="1720" spans="3:33" s="160" customFormat="1">
      <c r="C1720" s="825"/>
      <c r="M1720" s="247"/>
      <c r="Y1720" s="176"/>
      <c r="Z1720" s="176"/>
      <c r="AA1720" s="176"/>
      <c r="AB1720" s="176"/>
      <c r="AC1720" s="176"/>
      <c r="AD1720" s="176"/>
      <c r="AE1720" s="176"/>
      <c r="AF1720" s="176"/>
      <c r="AG1720" s="176"/>
    </row>
    <row r="1721" spans="3:33" s="160" customFormat="1">
      <c r="C1721" s="825"/>
      <c r="M1721" s="247"/>
      <c r="Y1721" s="176"/>
      <c r="Z1721" s="176"/>
      <c r="AA1721" s="176"/>
      <c r="AB1721" s="176"/>
      <c r="AC1721" s="176"/>
      <c r="AD1721" s="176"/>
      <c r="AE1721" s="176"/>
      <c r="AF1721" s="176"/>
      <c r="AG1721" s="176"/>
    </row>
    <row r="1722" spans="3:33" s="160" customFormat="1">
      <c r="C1722" s="825"/>
      <c r="M1722" s="247"/>
      <c r="Y1722" s="176"/>
      <c r="Z1722" s="176"/>
      <c r="AA1722" s="176"/>
      <c r="AB1722" s="176"/>
      <c r="AC1722" s="176"/>
      <c r="AD1722" s="176"/>
      <c r="AE1722" s="176"/>
      <c r="AF1722" s="176"/>
      <c r="AG1722" s="176"/>
    </row>
    <row r="1723" spans="3:33" s="160" customFormat="1">
      <c r="C1723" s="825"/>
      <c r="M1723" s="247"/>
      <c r="Y1723" s="176"/>
      <c r="Z1723" s="176"/>
      <c r="AA1723" s="176"/>
      <c r="AB1723" s="176"/>
      <c r="AC1723" s="176"/>
      <c r="AD1723" s="176"/>
      <c r="AE1723" s="176"/>
      <c r="AF1723" s="176"/>
      <c r="AG1723" s="176"/>
    </row>
    <row r="1724" spans="3:33" s="160" customFormat="1">
      <c r="C1724" s="825"/>
      <c r="M1724" s="247"/>
      <c r="Y1724" s="176"/>
      <c r="Z1724" s="176"/>
      <c r="AA1724" s="176"/>
      <c r="AB1724" s="176"/>
      <c r="AC1724" s="176"/>
      <c r="AD1724" s="176"/>
      <c r="AE1724" s="176"/>
      <c r="AF1724" s="176"/>
      <c r="AG1724" s="176"/>
    </row>
    <row r="1725" spans="3:33" s="160" customFormat="1">
      <c r="C1725" s="825"/>
      <c r="M1725" s="247"/>
      <c r="Y1725" s="176"/>
      <c r="Z1725" s="176"/>
      <c r="AA1725" s="176"/>
      <c r="AB1725" s="176"/>
      <c r="AC1725" s="176"/>
      <c r="AD1725" s="176"/>
      <c r="AE1725" s="176"/>
      <c r="AF1725" s="176"/>
      <c r="AG1725" s="176"/>
    </row>
    <row r="1726" spans="3:33" s="160" customFormat="1">
      <c r="C1726" s="825"/>
      <c r="M1726" s="247"/>
      <c r="Y1726" s="176"/>
      <c r="Z1726" s="176"/>
      <c r="AA1726" s="176"/>
      <c r="AB1726" s="176"/>
      <c r="AC1726" s="176"/>
      <c r="AD1726" s="176"/>
      <c r="AE1726" s="176"/>
      <c r="AF1726" s="176"/>
      <c r="AG1726" s="176"/>
    </row>
    <row r="1727" spans="3:33" s="160" customFormat="1">
      <c r="C1727" s="825"/>
      <c r="M1727" s="247"/>
      <c r="Y1727" s="176"/>
      <c r="Z1727" s="176"/>
      <c r="AA1727" s="176"/>
      <c r="AB1727" s="176"/>
      <c r="AC1727" s="176"/>
      <c r="AD1727" s="176"/>
      <c r="AE1727" s="176"/>
      <c r="AF1727" s="176"/>
      <c r="AG1727" s="176"/>
    </row>
    <row r="1728" spans="3:33" s="160" customFormat="1">
      <c r="C1728" s="825"/>
      <c r="M1728" s="247"/>
      <c r="Y1728" s="176"/>
      <c r="Z1728" s="176"/>
      <c r="AA1728" s="176"/>
      <c r="AB1728" s="176"/>
      <c r="AC1728" s="176"/>
      <c r="AD1728" s="176"/>
      <c r="AE1728" s="176"/>
      <c r="AF1728" s="176"/>
      <c r="AG1728" s="176"/>
    </row>
    <row r="1729" spans="3:33" s="160" customFormat="1">
      <c r="C1729" s="825"/>
      <c r="M1729" s="247"/>
      <c r="Y1729" s="176"/>
      <c r="Z1729" s="176"/>
      <c r="AA1729" s="176"/>
      <c r="AB1729" s="176"/>
      <c r="AC1729" s="176"/>
      <c r="AD1729" s="176"/>
      <c r="AE1729" s="176"/>
      <c r="AF1729" s="176"/>
      <c r="AG1729" s="176"/>
    </row>
    <row r="1730" spans="3:33" s="160" customFormat="1">
      <c r="C1730" s="825"/>
      <c r="M1730" s="247"/>
      <c r="Y1730" s="176"/>
      <c r="Z1730" s="176"/>
      <c r="AA1730" s="176"/>
      <c r="AB1730" s="176"/>
      <c r="AC1730" s="176"/>
      <c r="AD1730" s="176"/>
      <c r="AE1730" s="176"/>
      <c r="AF1730" s="176"/>
      <c r="AG1730" s="176"/>
    </row>
    <row r="1731" spans="3:33" s="160" customFormat="1">
      <c r="C1731" s="825"/>
      <c r="M1731" s="247"/>
      <c r="Y1731" s="176"/>
      <c r="Z1731" s="176"/>
      <c r="AA1731" s="176"/>
      <c r="AB1731" s="176"/>
      <c r="AC1731" s="176"/>
      <c r="AD1731" s="176"/>
      <c r="AE1731" s="176"/>
      <c r="AF1731" s="176"/>
      <c r="AG1731" s="176"/>
    </row>
    <row r="1732" spans="3:33" s="160" customFormat="1">
      <c r="C1732" s="825"/>
      <c r="M1732" s="247"/>
      <c r="Y1732" s="176"/>
      <c r="Z1732" s="176"/>
      <c r="AA1732" s="176"/>
      <c r="AB1732" s="176"/>
      <c r="AC1732" s="176"/>
      <c r="AD1732" s="176"/>
      <c r="AE1732" s="176"/>
      <c r="AF1732" s="176"/>
      <c r="AG1732" s="176"/>
    </row>
    <row r="1733" spans="3:33" s="160" customFormat="1">
      <c r="C1733" s="825"/>
      <c r="M1733" s="247"/>
      <c r="Y1733" s="176"/>
      <c r="Z1733" s="176"/>
      <c r="AA1733" s="176"/>
      <c r="AB1733" s="176"/>
      <c r="AC1733" s="176"/>
      <c r="AD1733" s="176"/>
      <c r="AE1733" s="176"/>
      <c r="AF1733" s="176"/>
      <c r="AG1733" s="176"/>
    </row>
    <row r="1734" spans="3:33" s="160" customFormat="1">
      <c r="C1734" s="825"/>
      <c r="M1734" s="247"/>
      <c r="Y1734" s="176"/>
      <c r="Z1734" s="176"/>
      <c r="AA1734" s="176"/>
      <c r="AB1734" s="176"/>
      <c r="AC1734" s="176"/>
      <c r="AD1734" s="176"/>
      <c r="AE1734" s="176"/>
      <c r="AF1734" s="176"/>
      <c r="AG1734" s="176"/>
    </row>
    <row r="1735" spans="3:33" s="160" customFormat="1">
      <c r="C1735" s="825"/>
      <c r="M1735" s="247"/>
      <c r="Y1735" s="176"/>
      <c r="Z1735" s="176"/>
      <c r="AA1735" s="176"/>
      <c r="AB1735" s="176"/>
      <c r="AC1735" s="176"/>
      <c r="AD1735" s="176"/>
      <c r="AE1735" s="176"/>
      <c r="AF1735" s="176"/>
      <c r="AG1735" s="176"/>
    </row>
    <row r="1736" spans="3:33" s="160" customFormat="1">
      <c r="C1736" s="825"/>
      <c r="M1736" s="247"/>
      <c r="Y1736" s="176"/>
      <c r="Z1736" s="176"/>
      <c r="AA1736" s="176"/>
      <c r="AB1736" s="176"/>
      <c r="AC1736" s="176"/>
      <c r="AD1736" s="176"/>
      <c r="AE1736" s="176"/>
      <c r="AF1736" s="176"/>
      <c r="AG1736" s="176"/>
    </row>
    <row r="1737" spans="3:33" s="160" customFormat="1">
      <c r="C1737" s="825"/>
      <c r="M1737" s="247"/>
      <c r="Y1737" s="176"/>
      <c r="Z1737" s="176"/>
      <c r="AA1737" s="176"/>
      <c r="AB1737" s="176"/>
      <c r="AC1737" s="176"/>
      <c r="AD1737" s="176"/>
      <c r="AE1737" s="176"/>
      <c r="AF1737" s="176"/>
      <c r="AG1737" s="176"/>
    </row>
    <row r="1738" spans="3:33" s="160" customFormat="1">
      <c r="C1738" s="825"/>
      <c r="M1738" s="247"/>
      <c r="Y1738" s="176"/>
      <c r="Z1738" s="176"/>
      <c r="AA1738" s="176"/>
      <c r="AB1738" s="176"/>
      <c r="AC1738" s="176"/>
      <c r="AD1738" s="176"/>
      <c r="AE1738" s="176"/>
      <c r="AF1738" s="176"/>
      <c r="AG1738" s="176"/>
    </row>
    <row r="1739" spans="3:33" s="160" customFormat="1">
      <c r="C1739" s="825"/>
      <c r="M1739" s="247"/>
      <c r="Y1739" s="176"/>
      <c r="Z1739" s="176"/>
      <c r="AA1739" s="176"/>
      <c r="AB1739" s="176"/>
      <c r="AC1739" s="176"/>
      <c r="AD1739" s="176"/>
      <c r="AE1739" s="176"/>
      <c r="AF1739" s="176"/>
      <c r="AG1739" s="176"/>
    </row>
    <row r="1740" spans="3:33" s="160" customFormat="1">
      <c r="C1740" s="825"/>
      <c r="M1740" s="247"/>
      <c r="Y1740" s="176"/>
      <c r="Z1740" s="176"/>
      <c r="AA1740" s="176"/>
      <c r="AB1740" s="176"/>
      <c r="AC1740" s="176"/>
      <c r="AD1740" s="176"/>
      <c r="AE1740" s="176"/>
      <c r="AF1740" s="176"/>
      <c r="AG1740" s="176"/>
    </row>
    <row r="1741" spans="3:33" s="160" customFormat="1">
      <c r="C1741" s="825"/>
      <c r="M1741" s="247"/>
      <c r="Y1741" s="176"/>
      <c r="Z1741" s="176"/>
      <c r="AA1741" s="176"/>
      <c r="AB1741" s="176"/>
      <c r="AC1741" s="176"/>
      <c r="AD1741" s="176"/>
      <c r="AE1741" s="176"/>
      <c r="AF1741" s="176"/>
      <c r="AG1741" s="176"/>
    </row>
    <row r="1742" spans="3:33" s="160" customFormat="1">
      <c r="C1742" s="825"/>
      <c r="M1742" s="247"/>
      <c r="Y1742" s="176"/>
      <c r="Z1742" s="176"/>
      <c r="AA1742" s="176"/>
      <c r="AB1742" s="176"/>
      <c r="AC1742" s="176"/>
      <c r="AD1742" s="176"/>
      <c r="AE1742" s="176"/>
      <c r="AF1742" s="176"/>
      <c r="AG1742" s="176"/>
    </row>
    <row r="1743" spans="3:33" s="160" customFormat="1">
      <c r="C1743" s="825"/>
      <c r="M1743" s="247"/>
      <c r="Y1743" s="176"/>
      <c r="Z1743" s="176"/>
      <c r="AA1743" s="176"/>
      <c r="AB1743" s="176"/>
      <c r="AC1743" s="176"/>
      <c r="AD1743" s="176"/>
      <c r="AE1743" s="176"/>
      <c r="AF1743" s="176"/>
      <c r="AG1743" s="176"/>
    </row>
    <row r="1744" spans="3:33" s="160" customFormat="1">
      <c r="C1744" s="825"/>
      <c r="M1744" s="247"/>
      <c r="Y1744" s="176"/>
      <c r="Z1744" s="176"/>
      <c r="AA1744" s="176"/>
      <c r="AB1744" s="176"/>
      <c r="AC1744" s="176"/>
      <c r="AD1744" s="176"/>
      <c r="AE1744" s="176"/>
      <c r="AF1744" s="176"/>
      <c r="AG1744" s="176"/>
    </row>
    <row r="1745" spans="3:33" s="160" customFormat="1">
      <c r="C1745" s="825"/>
      <c r="M1745" s="247"/>
      <c r="Y1745" s="176"/>
      <c r="Z1745" s="176"/>
      <c r="AA1745" s="176"/>
      <c r="AB1745" s="176"/>
      <c r="AC1745" s="176"/>
      <c r="AD1745" s="176"/>
      <c r="AE1745" s="176"/>
      <c r="AF1745" s="176"/>
      <c r="AG1745" s="176"/>
    </row>
    <row r="1746" spans="3:33" s="160" customFormat="1">
      <c r="C1746" s="825"/>
      <c r="M1746" s="247"/>
      <c r="Y1746" s="176"/>
      <c r="Z1746" s="176"/>
      <c r="AA1746" s="176"/>
      <c r="AB1746" s="176"/>
      <c r="AC1746" s="176"/>
      <c r="AD1746" s="176"/>
      <c r="AE1746" s="176"/>
      <c r="AF1746" s="176"/>
      <c r="AG1746" s="176"/>
    </row>
    <row r="1747" spans="3:33" s="160" customFormat="1">
      <c r="C1747" s="825"/>
      <c r="M1747" s="247"/>
      <c r="Y1747" s="176"/>
      <c r="Z1747" s="176"/>
      <c r="AA1747" s="176"/>
      <c r="AB1747" s="176"/>
      <c r="AC1747" s="176"/>
      <c r="AD1747" s="176"/>
      <c r="AE1747" s="176"/>
      <c r="AF1747" s="176"/>
      <c r="AG1747" s="176"/>
    </row>
    <row r="1748" spans="3:33" s="160" customFormat="1">
      <c r="C1748" s="825"/>
      <c r="M1748" s="247"/>
      <c r="Y1748" s="176"/>
      <c r="Z1748" s="176"/>
      <c r="AA1748" s="176"/>
      <c r="AB1748" s="176"/>
      <c r="AC1748" s="176"/>
      <c r="AD1748" s="176"/>
      <c r="AE1748" s="176"/>
      <c r="AF1748" s="176"/>
      <c r="AG1748" s="176"/>
    </row>
    <row r="1749" spans="3:33" s="160" customFormat="1">
      <c r="C1749" s="825"/>
      <c r="M1749" s="247"/>
      <c r="Y1749" s="176"/>
      <c r="Z1749" s="176"/>
      <c r="AA1749" s="176"/>
      <c r="AB1749" s="176"/>
      <c r="AC1749" s="176"/>
      <c r="AD1749" s="176"/>
      <c r="AE1749" s="176"/>
      <c r="AF1749" s="176"/>
      <c r="AG1749" s="176"/>
    </row>
    <row r="1750" spans="3:33" s="160" customFormat="1">
      <c r="C1750" s="825"/>
      <c r="M1750" s="247"/>
      <c r="Y1750" s="176"/>
      <c r="Z1750" s="176"/>
      <c r="AA1750" s="176"/>
      <c r="AB1750" s="176"/>
      <c r="AC1750" s="176"/>
      <c r="AD1750" s="176"/>
      <c r="AE1750" s="176"/>
      <c r="AF1750" s="176"/>
      <c r="AG1750" s="176"/>
    </row>
    <row r="1751" spans="3:33" s="160" customFormat="1">
      <c r="C1751" s="825"/>
      <c r="M1751" s="247"/>
      <c r="Y1751" s="176"/>
      <c r="Z1751" s="176"/>
      <c r="AA1751" s="176"/>
      <c r="AB1751" s="176"/>
      <c r="AC1751" s="176"/>
      <c r="AD1751" s="176"/>
      <c r="AE1751" s="176"/>
      <c r="AF1751" s="176"/>
      <c r="AG1751" s="176"/>
    </row>
    <row r="1752" spans="3:33" s="160" customFormat="1">
      <c r="C1752" s="825"/>
      <c r="M1752" s="247"/>
      <c r="Y1752" s="176"/>
      <c r="Z1752" s="176"/>
      <c r="AA1752" s="176"/>
      <c r="AB1752" s="176"/>
      <c r="AC1752" s="176"/>
      <c r="AD1752" s="176"/>
      <c r="AE1752" s="176"/>
      <c r="AF1752" s="176"/>
      <c r="AG1752" s="176"/>
    </row>
    <row r="1753" spans="3:33" s="160" customFormat="1">
      <c r="C1753" s="825"/>
      <c r="M1753" s="247"/>
      <c r="Y1753" s="176"/>
      <c r="Z1753" s="176"/>
      <c r="AA1753" s="176"/>
      <c r="AB1753" s="176"/>
      <c r="AC1753" s="176"/>
      <c r="AD1753" s="176"/>
      <c r="AE1753" s="176"/>
      <c r="AF1753" s="176"/>
      <c r="AG1753" s="176"/>
    </row>
    <row r="1754" spans="3:33" s="160" customFormat="1">
      <c r="C1754" s="825"/>
      <c r="M1754" s="247"/>
      <c r="Y1754" s="176"/>
      <c r="Z1754" s="176"/>
      <c r="AA1754" s="176"/>
      <c r="AB1754" s="176"/>
      <c r="AC1754" s="176"/>
      <c r="AD1754" s="176"/>
      <c r="AE1754" s="176"/>
      <c r="AF1754" s="176"/>
      <c r="AG1754" s="176"/>
    </row>
    <row r="1755" spans="3:33" s="160" customFormat="1">
      <c r="C1755" s="825"/>
      <c r="M1755" s="247"/>
      <c r="Y1755" s="176"/>
      <c r="Z1755" s="176"/>
      <c r="AA1755" s="176"/>
      <c r="AB1755" s="176"/>
      <c r="AC1755" s="176"/>
      <c r="AD1755" s="176"/>
      <c r="AE1755" s="176"/>
      <c r="AF1755" s="176"/>
      <c r="AG1755" s="176"/>
    </row>
    <row r="1756" spans="3:33" s="160" customFormat="1">
      <c r="C1756" s="825"/>
      <c r="M1756" s="247"/>
      <c r="Y1756" s="176"/>
      <c r="Z1756" s="176"/>
      <c r="AA1756" s="176"/>
      <c r="AB1756" s="176"/>
      <c r="AC1756" s="176"/>
      <c r="AD1756" s="176"/>
      <c r="AE1756" s="176"/>
      <c r="AF1756" s="176"/>
      <c r="AG1756" s="176"/>
    </row>
    <row r="1757" spans="3:33" s="160" customFormat="1">
      <c r="C1757" s="825"/>
      <c r="M1757" s="247"/>
      <c r="Y1757" s="176"/>
      <c r="Z1757" s="176"/>
      <c r="AA1757" s="176"/>
      <c r="AB1757" s="176"/>
      <c r="AC1757" s="176"/>
      <c r="AD1757" s="176"/>
      <c r="AE1757" s="176"/>
      <c r="AF1757" s="176"/>
      <c r="AG1757" s="176"/>
    </row>
    <row r="1758" spans="3:33" s="160" customFormat="1">
      <c r="C1758" s="825"/>
      <c r="M1758" s="247"/>
      <c r="Y1758" s="176"/>
      <c r="Z1758" s="176"/>
      <c r="AA1758" s="176"/>
      <c r="AB1758" s="176"/>
      <c r="AC1758" s="176"/>
      <c r="AD1758" s="176"/>
      <c r="AE1758" s="176"/>
      <c r="AF1758" s="176"/>
      <c r="AG1758" s="176"/>
    </row>
    <row r="1759" spans="3:33" s="160" customFormat="1">
      <c r="C1759" s="825"/>
      <c r="M1759" s="247"/>
      <c r="Y1759" s="176"/>
      <c r="Z1759" s="176"/>
      <c r="AA1759" s="176"/>
      <c r="AB1759" s="176"/>
      <c r="AC1759" s="176"/>
      <c r="AD1759" s="176"/>
      <c r="AE1759" s="176"/>
      <c r="AF1759" s="176"/>
      <c r="AG1759" s="176"/>
    </row>
    <row r="1760" spans="3:33" s="160" customFormat="1">
      <c r="C1760" s="825"/>
      <c r="M1760" s="247"/>
      <c r="Y1760" s="176"/>
      <c r="Z1760" s="176"/>
      <c r="AA1760" s="176"/>
      <c r="AB1760" s="176"/>
      <c r="AC1760" s="176"/>
      <c r="AD1760" s="176"/>
      <c r="AE1760" s="176"/>
      <c r="AF1760" s="176"/>
      <c r="AG1760" s="176"/>
    </row>
    <row r="1761" spans="3:33" s="160" customFormat="1">
      <c r="C1761" s="825"/>
      <c r="M1761" s="247"/>
      <c r="Y1761" s="176"/>
      <c r="Z1761" s="176"/>
      <c r="AA1761" s="176"/>
      <c r="AB1761" s="176"/>
      <c r="AC1761" s="176"/>
      <c r="AD1761" s="176"/>
      <c r="AE1761" s="176"/>
      <c r="AF1761" s="176"/>
      <c r="AG1761" s="176"/>
    </row>
    <row r="1762" spans="3:33" s="160" customFormat="1">
      <c r="C1762" s="825"/>
      <c r="M1762" s="247"/>
      <c r="Y1762" s="176"/>
      <c r="Z1762" s="176"/>
      <c r="AA1762" s="176"/>
      <c r="AB1762" s="176"/>
      <c r="AC1762" s="176"/>
      <c r="AD1762" s="176"/>
      <c r="AE1762" s="176"/>
      <c r="AF1762" s="176"/>
      <c r="AG1762" s="176"/>
    </row>
    <row r="1763" spans="3:33" s="160" customFormat="1">
      <c r="C1763" s="825"/>
      <c r="M1763" s="247"/>
      <c r="Y1763" s="176"/>
      <c r="Z1763" s="176"/>
      <c r="AA1763" s="176"/>
      <c r="AB1763" s="176"/>
      <c r="AC1763" s="176"/>
      <c r="AD1763" s="176"/>
      <c r="AE1763" s="176"/>
      <c r="AF1763" s="176"/>
      <c r="AG1763" s="176"/>
    </row>
    <row r="1764" spans="3:33" s="160" customFormat="1">
      <c r="C1764" s="825"/>
      <c r="M1764" s="247"/>
      <c r="Y1764" s="176"/>
      <c r="Z1764" s="176"/>
      <c r="AA1764" s="176"/>
      <c r="AB1764" s="176"/>
      <c r="AC1764" s="176"/>
      <c r="AD1764" s="176"/>
      <c r="AE1764" s="176"/>
      <c r="AF1764" s="176"/>
      <c r="AG1764" s="176"/>
    </row>
    <row r="1765" spans="3:33" s="160" customFormat="1">
      <c r="C1765" s="825"/>
      <c r="M1765" s="247"/>
      <c r="Y1765" s="176"/>
      <c r="Z1765" s="176"/>
      <c r="AA1765" s="176"/>
      <c r="AB1765" s="176"/>
      <c r="AC1765" s="176"/>
      <c r="AD1765" s="176"/>
      <c r="AE1765" s="176"/>
      <c r="AF1765" s="176"/>
      <c r="AG1765" s="176"/>
    </row>
    <row r="1766" spans="3:33" s="160" customFormat="1">
      <c r="C1766" s="825"/>
      <c r="M1766" s="247"/>
      <c r="Y1766" s="176"/>
      <c r="Z1766" s="176"/>
      <c r="AA1766" s="176"/>
      <c r="AB1766" s="176"/>
      <c r="AC1766" s="176"/>
      <c r="AD1766" s="176"/>
      <c r="AE1766" s="176"/>
      <c r="AF1766" s="176"/>
      <c r="AG1766" s="176"/>
    </row>
    <row r="1767" spans="3:33" s="160" customFormat="1">
      <c r="C1767" s="825"/>
      <c r="M1767" s="247"/>
      <c r="Y1767" s="176"/>
      <c r="Z1767" s="176"/>
      <c r="AA1767" s="176"/>
      <c r="AB1767" s="176"/>
      <c r="AC1767" s="176"/>
      <c r="AD1767" s="176"/>
      <c r="AE1767" s="176"/>
      <c r="AF1767" s="176"/>
      <c r="AG1767" s="176"/>
    </row>
    <row r="1768" spans="3:33" s="160" customFormat="1">
      <c r="C1768" s="825"/>
      <c r="M1768" s="247"/>
      <c r="Y1768" s="176"/>
      <c r="Z1768" s="176"/>
      <c r="AA1768" s="176"/>
      <c r="AB1768" s="176"/>
      <c r="AC1768" s="176"/>
      <c r="AD1768" s="176"/>
      <c r="AE1768" s="176"/>
      <c r="AF1768" s="176"/>
      <c r="AG1768" s="176"/>
    </row>
    <row r="1769" spans="3:33" s="160" customFormat="1">
      <c r="C1769" s="825"/>
      <c r="M1769" s="247"/>
      <c r="Y1769" s="176"/>
      <c r="Z1769" s="176"/>
      <c r="AA1769" s="176"/>
      <c r="AB1769" s="176"/>
      <c r="AC1769" s="176"/>
      <c r="AD1769" s="176"/>
      <c r="AE1769" s="176"/>
      <c r="AF1769" s="176"/>
      <c r="AG1769" s="176"/>
    </row>
    <row r="1770" spans="3:33" s="160" customFormat="1">
      <c r="C1770" s="825"/>
      <c r="M1770" s="247"/>
      <c r="Y1770" s="176"/>
      <c r="Z1770" s="176"/>
      <c r="AA1770" s="176"/>
      <c r="AB1770" s="176"/>
      <c r="AC1770" s="176"/>
      <c r="AD1770" s="176"/>
      <c r="AE1770" s="176"/>
      <c r="AF1770" s="176"/>
      <c r="AG1770" s="176"/>
    </row>
    <row r="1771" spans="3:33" s="160" customFormat="1">
      <c r="C1771" s="825"/>
      <c r="M1771" s="247"/>
      <c r="Y1771" s="176"/>
      <c r="Z1771" s="176"/>
      <c r="AA1771" s="176"/>
      <c r="AB1771" s="176"/>
      <c r="AC1771" s="176"/>
      <c r="AD1771" s="176"/>
      <c r="AE1771" s="176"/>
      <c r="AF1771" s="176"/>
      <c r="AG1771" s="176"/>
    </row>
    <row r="1772" spans="3:33" s="160" customFormat="1">
      <c r="C1772" s="825"/>
      <c r="M1772" s="247"/>
      <c r="Y1772" s="176"/>
      <c r="Z1772" s="176"/>
      <c r="AA1772" s="176"/>
      <c r="AB1772" s="176"/>
      <c r="AC1772" s="176"/>
      <c r="AD1772" s="176"/>
      <c r="AE1772" s="176"/>
      <c r="AF1772" s="176"/>
      <c r="AG1772" s="176"/>
    </row>
    <row r="1773" spans="3:33" s="160" customFormat="1">
      <c r="C1773" s="825"/>
      <c r="M1773" s="247"/>
      <c r="Y1773" s="176"/>
      <c r="Z1773" s="176"/>
      <c r="AA1773" s="176"/>
      <c r="AB1773" s="176"/>
      <c r="AC1773" s="176"/>
      <c r="AD1773" s="176"/>
      <c r="AE1773" s="176"/>
      <c r="AF1773" s="176"/>
      <c r="AG1773" s="176"/>
    </row>
    <row r="1774" spans="3:33" s="160" customFormat="1">
      <c r="C1774" s="825"/>
      <c r="M1774" s="247"/>
      <c r="Y1774" s="176"/>
      <c r="Z1774" s="176"/>
      <c r="AA1774" s="176"/>
      <c r="AB1774" s="176"/>
      <c r="AC1774" s="176"/>
      <c r="AD1774" s="176"/>
      <c r="AE1774" s="176"/>
      <c r="AF1774" s="176"/>
      <c r="AG1774" s="176"/>
    </row>
    <row r="1775" spans="3:33" s="160" customFormat="1">
      <c r="C1775" s="825"/>
      <c r="M1775" s="247"/>
      <c r="Y1775" s="176"/>
      <c r="Z1775" s="176"/>
      <c r="AA1775" s="176"/>
      <c r="AB1775" s="176"/>
      <c r="AC1775" s="176"/>
      <c r="AD1775" s="176"/>
      <c r="AE1775" s="176"/>
      <c r="AF1775" s="176"/>
      <c r="AG1775" s="176"/>
    </row>
    <row r="1776" spans="3:33" s="160" customFormat="1">
      <c r="C1776" s="825"/>
      <c r="M1776" s="247"/>
      <c r="Y1776" s="176"/>
      <c r="Z1776" s="176"/>
      <c r="AA1776" s="176"/>
      <c r="AB1776" s="176"/>
      <c r="AC1776" s="176"/>
      <c r="AD1776" s="176"/>
      <c r="AE1776" s="176"/>
      <c r="AF1776" s="176"/>
      <c r="AG1776" s="176"/>
    </row>
    <row r="1777" spans="3:33" s="160" customFormat="1">
      <c r="C1777" s="825"/>
      <c r="M1777" s="247"/>
      <c r="Y1777" s="176"/>
      <c r="Z1777" s="176"/>
      <c r="AA1777" s="176"/>
      <c r="AB1777" s="176"/>
      <c r="AC1777" s="176"/>
      <c r="AD1777" s="176"/>
      <c r="AE1777" s="176"/>
      <c r="AF1777" s="176"/>
      <c r="AG1777" s="176"/>
    </row>
    <row r="1778" spans="3:33" s="160" customFormat="1">
      <c r="C1778" s="825"/>
      <c r="M1778" s="247"/>
      <c r="Y1778" s="176"/>
      <c r="Z1778" s="176"/>
      <c r="AA1778" s="176"/>
      <c r="AB1778" s="176"/>
      <c r="AC1778" s="176"/>
      <c r="AD1778" s="176"/>
      <c r="AE1778" s="176"/>
      <c r="AF1778" s="176"/>
      <c r="AG1778" s="176"/>
    </row>
    <row r="1779" spans="3:33" s="160" customFormat="1">
      <c r="C1779" s="825"/>
      <c r="M1779" s="247"/>
      <c r="Y1779" s="176"/>
      <c r="Z1779" s="176"/>
      <c r="AA1779" s="176"/>
      <c r="AB1779" s="176"/>
      <c r="AC1779" s="176"/>
      <c r="AD1779" s="176"/>
      <c r="AE1779" s="176"/>
      <c r="AF1779" s="176"/>
      <c r="AG1779" s="176"/>
    </row>
    <row r="1780" spans="3:33" s="160" customFormat="1">
      <c r="C1780" s="825"/>
      <c r="M1780" s="247"/>
      <c r="Y1780" s="176"/>
      <c r="Z1780" s="176"/>
      <c r="AA1780" s="176"/>
      <c r="AB1780" s="176"/>
      <c r="AC1780" s="176"/>
      <c r="AD1780" s="176"/>
      <c r="AE1780" s="176"/>
      <c r="AF1780" s="176"/>
      <c r="AG1780" s="176"/>
    </row>
    <row r="1781" spans="3:33" s="160" customFormat="1">
      <c r="C1781" s="825"/>
      <c r="M1781" s="247"/>
      <c r="Y1781" s="176"/>
      <c r="Z1781" s="176"/>
      <c r="AA1781" s="176"/>
      <c r="AB1781" s="176"/>
      <c r="AC1781" s="176"/>
      <c r="AD1781" s="176"/>
      <c r="AE1781" s="176"/>
      <c r="AF1781" s="176"/>
      <c r="AG1781" s="176"/>
    </row>
    <row r="1782" spans="3:33" s="160" customFormat="1">
      <c r="C1782" s="825"/>
      <c r="M1782" s="247"/>
      <c r="Y1782" s="176"/>
      <c r="Z1782" s="176"/>
      <c r="AA1782" s="176"/>
      <c r="AB1782" s="176"/>
      <c r="AC1782" s="176"/>
      <c r="AD1782" s="176"/>
      <c r="AE1782" s="176"/>
      <c r="AF1782" s="176"/>
      <c r="AG1782" s="176"/>
    </row>
    <row r="1783" spans="3:33" s="160" customFormat="1">
      <c r="C1783" s="825"/>
      <c r="M1783" s="247"/>
      <c r="Y1783" s="176"/>
      <c r="Z1783" s="176"/>
      <c r="AA1783" s="176"/>
      <c r="AB1783" s="176"/>
      <c r="AC1783" s="176"/>
      <c r="AD1783" s="176"/>
      <c r="AE1783" s="176"/>
      <c r="AF1783" s="176"/>
      <c r="AG1783" s="176"/>
    </row>
    <row r="1784" spans="3:33" s="160" customFormat="1">
      <c r="C1784" s="825"/>
      <c r="M1784" s="247"/>
      <c r="Y1784" s="176"/>
      <c r="Z1784" s="176"/>
      <c r="AA1784" s="176"/>
      <c r="AB1784" s="176"/>
      <c r="AC1784" s="176"/>
      <c r="AD1784" s="176"/>
      <c r="AE1784" s="176"/>
      <c r="AF1784" s="176"/>
      <c r="AG1784" s="176"/>
    </row>
    <row r="1785" spans="3:33" s="160" customFormat="1">
      <c r="C1785" s="825"/>
      <c r="M1785" s="247"/>
      <c r="Y1785" s="176"/>
      <c r="Z1785" s="176"/>
      <c r="AA1785" s="176"/>
      <c r="AB1785" s="176"/>
      <c r="AC1785" s="176"/>
      <c r="AD1785" s="176"/>
      <c r="AE1785" s="176"/>
      <c r="AF1785" s="176"/>
      <c r="AG1785" s="176"/>
    </row>
    <row r="1786" spans="3:33" s="160" customFormat="1">
      <c r="C1786" s="825"/>
      <c r="M1786" s="247"/>
      <c r="Y1786" s="176"/>
      <c r="Z1786" s="176"/>
      <c r="AA1786" s="176"/>
      <c r="AB1786" s="176"/>
      <c r="AC1786" s="176"/>
      <c r="AD1786" s="176"/>
      <c r="AE1786" s="176"/>
      <c r="AF1786" s="176"/>
      <c r="AG1786" s="176"/>
    </row>
    <row r="1787" spans="3:33" s="160" customFormat="1">
      <c r="C1787" s="825"/>
      <c r="M1787" s="247"/>
      <c r="Y1787" s="176"/>
      <c r="Z1787" s="176"/>
      <c r="AA1787" s="176"/>
      <c r="AB1787" s="176"/>
      <c r="AC1787" s="176"/>
      <c r="AD1787" s="176"/>
      <c r="AE1787" s="176"/>
      <c r="AF1787" s="176"/>
      <c r="AG1787" s="176"/>
    </row>
    <row r="1788" spans="3:33" s="160" customFormat="1">
      <c r="C1788" s="825"/>
      <c r="M1788" s="247"/>
      <c r="Y1788" s="176"/>
      <c r="Z1788" s="176"/>
      <c r="AA1788" s="176"/>
      <c r="AB1788" s="176"/>
      <c r="AC1788" s="176"/>
      <c r="AD1788" s="176"/>
      <c r="AE1788" s="176"/>
      <c r="AF1788" s="176"/>
      <c r="AG1788" s="176"/>
    </row>
    <row r="1789" spans="3:33" s="160" customFormat="1">
      <c r="C1789" s="825"/>
      <c r="M1789" s="247"/>
      <c r="Y1789" s="176"/>
      <c r="Z1789" s="176"/>
      <c r="AA1789" s="176"/>
      <c r="AB1789" s="176"/>
      <c r="AC1789" s="176"/>
      <c r="AD1789" s="176"/>
      <c r="AE1789" s="176"/>
      <c r="AF1789" s="176"/>
      <c r="AG1789" s="176"/>
    </row>
    <row r="1790" spans="3:33" s="160" customFormat="1">
      <c r="C1790" s="825"/>
      <c r="M1790" s="247"/>
      <c r="Y1790" s="176"/>
      <c r="Z1790" s="176"/>
      <c r="AA1790" s="176"/>
      <c r="AB1790" s="176"/>
      <c r="AC1790" s="176"/>
      <c r="AD1790" s="176"/>
      <c r="AE1790" s="176"/>
      <c r="AF1790" s="176"/>
      <c r="AG1790" s="176"/>
    </row>
    <row r="1791" spans="3:33" s="160" customFormat="1">
      <c r="C1791" s="825"/>
      <c r="M1791" s="247"/>
      <c r="Y1791" s="176"/>
      <c r="Z1791" s="176"/>
      <c r="AA1791" s="176"/>
      <c r="AB1791" s="176"/>
      <c r="AC1791" s="176"/>
      <c r="AD1791" s="176"/>
      <c r="AE1791" s="176"/>
      <c r="AF1791" s="176"/>
      <c r="AG1791" s="176"/>
    </row>
    <row r="1792" spans="3:33" s="160" customFormat="1">
      <c r="C1792" s="825"/>
      <c r="M1792" s="247"/>
      <c r="Y1792" s="176"/>
      <c r="Z1792" s="176"/>
      <c r="AA1792" s="176"/>
      <c r="AB1792" s="176"/>
      <c r="AC1792" s="176"/>
      <c r="AD1792" s="176"/>
      <c r="AE1792" s="176"/>
      <c r="AF1792" s="176"/>
      <c r="AG1792" s="176"/>
    </row>
    <row r="1793" spans="3:33" s="160" customFormat="1">
      <c r="C1793" s="825"/>
      <c r="M1793" s="247"/>
      <c r="Y1793" s="176"/>
      <c r="Z1793" s="176"/>
      <c r="AA1793" s="176"/>
      <c r="AB1793" s="176"/>
      <c r="AC1793" s="176"/>
      <c r="AD1793" s="176"/>
      <c r="AE1793" s="176"/>
      <c r="AF1793" s="176"/>
      <c r="AG1793" s="176"/>
    </row>
    <row r="1794" spans="3:33" s="160" customFormat="1">
      <c r="C1794" s="825"/>
      <c r="M1794" s="247"/>
      <c r="Y1794" s="176"/>
      <c r="Z1794" s="176"/>
      <c r="AA1794" s="176"/>
      <c r="AB1794" s="176"/>
      <c r="AC1794" s="176"/>
      <c r="AD1794" s="176"/>
      <c r="AE1794" s="176"/>
      <c r="AF1794" s="176"/>
      <c r="AG1794" s="176"/>
    </row>
    <row r="1795" spans="3:33" s="160" customFormat="1">
      <c r="C1795" s="825"/>
      <c r="M1795" s="247"/>
      <c r="Y1795" s="176"/>
      <c r="Z1795" s="176"/>
      <c r="AA1795" s="176"/>
      <c r="AB1795" s="176"/>
      <c r="AC1795" s="176"/>
      <c r="AD1795" s="176"/>
      <c r="AE1795" s="176"/>
      <c r="AF1795" s="176"/>
      <c r="AG1795" s="176"/>
    </row>
    <row r="1796" spans="3:33" s="160" customFormat="1">
      <c r="C1796" s="825"/>
      <c r="M1796" s="247"/>
      <c r="Y1796" s="176"/>
      <c r="Z1796" s="176"/>
      <c r="AA1796" s="176"/>
      <c r="AB1796" s="176"/>
      <c r="AC1796" s="176"/>
      <c r="AD1796" s="176"/>
      <c r="AE1796" s="176"/>
      <c r="AF1796" s="176"/>
      <c r="AG1796" s="176"/>
    </row>
    <row r="1797" spans="3:33" s="160" customFormat="1">
      <c r="C1797" s="825"/>
      <c r="M1797" s="247"/>
      <c r="Y1797" s="176"/>
      <c r="Z1797" s="176"/>
      <c r="AA1797" s="176"/>
      <c r="AB1797" s="176"/>
      <c r="AC1797" s="176"/>
      <c r="AD1797" s="176"/>
      <c r="AE1797" s="176"/>
      <c r="AF1797" s="176"/>
      <c r="AG1797" s="176"/>
    </row>
    <row r="1798" spans="3:33" s="160" customFormat="1">
      <c r="C1798" s="825"/>
      <c r="M1798" s="247"/>
      <c r="Y1798" s="176"/>
      <c r="Z1798" s="176"/>
      <c r="AA1798" s="176"/>
      <c r="AB1798" s="176"/>
      <c r="AC1798" s="176"/>
      <c r="AD1798" s="176"/>
      <c r="AE1798" s="176"/>
      <c r="AF1798" s="176"/>
      <c r="AG1798" s="176"/>
    </row>
    <row r="1799" spans="3:33" s="160" customFormat="1">
      <c r="C1799" s="825"/>
      <c r="M1799" s="247"/>
      <c r="Y1799" s="176"/>
      <c r="Z1799" s="176"/>
      <c r="AA1799" s="176"/>
      <c r="AB1799" s="176"/>
      <c r="AC1799" s="176"/>
      <c r="AD1799" s="176"/>
      <c r="AE1799" s="176"/>
      <c r="AF1799" s="176"/>
      <c r="AG1799" s="176"/>
    </row>
    <row r="1800" spans="3:33" s="160" customFormat="1">
      <c r="C1800" s="825"/>
      <c r="M1800" s="247"/>
      <c r="Y1800" s="176"/>
      <c r="Z1800" s="176"/>
      <c r="AA1800" s="176"/>
      <c r="AB1800" s="176"/>
      <c r="AC1800" s="176"/>
      <c r="AD1800" s="176"/>
      <c r="AE1800" s="176"/>
      <c r="AF1800" s="176"/>
      <c r="AG1800" s="176"/>
    </row>
    <row r="1801" spans="3:33" s="160" customFormat="1">
      <c r="C1801" s="825"/>
      <c r="M1801" s="247"/>
      <c r="Y1801" s="176"/>
      <c r="Z1801" s="176"/>
      <c r="AA1801" s="176"/>
      <c r="AB1801" s="176"/>
      <c r="AC1801" s="176"/>
      <c r="AD1801" s="176"/>
      <c r="AE1801" s="176"/>
      <c r="AF1801" s="176"/>
      <c r="AG1801" s="176"/>
    </row>
    <row r="1802" spans="3:33" s="160" customFormat="1">
      <c r="C1802" s="825"/>
      <c r="M1802" s="247"/>
      <c r="Y1802" s="176"/>
      <c r="Z1802" s="176"/>
      <c r="AA1802" s="176"/>
      <c r="AB1802" s="176"/>
      <c r="AC1802" s="176"/>
      <c r="AD1802" s="176"/>
      <c r="AE1802" s="176"/>
      <c r="AF1802" s="176"/>
      <c r="AG1802" s="176"/>
    </row>
    <row r="1803" spans="3:33" s="160" customFormat="1">
      <c r="C1803" s="825"/>
      <c r="M1803" s="247"/>
      <c r="Y1803" s="176"/>
      <c r="Z1803" s="176"/>
      <c r="AA1803" s="176"/>
      <c r="AB1803" s="176"/>
      <c r="AC1803" s="176"/>
      <c r="AD1803" s="176"/>
      <c r="AE1803" s="176"/>
      <c r="AF1803" s="176"/>
      <c r="AG1803" s="176"/>
    </row>
    <row r="1804" spans="3:33" s="160" customFormat="1">
      <c r="C1804" s="825"/>
      <c r="M1804" s="247"/>
      <c r="Y1804" s="176"/>
      <c r="Z1804" s="176"/>
      <c r="AA1804" s="176"/>
      <c r="AB1804" s="176"/>
      <c r="AC1804" s="176"/>
      <c r="AD1804" s="176"/>
      <c r="AE1804" s="176"/>
      <c r="AF1804" s="176"/>
      <c r="AG1804" s="176"/>
    </row>
    <row r="1805" spans="3:33" s="160" customFormat="1">
      <c r="C1805" s="825"/>
      <c r="M1805" s="247"/>
      <c r="Y1805" s="176"/>
      <c r="Z1805" s="176"/>
      <c r="AA1805" s="176"/>
      <c r="AB1805" s="176"/>
      <c r="AC1805" s="176"/>
      <c r="AD1805" s="176"/>
      <c r="AE1805" s="176"/>
      <c r="AF1805" s="176"/>
      <c r="AG1805" s="176"/>
    </row>
    <row r="1806" spans="3:33" s="160" customFormat="1">
      <c r="C1806" s="825"/>
      <c r="M1806" s="247"/>
      <c r="Y1806" s="176"/>
      <c r="Z1806" s="176"/>
      <c r="AA1806" s="176"/>
      <c r="AB1806" s="176"/>
      <c r="AC1806" s="176"/>
      <c r="AD1806" s="176"/>
      <c r="AE1806" s="176"/>
      <c r="AF1806" s="176"/>
      <c r="AG1806" s="176"/>
    </row>
    <row r="1807" spans="3:33" s="160" customFormat="1">
      <c r="C1807" s="825"/>
      <c r="M1807" s="247"/>
      <c r="Y1807" s="176"/>
      <c r="Z1807" s="176"/>
      <c r="AA1807" s="176"/>
      <c r="AB1807" s="176"/>
      <c r="AC1807" s="176"/>
      <c r="AD1807" s="176"/>
      <c r="AE1807" s="176"/>
      <c r="AF1807" s="176"/>
      <c r="AG1807" s="176"/>
    </row>
    <row r="1808" spans="3:33" s="160" customFormat="1">
      <c r="C1808" s="825"/>
      <c r="M1808" s="247"/>
      <c r="Y1808" s="176"/>
      <c r="Z1808" s="176"/>
      <c r="AA1808" s="176"/>
      <c r="AB1808" s="176"/>
      <c r="AC1808" s="176"/>
      <c r="AD1808" s="176"/>
      <c r="AE1808" s="176"/>
      <c r="AF1808" s="176"/>
      <c r="AG1808" s="176"/>
    </row>
    <row r="1809" spans="3:33" s="160" customFormat="1">
      <c r="C1809" s="825"/>
      <c r="M1809" s="247"/>
      <c r="Y1809" s="176"/>
      <c r="Z1809" s="176"/>
      <c r="AA1809" s="176"/>
      <c r="AB1809" s="176"/>
      <c r="AC1809" s="176"/>
      <c r="AD1809" s="176"/>
      <c r="AE1809" s="176"/>
      <c r="AF1809" s="176"/>
      <c r="AG1809" s="176"/>
    </row>
    <row r="1810" spans="3:33" s="160" customFormat="1">
      <c r="C1810" s="825"/>
      <c r="M1810" s="247"/>
      <c r="Y1810" s="176"/>
      <c r="Z1810" s="176"/>
      <c r="AA1810" s="176"/>
      <c r="AB1810" s="176"/>
      <c r="AC1810" s="176"/>
      <c r="AD1810" s="176"/>
      <c r="AE1810" s="176"/>
      <c r="AF1810" s="176"/>
      <c r="AG1810" s="176"/>
    </row>
    <row r="1811" spans="3:33" s="160" customFormat="1">
      <c r="C1811" s="825"/>
      <c r="M1811" s="247"/>
      <c r="Y1811" s="176"/>
      <c r="Z1811" s="176"/>
      <c r="AA1811" s="176"/>
      <c r="AB1811" s="176"/>
      <c r="AC1811" s="176"/>
      <c r="AD1811" s="176"/>
      <c r="AE1811" s="176"/>
      <c r="AF1811" s="176"/>
      <c r="AG1811" s="176"/>
    </row>
    <row r="1812" spans="3:33" s="160" customFormat="1">
      <c r="C1812" s="825"/>
      <c r="M1812" s="247"/>
      <c r="Y1812" s="176"/>
      <c r="Z1812" s="176"/>
      <c r="AA1812" s="176"/>
      <c r="AB1812" s="176"/>
      <c r="AC1812" s="176"/>
      <c r="AD1812" s="176"/>
      <c r="AE1812" s="176"/>
      <c r="AF1812" s="176"/>
      <c r="AG1812" s="176"/>
    </row>
    <row r="1813" spans="3:33" s="160" customFormat="1">
      <c r="C1813" s="825"/>
      <c r="M1813" s="247"/>
      <c r="Y1813" s="176"/>
      <c r="Z1813" s="176"/>
      <c r="AA1813" s="176"/>
      <c r="AB1813" s="176"/>
      <c r="AC1813" s="176"/>
      <c r="AD1813" s="176"/>
      <c r="AE1813" s="176"/>
      <c r="AF1813" s="176"/>
      <c r="AG1813" s="176"/>
    </row>
    <row r="1814" spans="3:33" s="160" customFormat="1">
      <c r="C1814" s="825"/>
      <c r="M1814" s="247"/>
      <c r="Y1814" s="176"/>
      <c r="Z1814" s="176"/>
      <c r="AA1814" s="176"/>
      <c r="AB1814" s="176"/>
      <c r="AC1814" s="176"/>
      <c r="AD1814" s="176"/>
      <c r="AE1814" s="176"/>
      <c r="AF1814" s="176"/>
      <c r="AG1814" s="176"/>
    </row>
    <row r="1815" spans="3:33" s="160" customFormat="1">
      <c r="C1815" s="825"/>
      <c r="M1815" s="247"/>
      <c r="Y1815" s="176"/>
      <c r="Z1815" s="176"/>
      <c r="AA1815" s="176"/>
      <c r="AB1815" s="176"/>
      <c r="AC1815" s="176"/>
      <c r="AD1815" s="176"/>
      <c r="AE1815" s="176"/>
      <c r="AF1815" s="176"/>
      <c r="AG1815" s="176"/>
    </row>
    <row r="1816" spans="3:33" s="160" customFormat="1">
      <c r="C1816" s="825"/>
      <c r="M1816" s="247"/>
      <c r="Y1816" s="176"/>
      <c r="Z1816" s="176"/>
      <c r="AA1816" s="176"/>
      <c r="AB1816" s="176"/>
      <c r="AC1816" s="176"/>
      <c r="AD1816" s="176"/>
      <c r="AE1816" s="176"/>
      <c r="AF1816" s="176"/>
      <c r="AG1816" s="176"/>
    </row>
    <row r="1817" spans="3:33" s="160" customFormat="1">
      <c r="C1817" s="825"/>
      <c r="M1817" s="247"/>
      <c r="Y1817" s="176"/>
      <c r="Z1817" s="176"/>
      <c r="AA1817" s="176"/>
      <c r="AB1817" s="176"/>
      <c r="AC1817" s="176"/>
      <c r="AD1817" s="176"/>
      <c r="AE1817" s="176"/>
      <c r="AF1817" s="176"/>
      <c r="AG1817" s="176"/>
    </row>
    <row r="1818" spans="3:33" s="160" customFormat="1">
      <c r="C1818" s="825"/>
      <c r="M1818" s="247"/>
      <c r="Y1818" s="176"/>
      <c r="Z1818" s="176"/>
      <c r="AA1818" s="176"/>
      <c r="AB1818" s="176"/>
      <c r="AC1818" s="176"/>
      <c r="AD1818" s="176"/>
      <c r="AE1818" s="176"/>
      <c r="AF1818" s="176"/>
      <c r="AG1818" s="176"/>
    </row>
    <row r="1819" spans="3:33" s="160" customFormat="1">
      <c r="C1819" s="825"/>
      <c r="M1819" s="247"/>
      <c r="Y1819" s="176"/>
      <c r="Z1819" s="176"/>
      <c r="AA1819" s="176"/>
      <c r="AB1819" s="176"/>
      <c r="AC1819" s="176"/>
      <c r="AD1819" s="176"/>
      <c r="AE1819" s="176"/>
      <c r="AF1819" s="176"/>
      <c r="AG1819" s="176"/>
    </row>
    <row r="1820" spans="3:33" s="160" customFormat="1">
      <c r="C1820" s="825"/>
      <c r="M1820" s="247"/>
      <c r="Y1820" s="176"/>
      <c r="Z1820" s="176"/>
      <c r="AA1820" s="176"/>
      <c r="AB1820" s="176"/>
      <c r="AC1820" s="176"/>
      <c r="AD1820" s="176"/>
      <c r="AE1820" s="176"/>
      <c r="AF1820" s="176"/>
      <c r="AG1820" s="176"/>
    </row>
    <row r="1821" spans="3:33" s="160" customFormat="1">
      <c r="C1821" s="825"/>
      <c r="M1821" s="247"/>
      <c r="Y1821" s="176"/>
      <c r="Z1821" s="176"/>
      <c r="AA1821" s="176"/>
      <c r="AB1821" s="176"/>
      <c r="AC1821" s="176"/>
      <c r="AD1821" s="176"/>
      <c r="AE1821" s="176"/>
      <c r="AF1821" s="176"/>
      <c r="AG1821" s="176"/>
    </row>
    <row r="1822" spans="3:33" s="160" customFormat="1">
      <c r="C1822" s="825"/>
      <c r="M1822" s="247"/>
      <c r="Y1822" s="176"/>
      <c r="Z1822" s="176"/>
      <c r="AA1822" s="176"/>
      <c r="AB1822" s="176"/>
      <c r="AC1822" s="176"/>
      <c r="AD1822" s="176"/>
      <c r="AE1822" s="176"/>
      <c r="AF1822" s="176"/>
      <c r="AG1822" s="176"/>
    </row>
    <row r="1823" spans="3:33" s="160" customFormat="1">
      <c r="C1823" s="825"/>
      <c r="M1823" s="247"/>
      <c r="Y1823" s="176"/>
      <c r="Z1823" s="176"/>
      <c r="AA1823" s="176"/>
      <c r="AB1823" s="176"/>
      <c r="AC1823" s="176"/>
      <c r="AD1823" s="176"/>
      <c r="AE1823" s="176"/>
      <c r="AF1823" s="176"/>
      <c r="AG1823" s="176"/>
    </row>
    <row r="1824" spans="3:33" s="160" customFormat="1">
      <c r="C1824" s="825"/>
      <c r="M1824" s="247"/>
      <c r="Y1824" s="176"/>
      <c r="Z1824" s="176"/>
      <c r="AA1824" s="176"/>
      <c r="AB1824" s="176"/>
      <c r="AC1824" s="176"/>
      <c r="AD1824" s="176"/>
      <c r="AE1824" s="176"/>
      <c r="AF1824" s="176"/>
      <c r="AG1824" s="176"/>
    </row>
    <row r="1825" spans="3:33" s="160" customFormat="1">
      <c r="C1825" s="825"/>
      <c r="M1825" s="247"/>
      <c r="Y1825" s="176"/>
      <c r="Z1825" s="176"/>
      <c r="AA1825" s="176"/>
      <c r="AB1825" s="176"/>
      <c r="AC1825" s="176"/>
      <c r="AD1825" s="176"/>
      <c r="AE1825" s="176"/>
      <c r="AF1825" s="176"/>
      <c r="AG1825" s="176"/>
    </row>
    <row r="1826" spans="3:33" s="160" customFormat="1">
      <c r="C1826" s="825"/>
      <c r="M1826" s="247"/>
      <c r="Y1826" s="176"/>
      <c r="Z1826" s="176"/>
      <c r="AA1826" s="176"/>
      <c r="AB1826" s="176"/>
      <c r="AC1826" s="176"/>
      <c r="AD1826" s="176"/>
      <c r="AE1826" s="176"/>
      <c r="AF1826" s="176"/>
      <c r="AG1826" s="176"/>
    </row>
    <row r="1827" spans="3:33" s="160" customFormat="1">
      <c r="C1827" s="825"/>
      <c r="M1827" s="247"/>
      <c r="Y1827" s="176"/>
      <c r="Z1827" s="176"/>
      <c r="AA1827" s="176"/>
      <c r="AB1827" s="176"/>
      <c r="AC1827" s="176"/>
      <c r="AD1827" s="176"/>
      <c r="AE1827" s="176"/>
      <c r="AF1827" s="176"/>
      <c r="AG1827" s="176"/>
    </row>
    <row r="1828" spans="3:33" s="160" customFormat="1">
      <c r="C1828" s="825"/>
      <c r="M1828" s="247"/>
      <c r="Y1828" s="176"/>
      <c r="Z1828" s="176"/>
      <c r="AA1828" s="176"/>
      <c r="AB1828" s="176"/>
      <c r="AC1828" s="176"/>
      <c r="AD1828" s="176"/>
      <c r="AE1828" s="176"/>
      <c r="AF1828" s="176"/>
      <c r="AG1828" s="176"/>
    </row>
    <row r="1829" spans="3:33" s="160" customFormat="1">
      <c r="C1829" s="825"/>
      <c r="M1829" s="247"/>
      <c r="Y1829" s="176"/>
      <c r="Z1829" s="176"/>
      <c r="AA1829" s="176"/>
      <c r="AB1829" s="176"/>
      <c r="AC1829" s="176"/>
      <c r="AD1829" s="176"/>
      <c r="AE1829" s="176"/>
      <c r="AF1829" s="176"/>
      <c r="AG1829" s="176"/>
    </row>
    <row r="1830" spans="3:33" s="160" customFormat="1">
      <c r="C1830" s="825"/>
      <c r="M1830" s="247"/>
      <c r="Y1830" s="176"/>
      <c r="Z1830" s="176"/>
      <c r="AA1830" s="176"/>
      <c r="AB1830" s="176"/>
      <c r="AC1830" s="176"/>
      <c r="AD1830" s="176"/>
      <c r="AE1830" s="176"/>
      <c r="AF1830" s="176"/>
      <c r="AG1830" s="176"/>
    </row>
    <row r="1831" spans="3:33" s="160" customFormat="1">
      <c r="C1831" s="825"/>
      <c r="M1831" s="247"/>
      <c r="Y1831" s="176"/>
      <c r="Z1831" s="176"/>
      <c r="AA1831" s="176"/>
      <c r="AB1831" s="176"/>
      <c r="AC1831" s="176"/>
      <c r="AD1831" s="176"/>
      <c r="AE1831" s="176"/>
      <c r="AF1831" s="176"/>
      <c r="AG1831" s="176"/>
    </row>
    <row r="1832" spans="3:33" s="160" customFormat="1">
      <c r="C1832" s="825"/>
      <c r="M1832" s="247"/>
      <c r="Y1832" s="176"/>
      <c r="Z1832" s="176"/>
      <c r="AA1832" s="176"/>
      <c r="AB1832" s="176"/>
      <c r="AC1832" s="176"/>
      <c r="AD1832" s="176"/>
      <c r="AE1832" s="176"/>
      <c r="AF1832" s="176"/>
      <c r="AG1832" s="176"/>
    </row>
    <row r="1833" spans="3:33" s="160" customFormat="1">
      <c r="C1833" s="825"/>
      <c r="M1833" s="247"/>
      <c r="Y1833" s="176"/>
      <c r="Z1833" s="176"/>
      <c r="AA1833" s="176"/>
      <c r="AB1833" s="176"/>
      <c r="AC1833" s="176"/>
      <c r="AD1833" s="176"/>
      <c r="AE1833" s="176"/>
      <c r="AF1833" s="176"/>
      <c r="AG1833" s="176"/>
    </row>
    <row r="1834" spans="3:33" s="160" customFormat="1">
      <c r="C1834" s="825"/>
      <c r="M1834" s="247"/>
      <c r="Y1834" s="176"/>
      <c r="Z1834" s="176"/>
      <c r="AA1834" s="176"/>
      <c r="AB1834" s="176"/>
      <c r="AC1834" s="176"/>
      <c r="AD1834" s="176"/>
      <c r="AE1834" s="176"/>
      <c r="AF1834" s="176"/>
      <c r="AG1834" s="176"/>
    </row>
    <row r="1835" spans="3:33" s="160" customFormat="1">
      <c r="C1835" s="825"/>
      <c r="M1835" s="247"/>
      <c r="Y1835" s="176"/>
      <c r="Z1835" s="176"/>
      <c r="AA1835" s="176"/>
      <c r="AB1835" s="176"/>
      <c r="AC1835" s="176"/>
      <c r="AD1835" s="176"/>
      <c r="AE1835" s="176"/>
      <c r="AF1835" s="176"/>
      <c r="AG1835" s="176"/>
    </row>
    <row r="1836" spans="3:33" s="160" customFormat="1">
      <c r="C1836" s="825"/>
      <c r="M1836" s="247"/>
      <c r="Y1836" s="176"/>
      <c r="Z1836" s="176"/>
      <c r="AA1836" s="176"/>
      <c r="AB1836" s="176"/>
      <c r="AC1836" s="176"/>
      <c r="AD1836" s="176"/>
      <c r="AE1836" s="176"/>
      <c r="AF1836" s="176"/>
      <c r="AG1836" s="176"/>
    </row>
    <row r="1837" spans="3:33" s="160" customFormat="1">
      <c r="C1837" s="825"/>
      <c r="M1837" s="247"/>
      <c r="Y1837" s="176"/>
      <c r="Z1837" s="176"/>
      <c r="AA1837" s="176"/>
      <c r="AB1837" s="176"/>
      <c r="AC1837" s="176"/>
      <c r="AD1837" s="176"/>
      <c r="AE1837" s="176"/>
      <c r="AF1837" s="176"/>
      <c r="AG1837" s="176"/>
    </row>
    <row r="1838" spans="3:33" s="160" customFormat="1">
      <c r="C1838" s="825"/>
      <c r="M1838" s="247"/>
      <c r="Y1838" s="176"/>
      <c r="Z1838" s="176"/>
      <c r="AA1838" s="176"/>
      <c r="AB1838" s="176"/>
      <c r="AC1838" s="176"/>
      <c r="AD1838" s="176"/>
      <c r="AE1838" s="176"/>
      <c r="AF1838" s="176"/>
      <c r="AG1838" s="176"/>
    </row>
    <row r="1839" spans="3:33" s="160" customFormat="1">
      <c r="C1839" s="825"/>
      <c r="M1839" s="247"/>
      <c r="Y1839" s="176"/>
      <c r="Z1839" s="176"/>
      <c r="AA1839" s="176"/>
      <c r="AB1839" s="176"/>
      <c r="AC1839" s="176"/>
      <c r="AD1839" s="176"/>
      <c r="AE1839" s="176"/>
      <c r="AF1839" s="176"/>
      <c r="AG1839" s="176"/>
    </row>
    <row r="1840" spans="3:33" s="160" customFormat="1">
      <c r="C1840" s="825"/>
      <c r="M1840" s="247"/>
      <c r="Y1840" s="176"/>
      <c r="Z1840" s="176"/>
      <c r="AA1840" s="176"/>
      <c r="AB1840" s="176"/>
      <c r="AC1840" s="176"/>
      <c r="AD1840" s="176"/>
      <c r="AE1840" s="176"/>
      <c r="AF1840" s="176"/>
      <c r="AG1840" s="176"/>
    </row>
    <row r="1841" spans="3:33" s="160" customFormat="1">
      <c r="C1841" s="825"/>
      <c r="M1841" s="247"/>
      <c r="Y1841" s="176"/>
      <c r="Z1841" s="176"/>
      <c r="AA1841" s="176"/>
      <c r="AB1841" s="176"/>
      <c r="AC1841" s="176"/>
      <c r="AD1841" s="176"/>
      <c r="AE1841" s="176"/>
      <c r="AF1841" s="176"/>
      <c r="AG1841" s="176"/>
    </row>
    <row r="1842" spans="3:33" s="160" customFormat="1">
      <c r="C1842" s="825"/>
      <c r="M1842" s="247"/>
      <c r="Y1842" s="176"/>
      <c r="Z1842" s="176"/>
      <c r="AA1842" s="176"/>
      <c r="AB1842" s="176"/>
      <c r="AC1842" s="176"/>
      <c r="AD1842" s="176"/>
      <c r="AE1842" s="176"/>
      <c r="AF1842" s="176"/>
      <c r="AG1842" s="176"/>
    </row>
    <row r="1843" spans="3:33" s="160" customFormat="1">
      <c r="C1843" s="825"/>
      <c r="M1843" s="247"/>
      <c r="Y1843" s="176"/>
      <c r="Z1843" s="176"/>
      <c r="AA1843" s="176"/>
      <c r="AB1843" s="176"/>
      <c r="AC1843" s="176"/>
      <c r="AD1843" s="176"/>
      <c r="AE1843" s="176"/>
      <c r="AF1843" s="176"/>
      <c r="AG1843" s="176"/>
    </row>
    <row r="1844" spans="3:33" s="160" customFormat="1">
      <c r="C1844" s="825"/>
      <c r="M1844" s="247"/>
      <c r="Y1844" s="176"/>
      <c r="Z1844" s="176"/>
      <c r="AA1844" s="176"/>
      <c r="AB1844" s="176"/>
      <c r="AC1844" s="176"/>
      <c r="AD1844" s="176"/>
      <c r="AE1844" s="176"/>
      <c r="AF1844" s="176"/>
      <c r="AG1844" s="176"/>
    </row>
    <row r="1845" spans="3:33" s="160" customFormat="1">
      <c r="C1845" s="825"/>
      <c r="M1845" s="247"/>
      <c r="Y1845" s="176"/>
      <c r="Z1845" s="176"/>
      <c r="AA1845" s="176"/>
      <c r="AB1845" s="176"/>
      <c r="AC1845" s="176"/>
      <c r="AD1845" s="176"/>
      <c r="AE1845" s="176"/>
      <c r="AF1845" s="176"/>
      <c r="AG1845" s="176"/>
    </row>
    <row r="1846" spans="3:33" s="160" customFormat="1">
      <c r="C1846" s="825"/>
      <c r="M1846" s="247"/>
      <c r="Y1846" s="176"/>
      <c r="Z1846" s="176"/>
      <c r="AA1846" s="176"/>
      <c r="AB1846" s="176"/>
      <c r="AC1846" s="176"/>
      <c r="AD1846" s="176"/>
      <c r="AE1846" s="176"/>
      <c r="AF1846" s="176"/>
      <c r="AG1846" s="176"/>
    </row>
    <row r="1847" spans="3:33" s="160" customFormat="1">
      <c r="C1847" s="825"/>
      <c r="M1847" s="247"/>
      <c r="Y1847" s="176"/>
      <c r="Z1847" s="176"/>
      <c r="AA1847" s="176"/>
      <c r="AB1847" s="176"/>
      <c r="AC1847" s="176"/>
      <c r="AD1847" s="176"/>
      <c r="AE1847" s="176"/>
      <c r="AF1847" s="176"/>
      <c r="AG1847" s="176"/>
    </row>
    <row r="1848" spans="3:33" s="160" customFormat="1">
      <c r="C1848" s="825"/>
      <c r="M1848" s="247"/>
      <c r="Y1848" s="176"/>
      <c r="Z1848" s="176"/>
      <c r="AA1848" s="176"/>
      <c r="AB1848" s="176"/>
      <c r="AC1848" s="176"/>
      <c r="AD1848" s="176"/>
      <c r="AE1848" s="176"/>
      <c r="AF1848" s="176"/>
      <c r="AG1848" s="176"/>
    </row>
    <row r="1849" spans="3:33" s="160" customFormat="1">
      <c r="C1849" s="825"/>
      <c r="M1849" s="247"/>
      <c r="Y1849" s="176"/>
      <c r="Z1849" s="176"/>
      <c r="AA1849" s="176"/>
      <c r="AB1849" s="176"/>
      <c r="AC1849" s="176"/>
      <c r="AD1849" s="176"/>
      <c r="AE1849" s="176"/>
      <c r="AF1849" s="176"/>
      <c r="AG1849" s="176"/>
    </row>
    <row r="1850" spans="3:33" s="160" customFormat="1">
      <c r="C1850" s="825"/>
      <c r="M1850" s="247"/>
      <c r="Y1850" s="176"/>
      <c r="Z1850" s="176"/>
      <c r="AA1850" s="176"/>
      <c r="AB1850" s="176"/>
      <c r="AC1850" s="176"/>
      <c r="AD1850" s="176"/>
      <c r="AE1850" s="176"/>
      <c r="AF1850" s="176"/>
      <c r="AG1850" s="176"/>
    </row>
    <row r="1851" spans="3:33" s="160" customFormat="1">
      <c r="C1851" s="825"/>
      <c r="M1851" s="247"/>
      <c r="Y1851" s="176"/>
      <c r="Z1851" s="176"/>
      <c r="AA1851" s="176"/>
      <c r="AB1851" s="176"/>
      <c r="AC1851" s="176"/>
      <c r="AD1851" s="176"/>
      <c r="AE1851" s="176"/>
      <c r="AF1851" s="176"/>
      <c r="AG1851" s="176"/>
    </row>
    <row r="1852" spans="3:33" s="160" customFormat="1">
      <c r="C1852" s="825"/>
      <c r="M1852" s="247"/>
      <c r="Y1852" s="176"/>
      <c r="Z1852" s="176"/>
      <c r="AA1852" s="176"/>
      <c r="AB1852" s="176"/>
      <c r="AC1852" s="176"/>
      <c r="AD1852" s="176"/>
      <c r="AE1852" s="176"/>
      <c r="AF1852" s="176"/>
      <c r="AG1852" s="176"/>
    </row>
    <row r="1853" spans="3:33" s="160" customFormat="1">
      <c r="C1853" s="825"/>
      <c r="M1853" s="247"/>
      <c r="Y1853" s="176"/>
      <c r="Z1853" s="176"/>
      <c r="AA1853" s="176"/>
      <c r="AB1853" s="176"/>
      <c r="AC1853" s="176"/>
      <c r="AD1853" s="176"/>
      <c r="AE1853" s="176"/>
      <c r="AF1853" s="176"/>
      <c r="AG1853" s="176"/>
    </row>
    <row r="1854" spans="3:33" s="160" customFormat="1">
      <c r="C1854" s="825"/>
      <c r="M1854" s="247"/>
      <c r="Y1854" s="176"/>
      <c r="Z1854" s="176"/>
      <c r="AA1854" s="176"/>
      <c r="AB1854" s="176"/>
      <c r="AC1854" s="176"/>
      <c r="AD1854" s="176"/>
      <c r="AE1854" s="176"/>
      <c r="AF1854" s="176"/>
      <c r="AG1854" s="176"/>
    </row>
    <row r="1855" spans="3:33" s="160" customFormat="1">
      <c r="C1855" s="825"/>
      <c r="M1855" s="247"/>
      <c r="Y1855" s="176"/>
      <c r="Z1855" s="176"/>
      <c r="AA1855" s="176"/>
      <c r="AB1855" s="176"/>
      <c r="AC1855" s="176"/>
      <c r="AD1855" s="176"/>
      <c r="AE1855" s="176"/>
      <c r="AF1855" s="176"/>
      <c r="AG1855" s="176"/>
    </row>
    <row r="1856" spans="3:33" s="160" customFormat="1">
      <c r="C1856" s="825"/>
      <c r="M1856" s="247"/>
      <c r="Y1856" s="176"/>
      <c r="Z1856" s="176"/>
      <c r="AA1856" s="176"/>
      <c r="AB1856" s="176"/>
      <c r="AC1856" s="176"/>
      <c r="AD1856" s="176"/>
      <c r="AE1856" s="176"/>
      <c r="AF1856" s="176"/>
      <c r="AG1856" s="176"/>
    </row>
    <row r="1857" spans="3:33" s="160" customFormat="1">
      <c r="C1857" s="825"/>
      <c r="M1857" s="247"/>
      <c r="Y1857" s="176"/>
      <c r="Z1857" s="176"/>
      <c r="AA1857" s="176"/>
      <c r="AB1857" s="176"/>
      <c r="AC1857" s="176"/>
      <c r="AD1857" s="176"/>
      <c r="AE1857" s="176"/>
      <c r="AF1857" s="176"/>
      <c r="AG1857" s="176"/>
    </row>
    <row r="1858" spans="3:33" s="160" customFormat="1">
      <c r="C1858" s="825"/>
      <c r="M1858" s="247"/>
      <c r="Y1858" s="176"/>
      <c r="Z1858" s="176"/>
      <c r="AA1858" s="176"/>
      <c r="AB1858" s="176"/>
      <c r="AC1858" s="176"/>
      <c r="AD1858" s="176"/>
      <c r="AE1858" s="176"/>
      <c r="AF1858" s="176"/>
      <c r="AG1858" s="176"/>
    </row>
    <row r="1859" spans="3:33" s="160" customFormat="1">
      <c r="C1859" s="825"/>
      <c r="M1859" s="247"/>
      <c r="Y1859" s="176"/>
      <c r="Z1859" s="176"/>
      <c r="AA1859" s="176"/>
      <c r="AB1859" s="176"/>
      <c r="AC1859" s="176"/>
      <c r="AD1859" s="176"/>
      <c r="AE1859" s="176"/>
      <c r="AF1859" s="176"/>
      <c r="AG1859" s="176"/>
    </row>
    <row r="1860" spans="3:33" s="160" customFormat="1">
      <c r="C1860" s="825"/>
      <c r="M1860" s="247"/>
      <c r="Y1860" s="176"/>
      <c r="Z1860" s="176"/>
      <c r="AA1860" s="176"/>
      <c r="AB1860" s="176"/>
      <c r="AC1860" s="176"/>
      <c r="AD1860" s="176"/>
      <c r="AE1860" s="176"/>
      <c r="AF1860" s="176"/>
      <c r="AG1860" s="176"/>
    </row>
    <row r="1861" spans="3:33" s="160" customFormat="1">
      <c r="C1861" s="825"/>
      <c r="M1861" s="247"/>
      <c r="Y1861" s="176"/>
      <c r="Z1861" s="176"/>
      <c r="AA1861" s="176"/>
      <c r="AB1861" s="176"/>
      <c r="AC1861" s="176"/>
      <c r="AD1861" s="176"/>
      <c r="AE1861" s="176"/>
      <c r="AF1861" s="176"/>
      <c r="AG1861" s="176"/>
    </row>
    <row r="1862" spans="3:33" s="160" customFormat="1">
      <c r="C1862" s="825"/>
      <c r="M1862" s="247"/>
      <c r="Y1862" s="176"/>
      <c r="Z1862" s="176"/>
      <c r="AA1862" s="176"/>
      <c r="AB1862" s="176"/>
      <c r="AC1862" s="176"/>
      <c r="AD1862" s="176"/>
      <c r="AE1862" s="176"/>
      <c r="AF1862" s="176"/>
      <c r="AG1862" s="176"/>
    </row>
    <row r="1863" spans="3:33" s="160" customFormat="1">
      <c r="C1863" s="825"/>
      <c r="M1863" s="247"/>
      <c r="Y1863" s="176"/>
      <c r="Z1863" s="176"/>
      <c r="AA1863" s="176"/>
      <c r="AB1863" s="176"/>
      <c r="AC1863" s="176"/>
      <c r="AD1863" s="176"/>
      <c r="AE1863" s="176"/>
      <c r="AF1863" s="176"/>
      <c r="AG1863" s="176"/>
    </row>
    <row r="1864" spans="3:33" s="160" customFormat="1">
      <c r="C1864" s="825"/>
      <c r="M1864" s="247"/>
      <c r="Y1864" s="176"/>
      <c r="Z1864" s="176"/>
      <c r="AA1864" s="176"/>
      <c r="AB1864" s="176"/>
      <c r="AC1864" s="176"/>
      <c r="AD1864" s="176"/>
      <c r="AE1864" s="176"/>
      <c r="AF1864" s="176"/>
      <c r="AG1864" s="176"/>
    </row>
    <row r="1865" spans="3:33" s="160" customFormat="1">
      <c r="C1865" s="825"/>
      <c r="M1865" s="247"/>
      <c r="Y1865" s="176"/>
      <c r="Z1865" s="176"/>
      <c r="AA1865" s="176"/>
      <c r="AB1865" s="176"/>
      <c r="AC1865" s="176"/>
      <c r="AD1865" s="176"/>
      <c r="AE1865" s="176"/>
      <c r="AF1865" s="176"/>
      <c r="AG1865" s="176"/>
    </row>
    <row r="1866" spans="3:33" s="160" customFormat="1">
      <c r="C1866" s="825"/>
      <c r="M1866" s="247"/>
      <c r="Y1866" s="176"/>
      <c r="Z1866" s="176"/>
      <c r="AA1866" s="176"/>
      <c r="AB1866" s="176"/>
      <c r="AC1866" s="176"/>
      <c r="AD1866" s="176"/>
      <c r="AE1866" s="176"/>
      <c r="AF1866" s="176"/>
      <c r="AG1866" s="176"/>
    </row>
    <row r="1867" spans="3:33" s="160" customFormat="1">
      <c r="C1867" s="825"/>
      <c r="M1867" s="247"/>
      <c r="Y1867" s="176"/>
      <c r="Z1867" s="176"/>
      <c r="AA1867" s="176"/>
      <c r="AB1867" s="176"/>
      <c r="AC1867" s="176"/>
      <c r="AD1867" s="176"/>
      <c r="AE1867" s="176"/>
      <c r="AF1867" s="176"/>
      <c r="AG1867" s="176"/>
    </row>
    <row r="1868" spans="3:33" s="160" customFormat="1">
      <c r="C1868" s="825"/>
      <c r="M1868" s="247"/>
      <c r="Y1868" s="176"/>
      <c r="Z1868" s="176"/>
      <c r="AA1868" s="176"/>
      <c r="AB1868" s="176"/>
      <c r="AC1868" s="176"/>
      <c r="AD1868" s="176"/>
      <c r="AE1868" s="176"/>
      <c r="AF1868" s="176"/>
      <c r="AG1868" s="176"/>
    </row>
    <row r="1869" spans="3:33" s="160" customFormat="1">
      <c r="C1869" s="825"/>
      <c r="M1869" s="247"/>
      <c r="Y1869" s="176"/>
      <c r="Z1869" s="176"/>
      <c r="AA1869" s="176"/>
      <c r="AB1869" s="176"/>
      <c r="AC1869" s="176"/>
      <c r="AD1869" s="176"/>
      <c r="AE1869" s="176"/>
      <c r="AF1869" s="176"/>
      <c r="AG1869" s="176"/>
    </row>
    <row r="1870" spans="3:33" s="160" customFormat="1">
      <c r="C1870" s="825"/>
      <c r="M1870" s="247"/>
      <c r="Y1870" s="176"/>
      <c r="Z1870" s="176"/>
      <c r="AA1870" s="176"/>
      <c r="AB1870" s="176"/>
      <c r="AC1870" s="176"/>
      <c r="AD1870" s="176"/>
      <c r="AE1870" s="176"/>
      <c r="AF1870" s="176"/>
      <c r="AG1870" s="176"/>
    </row>
    <row r="1871" spans="3:33" s="160" customFormat="1">
      <c r="C1871" s="825"/>
      <c r="M1871" s="247"/>
      <c r="Y1871" s="176"/>
      <c r="Z1871" s="176"/>
      <c r="AA1871" s="176"/>
      <c r="AB1871" s="176"/>
      <c r="AC1871" s="176"/>
      <c r="AD1871" s="176"/>
      <c r="AE1871" s="176"/>
      <c r="AF1871" s="176"/>
      <c r="AG1871" s="176"/>
    </row>
    <row r="1872" spans="3:33" s="160" customFormat="1">
      <c r="C1872" s="825"/>
      <c r="M1872" s="247"/>
      <c r="Y1872" s="176"/>
      <c r="Z1872" s="176"/>
      <c r="AA1872" s="176"/>
      <c r="AB1872" s="176"/>
      <c r="AC1872" s="176"/>
      <c r="AD1872" s="176"/>
      <c r="AE1872" s="176"/>
      <c r="AF1872" s="176"/>
      <c r="AG1872" s="176"/>
    </row>
    <row r="1873" spans="3:33" s="160" customFormat="1">
      <c r="C1873" s="825"/>
      <c r="M1873" s="247"/>
      <c r="Y1873" s="176"/>
      <c r="Z1873" s="176"/>
      <c r="AA1873" s="176"/>
      <c r="AB1873" s="176"/>
      <c r="AC1873" s="176"/>
      <c r="AD1873" s="176"/>
      <c r="AE1873" s="176"/>
      <c r="AF1873" s="176"/>
      <c r="AG1873" s="176"/>
    </row>
    <row r="1874" spans="3:33" s="160" customFormat="1">
      <c r="C1874" s="825"/>
      <c r="M1874" s="247"/>
      <c r="Y1874" s="176"/>
      <c r="Z1874" s="176"/>
      <c r="AA1874" s="176"/>
      <c r="AB1874" s="176"/>
      <c r="AC1874" s="176"/>
      <c r="AD1874" s="176"/>
      <c r="AE1874" s="176"/>
      <c r="AF1874" s="176"/>
      <c r="AG1874" s="176"/>
    </row>
    <row r="1875" spans="3:33" s="160" customFormat="1">
      <c r="C1875" s="825"/>
      <c r="M1875" s="247"/>
      <c r="Y1875" s="176"/>
      <c r="Z1875" s="176"/>
      <c r="AA1875" s="176"/>
      <c r="AB1875" s="176"/>
      <c r="AC1875" s="176"/>
      <c r="AD1875" s="176"/>
      <c r="AE1875" s="176"/>
      <c r="AF1875" s="176"/>
      <c r="AG1875" s="176"/>
    </row>
    <row r="1876" spans="3:33" s="160" customFormat="1">
      <c r="C1876" s="825"/>
      <c r="M1876" s="247"/>
      <c r="Y1876" s="176"/>
      <c r="Z1876" s="176"/>
      <c r="AA1876" s="176"/>
      <c r="AB1876" s="176"/>
      <c r="AC1876" s="176"/>
      <c r="AD1876" s="176"/>
      <c r="AE1876" s="176"/>
      <c r="AF1876" s="176"/>
      <c r="AG1876" s="176"/>
    </row>
    <row r="1877" spans="3:33" s="160" customFormat="1">
      <c r="C1877" s="825"/>
      <c r="M1877" s="247"/>
      <c r="Y1877" s="176"/>
      <c r="Z1877" s="176"/>
      <c r="AA1877" s="176"/>
      <c r="AB1877" s="176"/>
      <c r="AC1877" s="176"/>
      <c r="AD1877" s="176"/>
      <c r="AE1877" s="176"/>
      <c r="AF1877" s="176"/>
      <c r="AG1877" s="176"/>
    </row>
    <row r="1878" spans="3:33" s="160" customFormat="1">
      <c r="C1878" s="825"/>
      <c r="M1878" s="247"/>
      <c r="Y1878" s="176"/>
      <c r="Z1878" s="176"/>
      <c r="AA1878" s="176"/>
      <c r="AB1878" s="176"/>
      <c r="AC1878" s="176"/>
      <c r="AD1878" s="176"/>
      <c r="AE1878" s="176"/>
      <c r="AF1878" s="176"/>
      <c r="AG1878" s="176"/>
    </row>
    <row r="1879" spans="3:33" s="160" customFormat="1">
      <c r="C1879" s="825"/>
      <c r="M1879" s="247"/>
      <c r="Y1879" s="176"/>
      <c r="Z1879" s="176"/>
      <c r="AA1879" s="176"/>
      <c r="AB1879" s="176"/>
      <c r="AC1879" s="176"/>
      <c r="AD1879" s="176"/>
      <c r="AE1879" s="176"/>
      <c r="AF1879" s="176"/>
      <c r="AG1879" s="176"/>
    </row>
    <row r="1880" spans="3:33" s="160" customFormat="1">
      <c r="C1880" s="825"/>
      <c r="M1880" s="247"/>
      <c r="Y1880" s="176"/>
      <c r="Z1880" s="176"/>
      <c r="AA1880" s="176"/>
      <c r="AB1880" s="176"/>
      <c r="AC1880" s="176"/>
      <c r="AD1880" s="176"/>
      <c r="AE1880" s="176"/>
      <c r="AF1880" s="176"/>
      <c r="AG1880" s="176"/>
    </row>
    <row r="1881" spans="3:33" s="160" customFormat="1">
      <c r="C1881" s="825"/>
      <c r="M1881" s="247"/>
      <c r="Y1881" s="176"/>
      <c r="Z1881" s="176"/>
      <c r="AA1881" s="176"/>
      <c r="AB1881" s="176"/>
      <c r="AC1881" s="176"/>
      <c r="AD1881" s="176"/>
      <c r="AE1881" s="176"/>
      <c r="AF1881" s="176"/>
      <c r="AG1881" s="176"/>
    </row>
    <row r="1882" spans="3:33" s="160" customFormat="1">
      <c r="C1882" s="825"/>
      <c r="M1882" s="247"/>
      <c r="Y1882" s="176"/>
      <c r="Z1882" s="176"/>
      <c r="AA1882" s="176"/>
      <c r="AB1882" s="176"/>
      <c r="AC1882" s="176"/>
      <c r="AD1882" s="176"/>
      <c r="AE1882" s="176"/>
      <c r="AF1882" s="176"/>
      <c r="AG1882" s="176"/>
    </row>
    <row r="1883" spans="3:33" s="160" customFormat="1">
      <c r="C1883" s="825"/>
      <c r="M1883" s="247"/>
      <c r="Y1883" s="176"/>
      <c r="Z1883" s="176"/>
      <c r="AA1883" s="176"/>
      <c r="AB1883" s="176"/>
      <c r="AC1883" s="176"/>
      <c r="AD1883" s="176"/>
      <c r="AE1883" s="176"/>
      <c r="AF1883" s="176"/>
      <c r="AG1883" s="176"/>
    </row>
    <row r="1884" spans="3:33" s="160" customFormat="1">
      <c r="C1884" s="825"/>
      <c r="M1884" s="247"/>
      <c r="Y1884" s="176"/>
      <c r="Z1884" s="176"/>
      <c r="AA1884" s="176"/>
      <c r="AB1884" s="176"/>
      <c r="AC1884" s="176"/>
      <c r="AD1884" s="176"/>
      <c r="AE1884" s="176"/>
      <c r="AF1884" s="176"/>
      <c r="AG1884" s="176"/>
    </row>
    <row r="1885" spans="3:33" s="160" customFormat="1">
      <c r="C1885" s="825"/>
      <c r="M1885" s="247"/>
      <c r="Y1885" s="176"/>
      <c r="Z1885" s="176"/>
      <c r="AA1885" s="176"/>
      <c r="AB1885" s="176"/>
      <c r="AC1885" s="176"/>
      <c r="AD1885" s="176"/>
      <c r="AE1885" s="176"/>
      <c r="AF1885" s="176"/>
      <c r="AG1885" s="176"/>
    </row>
    <row r="1886" spans="3:33" s="160" customFormat="1">
      <c r="C1886" s="825"/>
      <c r="M1886" s="247"/>
      <c r="Y1886" s="176"/>
      <c r="Z1886" s="176"/>
      <c r="AA1886" s="176"/>
      <c r="AB1886" s="176"/>
      <c r="AC1886" s="176"/>
      <c r="AD1886" s="176"/>
      <c r="AE1886" s="176"/>
      <c r="AF1886" s="176"/>
      <c r="AG1886" s="176"/>
    </row>
    <row r="1887" spans="3:33" s="160" customFormat="1">
      <c r="C1887" s="825"/>
      <c r="M1887" s="247"/>
      <c r="Y1887" s="176"/>
      <c r="Z1887" s="176"/>
      <c r="AA1887" s="176"/>
      <c r="AB1887" s="176"/>
      <c r="AC1887" s="176"/>
      <c r="AD1887" s="176"/>
      <c r="AE1887" s="176"/>
      <c r="AF1887" s="176"/>
      <c r="AG1887" s="176"/>
    </row>
    <row r="1888" spans="3:33" s="160" customFormat="1">
      <c r="C1888" s="825"/>
      <c r="M1888" s="247"/>
      <c r="Y1888" s="176"/>
      <c r="Z1888" s="176"/>
      <c r="AA1888" s="176"/>
      <c r="AB1888" s="176"/>
      <c r="AC1888" s="176"/>
      <c r="AD1888" s="176"/>
      <c r="AE1888" s="176"/>
      <c r="AF1888" s="176"/>
      <c r="AG1888" s="176"/>
    </row>
    <row r="1889" spans="3:33" s="160" customFormat="1">
      <c r="C1889" s="825"/>
      <c r="M1889" s="247"/>
      <c r="Y1889" s="176"/>
      <c r="Z1889" s="176"/>
      <c r="AA1889" s="176"/>
      <c r="AB1889" s="176"/>
      <c r="AC1889" s="176"/>
      <c r="AD1889" s="176"/>
      <c r="AE1889" s="176"/>
      <c r="AF1889" s="176"/>
      <c r="AG1889" s="176"/>
    </row>
    <row r="1890" spans="3:33" s="160" customFormat="1">
      <c r="C1890" s="825"/>
      <c r="M1890" s="247"/>
      <c r="Y1890" s="176"/>
      <c r="Z1890" s="176"/>
      <c r="AA1890" s="176"/>
      <c r="AB1890" s="176"/>
      <c r="AC1890" s="176"/>
      <c r="AD1890" s="176"/>
      <c r="AE1890" s="176"/>
      <c r="AF1890" s="176"/>
      <c r="AG1890" s="176"/>
    </row>
    <row r="1891" spans="3:33" s="160" customFormat="1">
      <c r="C1891" s="825"/>
      <c r="M1891" s="247"/>
      <c r="Y1891" s="176"/>
      <c r="Z1891" s="176"/>
      <c r="AA1891" s="176"/>
      <c r="AB1891" s="176"/>
      <c r="AC1891" s="176"/>
      <c r="AD1891" s="176"/>
      <c r="AE1891" s="176"/>
      <c r="AF1891" s="176"/>
      <c r="AG1891" s="176"/>
    </row>
    <row r="1892" spans="3:33" s="160" customFormat="1">
      <c r="C1892" s="825"/>
      <c r="M1892" s="247"/>
      <c r="Y1892" s="176"/>
      <c r="Z1892" s="176"/>
      <c r="AA1892" s="176"/>
      <c r="AB1892" s="176"/>
      <c r="AC1892" s="176"/>
      <c r="AD1892" s="176"/>
      <c r="AE1892" s="176"/>
      <c r="AF1892" s="176"/>
      <c r="AG1892" s="176"/>
    </row>
    <row r="1893" spans="3:33" s="160" customFormat="1">
      <c r="C1893" s="825"/>
      <c r="M1893" s="247"/>
      <c r="Y1893" s="176"/>
      <c r="Z1893" s="176"/>
      <c r="AA1893" s="176"/>
      <c r="AB1893" s="176"/>
      <c r="AC1893" s="176"/>
      <c r="AD1893" s="176"/>
      <c r="AE1893" s="176"/>
      <c r="AF1893" s="176"/>
      <c r="AG1893" s="176"/>
    </row>
    <row r="1894" spans="3:33" s="160" customFormat="1">
      <c r="C1894" s="825"/>
      <c r="M1894" s="247"/>
      <c r="Y1894" s="176"/>
      <c r="Z1894" s="176"/>
      <c r="AA1894" s="176"/>
      <c r="AB1894" s="176"/>
      <c r="AC1894" s="176"/>
      <c r="AD1894" s="176"/>
      <c r="AE1894" s="176"/>
      <c r="AF1894" s="176"/>
      <c r="AG1894" s="176"/>
    </row>
    <row r="1895" spans="3:33" s="160" customFormat="1">
      <c r="C1895" s="825"/>
      <c r="M1895" s="247"/>
      <c r="Y1895" s="176"/>
      <c r="Z1895" s="176"/>
      <c r="AA1895" s="176"/>
      <c r="AB1895" s="176"/>
      <c r="AC1895" s="176"/>
      <c r="AD1895" s="176"/>
      <c r="AE1895" s="176"/>
      <c r="AF1895" s="176"/>
      <c r="AG1895" s="176"/>
    </row>
    <row r="1896" spans="3:33" s="160" customFormat="1">
      <c r="C1896" s="825"/>
      <c r="M1896" s="247"/>
      <c r="Y1896" s="176"/>
      <c r="Z1896" s="176"/>
      <c r="AA1896" s="176"/>
      <c r="AB1896" s="176"/>
      <c r="AC1896" s="176"/>
      <c r="AD1896" s="176"/>
      <c r="AE1896" s="176"/>
      <c r="AF1896" s="176"/>
      <c r="AG1896" s="176"/>
    </row>
    <row r="1897" spans="3:33" s="160" customFormat="1">
      <c r="C1897" s="825"/>
      <c r="M1897" s="247"/>
      <c r="Y1897" s="176"/>
      <c r="Z1897" s="176"/>
      <c r="AA1897" s="176"/>
      <c r="AB1897" s="176"/>
      <c r="AC1897" s="176"/>
      <c r="AD1897" s="176"/>
      <c r="AE1897" s="176"/>
      <c r="AF1897" s="176"/>
      <c r="AG1897" s="176"/>
    </row>
    <row r="1898" spans="3:33" s="160" customFormat="1">
      <c r="C1898" s="825"/>
      <c r="M1898" s="247"/>
      <c r="Y1898" s="176"/>
      <c r="Z1898" s="176"/>
      <c r="AA1898" s="176"/>
      <c r="AB1898" s="176"/>
      <c r="AC1898" s="176"/>
      <c r="AD1898" s="176"/>
      <c r="AE1898" s="176"/>
      <c r="AF1898" s="176"/>
      <c r="AG1898" s="176"/>
    </row>
    <row r="1899" spans="3:33" s="160" customFormat="1">
      <c r="C1899" s="825"/>
      <c r="M1899" s="247"/>
      <c r="Y1899" s="176"/>
      <c r="Z1899" s="176"/>
      <c r="AA1899" s="176"/>
      <c r="AB1899" s="176"/>
      <c r="AC1899" s="176"/>
      <c r="AD1899" s="176"/>
      <c r="AE1899" s="176"/>
      <c r="AF1899" s="176"/>
      <c r="AG1899" s="176"/>
    </row>
    <row r="1900" spans="3:33" s="160" customFormat="1">
      <c r="C1900" s="825"/>
      <c r="M1900" s="247"/>
      <c r="Y1900" s="176"/>
      <c r="Z1900" s="176"/>
      <c r="AA1900" s="176"/>
      <c r="AB1900" s="176"/>
      <c r="AC1900" s="176"/>
      <c r="AD1900" s="176"/>
      <c r="AE1900" s="176"/>
      <c r="AF1900" s="176"/>
      <c r="AG1900" s="176"/>
    </row>
    <row r="1901" spans="3:33" s="160" customFormat="1">
      <c r="C1901" s="825"/>
      <c r="M1901" s="247"/>
      <c r="Y1901" s="176"/>
      <c r="Z1901" s="176"/>
      <c r="AA1901" s="176"/>
      <c r="AB1901" s="176"/>
      <c r="AC1901" s="176"/>
      <c r="AD1901" s="176"/>
      <c r="AE1901" s="176"/>
      <c r="AF1901" s="176"/>
      <c r="AG1901" s="176"/>
    </row>
    <row r="1902" spans="3:33" s="160" customFormat="1">
      <c r="C1902" s="825"/>
      <c r="M1902" s="247"/>
      <c r="Y1902" s="176"/>
      <c r="Z1902" s="176"/>
      <c r="AA1902" s="176"/>
      <c r="AB1902" s="176"/>
      <c r="AC1902" s="176"/>
      <c r="AD1902" s="176"/>
      <c r="AE1902" s="176"/>
      <c r="AF1902" s="176"/>
      <c r="AG1902" s="176"/>
    </row>
    <row r="1903" spans="3:33" s="160" customFormat="1">
      <c r="C1903" s="825"/>
      <c r="M1903" s="247"/>
      <c r="Y1903" s="176"/>
      <c r="Z1903" s="176"/>
      <c r="AA1903" s="176"/>
      <c r="AB1903" s="176"/>
      <c r="AC1903" s="176"/>
      <c r="AD1903" s="176"/>
      <c r="AE1903" s="176"/>
      <c r="AF1903" s="176"/>
      <c r="AG1903" s="176"/>
    </row>
    <row r="1904" spans="3:33" s="160" customFormat="1">
      <c r="C1904" s="825"/>
      <c r="M1904" s="247"/>
      <c r="Y1904" s="176"/>
      <c r="Z1904" s="176"/>
      <c r="AA1904" s="176"/>
      <c r="AB1904" s="176"/>
      <c r="AC1904" s="176"/>
      <c r="AD1904" s="176"/>
      <c r="AE1904" s="176"/>
      <c r="AF1904" s="176"/>
      <c r="AG1904" s="176"/>
    </row>
    <row r="1905" spans="3:33" s="160" customFormat="1">
      <c r="C1905" s="825"/>
      <c r="M1905" s="247"/>
      <c r="Y1905" s="176"/>
      <c r="Z1905" s="176"/>
      <c r="AA1905" s="176"/>
      <c r="AB1905" s="176"/>
      <c r="AC1905" s="176"/>
      <c r="AD1905" s="176"/>
      <c r="AE1905" s="176"/>
      <c r="AF1905" s="176"/>
      <c r="AG1905" s="176"/>
    </row>
    <row r="1906" spans="3:33" s="160" customFormat="1">
      <c r="C1906" s="825"/>
      <c r="M1906" s="247"/>
      <c r="Y1906" s="176"/>
      <c r="Z1906" s="176"/>
      <c r="AA1906" s="176"/>
      <c r="AB1906" s="176"/>
      <c r="AC1906" s="176"/>
      <c r="AD1906" s="176"/>
      <c r="AE1906" s="176"/>
      <c r="AF1906" s="176"/>
      <c r="AG1906" s="176"/>
    </row>
    <row r="1907" spans="3:33" s="160" customFormat="1">
      <c r="C1907" s="825"/>
      <c r="M1907" s="247"/>
      <c r="Y1907" s="176"/>
      <c r="Z1907" s="176"/>
      <c r="AA1907" s="176"/>
      <c r="AB1907" s="176"/>
      <c r="AC1907" s="176"/>
      <c r="AD1907" s="176"/>
      <c r="AE1907" s="176"/>
      <c r="AF1907" s="176"/>
      <c r="AG1907" s="176"/>
    </row>
    <row r="1908" spans="3:33" s="160" customFormat="1">
      <c r="C1908" s="825"/>
      <c r="M1908" s="247"/>
      <c r="Y1908" s="176"/>
      <c r="Z1908" s="176"/>
      <c r="AA1908" s="176"/>
      <c r="AB1908" s="176"/>
      <c r="AC1908" s="176"/>
      <c r="AD1908" s="176"/>
      <c r="AE1908" s="176"/>
      <c r="AF1908" s="176"/>
      <c r="AG1908" s="176"/>
    </row>
    <row r="1909" spans="3:33" s="160" customFormat="1">
      <c r="C1909" s="825"/>
      <c r="M1909" s="247"/>
      <c r="Y1909" s="176"/>
      <c r="Z1909" s="176"/>
      <c r="AA1909" s="176"/>
      <c r="AB1909" s="176"/>
      <c r="AC1909" s="176"/>
      <c r="AD1909" s="176"/>
      <c r="AE1909" s="176"/>
      <c r="AF1909" s="176"/>
      <c r="AG1909" s="176"/>
    </row>
    <row r="1910" spans="3:33" s="160" customFormat="1">
      <c r="C1910" s="825"/>
      <c r="M1910" s="247"/>
      <c r="Y1910" s="176"/>
      <c r="Z1910" s="176"/>
      <c r="AA1910" s="176"/>
      <c r="AB1910" s="176"/>
      <c r="AC1910" s="176"/>
      <c r="AD1910" s="176"/>
      <c r="AE1910" s="176"/>
      <c r="AF1910" s="176"/>
      <c r="AG1910" s="176"/>
    </row>
    <row r="1911" spans="3:33" s="160" customFormat="1">
      <c r="C1911" s="825"/>
      <c r="M1911" s="247"/>
      <c r="Y1911" s="176"/>
      <c r="Z1911" s="176"/>
      <c r="AA1911" s="176"/>
      <c r="AB1911" s="176"/>
      <c r="AC1911" s="176"/>
      <c r="AD1911" s="176"/>
      <c r="AE1911" s="176"/>
      <c r="AF1911" s="176"/>
      <c r="AG1911" s="176"/>
    </row>
    <row r="1912" spans="3:33" s="160" customFormat="1">
      <c r="C1912" s="825"/>
      <c r="M1912" s="247"/>
      <c r="Y1912" s="176"/>
      <c r="Z1912" s="176"/>
      <c r="AA1912" s="176"/>
      <c r="AB1912" s="176"/>
      <c r="AC1912" s="176"/>
      <c r="AD1912" s="176"/>
      <c r="AE1912" s="176"/>
      <c r="AF1912" s="176"/>
      <c r="AG1912" s="176"/>
    </row>
    <row r="1913" spans="3:33" s="160" customFormat="1">
      <c r="C1913" s="825"/>
      <c r="M1913" s="247"/>
      <c r="Y1913" s="176"/>
      <c r="Z1913" s="176"/>
      <c r="AA1913" s="176"/>
      <c r="AB1913" s="176"/>
      <c r="AC1913" s="176"/>
      <c r="AD1913" s="176"/>
      <c r="AE1913" s="176"/>
      <c r="AF1913" s="176"/>
      <c r="AG1913" s="176"/>
    </row>
    <row r="1914" spans="3:33" s="160" customFormat="1">
      <c r="C1914" s="825"/>
      <c r="M1914" s="247"/>
      <c r="Y1914" s="176"/>
      <c r="Z1914" s="176"/>
      <c r="AA1914" s="176"/>
      <c r="AB1914" s="176"/>
      <c r="AC1914" s="176"/>
      <c r="AD1914" s="176"/>
      <c r="AE1914" s="176"/>
      <c r="AF1914" s="176"/>
      <c r="AG1914" s="176"/>
    </row>
    <row r="1915" spans="3:33" s="160" customFormat="1">
      <c r="C1915" s="825"/>
      <c r="M1915" s="247"/>
      <c r="Y1915" s="176"/>
      <c r="Z1915" s="176"/>
      <c r="AA1915" s="176"/>
      <c r="AB1915" s="176"/>
      <c r="AC1915" s="176"/>
      <c r="AD1915" s="176"/>
      <c r="AE1915" s="176"/>
      <c r="AF1915" s="176"/>
      <c r="AG1915" s="176"/>
    </row>
    <row r="1916" spans="3:33" s="160" customFormat="1">
      <c r="C1916" s="825"/>
      <c r="M1916" s="247"/>
      <c r="Y1916" s="176"/>
      <c r="Z1916" s="176"/>
      <c r="AA1916" s="176"/>
      <c r="AB1916" s="176"/>
      <c r="AC1916" s="176"/>
      <c r="AD1916" s="176"/>
      <c r="AE1916" s="176"/>
      <c r="AF1916" s="176"/>
      <c r="AG1916" s="176"/>
    </row>
    <row r="1917" spans="3:33" s="160" customFormat="1">
      <c r="C1917" s="825"/>
      <c r="M1917" s="247"/>
      <c r="Y1917" s="176"/>
      <c r="Z1917" s="176"/>
      <c r="AA1917" s="176"/>
      <c r="AB1917" s="176"/>
      <c r="AC1917" s="176"/>
      <c r="AD1917" s="176"/>
      <c r="AE1917" s="176"/>
      <c r="AF1917" s="176"/>
      <c r="AG1917" s="176"/>
    </row>
    <row r="1918" spans="3:33" s="160" customFormat="1">
      <c r="C1918" s="825"/>
      <c r="M1918" s="247"/>
      <c r="Y1918" s="176"/>
      <c r="Z1918" s="176"/>
      <c r="AA1918" s="176"/>
      <c r="AB1918" s="176"/>
      <c r="AC1918" s="176"/>
      <c r="AD1918" s="176"/>
      <c r="AE1918" s="176"/>
      <c r="AF1918" s="176"/>
      <c r="AG1918" s="176"/>
    </row>
    <row r="1919" spans="3:33" s="160" customFormat="1">
      <c r="C1919" s="825"/>
      <c r="M1919" s="247"/>
      <c r="Y1919" s="176"/>
      <c r="Z1919" s="176"/>
      <c r="AA1919" s="176"/>
      <c r="AB1919" s="176"/>
      <c r="AC1919" s="176"/>
      <c r="AD1919" s="176"/>
      <c r="AE1919" s="176"/>
      <c r="AF1919" s="176"/>
      <c r="AG1919" s="176"/>
    </row>
    <row r="1920" spans="3:33" s="160" customFormat="1">
      <c r="C1920" s="825"/>
      <c r="M1920" s="247"/>
      <c r="Y1920" s="176"/>
      <c r="Z1920" s="176"/>
      <c r="AA1920" s="176"/>
      <c r="AB1920" s="176"/>
      <c r="AC1920" s="176"/>
      <c r="AD1920" s="176"/>
      <c r="AE1920" s="176"/>
      <c r="AF1920" s="176"/>
      <c r="AG1920" s="176"/>
    </row>
    <row r="1921" spans="3:33" s="160" customFormat="1">
      <c r="C1921" s="825"/>
      <c r="M1921" s="247"/>
      <c r="Y1921" s="176"/>
      <c r="Z1921" s="176"/>
      <c r="AA1921" s="176"/>
      <c r="AB1921" s="176"/>
      <c r="AC1921" s="176"/>
      <c r="AD1921" s="176"/>
      <c r="AE1921" s="176"/>
      <c r="AF1921" s="176"/>
      <c r="AG1921" s="176"/>
    </row>
    <row r="1922" spans="3:33" s="160" customFormat="1">
      <c r="C1922" s="825"/>
      <c r="M1922" s="247"/>
      <c r="Y1922" s="176"/>
      <c r="Z1922" s="176"/>
      <c r="AA1922" s="176"/>
      <c r="AB1922" s="176"/>
      <c r="AC1922" s="176"/>
      <c r="AD1922" s="176"/>
      <c r="AE1922" s="176"/>
      <c r="AF1922" s="176"/>
      <c r="AG1922" s="176"/>
    </row>
    <row r="1923" spans="3:33" s="160" customFormat="1">
      <c r="C1923" s="825"/>
      <c r="M1923" s="247"/>
      <c r="Y1923" s="176"/>
      <c r="Z1923" s="176"/>
      <c r="AA1923" s="176"/>
      <c r="AB1923" s="176"/>
      <c r="AC1923" s="176"/>
      <c r="AD1923" s="176"/>
      <c r="AE1923" s="176"/>
      <c r="AF1923" s="176"/>
      <c r="AG1923" s="176"/>
    </row>
    <row r="1924" spans="3:33" s="160" customFormat="1">
      <c r="C1924" s="825"/>
      <c r="M1924" s="247"/>
      <c r="Y1924" s="176"/>
      <c r="Z1924" s="176"/>
      <c r="AA1924" s="176"/>
      <c r="AB1924" s="176"/>
      <c r="AC1924" s="176"/>
      <c r="AD1924" s="176"/>
      <c r="AE1924" s="176"/>
      <c r="AF1924" s="176"/>
      <c r="AG1924" s="176"/>
    </row>
    <row r="1925" spans="3:33" s="160" customFormat="1">
      <c r="C1925" s="825"/>
      <c r="M1925" s="247"/>
      <c r="Y1925" s="176"/>
      <c r="Z1925" s="176"/>
      <c r="AA1925" s="176"/>
      <c r="AB1925" s="176"/>
      <c r="AC1925" s="176"/>
      <c r="AD1925" s="176"/>
      <c r="AE1925" s="176"/>
      <c r="AF1925" s="176"/>
      <c r="AG1925" s="176"/>
    </row>
    <row r="1926" spans="3:33" s="160" customFormat="1">
      <c r="C1926" s="825"/>
      <c r="M1926" s="247"/>
      <c r="Y1926" s="176"/>
      <c r="Z1926" s="176"/>
      <c r="AA1926" s="176"/>
      <c r="AB1926" s="176"/>
      <c r="AC1926" s="176"/>
      <c r="AD1926" s="176"/>
      <c r="AE1926" s="176"/>
      <c r="AF1926" s="176"/>
      <c r="AG1926" s="176"/>
    </row>
    <row r="1927" spans="3:33" s="160" customFormat="1">
      <c r="C1927" s="825"/>
      <c r="M1927" s="247"/>
      <c r="Y1927" s="176"/>
      <c r="Z1927" s="176"/>
      <c r="AA1927" s="176"/>
      <c r="AB1927" s="176"/>
      <c r="AC1927" s="176"/>
      <c r="AD1927" s="176"/>
      <c r="AE1927" s="176"/>
      <c r="AF1927" s="176"/>
      <c r="AG1927" s="176"/>
    </row>
    <row r="1928" spans="3:33" s="160" customFormat="1">
      <c r="C1928" s="825"/>
      <c r="M1928" s="247"/>
      <c r="Y1928" s="176"/>
      <c r="Z1928" s="176"/>
      <c r="AA1928" s="176"/>
      <c r="AB1928" s="176"/>
      <c r="AC1928" s="176"/>
      <c r="AD1928" s="176"/>
      <c r="AE1928" s="176"/>
      <c r="AF1928" s="176"/>
      <c r="AG1928" s="176"/>
    </row>
    <row r="1929" spans="3:33" s="160" customFormat="1">
      <c r="C1929" s="825"/>
      <c r="M1929" s="247"/>
      <c r="Y1929" s="176"/>
      <c r="Z1929" s="176"/>
      <c r="AA1929" s="176"/>
      <c r="AB1929" s="176"/>
      <c r="AC1929" s="176"/>
      <c r="AD1929" s="176"/>
      <c r="AE1929" s="176"/>
      <c r="AF1929" s="176"/>
      <c r="AG1929" s="176"/>
    </row>
    <row r="1930" spans="3:33" s="160" customFormat="1">
      <c r="C1930" s="825"/>
      <c r="M1930" s="247"/>
      <c r="Y1930" s="176"/>
      <c r="Z1930" s="176"/>
      <c r="AA1930" s="176"/>
      <c r="AB1930" s="176"/>
      <c r="AC1930" s="176"/>
      <c r="AD1930" s="176"/>
      <c r="AE1930" s="176"/>
      <c r="AF1930" s="176"/>
      <c r="AG1930" s="176"/>
    </row>
    <row r="1931" spans="3:33" s="160" customFormat="1">
      <c r="C1931" s="825"/>
      <c r="M1931" s="247"/>
      <c r="Y1931" s="176"/>
      <c r="Z1931" s="176"/>
      <c r="AA1931" s="176"/>
      <c r="AB1931" s="176"/>
      <c r="AC1931" s="176"/>
      <c r="AD1931" s="176"/>
      <c r="AE1931" s="176"/>
      <c r="AF1931" s="176"/>
      <c r="AG1931" s="176"/>
    </row>
    <row r="1932" spans="3:33" s="160" customFormat="1">
      <c r="C1932" s="825"/>
      <c r="M1932" s="247"/>
      <c r="Y1932" s="176"/>
      <c r="Z1932" s="176"/>
      <c r="AA1932" s="176"/>
      <c r="AB1932" s="176"/>
      <c r="AC1932" s="176"/>
      <c r="AD1932" s="176"/>
      <c r="AE1932" s="176"/>
      <c r="AF1932" s="176"/>
      <c r="AG1932" s="176"/>
    </row>
    <row r="1933" spans="3:33" s="160" customFormat="1">
      <c r="C1933" s="825"/>
      <c r="M1933" s="247"/>
      <c r="Y1933" s="176"/>
      <c r="Z1933" s="176"/>
      <c r="AA1933" s="176"/>
      <c r="AB1933" s="176"/>
      <c r="AC1933" s="176"/>
      <c r="AD1933" s="176"/>
      <c r="AE1933" s="176"/>
      <c r="AF1933" s="176"/>
      <c r="AG1933" s="176"/>
    </row>
    <row r="1934" spans="3:33" s="160" customFormat="1">
      <c r="C1934" s="825"/>
      <c r="M1934" s="247"/>
      <c r="Y1934" s="176"/>
      <c r="Z1934" s="176"/>
      <c r="AA1934" s="176"/>
      <c r="AB1934" s="176"/>
      <c r="AC1934" s="176"/>
      <c r="AD1934" s="176"/>
      <c r="AE1934" s="176"/>
      <c r="AF1934" s="176"/>
      <c r="AG1934" s="176"/>
    </row>
    <row r="1935" spans="3:33" s="160" customFormat="1">
      <c r="C1935" s="825"/>
      <c r="M1935" s="247"/>
      <c r="Y1935" s="176"/>
      <c r="Z1935" s="176"/>
      <c r="AA1935" s="176"/>
      <c r="AB1935" s="176"/>
      <c r="AC1935" s="176"/>
      <c r="AD1935" s="176"/>
      <c r="AE1935" s="176"/>
      <c r="AF1935" s="176"/>
      <c r="AG1935" s="176"/>
    </row>
    <row r="1936" spans="3:33" s="160" customFormat="1">
      <c r="C1936" s="825"/>
      <c r="M1936" s="247"/>
      <c r="Y1936" s="176"/>
      <c r="Z1936" s="176"/>
      <c r="AA1936" s="176"/>
      <c r="AB1936" s="176"/>
      <c r="AC1936" s="176"/>
      <c r="AD1936" s="176"/>
      <c r="AE1936" s="176"/>
      <c r="AF1936" s="176"/>
      <c r="AG1936" s="176"/>
    </row>
    <row r="1937" spans="3:33" s="160" customFormat="1">
      <c r="C1937" s="825"/>
      <c r="M1937" s="247"/>
      <c r="Y1937" s="176"/>
      <c r="Z1937" s="176"/>
      <c r="AA1937" s="176"/>
      <c r="AB1937" s="176"/>
      <c r="AC1937" s="176"/>
      <c r="AD1937" s="176"/>
      <c r="AE1937" s="176"/>
      <c r="AF1937" s="176"/>
      <c r="AG1937" s="176"/>
    </row>
    <row r="1938" spans="3:33" s="160" customFormat="1">
      <c r="C1938" s="825"/>
      <c r="M1938" s="247"/>
      <c r="Y1938" s="176"/>
      <c r="Z1938" s="176"/>
      <c r="AA1938" s="176"/>
      <c r="AB1938" s="176"/>
      <c r="AC1938" s="176"/>
      <c r="AD1938" s="176"/>
      <c r="AE1938" s="176"/>
      <c r="AF1938" s="176"/>
      <c r="AG1938" s="176"/>
    </row>
    <row r="1939" spans="3:33" s="160" customFormat="1">
      <c r="C1939" s="825"/>
      <c r="M1939" s="247"/>
      <c r="Y1939" s="176"/>
      <c r="Z1939" s="176"/>
      <c r="AA1939" s="176"/>
      <c r="AB1939" s="176"/>
      <c r="AC1939" s="176"/>
      <c r="AD1939" s="176"/>
      <c r="AE1939" s="176"/>
      <c r="AF1939" s="176"/>
      <c r="AG1939" s="176"/>
    </row>
    <row r="1940" spans="3:33" s="160" customFormat="1">
      <c r="C1940" s="825"/>
      <c r="M1940" s="247"/>
      <c r="Y1940" s="176"/>
      <c r="Z1940" s="176"/>
      <c r="AA1940" s="176"/>
      <c r="AB1940" s="176"/>
      <c r="AC1940" s="176"/>
      <c r="AD1940" s="176"/>
      <c r="AE1940" s="176"/>
      <c r="AF1940" s="176"/>
      <c r="AG1940" s="176"/>
    </row>
    <row r="1941" spans="3:33" s="160" customFormat="1">
      <c r="C1941" s="825"/>
      <c r="M1941" s="247"/>
      <c r="Y1941" s="176"/>
      <c r="Z1941" s="176"/>
      <c r="AA1941" s="176"/>
      <c r="AB1941" s="176"/>
      <c r="AC1941" s="176"/>
      <c r="AD1941" s="176"/>
      <c r="AE1941" s="176"/>
      <c r="AF1941" s="176"/>
      <c r="AG1941" s="176"/>
    </row>
    <row r="1942" spans="3:33" s="160" customFormat="1">
      <c r="C1942" s="825"/>
      <c r="M1942" s="247"/>
      <c r="Y1942" s="176"/>
      <c r="Z1942" s="176"/>
      <c r="AA1942" s="176"/>
      <c r="AB1942" s="176"/>
      <c r="AC1942" s="176"/>
      <c r="AD1942" s="176"/>
      <c r="AE1942" s="176"/>
      <c r="AF1942" s="176"/>
      <c r="AG1942" s="176"/>
    </row>
    <row r="1943" spans="3:33" s="160" customFormat="1">
      <c r="C1943" s="825"/>
      <c r="M1943" s="247"/>
      <c r="Y1943" s="176"/>
      <c r="Z1943" s="176"/>
      <c r="AA1943" s="176"/>
      <c r="AB1943" s="176"/>
      <c r="AC1943" s="176"/>
      <c r="AD1943" s="176"/>
      <c r="AE1943" s="176"/>
      <c r="AF1943" s="176"/>
      <c r="AG1943" s="176"/>
    </row>
    <row r="1944" spans="3:33" s="160" customFormat="1">
      <c r="C1944" s="825"/>
      <c r="M1944" s="247"/>
      <c r="Y1944" s="176"/>
      <c r="Z1944" s="176"/>
      <c r="AA1944" s="176"/>
      <c r="AB1944" s="176"/>
      <c r="AC1944" s="176"/>
      <c r="AD1944" s="176"/>
      <c r="AE1944" s="176"/>
      <c r="AF1944" s="176"/>
      <c r="AG1944" s="176"/>
    </row>
    <row r="1945" spans="3:33" s="160" customFormat="1">
      <c r="C1945" s="825"/>
      <c r="M1945" s="247"/>
      <c r="Y1945" s="176"/>
      <c r="Z1945" s="176"/>
      <c r="AA1945" s="176"/>
      <c r="AB1945" s="176"/>
      <c r="AC1945" s="176"/>
      <c r="AD1945" s="176"/>
      <c r="AE1945" s="176"/>
      <c r="AF1945" s="176"/>
      <c r="AG1945" s="176"/>
    </row>
    <row r="1946" spans="3:33" s="160" customFormat="1">
      <c r="C1946" s="825"/>
      <c r="M1946" s="247"/>
      <c r="Y1946" s="176"/>
      <c r="Z1946" s="176"/>
      <c r="AA1946" s="176"/>
      <c r="AB1946" s="176"/>
      <c r="AC1946" s="176"/>
      <c r="AD1946" s="176"/>
      <c r="AE1946" s="176"/>
      <c r="AF1946" s="176"/>
      <c r="AG1946" s="176"/>
    </row>
    <row r="1947" spans="3:33" s="160" customFormat="1">
      <c r="C1947" s="825"/>
      <c r="M1947" s="247"/>
      <c r="Y1947" s="176"/>
      <c r="Z1947" s="176"/>
      <c r="AA1947" s="176"/>
      <c r="AB1947" s="176"/>
      <c r="AC1947" s="176"/>
      <c r="AD1947" s="176"/>
      <c r="AE1947" s="176"/>
      <c r="AF1947" s="176"/>
      <c r="AG1947" s="176"/>
    </row>
    <row r="1948" spans="3:33" s="160" customFormat="1">
      <c r="C1948" s="825"/>
      <c r="M1948" s="247"/>
      <c r="Y1948" s="176"/>
      <c r="Z1948" s="176"/>
      <c r="AA1948" s="176"/>
      <c r="AB1948" s="176"/>
      <c r="AC1948" s="176"/>
      <c r="AD1948" s="176"/>
      <c r="AE1948" s="176"/>
      <c r="AF1948" s="176"/>
      <c r="AG1948" s="176"/>
    </row>
    <row r="1949" spans="3:33" s="160" customFormat="1">
      <c r="C1949" s="825"/>
      <c r="M1949" s="247"/>
      <c r="Y1949" s="176"/>
      <c r="Z1949" s="176"/>
      <c r="AA1949" s="176"/>
      <c r="AB1949" s="176"/>
      <c r="AC1949" s="176"/>
      <c r="AD1949" s="176"/>
      <c r="AE1949" s="176"/>
      <c r="AF1949" s="176"/>
      <c r="AG1949" s="176"/>
    </row>
    <row r="1950" spans="3:33" s="160" customFormat="1">
      <c r="C1950" s="825"/>
      <c r="M1950" s="247"/>
      <c r="Y1950" s="176"/>
      <c r="Z1950" s="176"/>
      <c r="AA1950" s="176"/>
      <c r="AB1950" s="176"/>
      <c r="AC1950" s="176"/>
      <c r="AD1950" s="176"/>
      <c r="AE1950" s="176"/>
      <c r="AF1950" s="176"/>
      <c r="AG1950" s="176"/>
    </row>
    <row r="1951" spans="3:33" s="160" customFormat="1">
      <c r="C1951" s="825"/>
      <c r="M1951" s="247"/>
      <c r="Y1951" s="176"/>
      <c r="Z1951" s="176"/>
      <c r="AA1951" s="176"/>
      <c r="AB1951" s="176"/>
      <c r="AC1951" s="176"/>
      <c r="AD1951" s="176"/>
      <c r="AE1951" s="176"/>
      <c r="AF1951" s="176"/>
      <c r="AG1951" s="176"/>
    </row>
    <row r="1952" spans="3:33" s="160" customFormat="1">
      <c r="C1952" s="825"/>
      <c r="M1952" s="247"/>
      <c r="Y1952" s="176"/>
      <c r="Z1952" s="176"/>
      <c r="AA1952" s="176"/>
      <c r="AB1952" s="176"/>
      <c r="AC1952" s="176"/>
      <c r="AD1952" s="176"/>
      <c r="AE1952" s="176"/>
      <c r="AF1952" s="176"/>
      <c r="AG1952" s="176"/>
    </row>
    <row r="1953" spans="3:33" s="160" customFormat="1">
      <c r="C1953" s="825"/>
      <c r="M1953" s="247"/>
      <c r="Y1953" s="176"/>
      <c r="Z1953" s="176"/>
      <c r="AA1953" s="176"/>
      <c r="AB1953" s="176"/>
      <c r="AC1953" s="176"/>
      <c r="AD1953" s="176"/>
      <c r="AE1953" s="176"/>
      <c r="AF1953" s="176"/>
      <c r="AG1953" s="176"/>
    </row>
    <row r="1954" spans="3:33" s="160" customFormat="1">
      <c r="C1954" s="825"/>
      <c r="M1954" s="247"/>
      <c r="Y1954" s="176"/>
      <c r="Z1954" s="176"/>
      <c r="AA1954" s="176"/>
      <c r="AB1954" s="176"/>
      <c r="AC1954" s="176"/>
      <c r="AD1954" s="176"/>
      <c r="AE1954" s="176"/>
      <c r="AF1954" s="176"/>
      <c r="AG1954" s="176"/>
    </row>
    <row r="1955" spans="3:33" s="160" customFormat="1">
      <c r="C1955" s="825"/>
      <c r="M1955" s="247"/>
      <c r="Y1955" s="176"/>
      <c r="Z1955" s="176"/>
      <c r="AA1955" s="176"/>
      <c r="AB1955" s="176"/>
      <c r="AC1955" s="176"/>
      <c r="AD1955" s="176"/>
      <c r="AE1955" s="176"/>
      <c r="AF1955" s="176"/>
      <c r="AG1955" s="176"/>
    </row>
    <row r="1956" spans="3:33" s="160" customFormat="1">
      <c r="C1956" s="825"/>
      <c r="M1956" s="247"/>
      <c r="Y1956" s="176"/>
      <c r="Z1956" s="176"/>
      <c r="AA1956" s="176"/>
      <c r="AB1956" s="176"/>
      <c r="AC1956" s="176"/>
      <c r="AD1956" s="176"/>
      <c r="AE1956" s="176"/>
      <c r="AF1956" s="176"/>
      <c r="AG1956" s="176"/>
    </row>
    <row r="1957" spans="3:33" s="160" customFormat="1">
      <c r="C1957" s="825"/>
      <c r="M1957" s="247"/>
      <c r="Y1957" s="176"/>
      <c r="Z1957" s="176"/>
      <c r="AA1957" s="176"/>
      <c r="AB1957" s="176"/>
      <c r="AC1957" s="176"/>
      <c r="AD1957" s="176"/>
      <c r="AE1957" s="176"/>
      <c r="AF1957" s="176"/>
      <c r="AG1957" s="176"/>
    </row>
    <row r="1958" spans="3:33" s="160" customFormat="1">
      <c r="C1958" s="825"/>
      <c r="M1958" s="247"/>
      <c r="Y1958" s="176"/>
      <c r="Z1958" s="176"/>
      <c r="AA1958" s="176"/>
      <c r="AB1958" s="176"/>
      <c r="AC1958" s="176"/>
      <c r="AD1958" s="176"/>
      <c r="AE1958" s="176"/>
      <c r="AF1958" s="176"/>
      <c r="AG1958" s="176"/>
    </row>
    <row r="1959" spans="3:33" s="160" customFormat="1">
      <c r="C1959" s="825"/>
      <c r="M1959" s="247"/>
      <c r="Y1959" s="176"/>
      <c r="Z1959" s="176"/>
      <c r="AA1959" s="176"/>
      <c r="AB1959" s="176"/>
      <c r="AC1959" s="176"/>
      <c r="AD1959" s="176"/>
      <c r="AE1959" s="176"/>
      <c r="AF1959" s="176"/>
      <c r="AG1959" s="176"/>
    </row>
    <row r="1960" spans="3:33" s="160" customFormat="1">
      <c r="C1960" s="825"/>
      <c r="M1960" s="247"/>
      <c r="Y1960" s="176"/>
      <c r="Z1960" s="176"/>
      <c r="AA1960" s="176"/>
      <c r="AB1960" s="176"/>
      <c r="AC1960" s="176"/>
      <c r="AD1960" s="176"/>
      <c r="AE1960" s="176"/>
      <c r="AF1960" s="176"/>
      <c r="AG1960" s="176"/>
    </row>
    <row r="1961" spans="3:33" s="160" customFormat="1">
      <c r="C1961" s="825"/>
      <c r="M1961" s="247"/>
      <c r="Y1961" s="176"/>
      <c r="Z1961" s="176"/>
      <c r="AA1961" s="176"/>
      <c r="AB1961" s="176"/>
      <c r="AC1961" s="176"/>
      <c r="AD1961" s="176"/>
      <c r="AE1961" s="176"/>
      <c r="AF1961" s="176"/>
      <c r="AG1961" s="176"/>
    </row>
    <row r="1962" spans="3:33" s="160" customFormat="1">
      <c r="C1962" s="825"/>
      <c r="M1962" s="247"/>
      <c r="Y1962" s="176"/>
      <c r="Z1962" s="176"/>
      <c r="AA1962" s="176"/>
      <c r="AB1962" s="176"/>
      <c r="AC1962" s="176"/>
      <c r="AD1962" s="176"/>
      <c r="AE1962" s="176"/>
      <c r="AF1962" s="176"/>
      <c r="AG1962" s="176"/>
    </row>
    <row r="1963" spans="3:33" s="160" customFormat="1">
      <c r="C1963" s="825"/>
      <c r="M1963" s="247"/>
      <c r="Y1963" s="176"/>
      <c r="Z1963" s="176"/>
      <c r="AA1963" s="176"/>
      <c r="AB1963" s="176"/>
      <c r="AC1963" s="176"/>
      <c r="AD1963" s="176"/>
      <c r="AE1963" s="176"/>
      <c r="AF1963" s="176"/>
      <c r="AG1963" s="176"/>
    </row>
    <row r="1964" spans="3:33" s="160" customFormat="1">
      <c r="C1964" s="825"/>
      <c r="M1964" s="247"/>
      <c r="Y1964" s="176"/>
      <c r="Z1964" s="176"/>
      <c r="AA1964" s="176"/>
      <c r="AB1964" s="176"/>
      <c r="AC1964" s="176"/>
      <c r="AD1964" s="176"/>
      <c r="AE1964" s="176"/>
      <c r="AF1964" s="176"/>
      <c r="AG1964" s="176"/>
    </row>
    <row r="1965" spans="3:33" s="160" customFormat="1">
      <c r="C1965" s="825"/>
      <c r="M1965" s="247"/>
      <c r="Y1965" s="176"/>
      <c r="Z1965" s="176"/>
      <c r="AA1965" s="176"/>
      <c r="AB1965" s="176"/>
      <c r="AC1965" s="176"/>
      <c r="AD1965" s="176"/>
      <c r="AE1965" s="176"/>
      <c r="AF1965" s="176"/>
      <c r="AG1965" s="176"/>
    </row>
    <row r="1966" spans="3:33" s="160" customFormat="1">
      <c r="C1966" s="825"/>
      <c r="M1966" s="247"/>
      <c r="Y1966" s="176"/>
      <c r="Z1966" s="176"/>
      <c r="AA1966" s="176"/>
      <c r="AB1966" s="176"/>
      <c r="AC1966" s="176"/>
      <c r="AD1966" s="176"/>
      <c r="AE1966" s="176"/>
      <c r="AF1966" s="176"/>
      <c r="AG1966" s="176"/>
    </row>
    <row r="1967" spans="3:33" s="160" customFormat="1">
      <c r="C1967" s="825"/>
      <c r="M1967" s="247"/>
      <c r="Y1967" s="176"/>
      <c r="Z1967" s="176"/>
      <c r="AA1967" s="176"/>
      <c r="AB1967" s="176"/>
      <c r="AC1967" s="176"/>
      <c r="AD1967" s="176"/>
      <c r="AE1967" s="176"/>
      <c r="AF1967" s="176"/>
      <c r="AG1967" s="176"/>
    </row>
    <row r="1968" spans="3:33" s="160" customFormat="1">
      <c r="C1968" s="825"/>
      <c r="M1968" s="247"/>
      <c r="Y1968" s="176"/>
      <c r="Z1968" s="176"/>
      <c r="AA1968" s="176"/>
      <c r="AB1968" s="176"/>
      <c r="AC1968" s="176"/>
      <c r="AD1968" s="176"/>
      <c r="AE1968" s="176"/>
      <c r="AF1968" s="176"/>
      <c r="AG1968" s="176"/>
    </row>
    <row r="1969" spans="3:33" s="160" customFormat="1">
      <c r="C1969" s="825"/>
      <c r="M1969" s="247"/>
      <c r="Y1969" s="176"/>
      <c r="Z1969" s="176"/>
      <c r="AA1969" s="176"/>
      <c r="AB1969" s="176"/>
      <c r="AC1969" s="176"/>
      <c r="AD1969" s="176"/>
      <c r="AE1969" s="176"/>
      <c r="AF1969" s="176"/>
      <c r="AG1969" s="176"/>
    </row>
    <row r="1970" spans="3:33" s="160" customFormat="1">
      <c r="C1970" s="825"/>
      <c r="M1970" s="247"/>
      <c r="Y1970" s="176"/>
      <c r="Z1970" s="176"/>
      <c r="AA1970" s="176"/>
      <c r="AB1970" s="176"/>
      <c r="AC1970" s="176"/>
      <c r="AD1970" s="176"/>
      <c r="AE1970" s="176"/>
      <c r="AF1970" s="176"/>
      <c r="AG1970" s="176"/>
    </row>
    <row r="1971" spans="3:33" s="160" customFormat="1">
      <c r="C1971" s="825"/>
      <c r="M1971" s="247"/>
      <c r="Y1971" s="176"/>
      <c r="Z1971" s="176"/>
      <c r="AA1971" s="176"/>
      <c r="AB1971" s="176"/>
      <c r="AC1971" s="176"/>
      <c r="AD1971" s="176"/>
      <c r="AE1971" s="176"/>
      <c r="AF1971" s="176"/>
      <c r="AG1971" s="176"/>
    </row>
    <row r="1972" spans="3:33" s="160" customFormat="1">
      <c r="C1972" s="825"/>
      <c r="M1972" s="247"/>
      <c r="Y1972" s="176"/>
      <c r="Z1972" s="176"/>
      <c r="AA1972" s="176"/>
      <c r="AB1972" s="176"/>
      <c r="AC1972" s="176"/>
      <c r="AD1972" s="176"/>
      <c r="AE1972" s="176"/>
      <c r="AF1972" s="176"/>
      <c r="AG1972" s="176"/>
    </row>
    <row r="1973" spans="3:33" s="160" customFormat="1">
      <c r="C1973" s="825"/>
      <c r="M1973" s="247"/>
      <c r="Y1973" s="176"/>
      <c r="Z1973" s="176"/>
      <c r="AA1973" s="176"/>
      <c r="AB1973" s="176"/>
      <c r="AC1973" s="176"/>
      <c r="AD1973" s="176"/>
      <c r="AE1973" s="176"/>
      <c r="AF1973" s="176"/>
      <c r="AG1973" s="176"/>
    </row>
    <row r="1974" spans="3:33" s="160" customFormat="1">
      <c r="C1974" s="825"/>
      <c r="M1974" s="247"/>
      <c r="Y1974" s="176"/>
      <c r="Z1974" s="176"/>
      <c r="AA1974" s="176"/>
      <c r="AB1974" s="176"/>
      <c r="AC1974" s="176"/>
      <c r="AD1974" s="176"/>
      <c r="AE1974" s="176"/>
      <c r="AF1974" s="176"/>
      <c r="AG1974" s="176"/>
    </row>
    <row r="1975" spans="3:33" s="160" customFormat="1">
      <c r="C1975" s="825"/>
      <c r="M1975" s="247"/>
      <c r="Y1975" s="176"/>
      <c r="Z1975" s="176"/>
      <c r="AA1975" s="176"/>
      <c r="AB1975" s="176"/>
      <c r="AC1975" s="176"/>
      <c r="AD1975" s="176"/>
      <c r="AE1975" s="176"/>
      <c r="AF1975" s="176"/>
      <c r="AG1975" s="176"/>
    </row>
    <row r="1976" spans="3:33" s="160" customFormat="1">
      <c r="C1976" s="825"/>
      <c r="M1976" s="247"/>
      <c r="Y1976" s="176"/>
      <c r="Z1976" s="176"/>
      <c r="AA1976" s="176"/>
      <c r="AB1976" s="176"/>
      <c r="AC1976" s="176"/>
      <c r="AD1976" s="176"/>
      <c r="AE1976" s="176"/>
      <c r="AF1976" s="176"/>
      <c r="AG1976" s="176"/>
    </row>
    <row r="1977" spans="3:33" s="160" customFormat="1">
      <c r="C1977" s="825"/>
      <c r="M1977" s="247"/>
      <c r="Y1977" s="176"/>
      <c r="Z1977" s="176"/>
      <c r="AA1977" s="176"/>
      <c r="AB1977" s="176"/>
      <c r="AC1977" s="176"/>
      <c r="AD1977" s="176"/>
      <c r="AE1977" s="176"/>
      <c r="AF1977" s="176"/>
      <c r="AG1977" s="176"/>
    </row>
    <row r="1978" spans="3:33" s="160" customFormat="1">
      <c r="C1978" s="825"/>
      <c r="M1978" s="247"/>
      <c r="Y1978" s="176"/>
      <c r="Z1978" s="176"/>
      <c r="AA1978" s="176"/>
      <c r="AB1978" s="176"/>
      <c r="AC1978" s="176"/>
      <c r="AD1978" s="176"/>
      <c r="AE1978" s="176"/>
      <c r="AF1978" s="176"/>
      <c r="AG1978" s="176"/>
    </row>
    <row r="1979" spans="3:33" s="160" customFormat="1">
      <c r="C1979" s="825"/>
      <c r="M1979" s="247"/>
      <c r="Y1979" s="176"/>
      <c r="Z1979" s="176"/>
      <c r="AA1979" s="176"/>
      <c r="AB1979" s="176"/>
      <c r="AC1979" s="176"/>
      <c r="AD1979" s="176"/>
      <c r="AE1979" s="176"/>
      <c r="AF1979" s="176"/>
      <c r="AG1979" s="176"/>
    </row>
    <row r="1980" spans="3:33" s="160" customFormat="1">
      <c r="C1980" s="825"/>
      <c r="M1980" s="247"/>
      <c r="Y1980" s="176"/>
      <c r="Z1980" s="176"/>
      <c r="AA1980" s="176"/>
      <c r="AB1980" s="176"/>
      <c r="AC1980" s="176"/>
      <c r="AD1980" s="176"/>
      <c r="AE1980" s="176"/>
      <c r="AF1980" s="176"/>
      <c r="AG1980" s="176"/>
    </row>
    <row r="1981" spans="3:33" s="160" customFormat="1">
      <c r="C1981" s="825"/>
      <c r="M1981" s="247"/>
      <c r="Y1981" s="176"/>
      <c r="Z1981" s="176"/>
      <c r="AA1981" s="176"/>
      <c r="AB1981" s="176"/>
      <c r="AC1981" s="176"/>
      <c r="AD1981" s="176"/>
      <c r="AE1981" s="176"/>
      <c r="AF1981" s="176"/>
      <c r="AG1981" s="176"/>
    </row>
    <row r="1982" spans="3:33" s="160" customFormat="1">
      <c r="C1982" s="825"/>
      <c r="M1982" s="247"/>
      <c r="Y1982" s="176"/>
      <c r="Z1982" s="176"/>
      <c r="AA1982" s="176"/>
      <c r="AB1982" s="176"/>
      <c r="AC1982" s="176"/>
      <c r="AD1982" s="176"/>
      <c r="AE1982" s="176"/>
      <c r="AF1982" s="176"/>
      <c r="AG1982" s="176"/>
    </row>
    <row r="1983" spans="3:33" s="160" customFormat="1">
      <c r="C1983" s="825"/>
      <c r="M1983" s="247"/>
      <c r="Y1983" s="176"/>
      <c r="Z1983" s="176"/>
      <c r="AA1983" s="176"/>
      <c r="AB1983" s="176"/>
      <c r="AC1983" s="176"/>
      <c r="AD1983" s="176"/>
      <c r="AE1983" s="176"/>
      <c r="AF1983" s="176"/>
      <c r="AG1983" s="176"/>
    </row>
    <row r="1984" spans="3:33" s="160" customFormat="1">
      <c r="C1984" s="825"/>
      <c r="M1984" s="247"/>
      <c r="Y1984" s="176"/>
      <c r="Z1984" s="176"/>
      <c r="AA1984" s="176"/>
      <c r="AB1984" s="176"/>
      <c r="AC1984" s="176"/>
      <c r="AD1984" s="176"/>
      <c r="AE1984" s="176"/>
      <c r="AF1984" s="176"/>
      <c r="AG1984" s="176"/>
    </row>
    <row r="1985" spans="3:33" s="160" customFormat="1">
      <c r="C1985" s="825"/>
      <c r="M1985" s="247"/>
      <c r="Y1985" s="176"/>
      <c r="Z1985" s="176"/>
      <c r="AA1985" s="176"/>
      <c r="AB1985" s="176"/>
      <c r="AC1985" s="176"/>
      <c r="AD1985" s="176"/>
      <c r="AE1985" s="176"/>
      <c r="AF1985" s="176"/>
      <c r="AG1985" s="176"/>
    </row>
    <row r="1986" spans="3:33" s="160" customFormat="1">
      <c r="C1986" s="825"/>
      <c r="M1986" s="247"/>
      <c r="Y1986" s="176"/>
      <c r="Z1986" s="176"/>
      <c r="AA1986" s="176"/>
      <c r="AB1986" s="176"/>
      <c r="AC1986" s="176"/>
      <c r="AD1986" s="176"/>
      <c r="AE1986" s="176"/>
      <c r="AF1986" s="176"/>
      <c r="AG1986" s="176"/>
    </row>
    <row r="1987" spans="3:33" s="160" customFormat="1">
      <c r="C1987" s="825"/>
      <c r="M1987" s="247"/>
      <c r="Y1987" s="176"/>
      <c r="Z1987" s="176"/>
      <c r="AA1987" s="176"/>
      <c r="AB1987" s="176"/>
      <c r="AC1987" s="176"/>
      <c r="AD1987" s="176"/>
      <c r="AE1987" s="176"/>
      <c r="AF1987" s="176"/>
      <c r="AG1987" s="176"/>
    </row>
    <row r="1988" spans="3:33" s="160" customFormat="1">
      <c r="C1988" s="825"/>
      <c r="M1988" s="247"/>
      <c r="Y1988" s="176"/>
      <c r="Z1988" s="176"/>
      <c r="AA1988" s="176"/>
      <c r="AB1988" s="176"/>
      <c r="AC1988" s="176"/>
      <c r="AD1988" s="176"/>
      <c r="AE1988" s="176"/>
      <c r="AF1988" s="176"/>
      <c r="AG1988" s="176"/>
    </row>
    <row r="1989" spans="3:33" s="160" customFormat="1">
      <c r="C1989" s="825"/>
      <c r="M1989" s="247"/>
      <c r="Y1989" s="176"/>
      <c r="Z1989" s="176"/>
      <c r="AA1989" s="176"/>
      <c r="AB1989" s="176"/>
      <c r="AC1989" s="176"/>
      <c r="AD1989" s="176"/>
      <c r="AE1989" s="176"/>
      <c r="AF1989" s="176"/>
      <c r="AG1989" s="176"/>
    </row>
    <row r="1990" spans="3:33" s="160" customFormat="1">
      <c r="C1990" s="825"/>
      <c r="M1990" s="247"/>
      <c r="Y1990" s="176"/>
      <c r="Z1990" s="176"/>
      <c r="AA1990" s="176"/>
      <c r="AB1990" s="176"/>
      <c r="AC1990" s="176"/>
      <c r="AD1990" s="176"/>
      <c r="AE1990" s="176"/>
      <c r="AF1990" s="176"/>
      <c r="AG1990" s="176"/>
    </row>
    <row r="1991" spans="3:33" s="160" customFormat="1">
      <c r="C1991" s="825"/>
      <c r="M1991" s="247"/>
      <c r="Y1991" s="176"/>
      <c r="Z1991" s="176"/>
      <c r="AA1991" s="176"/>
      <c r="AB1991" s="176"/>
      <c r="AC1991" s="176"/>
      <c r="AD1991" s="176"/>
      <c r="AE1991" s="176"/>
      <c r="AF1991" s="176"/>
      <c r="AG1991" s="176"/>
    </row>
    <row r="1992" spans="3:33" s="160" customFormat="1">
      <c r="C1992" s="825"/>
      <c r="M1992" s="247"/>
      <c r="Y1992" s="176"/>
      <c r="Z1992" s="176"/>
      <c r="AA1992" s="176"/>
      <c r="AB1992" s="176"/>
      <c r="AC1992" s="176"/>
      <c r="AD1992" s="176"/>
      <c r="AE1992" s="176"/>
      <c r="AF1992" s="176"/>
      <c r="AG1992" s="176"/>
    </row>
    <row r="1993" spans="3:33" s="160" customFormat="1">
      <c r="C1993" s="825"/>
      <c r="M1993" s="247"/>
      <c r="Y1993" s="176"/>
      <c r="Z1993" s="176"/>
      <c r="AA1993" s="176"/>
      <c r="AB1993" s="176"/>
      <c r="AC1993" s="176"/>
      <c r="AD1993" s="176"/>
      <c r="AE1993" s="176"/>
      <c r="AF1993" s="176"/>
      <c r="AG1993" s="176"/>
    </row>
    <row r="1994" spans="3:33" s="160" customFormat="1">
      <c r="C1994" s="825"/>
      <c r="M1994" s="247"/>
      <c r="Y1994" s="176"/>
      <c r="Z1994" s="176"/>
      <c r="AA1994" s="176"/>
      <c r="AB1994" s="176"/>
      <c r="AC1994" s="176"/>
      <c r="AD1994" s="176"/>
      <c r="AE1994" s="176"/>
      <c r="AF1994" s="176"/>
      <c r="AG1994" s="176"/>
    </row>
    <row r="1995" spans="3:33" s="160" customFormat="1">
      <c r="C1995" s="825"/>
      <c r="M1995" s="247"/>
      <c r="Y1995" s="176"/>
      <c r="Z1995" s="176"/>
      <c r="AA1995" s="176"/>
      <c r="AB1995" s="176"/>
      <c r="AC1995" s="176"/>
      <c r="AD1995" s="176"/>
      <c r="AE1995" s="176"/>
      <c r="AF1995" s="176"/>
      <c r="AG1995" s="176"/>
    </row>
    <row r="1996" spans="3:33" s="160" customFormat="1">
      <c r="C1996" s="825"/>
      <c r="M1996" s="247"/>
      <c r="Y1996" s="176"/>
      <c r="Z1996" s="176"/>
      <c r="AA1996" s="176"/>
      <c r="AB1996" s="176"/>
      <c r="AC1996" s="176"/>
      <c r="AD1996" s="176"/>
      <c r="AE1996" s="176"/>
      <c r="AF1996" s="176"/>
      <c r="AG1996" s="176"/>
    </row>
    <row r="1997" spans="3:33" s="160" customFormat="1">
      <c r="C1997" s="825"/>
      <c r="M1997" s="247"/>
      <c r="Y1997" s="176"/>
      <c r="Z1997" s="176"/>
      <c r="AA1997" s="176"/>
      <c r="AB1997" s="176"/>
      <c r="AC1997" s="176"/>
      <c r="AD1997" s="176"/>
      <c r="AE1997" s="176"/>
      <c r="AF1997" s="176"/>
      <c r="AG1997" s="176"/>
    </row>
    <row r="1998" spans="3:33" s="160" customFormat="1">
      <c r="C1998" s="825"/>
      <c r="M1998" s="247"/>
      <c r="Y1998" s="176"/>
      <c r="Z1998" s="176"/>
      <c r="AA1998" s="176"/>
      <c r="AB1998" s="176"/>
      <c r="AC1998" s="176"/>
      <c r="AD1998" s="176"/>
      <c r="AE1998" s="176"/>
      <c r="AF1998" s="176"/>
      <c r="AG1998" s="176"/>
    </row>
    <row r="1999" spans="3:33" s="160" customFormat="1">
      <c r="C1999" s="825"/>
      <c r="M1999" s="247"/>
      <c r="Y1999" s="176"/>
      <c r="Z1999" s="176"/>
      <c r="AA1999" s="176"/>
      <c r="AB1999" s="176"/>
      <c r="AC1999" s="176"/>
      <c r="AD1999" s="176"/>
      <c r="AE1999" s="176"/>
      <c r="AF1999" s="176"/>
      <c r="AG1999" s="176"/>
    </row>
    <row r="2000" spans="3:33" s="160" customFormat="1">
      <c r="C2000" s="825"/>
      <c r="M2000" s="247"/>
      <c r="Y2000" s="176"/>
      <c r="Z2000" s="176"/>
      <c r="AA2000" s="176"/>
      <c r="AB2000" s="176"/>
      <c r="AC2000" s="176"/>
      <c r="AD2000" s="176"/>
      <c r="AE2000" s="176"/>
      <c r="AF2000" s="176"/>
      <c r="AG2000" s="176"/>
    </row>
    <row r="2001" spans="3:33" s="160" customFormat="1">
      <c r="C2001" s="825"/>
      <c r="M2001" s="247"/>
      <c r="Y2001" s="176"/>
      <c r="Z2001" s="176"/>
      <c r="AA2001" s="176"/>
      <c r="AB2001" s="176"/>
      <c r="AC2001" s="176"/>
      <c r="AD2001" s="176"/>
      <c r="AE2001" s="176"/>
      <c r="AF2001" s="176"/>
      <c r="AG2001" s="176"/>
    </row>
    <row r="2002" spans="3:33" s="160" customFormat="1">
      <c r="C2002" s="825"/>
      <c r="M2002" s="247"/>
      <c r="Y2002" s="176"/>
      <c r="Z2002" s="176"/>
      <c r="AA2002" s="176"/>
      <c r="AB2002" s="176"/>
      <c r="AC2002" s="176"/>
      <c r="AD2002" s="176"/>
      <c r="AE2002" s="176"/>
      <c r="AF2002" s="176"/>
      <c r="AG2002" s="176"/>
    </row>
    <row r="2003" spans="3:33" s="160" customFormat="1">
      <c r="C2003" s="825"/>
      <c r="M2003" s="247"/>
      <c r="Y2003" s="176"/>
      <c r="Z2003" s="176"/>
      <c r="AA2003" s="176"/>
      <c r="AB2003" s="176"/>
      <c r="AC2003" s="176"/>
      <c r="AD2003" s="176"/>
      <c r="AE2003" s="176"/>
      <c r="AF2003" s="176"/>
      <c r="AG2003" s="176"/>
    </row>
    <row r="2004" spans="3:33" s="160" customFormat="1">
      <c r="C2004" s="825"/>
      <c r="M2004" s="247"/>
      <c r="Y2004" s="176"/>
      <c r="Z2004" s="176"/>
      <c r="AA2004" s="176"/>
      <c r="AB2004" s="176"/>
      <c r="AC2004" s="176"/>
      <c r="AD2004" s="176"/>
      <c r="AE2004" s="176"/>
      <c r="AF2004" s="176"/>
      <c r="AG2004" s="176"/>
    </row>
    <row r="2005" spans="3:33" s="160" customFormat="1">
      <c r="C2005" s="825"/>
      <c r="M2005" s="247"/>
      <c r="Y2005" s="176"/>
      <c r="Z2005" s="176"/>
      <c r="AA2005" s="176"/>
      <c r="AB2005" s="176"/>
      <c r="AC2005" s="176"/>
      <c r="AD2005" s="176"/>
      <c r="AE2005" s="176"/>
      <c r="AF2005" s="176"/>
      <c r="AG2005" s="176"/>
    </row>
    <row r="2006" spans="3:33" s="160" customFormat="1">
      <c r="C2006" s="825"/>
      <c r="M2006" s="247"/>
      <c r="Y2006" s="176"/>
      <c r="Z2006" s="176"/>
      <c r="AA2006" s="176"/>
      <c r="AB2006" s="176"/>
      <c r="AC2006" s="176"/>
      <c r="AD2006" s="176"/>
      <c r="AE2006" s="176"/>
      <c r="AF2006" s="176"/>
      <c r="AG2006" s="176"/>
    </row>
    <row r="2007" spans="3:33" s="160" customFormat="1">
      <c r="C2007" s="825"/>
      <c r="M2007" s="247"/>
      <c r="Y2007" s="176"/>
      <c r="Z2007" s="176"/>
      <c r="AA2007" s="176"/>
      <c r="AB2007" s="176"/>
      <c r="AC2007" s="176"/>
      <c r="AD2007" s="176"/>
      <c r="AE2007" s="176"/>
      <c r="AF2007" s="176"/>
      <c r="AG2007" s="176"/>
    </row>
    <row r="2008" spans="3:33" s="160" customFormat="1">
      <c r="C2008" s="825"/>
      <c r="M2008" s="247"/>
      <c r="Y2008" s="176"/>
      <c r="Z2008" s="176"/>
      <c r="AA2008" s="176"/>
      <c r="AB2008" s="176"/>
      <c r="AC2008" s="176"/>
      <c r="AD2008" s="176"/>
      <c r="AE2008" s="176"/>
      <c r="AF2008" s="176"/>
      <c r="AG2008" s="176"/>
    </row>
    <row r="2009" spans="3:33" s="160" customFormat="1">
      <c r="C2009" s="825"/>
      <c r="M2009" s="247"/>
      <c r="Y2009" s="176"/>
      <c r="Z2009" s="176"/>
      <c r="AA2009" s="176"/>
      <c r="AB2009" s="176"/>
      <c r="AC2009" s="176"/>
      <c r="AD2009" s="176"/>
      <c r="AE2009" s="176"/>
      <c r="AF2009" s="176"/>
      <c r="AG2009" s="176"/>
    </row>
    <row r="2010" spans="3:33" s="160" customFormat="1">
      <c r="C2010" s="825"/>
      <c r="M2010" s="247"/>
      <c r="Y2010" s="176"/>
      <c r="Z2010" s="176"/>
      <c r="AA2010" s="176"/>
      <c r="AB2010" s="176"/>
      <c r="AC2010" s="176"/>
      <c r="AD2010" s="176"/>
      <c r="AE2010" s="176"/>
      <c r="AF2010" s="176"/>
      <c r="AG2010" s="176"/>
    </row>
    <row r="2011" spans="3:33" s="160" customFormat="1">
      <c r="C2011" s="825"/>
      <c r="M2011" s="247"/>
      <c r="Y2011" s="176"/>
      <c r="Z2011" s="176"/>
      <c r="AA2011" s="176"/>
      <c r="AB2011" s="176"/>
      <c r="AC2011" s="176"/>
      <c r="AD2011" s="176"/>
      <c r="AE2011" s="176"/>
      <c r="AF2011" s="176"/>
      <c r="AG2011" s="176"/>
    </row>
    <row r="2012" spans="3:33" s="160" customFormat="1">
      <c r="C2012" s="825"/>
      <c r="M2012" s="247"/>
      <c r="Y2012" s="176"/>
      <c r="Z2012" s="176"/>
      <c r="AA2012" s="176"/>
      <c r="AB2012" s="176"/>
      <c r="AC2012" s="176"/>
      <c r="AD2012" s="176"/>
      <c r="AE2012" s="176"/>
      <c r="AF2012" s="176"/>
      <c r="AG2012" s="176"/>
    </row>
    <row r="2013" spans="3:33" s="160" customFormat="1">
      <c r="C2013" s="825"/>
      <c r="M2013" s="247"/>
      <c r="Y2013" s="176"/>
      <c r="Z2013" s="176"/>
      <c r="AA2013" s="176"/>
      <c r="AB2013" s="176"/>
      <c r="AC2013" s="176"/>
      <c r="AD2013" s="176"/>
      <c r="AE2013" s="176"/>
      <c r="AF2013" s="176"/>
      <c r="AG2013" s="176"/>
    </row>
    <row r="2014" spans="3:33" s="160" customFormat="1">
      <c r="C2014" s="825"/>
      <c r="M2014" s="247"/>
      <c r="Y2014" s="176"/>
      <c r="Z2014" s="176"/>
      <c r="AA2014" s="176"/>
      <c r="AB2014" s="176"/>
      <c r="AC2014" s="176"/>
      <c r="AD2014" s="176"/>
      <c r="AE2014" s="176"/>
      <c r="AF2014" s="176"/>
      <c r="AG2014" s="176"/>
    </row>
    <row r="2015" spans="3:33" s="160" customFormat="1">
      <c r="C2015" s="825"/>
      <c r="M2015" s="247"/>
      <c r="Y2015" s="176"/>
      <c r="Z2015" s="176"/>
      <c r="AA2015" s="176"/>
      <c r="AB2015" s="176"/>
      <c r="AC2015" s="176"/>
      <c r="AD2015" s="176"/>
      <c r="AE2015" s="176"/>
      <c r="AF2015" s="176"/>
      <c r="AG2015" s="176"/>
    </row>
    <row r="2016" spans="3:33" s="160" customFormat="1">
      <c r="C2016" s="825"/>
      <c r="M2016" s="247"/>
      <c r="Y2016" s="176"/>
      <c r="Z2016" s="176"/>
      <c r="AA2016" s="176"/>
      <c r="AB2016" s="176"/>
      <c r="AC2016" s="176"/>
      <c r="AD2016" s="176"/>
      <c r="AE2016" s="176"/>
      <c r="AF2016" s="176"/>
      <c r="AG2016" s="176"/>
    </row>
    <row r="2017" spans="3:33" s="160" customFormat="1">
      <c r="C2017" s="825"/>
      <c r="M2017" s="247"/>
      <c r="Y2017" s="176"/>
      <c r="Z2017" s="176"/>
      <c r="AA2017" s="176"/>
      <c r="AB2017" s="176"/>
      <c r="AC2017" s="176"/>
      <c r="AD2017" s="176"/>
      <c r="AE2017" s="176"/>
      <c r="AF2017" s="176"/>
      <c r="AG2017" s="176"/>
    </row>
    <row r="2018" spans="3:33" s="160" customFormat="1">
      <c r="C2018" s="825"/>
      <c r="M2018" s="247"/>
      <c r="Y2018" s="176"/>
      <c r="Z2018" s="176"/>
      <c r="AA2018" s="176"/>
      <c r="AB2018" s="176"/>
      <c r="AC2018" s="176"/>
      <c r="AD2018" s="176"/>
      <c r="AE2018" s="176"/>
      <c r="AF2018" s="176"/>
      <c r="AG2018" s="176"/>
    </row>
    <row r="2019" spans="3:33" s="160" customFormat="1">
      <c r="C2019" s="825"/>
      <c r="M2019" s="247"/>
      <c r="Y2019" s="176"/>
      <c r="Z2019" s="176"/>
      <c r="AA2019" s="176"/>
      <c r="AB2019" s="176"/>
      <c r="AC2019" s="176"/>
      <c r="AD2019" s="176"/>
      <c r="AE2019" s="176"/>
      <c r="AF2019" s="176"/>
      <c r="AG2019" s="176"/>
    </row>
    <row r="2020" spans="3:33" s="160" customFormat="1">
      <c r="C2020" s="825"/>
      <c r="M2020" s="247"/>
      <c r="Y2020" s="176"/>
      <c r="Z2020" s="176"/>
      <c r="AA2020" s="176"/>
      <c r="AB2020" s="176"/>
      <c r="AC2020" s="176"/>
      <c r="AD2020" s="176"/>
      <c r="AE2020" s="176"/>
      <c r="AF2020" s="176"/>
      <c r="AG2020" s="176"/>
    </row>
    <row r="2021" spans="3:33" s="160" customFormat="1">
      <c r="C2021" s="825"/>
      <c r="M2021" s="247"/>
      <c r="Y2021" s="176"/>
      <c r="Z2021" s="176"/>
      <c r="AA2021" s="176"/>
      <c r="AB2021" s="176"/>
      <c r="AC2021" s="176"/>
      <c r="AD2021" s="176"/>
      <c r="AE2021" s="176"/>
      <c r="AF2021" s="176"/>
      <c r="AG2021" s="176"/>
    </row>
    <row r="2022" spans="3:33" s="160" customFormat="1">
      <c r="C2022" s="825"/>
      <c r="M2022" s="247"/>
      <c r="Y2022" s="176"/>
      <c r="Z2022" s="176"/>
      <c r="AA2022" s="176"/>
      <c r="AB2022" s="176"/>
      <c r="AC2022" s="176"/>
      <c r="AD2022" s="176"/>
      <c r="AE2022" s="176"/>
      <c r="AF2022" s="176"/>
      <c r="AG2022" s="176"/>
    </row>
    <row r="2023" spans="3:33" s="160" customFormat="1">
      <c r="C2023" s="825"/>
      <c r="M2023" s="247"/>
      <c r="Y2023" s="176"/>
      <c r="Z2023" s="176"/>
      <c r="AA2023" s="176"/>
      <c r="AB2023" s="176"/>
      <c r="AC2023" s="176"/>
      <c r="AD2023" s="176"/>
      <c r="AE2023" s="176"/>
      <c r="AF2023" s="176"/>
      <c r="AG2023" s="176"/>
    </row>
    <row r="2024" spans="3:33" s="160" customFormat="1">
      <c r="C2024" s="825"/>
      <c r="M2024" s="247"/>
      <c r="Y2024" s="176"/>
      <c r="Z2024" s="176"/>
      <c r="AA2024" s="176"/>
      <c r="AB2024" s="176"/>
      <c r="AC2024" s="176"/>
      <c r="AD2024" s="176"/>
      <c r="AE2024" s="176"/>
      <c r="AF2024" s="176"/>
      <c r="AG2024" s="176"/>
    </row>
    <row r="2025" spans="3:33" s="160" customFormat="1">
      <c r="C2025" s="825"/>
      <c r="M2025" s="247"/>
      <c r="Y2025" s="176"/>
      <c r="Z2025" s="176"/>
      <c r="AA2025" s="176"/>
      <c r="AB2025" s="176"/>
      <c r="AC2025" s="176"/>
      <c r="AD2025" s="176"/>
      <c r="AE2025" s="176"/>
      <c r="AF2025" s="176"/>
      <c r="AG2025" s="176"/>
    </row>
    <row r="2026" spans="3:33" s="160" customFormat="1">
      <c r="C2026" s="825"/>
      <c r="M2026" s="247"/>
      <c r="Y2026" s="176"/>
      <c r="Z2026" s="176"/>
      <c r="AA2026" s="176"/>
      <c r="AB2026" s="176"/>
      <c r="AC2026" s="176"/>
      <c r="AD2026" s="176"/>
      <c r="AE2026" s="176"/>
      <c r="AF2026" s="176"/>
      <c r="AG2026" s="176"/>
    </row>
    <row r="2027" spans="3:33" s="160" customFormat="1">
      <c r="C2027" s="825"/>
      <c r="M2027" s="247"/>
      <c r="Y2027" s="176"/>
      <c r="Z2027" s="176"/>
      <c r="AA2027" s="176"/>
      <c r="AB2027" s="176"/>
      <c r="AC2027" s="176"/>
      <c r="AD2027" s="176"/>
      <c r="AE2027" s="176"/>
      <c r="AF2027" s="176"/>
      <c r="AG2027" s="176"/>
    </row>
    <row r="2028" spans="3:33" s="160" customFormat="1">
      <c r="C2028" s="825"/>
      <c r="M2028" s="247"/>
      <c r="Y2028" s="176"/>
      <c r="Z2028" s="176"/>
      <c r="AA2028" s="176"/>
      <c r="AB2028" s="176"/>
      <c r="AC2028" s="176"/>
      <c r="AD2028" s="176"/>
      <c r="AE2028" s="176"/>
      <c r="AF2028" s="176"/>
      <c r="AG2028" s="176"/>
    </row>
    <row r="2029" spans="3:33" s="160" customFormat="1">
      <c r="C2029" s="825"/>
      <c r="M2029" s="247"/>
      <c r="Y2029" s="176"/>
      <c r="Z2029" s="176"/>
      <c r="AA2029" s="176"/>
      <c r="AB2029" s="176"/>
      <c r="AC2029" s="176"/>
      <c r="AD2029" s="176"/>
      <c r="AE2029" s="176"/>
      <c r="AF2029" s="176"/>
      <c r="AG2029" s="176"/>
    </row>
    <row r="2030" spans="3:33" s="160" customFormat="1">
      <c r="C2030" s="825"/>
      <c r="M2030" s="247"/>
      <c r="Y2030" s="176"/>
      <c r="Z2030" s="176"/>
      <c r="AA2030" s="176"/>
      <c r="AB2030" s="176"/>
      <c r="AC2030" s="176"/>
      <c r="AD2030" s="176"/>
      <c r="AE2030" s="176"/>
      <c r="AF2030" s="176"/>
      <c r="AG2030" s="176"/>
    </row>
    <row r="2031" spans="3:33" s="160" customFormat="1">
      <c r="C2031" s="825"/>
      <c r="M2031" s="247"/>
      <c r="Y2031" s="176"/>
      <c r="Z2031" s="176"/>
      <c r="AA2031" s="176"/>
      <c r="AB2031" s="176"/>
      <c r="AC2031" s="176"/>
      <c r="AD2031" s="176"/>
      <c r="AE2031" s="176"/>
      <c r="AF2031" s="176"/>
      <c r="AG2031" s="176"/>
    </row>
    <row r="2032" spans="3:33" s="160" customFormat="1">
      <c r="C2032" s="825"/>
      <c r="M2032" s="247"/>
      <c r="Y2032" s="176"/>
      <c r="Z2032" s="176"/>
      <c r="AA2032" s="176"/>
      <c r="AB2032" s="176"/>
      <c r="AC2032" s="176"/>
      <c r="AD2032" s="176"/>
      <c r="AE2032" s="176"/>
      <c r="AF2032" s="176"/>
      <c r="AG2032" s="176"/>
    </row>
    <row r="2033" spans="3:33" s="160" customFormat="1">
      <c r="C2033" s="825"/>
      <c r="M2033" s="247"/>
      <c r="Y2033" s="176"/>
      <c r="Z2033" s="176"/>
      <c r="AA2033" s="176"/>
      <c r="AB2033" s="176"/>
      <c r="AC2033" s="176"/>
      <c r="AD2033" s="176"/>
      <c r="AE2033" s="176"/>
      <c r="AF2033" s="176"/>
      <c r="AG2033" s="176"/>
    </row>
    <row r="2034" spans="3:33" s="160" customFormat="1">
      <c r="C2034" s="825"/>
      <c r="M2034" s="247"/>
      <c r="Y2034" s="176"/>
      <c r="Z2034" s="176"/>
      <c r="AA2034" s="176"/>
      <c r="AB2034" s="176"/>
      <c r="AC2034" s="176"/>
      <c r="AD2034" s="176"/>
      <c r="AE2034" s="176"/>
      <c r="AF2034" s="176"/>
      <c r="AG2034" s="176"/>
    </row>
    <row r="2035" spans="3:33" s="160" customFormat="1">
      <c r="C2035" s="825"/>
      <c r="M2035" s="247"/>
      <c r="Y2035" s="176"/>
      <c r="Z2035" s="176"/>
      <c r="AA2035" s="176"/>
      <c r="AB2035" s="176"/>
      <c r="AC2035" s="176"/>
      <c r="AD2035" s="176"/>
      <c r="AE2035" s="176"/>
      <c r="AF2035" s="176"/>
      <c r="AG2035" s="176"/>
    </row>
    <row r="2036" spans="3:33" s="160" customFormat="1">
      <c r="C2036" s="825"/>
      <c r="M2036" s="247"/>
      <c r="Y2036" s="176"/>
      <c r="Z2036" s="176"/>
      <c r="AA2036" s="176"/>
      <c r="AB2036" s="176"/>
      <c r="AC2036" s="176"/>
      <c r="AD2036" s="176"/>
      <c r="AE2036" s="176"/>
      <c r="AF2036" s="176"/>
      <c r="AG2036" s="176"/>
    </row>
    <row r="2037" spans="3:33" s="160" customFormat="1">
      <c r="C2037" s="825"/>
      <c r="M2037" s="247"/>
      <c r="Y2037" s="176"/>
      <c r="Z2037" s="176"/>
      <c r="AA2037" s="176"/>
      <c r="AB2037" s="176"/>
      <c r="AC2037" s="176"/>
      <c r="AD2037" s="176"/>
      <c r="AE2037" s="176"/>
      <c r="AF2037" s="176"/>
      <c r="AG2037" s="176"/>
    </row>
    <row r="2038" spans="3:33" s="160" customFormat="1">
      <c r="C2038" s="825"/>
      <c r="M2038" s="247"/>
      <c r="Y2038" s="176"/>
      <c r="Z2038" s="176"/>
      <c r="AA2038" s="176"/>
      <c r="AB2038" s="176"/>
      <c r="AC2038" s="176"/>
      <c r="AD2038" s="176"/>
      <c r="AE2038" s="176"/>
      <c r="AF2038" s="176"/>
      <c r="AG2038" s="176"/>
    </row>
    <row r="2039" spans="3:33" s="160" customFormat="1">
      <c r="C2039" s="825"/>
      <c r="M2039" s="247"/>
      <c r="Y2039" s="176"/>
      <c r="Z2039" s="176"/>
      <c r="AA2039" s="176"/>
      <c r="AB2039" s="176"/>
      <c r="AC2039" s="176"/>
      <c r="AD2039" s="176"/>
      <c r="AE2039" s="176"/>
      <c r="AF2039" s="176"/>
      <c r="AG2039" s="176"/>
    </row>
    <row r="2040" spans="3:33" s="160" customFormat="1">
      <c r="C2040" s="825"/>
      <c r="M2040" s="247"/>
      <c r="Y2040" s="176"/>
      <c r="Z2040" s="176"/>
      <c r="AA2040" s="176"/>
      <c r="AB2040" s="176"/>
      <c r="AC2040" s="176"/>
      <c r="AD2040" s="176"/>
      <c r="AE2040" s="176"/>
      <c r="AF2040" s="176"/>
      <c r="AG2040" s="176"/>
    </row>
    <row r="2041" spans="3:33" s="160" customFormat="1">
      <c r="C2041" s="825"/>
      <c r="M2041" s="247"/>
      <c r="Y2041" s="176"/>
      <c r="Z2041" s="176"/>
      <c r="AA2041" s="176"/>
      <c r="AB2041" s="176"/>
      <c r="AC2041" s="176"/>
      <c r="AD2041" s="176"/>
      <c r="AE2041" s="176"/>
      <c r="AF2041" s="176"/>
      <c r="AG2041" s="176"/>
    </row>
    <row r="2042" spans="3:33" s="160" customFormat="1">
      <c r="C2042" s="825"/>
      <c r="M2042" s="247"/>
      <c r="Y2042" s="176"/>
      <c r="Z2042" s="176"/>
      <c r="AA2042" s="176"/>
      <c r="AB2042" s="176"/>
      <c r="AC2042" s="176"/>
      <c r="AD2042" s="176"/>
      <c r="AE2042" s="176"/>
      <c r="AF2042" s="176"/>
      <c r="AG2042" s="176"/>
    </row>
    <row r="2043" spans="3:33" s="160" customFormat="1">
      <c r="C2043" s="825"/>
      <c r="M2043" s="247"/>
      <c r="Y2043" s="176"/>
      <c r="Z2043" s="176"/>
      <c r="AA2043" s="176"/>
      <c r="AB2043" s="176"/>
      <c r="AC2043" s="176"/>
      <c r="AD2043" s="176"/>
      <c r="AE2043" s="176"/>
      <c r="AF2043" s="176"/>
      <c r="AG2043" s="176"/>
    </row>
    <row r="2044" spans="3:33" s="160" customFormat="1">
      <c r="C2044" s="825"/>
      <c r="M2044" s="247"/>
      <c r="Y2044" s="176"/>
      <c r="Z2044" s="176"/>
      <c r="AA2044" s="176"/>
      <c r="AB2044" s="176"/>
      <c r="AC2044" s="176"/>
      <c r="AD2044" s="176"/>
      <c r="AE2044" s="176"/>
      <c r="AF2044" s="176"/>
      <c r="AG2044" s="176"/>
    </row>
    <row r="2045" spans="3:33" s="160" customFormat="1">
      <c r="C2045" s="825"/>
      <c r="M2045" s="247"/>
      <c r="Y2045" s="176"/>
      <c r="Z2045" s="176"/>
      <c r="AA2045" s="176"/>
      <c r="AB2045" s="176"/>
      <c r="AC2045" s="176"/>
      <c r="AD2045" s="176"/>
      <c r="AE2045" s="176"/>
      <c r="AF2045" s="176"/>
      <c r="AG2045" s="176"/>
    </row>
    <row r="2046" spans="3:33" s="160" customFormat="1">
      <c r="C2046" s="825"/>
      <c r="M2046" s="247"/>
      <c r="Y2046" s="176"/>
      <c r="Z2046" s="176"/>
      <c r="AA2046" s="176"/>
      <c r="AB2046" s="176"/>
      <c r="AC2046" s="176"/>
      <c r="AD2046" s="176"/>
      <c r="AE2046" s="176"/>
      <c r="AF2046" s="176"/>
      <c r="AG2046" s="176"/>
    </row>
    <row r="2047" spans="3:33" s="160" customFormat="1">
      <c r="C2047" s="825"/>
      <c r="M2047" s="247"/>
      <c r="Y2047" s="176"/>
      <c r="Z2047" s="176"/>
      <c r="AA2047" s="176"/>
      <c r="AB2047" s="176"/>
      <c r="AC2047" s="176"/>
      <c r="AD2047" s="176"/>
      <c r="AE2047" s="176"/>
      <c r="AF2047" s="176"/>
      <c r="AG2047" s="176"/>
    </row>
    <row r="2048" spans="3:33" s="160" customFormat="1">
      <c r="C2048" s="825"/>
      <c r="M2048" s="247"/>
      <c r="Y2048" s="176"/>
      <c r="Z2048" s="176"/>
      <c r="AA2048" s="176"/>
      <c r="AB2048" s="176"/>
      <c r="AC2048" s="176"/>
      <c r="AD2048" s="176"/>
      <c r="AE2048" s="176"/>
      <c r="AF2048" s="176"/>
      <c r="AG2048" s="176"/>
    </row>
    <row r="2049" spans="3:33" s="160" customFormat="1">
      <c r="C2049" s="825"/>
      <c r="M2049" s="247"/>
      <c r="Y2049" s="176"/>
      <c r="Z2049" s="176"/>
      <c r="AA2049" s="176"/>
      <c r="AB2049" s="176"/>
      <c r="AC2049" s="176"/>
      <c r="AD2049" s="176"/>
      <c r="AE2049" s="176"/>
      <c r="AF2049" s="176"/>
      <c r="AG2049" s="176"/>
    </row>
    <row r="2050" spans="3:33" s="160" customFormat="1">
      <c r="C2050" s="825"/>
      <c r="M2050" s="247"/>
      <c r="Y2050" s="176"/>
      <c r="Z2050" s="176"/>
      <c r="AA2050" s="176"/>
      <c r="AB2050" s="176"/>
      <c r="AC2050" s="176"/>
      <c r="AD2050" s="176"/>
      <c r="AE2050" s="176"/>
      <c r="AF2050" s="176"/>
      <c r="AG2050" s="176"/>
    </row>
    <row r="2051" spans="3:33" s="160" customFormat="1">
      <c r="C2051" s="825"/>
      <c r="M2051" s="247"/>
      <c r="Y2051" s="176"/>
      <c r="Z2051" s="176"/>
      <c r="AA2051" s="176"/>
      <c r="AB2051" s="176"/>
      <c r="AC2051" s="176"/>
      <c r="AD2051" s="176"/>
      <c r="AE2051" s="176"/>
      <c r="AF2051" s="176"/>
      <c r="AG2051" s="176"/>
    </row>
    <row r="2052" spans="3:33" s="160" customFormat="1">
      <c r="C2052" s="825"/>
      <c r="M2052" s="247"/>
      <c r="Y2052" s="176"/>
      <c r="Z2052" s="176"/>
      <c r="AA2052" s="176"/>
      <c r="AB2052" s="176"/>
      <c r="AC2052" s="176"/>
      <c r="AD2052" s="176"/>
      <c r="AE2052" s="176"/>
      <c r="AF2052" s="176"/>
      <c r="AG2052" s="176"/>
    </row>
    <row r="2053" spans="3:33" s="160" customFormat="1">
      <c r="C2053" s="825"/>
      <c r="M2053" s="247"/>
      <c r="Y2053" s="176"/>
      <c r="Z2053" s="176"/>
      <c r="AA2053" s="176"/>
      <c r="AB2053" s="176"/>
      <c r="AC2053" s="176"/>
      <c r="AD2053" s="176"/>
      <c r="AE2053" s="176"/>
      <c r="AF2053" s="176"/>
      <c r="AG2053" s="176"/>
    </row>
    <row r="2054" spans="3:33" s="160" customFormat="1">
      <c r="C2054" s="825"/>
      <c r="M2054" s="247"/>
      <c r="Y2054" s="176"/>
      <c r="Z2054" s="176"/>
      <c r="AA2054" s="176"/>
      <c r="AB2054" s="176"/>
      <c r="AC2054" s="176"/>
      <c r="AD2054" s="176"/>
      <c r="AE2054" s="176"/>
      <c r="AF2054" s="176"/>
      <c r="AG2054" s="176"/>
    </row>
    <row r="2055" spans="3:33" s="160" customFormat="1">
      <c r="C2055" s="825"/>
      <c r="M2055" s="247"/>
      <c r="Y2055" s="176"/>
      <c r="Z2055" s="176"/>
      <c r="AA2055" s="176"/>
      <c r="AB2055" s="176"/>
      <c r="AC2055" s="176"/>
      <c r="AD2055" s="176"/>
      <c r="AE2055" s="176"/>
      <c r="AF2055" s="176"/>
      <c r="AG2055" s="176"/>
    </row>
    <row r="2056" spans="3:33" s="160" customFormat="1">
      <c r="C2056" s="825"/>
      <c r="M2056" s="247"/>
      <c r="Y2056" s="176"/>
      <c r="Z2056" s="176"/>
      <c r="AA2056" s="176"/>
      <c r="AB2056" s="176"/>
      <c r="AC2056" s="176"/>
      <c r="AD2056" s="176"/>
      <c r="AE2056" s="176"/>
      <c r="AF2056" s="176"/>
      <c r="AG2056" s="176"/>
    </row>
    <row r="2057" spans="3:33" s="160" customFormat="1">
      <c r="C2057" s="825"/>
      <c r="M2057" s="247"/>
      <c r="Y2057" s="176"/>
      <c r="Z2057" s="176"/>
      <c r="AA2057" s="176"/>
      <c r="AB2057" s="176"/>
      <c r="AC2057" s="176"/>
      <c r="AD2057" s="176"/>
      <c r="AE2057" s="176"/>
      <c r="AF2057" s="176"/>
      <c r="AG2057" s="176"/>
    </row>
    <row r="2058" spans="3:33" s="160" customFormat="1">
      <c r="C2058" s="825"/>
      <c r="M2058" s="247"/>
      <c r="Y2058" s="176"/>
      <c r="Z2058" s="176"/>
      <c r="AA2058" s="176"/>
      <c r="AB2058" s="176"/>
      <c r="AC2058" s="176"/>
      <c r="AD2058" s="176"/>
      <c r="AE2058" s="176"/>
      <c r="AF2058" s="176"/>
      <c r="AG2058" s="176"/>
    </row>
    <row r="2059" spans="3:33" s="160" customFormat="1">
      <c r="C2059" s="825"/>
      <c r="M2059" s="247"/>
      <c r="Y2059" s="176"/>
      <c r="Z2059" s="176"/>
      <c r="AA2059" s="176"/>
      <c r="AB2059" s="176"/>
      <c r="AC2059" s="176"/>
      <c r="AD2059" s="176"/>
      <c r="AE2059" s="176"/>
      <c r="AF2059" s="176"/>
      <c r="AG2059" s="176"/>
    </row>
    <row r="2060" spans="3:33" s="160" customFormat="1">
      <c r="C2060" s="825"/>
      <c r="M2060" s="247"/>
      <c r="Y2060" s="176"/>
      <c r="Z2060" s="176"/>
      <c r="AA2060" s="176"/>
      <c r="AB2060" s="176"/>
      <c r="AC2060" s="176"/>
      <c r="AD2060" s="176"/>
      <c r="AE2060" s="176"/>
      <c r="AF2060" s="176"/>
      <c r="AG2060" s="176"/>
    </row>
    <row r="2061" spans="3:33" s="160" customFormat="1">
      <c r="C2061" s="825"/>
      <c r="M2061" s="247"/>
      <c r="Y2061" s="176"/>
      <c r="Z2061" s="176"/>
      <c r="AA2061" s="176"/>
      <c r="AB2061" s="176"/>
      <c r="AC2061" s="176"/>
      <c r="AD2061" s="176"/>
      <c r="AE2061" s="176"/>
      <c r="AF2061" s="176"/>
      <c r="AG2061" s="176"/>
    </row>
    <row r="2062" spans="3:33" s="160" customFormat="1">
      <c r="C2062" s="825"/>
      <c r="M2062" s="247"/>
      <c r="Y2062" s="176"/>
      <c r="Z2062" s="176"/>
      <c r="AA2062" s="176"/>
      <c r="AB2062" s="176"/>
      <c r="AC2062" s="176"/>
      <c r="AD2062" s="176"/>
      <c r="AE2062" s="176"/>
      <c r="AF2062" s="176"/>
      <c r="AG2062" s="176"/>
    </row>
    <row r="2063" spans="3:33" s="160" customFormat="1">
      <c r="C2063" s="825"/>
      <c r="M2063" s="247"/>
      <c r="Y2063" s="176"/>
      <c r="Z2063" s="176"/>
      <c r="AA2063" s="176"/>
      <c r="AB2063" s="176"/>
      <c r="AC2063" s="176"/>
      <c r="AD2063" s="176"/>
      <c r="AE2063" s="176"/>
      <c r="AF2063" s="176"/>
      <c r="AG2063" s="176"/>
    </row>
    <row r="2064" spans="3:33" s="160" customFormat="1">
      <c r="C2064" s="825"/>
      <c r="M2064" s="247"/>
      <c r="Y2064" s="176"/>
      <c r="Z2064" s="176"/>
      <c r="AA2064" s="176"/>
      <c r="AB2064" s="176"/>
      <c r="AC2064" s="176"/>
      <c r="AD2064" s="176"/>
      <c r="AE2064" s="176"/>
      <c r="AF2064" s="176"/>
      <c r="AG2064" s="176"/>
    </row>
    <row r="2065" spans="3:33" s="160" customFormat="1">
      <c r="C2065" s="825"/>
      <c r="M2065" s="247"/>
      <c r="Y2065" s="176"/>
      <c r="Z2065" s="176"/>
      <c r="AA2065" s="176"/>
      <c r="AB2065" s="176"/>
      <c r="AC2065" s="176"/>
      <c r="AD2065" s="176"/>
      <c r="AE2065" s="176"/>
      <c r="AF2065" s="176"/>
      <c r="AG2065" s="176"/>
    </row>
    <row r="2066" spans="3:33" s="160" customFormat="1">
      <c r="C2066" s="825"/>
      <c r="M2066" s="247"/>
      <c r="Y2066" s="176"/>
      <c r="Z2066" s="176"/>
      <c r="AA2066" s="176"/>
      <c r="AB2066" s="176"/>
      <c r="AC2066" s="176"/>
      <c r="AD2066" s="176"/>
      <c r="AE2066" s="176"/>
      <c r="AF2066" s="176"/>
      <c r="AG2066" s="176"/>
    </row>
    <row r="2067" spans="3:33" s="160" customFormat="1">
      <c r="C2067" s="825"/>
      <c r="M2067" s="247"/>
      <c r="Y2067" s="176"/>
      <c r="Z2067" s="176"/>
      <c r="AA2067" s="176"/>
      <c r="AB2067" s="176"/>
      <c r="AC2067" s="176"/>
      <c r="AD2067" s="176"/>
      <c r="AE2067" s="176"/>
      <c r="AF2067" s="176"/>
      <c r="AG2067" s="176"/>
    </row>
    <row r="2068" spans="3:33" s="160" customFormat="1">
      <c r="C2068" s="825"/>
      <c r="M2068" s="247"/>
      <c r="Y2068" s="176"/>
      <c r="Z2068" s="176"/>
      <c r="AA2068" s="176"/>
      <c r="AB2068" s="176"/>
      <c r="AC2068" s="176"/>
      <c r="AD2068" s="176"/>
      <c r="AE2068" s="176"/>
      <c r="AF2068" s="176"/>
      <c r="AG2068" s="176"/>
    </row>
    <row r="2069" spans="3:33" s="160" customFormat="1">
      <c r="C2069" s="825"/>
      <c r="M2069" s="247"/>
      <c r="Y2069" s="176"/>
      <c r="Z2069" s="176"/>
      <c r="AA2069" s="176"/>
      <c r="AB2069" s="176"/>
      <c r="AC2069" s="176"/>
      <c r="AD2069" s="176"/>
      <c r="AE2069" s="176"/>
      <c r="AF2069" s="176"/>
      <c r="AG2069" s="176"/>
    </row>
    <row r="2070" spans="3:33" s="160" customFormat="1">
      <c r="C2070" s="825"/>
      <c r="M2070" s="247"/>
      <c r="Y2070" s="176"/>
      <c r="Z2070" s="176"/>
      <c r="AA2070" s="176"/>
      <c r="AB2070" s="176"/>
      <c r="AC2070" s="176"/>
      <c r="AD2070" s="176"/>
      <c r="AE2070" s="176"/>
      <c r="AF2070" s="176"/>
      <c r="AG2070" s="176"/>
    </row>
    <row r="2071" spans="3:33" s="160" customFormat="1">
      <c r="C2071" s="825"/>
      <c r="M2071" s="247"/>
      <c r="Y2071" s="176"/>
      <c r="Z2071" s="176"/>
      <c r="AA2071" s="176"/>
      <c r="AB2071" s="176"/>
      <c r="AC2071" s="176"/>
      <c r="AD2071" s="176"/>
      <c r="AE2071" s="176"/>
      <c r="AF2071" s="176"/>
      <c r="AG2071" s="176"/>
    </row>
    <row r="2072" spans="3:33" s="160" customFormat="1">
      <c r="C2072" s="825"/>
      <c r="M2072" s="247"/>
      <c r="Y2072" s="176"/>
      <c r="Z2072" s="176"/>
      <c r="AA2072" s="176"/>
      <c r="AB2072" s="176"/>
      <c r="AC2072" s="176"/>
      <c r="AD2072" s="176"/>
      <c r="AE2072" s="176"/>
      <c r="AF2072" s="176"/>
      <c r="AG2072" s="176"/>
    </row>
    <row r="2073" spans="3:33" s="160" customFormat="1">
      <c r="C2073" s="825"/>
      <c r="M2073" s="247"/>
      <c r="Y2073" s="176"/>
      <c r="Z2073" s="176"/>
      <c r="AA2073" s="176"/>
      <c r="AB2073" s="176"/>
      <c r="AC2073" s="176"/>
      <c r="AD2073" s="176"/>
      <c r="AE2073" s="176"/>
      <c r="AF2073" s="176"/>
      <c r="AG2073" s="176"/>
    </row>
    <row r="2074" spans="3:33" s="160" customFormat="1">
      <c r="C2074" s="825"/>
      <c r="M2074" s="247"/>
      <c r="Y2074" s="176"/>
      <c r="Z2074" s="176"/>
      <c r="AA2074" s="176"/>
      <c r="AB2074" s="176"/>
      <c r="AC2074" s="176"/>
      <c r="AD2074" s="176"/>
      <c r="AE2074" s="176"/>
      <c r="AF2074" s="176"/>
      <c r="AG2074" s="176"/>
    </row>
    <row r="2075" spans="3:33" s="160" customFormat="1">
      <c r="C2075" s="825"/>
      <c r="M2075" s="247"/>
      <c r="Y2075" s="176"/>
      <c r="Z2075" s="176"/>
      <c r="AA2075" s="176"/>
      <c r="AB2075" s="176"/>
      <c r="AC2075" s="176"/>
      <c r="AD2075" s="176"/>
      <c r="AE2075" s="176"/>
      <c r="AF2075" s="176"/>
      <c r="AG2075" s="176"/>
    </row>
    <row r="2076" spans="3:33" s="160" customFormat="1">
      <c r="C2076" s="825"/>
      <c r="M2076" s="247"/>
      <c r="Y2076" s="176"/>
      <c r="Z2076" s="176"/>
      <c r="AA2076" s="176"/>
      <c r="AB2076" s="176"/>
      <c r="AC2076" s="176"/>
      <c r="AD2076" s="176"/>
      <c r="AE2076" s="176"/>
      <c r="AF2076" s="176"/>
      <c r="AG2076" s="176"/>
    </row>
    <row r="2077" spans="3:33" s="160" customFormat="1">
      <c r="C2077" s="825"/>
      <c r="M2077" s="247"/>
      <c r="Y2077" s="176"/>
      <c r="Z2077" s="176"/>
      <c r="AA2077" s="176"/>
      <c r="AB2077" s="176"/>
      <c r="AC2077" s="176"/>
      <c r="AD2077" s="176"/>
      <c r="AE2077" s="176"/>
      <c r="AF2077" s="176"/>
      <c r="AG2077" s="176"/>
    </row>
    <row r="2078" spans="3:33" s="160" customFormat="1">
      <c r="C2078" s="825"/>
      <c r="M2078" s="247"/>
      <c r="Y2078" s="176"/>
      <c r="Z2078" s="176"/>
      <c r="AA2078" s="176"/>
      <c r="AB2078" s="176"/>
      <c r="AC2078" s="176"/>
      <c r="AD2078" s="176"/>
      <c r="AE2078" s="176"/>
      <c r="AF2078" s="176"/>
      <c r="AG2078" s="176"/>
    </row>
    <row r="2079" spans="3:33" s="160" customFormat="1">
      <c r="C2079" s="825"/>
      <c r="M2079" s="247"/>
      <c r="Y2079" s="176"/>
      <c r="Z2079" s="176"/>
      <c r="AA2079" s="176"/>
      <c r="AB2079" s="176"/>
      <c r="AC2079" s="176"/>
      <c r="AD2079" s="176"/>
      <c r="AE2079" s="176"/>
      <c r="AF2079" s="176"/>
      <c r="AG2079" s="176"/>
    </row>
    <row r="2080" spans="3:33" s="160" customFormat="1">
      <c r="C2080" s="825"/>
      <c r="M2080" s="247"/>
      <c r="Y2080" s="176"/>
      <c r="Z2080" s="176"/>
      <c r="AA2080" s="176"/>
      <c r="AB2080" s="176"/>
      <c r="AC2080" s="176"/>
      <c r="AD2080" s="176"/>
      <c r="AE2080" s="176"/>
      <c r="AF2080" s="176"/>
      <c r="AG2080" s="176"/>
    </row>
    <row r="2081" spans="3:33" s="160" customFormat="1">
      <c r="C2081" s="825"/>
      <c r="M2081" s="247"/>
      <c r="Y2081" s="176"/>
      <c r="Z2081" s="176"/>
      <c r="AA2081" s="176"/>
      <c r="AB2081" s="176"/>
      <c r="AC2081" s="176"/>
      <c r="AD2081" s="176"/>
      <c r="AE2081" s="176"/>
      <c r="AF2081" s="176"/>
      <c r="AG2081" s="176"/>
    </row>
    <row r="2082" spans="3:33" s="160" customFormat="1">
      <c r="C2082" s="825"/>
      <c r="M2082" s="247"/>
      <c r="Y2082" s="176"/>
      <c r="Z2082" s="176"/>
      <c r="AA2082" s="176"/>
      <c r="AB2082" s="176"/>
      <c r="AC2082" s="176"/>
      <c r="AD2082" s="176"/>
      <c r="AE2082" s="176"/>
      <c r="AF2082" s="176"/>
      <c r="AG2082" s="176"/>
    </row>
    <row r="2083" spans="3:33" s="160" customFormat="1">
      <c r="C2083" s="825"/>
      <c r="M2083" s="247"/>
      <c r="Y2083" s="176"/>
      <c r="Z2083" s="176"/>
      <c r="AA2083" s="176"/>
      <c r="AB2083" s="176"/>
      <c r="AC2083" s="176"/>
      <c r="AD2083" s="176"/>
      <c r="AE2083" s="176"/>
      <c r="AF2083" s="176"/>
      <c r="AG2083" s="176"/>
    </row>
    <row r="2084" spans="3:33" s="160" customFormat="1">
      <c r="C2084" s="825"/>
      <c r="M2084" s="247"/>
      <c r="Y2084" s="176"/>
      <c r="Z2084" s="176"/>
      <c r="AA2084" s="176"/>
      <c r="AB2084" s="176"/>
      <c r="AC2084" s="176"/>
      <c r="AD2084" s="176"/>
      <c r="AE2084" s="176"/>
      <c r="AF2084" s="176"/>
      <c r="AG2084" s="176"/>
    </row>
    <row r="2085" spans="3:33" s="160" customFormat="1">
      <c r="C2085" s="825"/>
      <c r="M2085" s="247"/>
      <c r="Y2085" s="176"/>
      <c r="Z2085" s="176"/>
      <c r="AA2085" s="176"/>
      <c r="AB2085" s="176"/>
      <c r="AC2085" s="176"/>
      <c r="AD2085" s="176"/>
      <c r="AE2085" s="176"/>
      <c r="AF2085" s="176"/>
      <c r="AG2085" s="176"/>
    </row>
    <row r="2086" spans="3:33" s="160" customFormat="1">
      <c r="C2086" s="825"/>
      <c r="M2086" s="247"/>
      <c r="Y2086" s="176"/>
      <c r="Z2086" s="176"/>
      <c r="AA2086" s="176"/>
      <c r="AB2086" s="176"/>
      <c r="AC2086" s="176"/>
      <c r="AD2086" s="176"/>
      <c r="AE2086" s="176"/>
      <c r="AF2086" s="176"/>
      <c r="AG2086" s="176"/>
    </row>
    <row r="2087" spans="3:33" s="160" customFormat="1">
      <c r="C2087" s="825"/>
      <c r="M2087" s="247"/>
      <c r="Y2087" s="176"/>
      <c r="Z2087" s="176"/>
      <c r="AA2087" s="176"/>
      <c r="AB2087" s="176"/>
      <c r="AC2087" s="176"/>
      <c r="AD2087" s="176"/>
      <c r="AE2087" s="176"/>
      <c r="AF2087" s="176"/>
      <c r="AG2087" s="176"/>
    </row>
    <row r="2088" spans="3:33" s="160" customFormat="1">
      <c r="C2088" s="825"/>
      <c r="M2088" s="247"/>
      <c r="Y2088" s="176"/>
      <c r="Z2088" s="176"/>
      <c r="AA2088" s="176"/>
      <c r="AB2088" s="176"/>
      <c r="AC2088" s="176"/>
      <c r="AD2088" s="176"/>
      <c r="AE2088" s="176"/>
      <c r="AF2088" s="176"/>
      <c r="AG2088" s="176"/>
    </row>
    <row r="2089" spans="3:33" s="160" customFormat="1">
      <c r="C2089" s="825"/>
      <c r="M2089" s="247"/>
      <c r="Y2089" s="176"/>
      <c r="Z2089" s="176"/>
      <c r="AA2089" s="176"/>
      <c r="AB2089" s="176"/>
      <c r="AC2089" s="176"/>
      <c r="AD2089" s="176"/>
      <c r="AE2089" s="176"/>
      <c r="AF2089" s="176"/>
      <c r="AG2089" s="176"/>
    </row>
    <row r="2090" spans="3:33" s="160" customFormat="1">
      <c r="C2090" s="825"/>
      <c r="M2090" s="247"/>
      <c r="Y2090" s="176"/>
      <c r="Z2090" s="176"/>
      <c r="AA2090" s="176"/>
      <c r="AB2090" s="176"/>
      <c r="AC2090" s="176"/>
      <c r="AD2090" s="176"/>
      <c r="AE2090" s="176"/>
      <c r="AF2090" s="176"/>
      <c r="AG2090" s="176"/>
    </row>
    <row r="2091" spans="3:33" s="160" customFormat="1">
      <c r="C2091" s="825"/>
      <c r="M2091" s="247"/>
      <c r="Y2091" s="176"/>
      <c r="Z2091" s="176"/>
      <c r="AA2091" s="176"/>
      <c r="AB2091" s="176"/>
      <c r="AC2091" s="176"/>
      <c r="AD2091" s="176"/>
      <c r="AE2091" s="176"/>
      <c r="AF2091" s="176"/>
      <c r="AG2091" s="176"/>
    </row>
    <row r="2092" spans="3:33" s="160" customFormat="1">
      <c r="C2092" s="825"/>
      <c r="M2092" s="247"/>
      <c r="Y2092" s="176"/>
      <c r="Z2092" s="176"/>
      <c r="AA2092" s="176"/>
      <c r="AB2092" s="176"/>
      <c r="AC2092" s="176"/>
      <c r="AD2092" s="176"/>
      <c r="AE2092" s="176"/>
      <c r="AF2092" s="176"/>
      <c r="AG2092" s="176"/>
    </row>
    <row r="2093" spans="3:33" s="160" customFormat="1">
      <c r="C2093" s="825"/>
      <c r="M2093" s="247"/>
      <c r="Y2093" s="176"/>
      <c r="Z2093" s="176"/>
      <c r="AA2093" s="176"/>
      <c r="AB2093" s="176"/>
      <c r="AC2093" s="176"/>
      <c r="AD2093" s="176"/>
      <c r="AE2093" s="176"/>
      <c r="AF2093" s="176"/>
      <c r="AG2093" s="176"/>
    </row>
    <row r="2094" spans="3:33" s="160" customFormat="1">
      <c r="C2094" s="825"/>
      <c r="M2094" s="247"/>
      <c r="Y2094" s="176"/>
      <c r="Z2094" s="176"/>
      <c r="AA2094" s="176"/>
      <c r="AB2094" s="176"/>
      <c r="AC2094" s="176"/>
      <c r="AD2094" s="176"/>
      <c r="AE2094" s="176"/>
      <c r="AF2094" s="176"/>
      <c r="AG2094" s="176"/>
    </row>
    <row r="2095" spans="3:33" s="160" customFormat="1">
      <c r="C2095" s="825"/>
      <c r="M2095" s="247"/>
      <c r="Y2095" s="176"/>
      <c r="Z2095" s="176"/>
      <c r="AA2095" s="176"/>
      <c r="AB2095" s="176"/>
      <c r="AC2095" s="176"/>
      <c r="AD2095" s="176"/>
      <c r="AE2095" s="176"/>
      <c r="AF2095" s="176"/>
      <c r="AG2095" s="176"/>
    </row>
    <row r="2096" spans="3:33" s="160" customFormat="1">
      <c r="C2096" s="825"/>
      <c r="M2096" s="247"/>
      <c r="Y2096" s="176"/>
      <c r="Z2096" s="176"/>
      <c r="AA2096" s="176"/>
      <c r="AB2096" s="176"/>
      <c r="AC2096" s="176"/>
      <c r="AD2096" s="176"/>
      <c r="AE2096" s="176"/>
      <c r="AF2096" s="176"/>
      <c r="AG2096" s="176"/>
    </row>
    <row r="2097" spans="3:33" s="160" customFormat="1">
      <c r="C2097" s="825"/>
      <c r="M2097" s="247"/>
      <c r="Y2097" s="176"/>
      <c r="Z2097" s="176"/>
      <c r="AA2097" s="176"/>
      <c r="AB2097" s="176"/>
      <c r="AC2097" s="176"/>
      <c r="AD2097" s="176"/>
      <c r="AE2097" s="176"/>
      <c r="AF2097" s="176"/>
      <c r="AG2097" s="176"/>
    </row>
    <row r="2098" spans="3:33" s="160" customFormat="1">
      <c r="C2098" s="825"/>
      <c r="M2098" s="247"/>
      <c r="Y2098" s="176"/>
      <c r="Z2098" s="176"/>
      <c r="AA2098" s="176"/>
      <c r="AB2098" s="176"/>
      <c r="AC2098" s="176"/>
      <c r="AD2098" s="176"/>
      <c r="AE2098" s="176"/>
      <c r="AF2098" s="176"/>
      <c r="AG2098" s="176"/>
    </row>
    <row r="2099" spans="3:33" s="160" customFormat="1">
      <c r="C2099" s="825"/>
      <c r="M2099" s="247"/>
      <c r="Y2099" s="176"/>
      <c r="Z2099" s="176"/>
      <c r="AA2099" s="176"/>
      <c r="AB2099" s="176"/>
      <c r="AC2099" s="176"/>
      <c r="AD2099" s="176"/>
      <c r="AE2099" s="176"/>
      <c r="AF2099" s="176"/>
      <c r="AG2099" s="176"/>
    </row>
    <row r="2100" spans="3:33" s="160" customFormat="1">
      <c r="C2100" s="825"/>
      <c r="M2100" s="247"/>
      <c r="Y2100" s="176"/>
      <c r="Z2100" s="176"/>
      <c r="AA2100" s="176"/>
      <c r="AB2100" s="176"/>
      <c r="AC2100" s="176"/>
      <c r="AD2100" s="176"/>
      <c r="AE2100" s="176"/>
      <c r="AF2100" s="176"/>
      <c r="AG2100" s="176"/>
    </row>
    <row r="2101" spans="3:33" s="160" customFormat="1">
      <c r="C2101" s="825"/>
      <c r="M2101" s="247"/>
      <c r="Y2101" s="176"/>
      <c r="Z2101" s="176"/>
      <c r="AA2101" s="176"/>
      <c r="AB2101" s="176"/>
      <c r="AC2101" s="176"/>
      <c r="AD2101" s="176"/>
      <c r="AE2101" s="176"/>
      <c r="AF2101" s="176"/>
      <c r="AG2101" s="176"/>
    </row>
    <row r="2102" spans="3:33" s="160" customFormat="1">
      <c r="C2102" s="825"/>
      <c r="M2102" s="247"/>
      <c r="Y2102" s="176"/>
      <c r="Z2102" s="176"/>
      <c r="AA2102" s="176"/>
      <c r="AB2102" s="176"/>
      <c r="AC2102" s="176"/>
      <c r="AD2102" s="176"/>
      <c r="AE2102" s="176"/>
      <c r="AF2102" s="176"/>
      <c r="AG2102" s="176"/>
    </row>
    <row r="2103" spans="3:33" s="160" customFormat="1">
      <c r="C2103" s="825"/>
      <c r="M2103" s="247"/>
      <c r="Y2103" s="176"/>
      <c r="Z2103" s="176"/>
      <c r="AA2103" s="176"/>
      <c r="AB2103" s="176"/>
      <c r="AC2103" s="176"/>
      <c r="AD2103" s="176"/>
      <c r="AE2103" s="176"/>
      <c r="AF2103" s="176"/>
      <c r="AG2103" s="176"/>
    </row>
    <row r="2104" spans="3:33" s="160" customFormat="1">
      <c r="C2104" s="825"/>
      <c r="M2104" s="247"/>
      <c r="Y2104" s="176"/>
      <c r="Z2104" s="176"/>
      <c r="AA2104" s="176"/>
      <c r="AB2104" s="176"/>
      <c r="AC2104" s="176"/>
      <c r="AD2104" s="176"/>
      <c r="AE2104" s="176"/>
      <c r="AF2104" s="176"/>
      <c r="AG2104" s="176"/>
    </row>
    <row r="2105" spans="3:33" s="160" customFormat="1">
      <c r="C2105" s="825"/>
      <c r="M2105" s="247"/>
      <c r="Y2105" s="176"/>
      <c r="Z2105" s="176"/>
      <c r="AA2105" s="176"/>
      <c r="AB2105" s="176"/>
      <c r="AC2105" s="176"/>
      <c r="AD2105" s="176"/>
      <c r="AE2105" s="176"/>
      <c r="AF2105" s="176"/>
      <c r="AG2105" s="176"/>
    </row>
    <row r="2106" spans="3:33" s="160" customFormat="1">
      <c r="C2106" s="825"/>
      <c r="M2106" s="247"/>
      <c r="Y2106" s="176"/>
      <c r="Z2106" s="176"/>
      <c r="AA2106" s="176"/>
      <c r="AB2106" s="176"/>
      <c r="AC2106" s="176"/>
      <c r="AD2106" s="176"/>
      <c r="AE2106" s="176"/>
      <c r="AF2106" s="176"/>
      <c r="AG2106" s="176"/>
    </row>
    <row r="2107" spans="3:33" s="160" customFormat="1">
      <c r="C2107" s="825"/>
      <c r="M2107" s="247"/>
      <c r="Y2107" s="176"/>
      <c r="Z2107" s="176"/>
      <c r="AA2107" s="176"/>
      <c r="AB2107" s="176"/>
      <c r="AC2107" s="176"/>
      <c r="AD2107" s="176"/>
      <c r="AE2107" s="176"/>
      <c r="AF2107" s="176"/>
      <c r="AG2107" s="176"/>
    </row>
    <row r="2108" spans="3:33" s="160" customFormat="1">
      <c r="C2108" s="825"/>
      <c r="M2108" s="247"/>
      <c r="Y2108" s="176"/>
      <c r="Z2108" s="176"/>
      <c r="AA2108" s="176"/>
      <c r="AB2108" s="176"/>
      <c r="AC2108" s="176"/>
      <c r="AD2108" s="176"/>
      <c r="AE2108" s="176"/>
      <c r="AF2108" s="176"/>
      <c r="AG2108" s="176"/>
    </row>
    <row r="2109" spans="3:33" s="160" customFormat="1">
      <c r="C2109" s="825"/>
      <c r="M2109" s="247"/>
      <c r="Y2109" s="176"/>
      <c r="Z2109" s="176"/>
      <c r="AA2109" s="176"/>
      <c r="AB2109" s="176"/>
      <c r="AC2109" s="176"/>
      <c r="AD2109" s="176"/>
      <c r="AE2109" s="176"/>
      <c r="AF2109" s="176"/>
      <c r="AG2109" s="176"/>
    </row>
  </sheetData>
  <sheetProtection formatCells="0" formatRows="0" insertHyperlinks="0"/>
  <mergeCells count="55">
    <mergeCell ref="L39:W39"/>
    <mergeCell ref="L41:X41"/>
    <mergeCell ref="D38:G38"/>
    <mergeCell ref="D39:G39"/>
    <mergeCell ref="D41:G46"/>
    <mergeCell ref="D22:G22"/>
    <mergeCell ref="N25:Q25"/>
    <mergeCell ref="R26:U26"/>
    <mergeCell ref="L37:W37"/>
    <mergeCell ref="H37:K37"/>
    <mergeCell ref="D37:G37"/>
    <mergeCell ref="D35:G35"/>
    <mergeCell ref="D36:G36"/>
    <mergeCell ref="M32:Q32"/>
    <mergeCell ref="M29:V29"/>
    <mergeCell ref="M30:V30"/>
    <mergeCell ref="D29:G34"/>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7:X47"/>
    <mergeCell ref="K3:W3"/>
    <mergeCell ref="H39:K39"/>
    <mergeCell ref="H38:K38"/>
    <mergeCell ref="R25:U25"/>
    <mergeCell ref="R27:U27"/>
    <mergeCell ref="H36:K36"/>
    <mergeCell ref="L36:V36"/>
    <mergeCell ref="N27:Q27"/>
    <mergeCell ref="V24:X24"/>
    <mergeCell ref="R23:U23"/>
    <mergeCell ref="H35:K35"/>
    <mergeCell ref="L35:V35"/>
    <mergeCell ref="D21:U21"/>
    <mergeCell ref="N26:Q26"/>
    <mergeCell ref="C20:G20"/>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54" priority="85">
      <formula>IF(OR(D25="&lt;AdvCom",D25="&lt;AdvCom&gt;",D25="---",D25="End&gt;"),TRUE)</formula>
    </cfRule>
  </conditionalFormatting>
  <conditionalFormatting sqref="D26:U26">
    <cfRule type="expression" dxfId="353" priority="81">
      <formula>IF(OR(D26="&lt;Notice",D26="&lt;Notice&gt;",D26="---",D26="End&gt;"),TRUE)</formula>
    </cfRule>
  </conditionalFormatting>
  <conditionalFormatting sqref="D24:U24">
    <cfRule type="expression" dxfId="352" priority="80">
      <formula>IF(OR(D24="&lt;Start",D24="---",D24="Effective&gt;"),TRUE)</formula>
    </cfRule>
  </conditionalFormatting>
  <conditionalFormatting sqref="E23">
    <cfRule type="expression" dxfId="351" priority="77">
      <formula>IF(ISODD($D$22),TRUE)</formula>
    </cfRule>
  </conditionalFormatting>
  <conditionalFormatting sqref="I23">
    <cfRule type="expression" dxfId="350" priority="76">
      <formula>IF(ISODD($H$22),TRUE)</formula>
    </cfRule>
  </conditionalFormatting>
  <conditionalFormatting sqref="M23">
    <cfRule type="expression" dxfId="349" priority="75">
      <formula>IF(ISODD($L$22),TRUE)</formula>
    </cfRule>
  </conditionalFormatting>
  <conditionalFormatting sqref="W9:W18">
    <cfRule type="expression" dxfId="348" priority="38" stopIfTrue="1">
      <formula>IF($AH9&lt;10,TRUE,)</formula>
    </cfRule>
  </conditionalFormatting>
  <conditionalFormatting sqref="N9:N18">
    <cfRule type="expression" dxfId="347" priority="39" stopIfTrue="1">
      <formula>IF($AH9&lt;1,TRUE,)</formula>
    </cfRule>
  </conditionalFormatting>
  <conditionalFormatting sqref="O9:O18">
    <cfRule type="expression" dxfId="346" priority="40" stopIfTrue="1">
      <formula>IF($AH9&lt;2,TRUE,)</formula>
    </cfRule>
  </conditionalFormatting>
  <conditionalFormatting sqref="P9:P18">
    <cfRule type="expression" dxfId="345" priority="41" stopIfTrue="1">
      <formula>IF(AH9&lt;3,TRUE,)</formula>
    </cfRule>
  </conditionalFormatting>
  <conditionalFormatting sqref="Q9:Q18">
    <cfRule type="expression" dxfId="344" priority="42" stopIfTrue="1">
      <formula>IF($AH9&lt;4,TRUE,)</formula>
    </cfRule>
  </conditionalFormatting>
  <conditionalFormatting sqref="R9:R18">
    <cfRule type="expression" dxfId="343" priority="43" stopIfTrue="1">
      <formula>IF($AH9&lt;5,TRUE,)</formula>
    </cfRule>
  </conditionalFormatting>
  <conditionalFormatting sqref="S9:S18">
    <cfRule type="expression" dxfId="342" priority="44" stopIfTrue="1">
      <formula>IF($AH9&lt;6,TRUE,)</formula>
    </cfRule>
  </conditionalFormatting>
  <conditionalFormatting sqref="T9:T18">
    <cfRule type="expression" dxfId="341" priority="45" stopIfTrue="1">
      <formula>IF($AH9&lt;7,TRUE,)</formula>
    </cfRule>
  </conditionalFormatting>
  <conditionalFormatting sqref="U9:U18">
    <cfRule type="expression" dxfId="340" priority="46" stopIfTrue="1">
      <formula>IF($AH9&lt;8,TRUE,)</formula>
    </cfRule>
  </conditionalFormatting>
  <conditionalFormatting sqref="V9:V18">
    <cfRule type="expression" dxfId="339" priority="47" stopIfTrue="1">
      <formula>IF($AH9&lt;9,TRUE,)</formula>
    </cfRule>
  </conditionalFormatting>
  <conditionalFormatting sqref="K41:K46">
    <cfRule type="iconSet" priority="12">
      <iconSet iconSet="3TrafficLights2" showValue="0" reverse="1">
        <cfvo type="percent" val="0"/>
        <cfvo type="num" val="3"/>
        <cfvo type="num" val="7"/>
      </iconSet>
    </cfRule>
  </conditionalFormatting>
  <conditionalFormatting sqref="C40">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38" priority="5377">
      <formula>IF(D$27="EQC",TRUE)</formula>
    </cfRule>
  </conditionalFormatting>
  <conditionalFormatting sqref="L29:L34 AD32:AD34">
    <cfRule type="iconSet" priority="538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4" min="2" max="23" man="1"/>
  </rowBreaks>
  <colBreaks count="1" manualBreakCount="1">
    <brk id="2" max="1048575" man="1"/>
  </colBreaks>
  <ignoredErrors>
    <ignoredError sqref="D3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activeCell="C61" sqref="C61"/>
    </sheetView>
  </sheetViews>
  <sheetFormatPr defaultRowHeight="14.25" outlineLevelRow="1" outlineLevelCol="1"/>
  <cols>
    <col min="1" max="1" width="41.375" style="160" customWidth="1"/>
    <col min="2" max="2" width="3" style="1051" customWidth="1"/>
    <col min="3" max="3" width="24.25" style="917" customWidth="1" outlineLevel="1"/>
    <col min="4" max="4" width="3.25" style="918"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21"/>
      <c r="B1" s="1044"/>
      <c r="C1" s="924"/>
      <c r="D1" s="971"/>
      <c r="E1" s="921"/>
      <c r="F1" s="920"/>
      <c r="G1" s="920"/>
      <c r="H1" s="920"/>
      <c r="I1" s="920"/>
      <c r="J1" s="920"/>
      <c r="K1" s="920"/>
    </row>
    <row r="2" spans="1:11" ht="75.75" customHeight="1">
      <c r="A2" s="972" t="s">
        <v>367</v>
      </c>
      <c r="B2" s="1052"/>
      <c r="C2" s="972"/>
      <c r="D2" s="972"/>
      <c r="E2" s="921"/>
      <c r="F2" s="920"/>
      <c r="G2" s="920"/>
      <c r="H2" s="920"/>
      <c r="I2" s="920"/>
      <c r="J2" s="920"/>
      <c r="K2" s="1195" t="s">
        <v>0</v>
      </c>
    </row>
    <row r="3" spans="1:11" s="922" customFormat="1" ht="15.75" customHeight="1">
      <c r="A3" s="972"/>
      <c r="B3" s="1045" t="str">
        <f>IF(C.4Media="air","AQ",IF(C.4Media="water","WQ",IF(C.4Media="land","LQ","CP")))</f>
        <v>AQ</v>
      </c>
      <c r="C3" s="974" t="str">
        <f>C.4Program</f>
        <v>Program Operations</v>
      </c>
      <c r="D3" s="972"/>
      <c r="E3" s="921"/>
      <c r="F3" s="920"/>
      <c r="G3" s="920"/>
      <c r="H3" s="920"/>
      <c r="I3" s="920"/>
      <c r="J3" s="920"/>
      <c r="K3" s="1195"/>
    </row>
    <row r="4" spans="1:11" ht="19.5" customHeight="1">
      <c r="A4" s="921"/>
      <c r="B4" s="1196" t="str">
        <f>C.2Divisions</f>
        <v>200, 210, 216, 230, 238, 244</v>
      </c>
      <c r="C4" s="1196"/>
      <c r="D4" s="973"/>
      <c r="E4" s="921"/>
      <c r="F4" s="920"/>
      <c r="G4" s="920"/>
      <c r="H4" s="920"/>
      <c r="I4" s="920"/>
      <c r="J4" s="920"/>
      <c r="K4" s="1195"/>
    </row>
    <row r="5" spans="1:11" ht="19.5" hidden="1" customHeight="1">
      <c r="A5" s="921"/>
      <c r="B5" s="1053" t="s">
        <v>0</v>
      </c>
      <c r="C5" s="975" t="str">
        <f ca="1">CELL("filename")</f>
        <v>U:\2013 Plan\AQ-RM-FedRegul-Jerry Ebersole\DraftConcept\Recycle Bin\[ConsiderationsFedRegulVer1.0.xlsx]2Basics</v>
      </c>
      <c r="D5" s="973"/>
      <c r="E5" s="921"/>
      <c r="F5" s="920"/>
      <c r="G5" s="920"/>
      <c r="H5" s="920"/>
      <c r="I5" s="920"/>
      <c r="J5" s="920"/>
      <c r="K5" s="976"/>
    </row>
    <row r="6" spans="1:11" ht="30" customHeight="1">
      <c r="A6" s="928" t="s">
        <v>359</v>
      </c>
      <c r="B6" s="1049"/>
      <c r="C6" s="909"/>
      <c r="D6" s="905"/>
      <c r="E6" s="926"/>
    </row>
    <row r="7" spans="1:11" s="922" customFormat="1" ht="15" hidden="1" customHeight="1" outlineLevel="1">
      <c r="A7" s="962" t="s">
        <v>466</v>
      </c>
      <c r="B7" s="1049"/>
      <c r="C7" s="963" t="str">
        <f>C.2Summary</f>
        <v xml:space="preserve">The proposed rules would adopt new and amended federal air quality regulations and related permit rules. </v>
      </c>
      <c r="D7" s="905"/>
      <c r="E7" s="926"/>
    </row>
    <row r="8" spans="1:11" ht="15" customHeight="1" collapsed="1">
      <c r="A8" s="929" t="s">
        <v>451</v>
      </c>
      <c r="B8" s="1046">
        <f>AVERAGEIF(B31:B175,"&gt;0")</f>
        <v>4.859375</v>
      </c>
      <c r="C8" s="930" t="str">
        <f>LOWER(C.2PermTemp)</f>
        <v>permanent</v>
      </c>
      <c r="D8" s="919"/>
      <c r="E8" s="926"/>
    </row>
    <row r="9" spans="1:11" ht="15" customHeight="1">
      <c r="A9" s="931" t="s">
        <v>453</v>
      </c>
      <c r="B9" s="1054"/>
      <c r="C9" s="933" t="str">
        <f>C.2Divisions</f>
        <v>200, 210, 216, 230, 238, 244</v>
      </c>
      <c r="D9" s="932"/>
      <c r="E9" s="926"/>
    </row>
    <row r="10" spans="1:11" ht="15" customHeight="1">
      <c r="A10" s="931" t="s">
        <v>465</v>
      </c>
      <c r="B10" s="1054"/>
      <c r="C10" s="933"/>
      <c r="D10" s="932"/>
      <c r="E10" s="926"/>
    </row>
    <row r="11" spans="1:11" ht="15" customHeight="1">
      <c r="A11" s="925" t="s">
        <v>385</v>
      </c>
      <c r="B11" s="1055">
        <f>'2Basics'!X10</f>
        <v>3</v>
      </c>
      <c r="C11" s="933" t="str">
        <f>'2Basics'!H10</f>
        <v>somewhat true</v>
      </c>
      <c r="D11" s="932"/>
      <c r="E11" s="926"/>
    </row>
    <row r="12" spans="1:11" ht="15" customHeight="1">
      <c r="A12" s="925" t="s">
        <v>386</v>
      </c>
      <c r="B12" s="1055">
        <f>'2Basics'!X11</f>
        <v>3</v>
      </c>
      <c r="C12" s="933" t="str">
        <f>'2Basics'!H11</f>
        <v>somewhat true</v>
      </c>
      <c r="D12" s="932"/>
      <c r="E12" s="926"/>
    </row>
    <row r="13" spans="1:11" ht="15" customHeight="1">
      <c r="A13" s="925" t="s">
        <v>387</v>
      </c>
      <c r="B13" s="1055">
        <f>'2Basics'!X12</f>
        <v>3</v>
      </c>
      <c r="C13" s="933" t="str">
        <f>'2Basics'!H12</f>
        <v>somewhat true</v>
      </c>
      <c r="D13" s="932"/>
      <c r="E13" s="926"/>
    </row>
    <row r="14" spans="1:11" ht="15" customHeight="1">
      <c r="A14" s="925" t="s">
        <v>391</v>
      </c>
      <c r="B14" s="1055">
        <f>'2Basics'!X13</f>
        <v>3</v>
      </c>
      <c r="C14" s="933" t="str">
        <f>'2Basics'!H13</f>
        <v>somewhat true</v>
      </c>
      <c r="D14" s="932"/>
      <c r="E14" s="926"/>
    </row>
    <row r="15" spans="1:11" ht="15" customHeight="1">
      <c r="A15" s="925" t="s">
        <v>390</v>
      </c>
      <c r="B15" s="1055">
        <f>'2Basics'!X14</f>
        <v>3</v>
      </c>
      <c r="C15" s="933" t="str">
        <f>'2Basics'!H14</f>
        <v>somewhat true</v>
      </c>
      <c r="D15" s="932"/>
      <c r="E15" s="926"/>
    </row>
    <row r="16" spans="1:11" ht="15" customHeight="1">
      <c r="A16" s="925" t="s">
        <v>389</v>
      </c>
      <c r="B16" s="1055">
        <f>'2Basics'!X15</f>
        <v>3</v>
      </c>
      <c r="C16" s="933" t="str">
        <f>'2Basics'!H15</f>
        <v>somewhat true</v>
      </c>
      <c r="D16" s="932"/>
      <c r="E16" s="926"/>
    </row>
    <row r="17" spans="1:5" ht="15" customHeight="1">
      <c r="A17" s="925" t="s">
        <v>388</v>
      </c>
      <c r="B17" s="1055">
        <f>'2Basics'!X16</f>
        <v>3</v>
      </c>
      <c r="C17" s="933" t="str">
        <f>'2Basics'!H16</f>
        <v>somewhat true</v>
      </c>
      <c r="D17" s="932"/>
      <c r="E17" s="926"/>
    </row>
    <row r="18" spans="1:5" ht="15" customHeight="1">
      <c r="A18" s="925" t="s">
        <v>454</v>
      </c>
      <c r="B18" s="1055">
        <f>'2Basics'!X17</f>
        <v>3</v>
      </c>
      <c r="C18" s="933" t="str">
        <f>'2Basics'!H17</f>
        <v>somewhat true</v>
      </c>
      <c r="D18" s="932"/>
      <c r="E18" s="926"/>
    </row>
    <row r="19" spans="1:5" s="922" customFormat="1" ht="15" hidden="1" customHeight="1" outlineLevel="1">
      <c r="A19" s="964" t="s">
        <v>467</v>
      </c>
      <c r="B19" s="1055"/>
      <c r="C19" s="966" t="str">
        <f>C.2Ideal</f>
        <v>Addressing changes to federal air quality regulations and reducing DEQ's workload and the regulatory burden on businesses.</v>
      </c>
      <c r="D19" s="932"/>
      <c r="E19" s="926"/>
    </row>
    <row r="20" spans="1:5" s="922" customFormat="1" ht="15" hidden="1" customHeight="1" outlineLevel="1">
      <c r="A20" s="964" t="s">
        <v>468</v>
      </c>
      <c r="B20" s="1055"/>
      <c r="C20" s="966" t="str">
        <f>C.2IdealLong</f>
        <v>The goal of this rulemaking is to addess the following problems that relate to changes in federal air quality regulations: management of DEQ workload; regulatory burden on businesses; changes to existing federal regulations; and adoption of new federal regulations.</v>
      </c>
      <c r="D20" s="932"/>
      <c r="E20" s="926"/>
    </row>
    <row r="21" spans="1:5" s="922" customFormat="1" ht="15" hidden="1" customHeight="1" outlineLevel="1">
      <c r="A21" s="964" t="s">
        <v>472</v>
      </c>
      <c r="B21" s="1055"/>
      <c r="C21" s="966" t="str">
        <f>C.2Reality</f>
        <v>Adopt new federal air quality regulations and reduce the number of permits.</v>
      </c>
      <c r="D21" s="932"/>
      <c r="E21" s="926"/>
    </row>
    <row r="22" spans="1:5" s="922" customFormat="1" ht="15" hidden="1" customHeight="1" outlineLevel="1">
      <c r="A22" s="964" t="s">
        <v>469</v>
      </c>
      <c r="B22" s="1055"/>
      <c r="C22" s="966" t="str">
        <f>C.2Reality</f>
        <v>Adopt new federal air quality regulations and reduce the number of permits.</v>
      </c>
      <c r="D22" s="932"/>
      <c r="E22" s="926"/>
    </row>
    <row r="23" spans="1:5" s="922" customFormat="1" ht="15" hidden="1" customHeight="1" outlineLevel="1">
      <c r="A23" s="964" t="s">
        <v>470</v>
      </c>
      <c r="B23" s="1055"/>
      <c r="C23" s="966" t="str">
        <f>C.2Consequences</f>
        <v>Emissions reductions and fuel savings will not happen.</v>
      </c>
      <c r="D23" s="932"/>
      <c r="E23" s="926"/>
    </row>
    <row r="24" spans="1:5" s="922" customFormat="1" ht="15" hidden="1" customHeight="1" outlineLevel="1">
      <c r="A24" s="964" t="s">
        <v>471</v>
      </c>
      <c r="B24" s="1055"/>
      <c r="C24" s="966" t="str">
        <f>C.2ConsequencesLong</f>
        <v xml:space="preserve">EPA is not in a position to implement the new federal regulations for boilers, solid waste incinerators, and stationary internal combustion engines. It is estimated that these regulations will reduce hazardous air pollutant emissions by over 18 million pounds per year and fuel usage by over 86 trillion Btus per year nationally. If DEQ does not implement the new federal regulations, it is unlikely that emission reductions and fuel savings will happen in Oregon.  </v>
      </c>
      <c r="D24" s="932"/>
      <c r="E24" s="926"/>
    </row>
    <row r="25" spans="1:5" s="922" customFormat="1" ht="15" hidden="1" customHeight="1" outlineLevel="1">
      <c r="A25" s="964" t="s">
        <v>475</v>
      </c>
      <c r="B25" s="1055"/>
      <c r="C25" s="966">
        <f>C.2Alternatives</f>
        <v>0</v>
      </c>
      <c r="D25" s="932"/>
      <c r="E25" s="926"/>
    </row>
    <row r="26" spans="1:5" s="922" customFormat="1" ht="15" hidden="1" customHeight="1" outlineLevel="1">
      <c r="A26" s="964" t="s">
        <v>476</v>
      </c>
      <c r="B26" s="1055"/>
      <c r="C26" s="966">
        <f>C.2AlternativesLong</f>
        <v>0</v>
      </c>
      <c r="D26" s="932"/>
      <c r="E26" s="926"/>
    </row>
    <row r="27" spans="1:5" ht="15" hidden="1" customHeight="1" outlineLevel="1">
      <c r="A27" s="931" t="s">
        <v>474</v>
      </c>
      <c r="B27" s="1054"/>
      <c r="C27" s="966" t="str">
        <f>C.2Research</f>
        <v>Outreach to potential owner or operators of stationary internal combustion engines</v>
      </c>
      <c r="D27" s="932"/>
      <c r="E27" s="926"/>
    </row>
    <row r="28" spans="1:5" ht="15" hidden="1" customHeight="1" outlineLevel="1">
      <c r="A28" s="931" t="s">
        <v>473</v>
      </c>
      <c r="B28" s="1054"/>
      <c r="C28" s="966" t="str">
        <f>C.2ResearchLong</f>
        <v xml:space="preserve">The Air Quality Regional Management Team does not want to implement the federal stationary internal combustion engine standards until they know how many engines there are in the Oregon and that we have developed a comprehensive implementation plan. </v>
      </c>
      <c r="D28" s="932"/>
      <c r="E28" s="926"/>
    </row>
    <row r="29" spans="1:5" s="922" customFormat="1" ht="15" hidden="1" customHeight="1" outlineLevel="1">
      <c r="A29" s="931" t="s">
        <v>477</v>
      </c>
      <c r="B29" s="1054"/>
      <c r="C29" s="966">
        <f>C.2Models</f>
        <v>0</v>
      </c>
      <c r="D29" s="932"/>
      <c r="E29" s="926"/>
    </row>
    <row r="30" spans="1:5" ht="15" hidden="1" customHeight="1" outlineLevel="1">
      <c r="A30" s="931" t="s">
        <v>478</v>
      </c>
      <c r="B30" s="1054"/>
      <c r="C30" s="965" t="s">
        <v>479</v>
      </c>
      <c r="D30" s="932"/>
      <c r="E30" s="926"/>
    </row>
    <row r="31" spans="1:5" ht="15" customHeight="1" collapsed="1">
      <c r="A31" s="931" t="s">
        <v>144</v>
      </c>
      <c r="B31" s="1055">
        <f>C.2LandUseRating</f>
        <v>7</v>
      </c>
      <c r="C31" s="935" t="str">
        <f>C.2LandUse</f>
        <v>involved</v>
      </c>
      <c r="D31" s="934"/>
      <c r="E31" s="926"/>
    </row>
    <row r="32" spans="1:5" ht="15" customHeight="1">
      <c r="A32" s="931" t="s">
        <v>452</v>
      </c>
      <c r="B32" s="1055">
        <f>C.2SIPRating</f>
        <v>7</v>
      </c>
      <c r="C32" s="935" t="str">
        <f>C.2StateImplementatonPlan</f>
        <v>involved</v>
      </c>
      <c r="D32" s="934"/>
      <c r="E32" s="926"/>
    </row>
    <row r="33" spans="1:10" ht="15" customHeight="1">
      <c r="A33" s="931" t="s">
        <v>130</v>
      </c>
      <c r="B33" s="1055">
        <f>C.2ComplianceRating</f>
        <v>0</v>
      </c>
      <c r="C33" s="935" t="str">
        <f>C.2Compliance</f>
        <v>not involved</v>
      </c>
      <c r="D33" s="934"/>
      <c r="E33" s="926"/>
    </row>
    <row r="34" spans="1:10" ht="15" customHeight="1">
      <c r="A34" s="931" t="s">
        <v>131</v>
      </c>
      <c r="B34" s="1055">
        <f>C.2PenaltyRating</f>
        <v>0</v>
      </c>
      <c r="C34" s="935" t="str">
        <f>C.2Penalties</f>
        <v>not involved</v>
      </c>
      <c r="D34" s="934"/>
      <c r="E34" s="926"/>
    </row>
    <row r="35" spans="1:10" ht="15" customHeight="1">
      <c r="A35" s="931" t="s">
        <v>464</v>
      </c>
      <c r="B35" s="1055">
        <f>C.2PermitEtAlRating</f>
        <v>0</v>
      </c>
      <c r="C35" s="935">
        <f>IF(C.2PermitEtAl="not involved",0,C.2PermitEtAl)</f>
        <v>0</v>
      </c>
      <c r="D35" s="934"/>
      <c r="E35" s="926"/>
    </row>
    <row r="36" spans="1:10" s="970" customFormat="1" ht="15" hidden="1" customHeight="1" outlineLevel="1">
      <c r="A36" s="967" t="s">
        <v>266</v>
      </c>
      <c r="B36" s="1056"/>
      <c r="C36" s="969">
        <f>C.2ProcessImprovement</f>
        <v>0</v>
      </c>
      <c r="D36" s="968"/>
      <c r="E36" s="923"/>
    </row>
    <row r="37" spans="1:10" s="825" customFormat="1" ht="30" customHeight="1" collapsed="1">
      <c r="A37" s="936" t="s">
        <v>355</v>
      </c>
      <c r="B37" s="1046"/>
      <c r="C37" s="909"/>
      <c r="D37" s="906"/>
      <c r="E37" s="926"/>
      <c r="F37" s="160"/>
      <c r="G37" s="160"/>
      <c r="H37" s="160"/>
      <c r="I37" s="160"/>
      <c r="J37" s="160"/>
    </row>
    <row r="38" spans="1:10">
      <c r="A38" s="937" t="s">
        <v>239</v>
      </c>
      <c r="B38" s="1046">
        <f>IF(C.3ComplexityRating=1,1,IF(C.3ComplexityRating=10,10,C.3ComplexityRating*2))</f>
        <v>6</v>
      </c>
      <c r="C38" s="949" t="str">
        <f>C.3ComplexityBlurb</f>
        <v>medium, manageable opposition</v>
      </c>
      <c r="D38" s="907"/>
      <c r="E38" s="926"/>
    </row>
    <row r="39" spans="1:10">
      <c r="A39" s="937" t="s">
        <v>228</v>
      </c>
      <c r="B39" s="1046"/>
      <c r="C39" s="909"/>
      <c r="D39" s="907"/>
      <c r="E39" s="926"/>
    </row>
    <row r="40" spans="1:10">
      <c r="A40" s="938" t="s">
        <v>120</v>
      </c>
      <c r="B40" s="1046">
        <f>'3Stakeholders'!AB8</f>
        <v>0</v>
      </c>
      <c r="C40" s="939" t="str">
        <f>'3Stakeholders'!AA8</f>
        <v xml:space="preserve">not affected </v>
      </c>
      <c r="D40" s="908"/>
      <c r="E40" s="926"/>
    </row>
    <row r="41" spans="1:10">
      <c r="A41" s="938" t="s">
        <v>108</v>
      </c>
      <c r="B41" s="1046">
        <f>'3Stakeholders'!AB9</f>
        <v>0</v>
      </c>
      <c r="C41" s="940" t="str">
        <f>'3Stakeholders'!AA9</f>
        <v xml:space="preserve">not affected </v>
      </c>
      <c r="D41" s="908"/>
      <c r="E41" s="926"/>
    </row>
    <row r="42" spans="1:10">
      <c r="A42" s="938" t="s">
        <v>109</v>
      </c>
      <c r="B42" s="1046">
        <f>'3Stakeholders'!AB10</f>
        <v>0</v>
      </c>
      <c r="C42" s="940" t="str">
        <f>'3Stakeholders'!AA10</f>
        <v xml:space="preserve">not affected </v>
      </c>
      <c r="D42" s="908"/>
      <c r="E42" s="926"/>
    </row>
    <row r="43" spans="1:10">
      <c r="A43" s="938" t="s">
        <v>123</v>
      </c>
      <c r="B43" s="1046">
        <f>'3Stakeholders'!AB11</f>
        <v>0</v>
      </c>
      <c r="C43" s="940" t="str">
        <f>'3Stakeholders'!AA11</f>
        <v xml:space="preserve">not affected </v>
      </c>
      <c r="D43" s="908"/>
      <c r="E43" s="926"/>
    </row>
    <row r="44" spans="1:10">
      <c r="A44" s="938" t="s">
        <v>459</v>
      </c>
      <c r="B44" s="1046">
        <f>'3Stakeholders'!AB12</f>
        <v>0</v>
      </c>
      <c r="C44" s="940" t="str">
        <f>'3Stakeholders'!AA12</f>
        <v xml:space="preserve">not affected </v>
      </c>
      <c r="D44" s="908"/>
      <c r="E44" s="926"/>
    </row>
    <row r="45" spans="1:10">
      <c r="A45" s="938" t="s">
        <v>460</v>
      </c>
      <c r="B45" s="1046">
        <f>'3Stakeholders'!AB13</f>
        <v>0</v>
      </c>
      <c r="C45" s="940" t="str">
        <f>'3Stakeholders'!AA13</f>
        <v xml:space="preserve">not affected </v>
      </c>
      <c r="D45" s="908"/>
      <c r="E45" s="926"/>
    </row>
    <row r="46" spans="1:10" ht="15.75" customHeight="1">
      <c r="A46" s="941" t="s">
        <v>194</v>
      </c>
      <c r="B46" s="1046"/>
      <c r="C46" s="942"/>
      <c r="D46" s="926"/>
      <c r="E46" s="926"/>
    </row>
    <row r="47" spans="1:10" ht="15.75" customHeight="1">
      <c r="A47" s="938" t="s">
        <v>335</v>
      </c>
      <c r="B47" s="1046">
        <f>'3Stakeholders'!X20</f>
        <v>6</v>
      </c>
      <c r="C47" s="939" t="str">
        <f>'3Stakeholders'!Y20</f>
        <v>unknown at this time</v>
      </c>
      <c r="D47" s="908"/>
      <c r="E47" s="926"/>
    </row>
    <row r="48" spans="1:10" ht="15.75" customHeight="1">
      <c r="A48" s="938" t="s">
        <v>336</v>
      </c>
      <c r="B48" s="1046">
        <f>'3Stakeholders'!X21</f>
        <v>6</v>
      </c>
      <c r="C48" s="939" t="str">
        <f>'3Stakeholders'!Y21</f>
        <v>unknown at this time</v>
      </c>
      <c r="D48" s="908"/>
      <c r="E48" s="926"/>
    </row>
    <row r="49" spans="1:5" ht="15.75" customHeight="1">
      <c r="A49" s="938" t="s">
        <v>337</v>
      </c>
      <c r="B49" s="1046">
        <f>'3Stakeholders'!X22</f>
        <v>6</v>
      </c>
      <c r="C49" s="939" t="str">
        <f>'3Stakeholders'!Y22</f>
        <v>unknown at this time</v>
      </c>
      <c r="D49" s="908"/>
      <c r="E49" s="926"/>
    </row>
    <row r="50" spans="1:5" ht="15.75" customHeight="1">
      <c r="A50" s="938" t="s">
        <v>338</v>
      </c>
      <c r="B50" s="1046">
        <f>'3Stakeholders'!X23</f>
        <v>6</v>
      </c>
      <c r="C50" s="939" t="str">
        <f>'3Stakeholders'!Y23</f>
        <v>unknown at this time</v>
      </c>
      <c r="D50" s="908"/>
      <c r="E50" s="926"/>
    </row>
    <row r="51" spans="1:5" ht="15.75" customHeight="1">
      <c r="A51" s="938" t="s">
        <v>339</v>
      </c>
      <c r="B51" s="1046">
        <f>'3Stakeholders'!X24</f>
        <v>6</v>
      </c>
      <c r="C51" s="939" t="str">
        <f>'3Stakeholders'!Y24</f>
        <v>unknown at this time</v>
      </c>
      <c r="D51" s="908"/>
      <c r="E51" s="926"/>
    </row>
    <row r="52" spans="1:5" ht="15.75" customHeight="1">
      <c r="A52" s="938" t="s">
        <v>340</v>
      </c>
      <c r="B52" s="1046">
        <f>'3Stakeholders'!X25</f>
        <v>6</v>
      </c>
      <c r="C52" s="939" t="str">
        <f>'3Stakeholders'!Y25</f>
        <v>unknown at this time</v>
      </c>
      <c r="D52" s="908"/>
      <c r="E52" s="926"/>
    </row>
    <row r="53" spans="1:5" ht="15.75" customHeight="1">
      <c r="A53" s="938" t="s">
        <v>341</v>
      </c>
      <c r="B53" s="1046">
        <f>'3Stakeholders'!X26</f>
        <v>6</v>
      </c>
      <c r="C53" s="939" t="str">
        <f>'3Stakeholders'!Y26</f>
        <v>unknown at this time</v>
      </c>
      <c r="D53" s="908"/>
      <c r="E53" s="926"/>
    </row>
    <row r="54" spans="1:5">
      <c r="A54" s="938" t="s">
        <v>342</v>
      </c>
      <c r="B54" s="1046">
        <f>'3Stakeholders'!X27</f>
        <v>6</v>
      </c>
      <c r="C54" s="939" t="str">
        <f>'3Stakeholders'!Y27</f>
        <v>unknown at this time</v>
      </c>
      <c r="D54" s="908"/>
      <c r="E54" s="926"/>
    </row>
    <row r="55" spans="1:5">
      <c r="A55" s="938" t="s">
        <v>343</v>
      </c>
      <c r="B55" s="1046">
        <f>'3Stakeholders'!X28</f>
        <v>6</v>
      </c>
      <c r="C55" s="939" t="str">
        <f>'3Stakeholders'!Y28</f>
        <v>unknown at this time</v>
      </c>
      <c r="D55" s="908"/>
      <c r="E55" s="926"/>
    </row>
    <row r="56" spans="1:5">
      <c r="A56" s="938" t="s">
        <v>213</v>
      </c>
      <c r="B56" s="1046">
        <f>'3Stakeholders'!X29</f>
        <v>0</v>
      </c>
      <c r="C56" s="939" t="str">
        <f>'3Stakeholders'!Y29</f>
        <v>does not apply</v>
      </c>
      <c r="D56" s="908"/>
      <c r="E56" s="926"/>
    </row>
    <row r="57" spans="1:5">
      <c r="A57" s="938" t="s">
        <v>213</v>
      </c>
      <c r="B57" s="1046">
        <f>'3Stakeholders'!X30</f>
        <v>0</v>
      </c>
      <c r="C57" s="939" t="str">
        <f>'3Stakeholders'!Y30</f>
        <v>does not apply</v>
      </c>
      <c r="D57" s="908"/>
      <c r="E57" s="926"/>
    </row>
    <row r="58" spans="1:5">
      <c r="A58" s="937" t="s">
        <v>211</v>
      </c>
      <c r="B58" s="1046"/>
      <c r="C58" s="942"/>
      <c r="D58" s="908"/>
      <c r="E58" s="926"/>
    </row>
    <row r="59" spans="1:5">
      <c r="A59" s="938" t="s">
        <v>480</v>
      </c>
      <c r="B59" s="1046"/>
      <c r="C59" s="942" t="str">
        <f>C.3CommiteeAppointment</f>
        <v>none</v>
      </c>
      <c r="D59" s="908"/>
      <c r="E59" s="926"/>
    </row>
    <row r="60" spans="1:5">
      <c r="A60" s="938" t="s">
        <v>482</v>
      </c>
      <c r="B60" s="1046"/>
      <c r="C60" s="942" t="str">
        <f>C.3CommitteeType</f>
        <v xml:space="preserve"> </v>
      </c>
      <c r="D60" s="907"/>
      <c r="E60" s="926"/>
    </row>
    <row r="61" spans="1:5">
      <c r="A61" s="938" t="s">
        <v>481</v>
      </c>
      <c r="B61" s="1046"/>
      <c r="C61" s="990">
        <f>C.3NoOfACMeetings</f>
        <v>0</v>
      </c>
      <c r="D61" s="907"/>
      <c r="E61" s="926"/>
    </row>
    <row r="62" spans="1:5" s="922" customFormat="1" hidden="1" outlineLevel="1">
      <c r="A62" s="938" t="s">
        <v>483</v>
      </c>
      <c r="B62" s="1046"/>
      <c r="C62" s="991" t="str">
        <f>C.3AppointmentStrategy</f>
        <v xml:space="preserve"> </v>
      </c>
      <c r="D62" s="907"/>
      <c r="E62" s="926"/>
    </row>
    <row r="63" spans="1:5" s="922" customFormat="1" hidden="1" outlineLevel="1">
      <c r="A63" s="938" t="s">
        <v>484</v>
      </c>
      <c r="B63" s="1046"/>
      <c r="C63" s="991" t="str">
        <f>C.3InputUse</f>
        <v xml:space="preserve"> </v>
      </c>
      <c r="D63" s="907"/>
      <c r="E63" s="926"/>
    </row>
    <row r="64" spans="1:5" s="922" customFormat="1" collapsed="1">
      <c r="A64" s="937" t="s">
        <v>486</v>
      </c>
      <c r="B64" s="1046"/>
      <c r="C64" s="995"/>
      <c r="D64" s="907"/>
      <c r="E64" s="926"/>
    </row>
    <row r="65" spans="1:5" s="922" customFormat="1">
      <c r="A65" s="938" t="s">
        <v>487</v>
      </c>
      <c r="B65" s="1046"/>
      <c r="C65" s="995" t="str">
        <f>C.3WhereInfoMtgsHeld</f>
        <v>Regions &amp; Portland area</v>
      </c>
      <c r="D65" s="907"/>
      <c r="E65" s="926"/>
    </row>
    <row r="66" spans="1:5" s="922" customFormat="1">
      <c r="A66" s="938" t="s">
        <v>481</v>
      </c>
      <c r="B66" s="1046"/>
      <c r="C66" s="995">
        <f>C.3NoHearings</f>
        <v>1</v>
      </c>
      <c r="D66" s="907"/>
      <c r="E66" s="926"/>
    </row>
    <row r="67" spans="1:5" hidden="1" outlineLevel="1">
      <c r="A67" s="938" t="s">
        <v>488</v>
      </c>
      <c r="B67" s="1046"/>
      <c r="C67" s="995" t="str">
        <f>C.3HearingInfo</f>
        <v xml:space="preserve">Plan is to have one hearing in Portland, but allow teleconferencing into the hearing at DEQ's Bend and Medford offices. </v>
      </c>
      <c r="D67" s="907"/>
      <c r="E67" s="926"/>
    </row>
    <row r="68" spans="1:5" ht="30" customHeight="1" collapsed="1">
      <c r="A68" s="943" t="s">
        <v>360</v>
      </c>
      <c r="B68" s="1046"/>
      <c r="C68" s="942"/>
      <c r="D68" s="909"/>
      <c r="E68" s="926"/>
    </row>
    <row r="69" spans="1:5" ht="15.75" customHeight="1" collapsed="1">
      <c r="A69" s="937" t="s">
        <v>239</v>
      </c>
      <c r="B69" s="1057">
        <f>C.4ComplexityRating</f>
        <v>5</v>
      </c>
      <c r="C69" s="939" t="str">
        <f>C.4RatingBlurb</f>
        <v>unknown</v>
      </c>
      <c r="D69" s="945"/>
      <c r="E69" s="926"/>
    </row>
    <row r="70" spans="1:5" s="922" customFormat="1" ht="15.75" customHeight="1">
      <c r="A70" s="937" t="s">
        <v>455</v>
      </c>
      <c r="B70" s="1047">
        <f>C.4SeverityRating</f>
        <v>3</v>
      </c>
      <c r="C70" s="1005" t="str">
        <f>C.4SeverityStmt</f>
        <v>low to medium</v>
      </c>
      <c r="D70" s="909"/>
      <c r="E70" s="926"/>
    </row>
    <row r="71" spans="1:5" s="922" customFormat="1" ht="15.75" customHeight="1">
      <c r="A71" s="1007" t="str">
        <f>'4Program'!D9</f>
        <v>Loss of delegation</v>
      </c>
      <c r="B71" s="1047">
        <f>'4Program'!Z9</f>
        <v>0</v>
      </c>
      <c r="C71" s="1005" t="str">
        <f>IF(B71=0,"does not apply","true")</f>
        <v>does not apply</v>
      </c>
      <c r="D71" s="909"/>
      <c r="E71" s="926"/>
    </row>
    <row r="72" spans="1:5" s="922" customFormat="1" ht="15.75" customHeight="1">
      <c r="A72" s="1007" t="str">
        <f>'4Program'!D10</f>
        <v>Failure to keep commitment</v>
      </c>
      <c r="B72" s="1047">
        <f>'4Program'!Z10</f>
        <v>7</v>
      </c>
      <c r="C72" s="1005" t="str">
        <f t="shared" ref="C72:C78" si="0">IF(B72=0,"does not apply","true")</f>
        <v>true</v>
      </c>
      <c r="D72" s="909"/>
      <c r="E72" s="926"/>
    </row>
    <row r="73" spans="1:5" s="922" customFormat="1" ht="15.75" customHeight="1">
      <c r="A73" s="1007" t="str">
        <f>'4Program'!D11</f>
        <v>Failure to respond to legislature</v>
      </c>
      <c r="B73" s="1047">
        <f>'4Program'!Z11</f>
        <v>0</v>
      </c>
      <c r="C73" s="1005" t="str">
        <f t="shared" si="0"/>
        <v>does not apply</v>
      </c>
      <c r="D73" s="909"/>
      <c r="E73" s="926"/>
    </row>
    <row r="74" spans="1:5" s="922" customFormat="1" ht="15.75" customHeight="1">
      <c r="A74" s="1007" t="str">
        <f>'4Program'!D12</f>
        <v>Increased difficulty doing business</v>
      </c>
      <c r="B74" s="1047">
        <f>'4Program'!Z12</f>
        <v>7</v>
      </c>
      <c r="C74" s="1005" t="str">
        <f t="shared" si="0"/>
        <v>true</v>
      </c>
      <c r="D74" s="909"/>
      <c r="E74" s="926"/>
    </row>
    <row r="75" spans="1:5" s="922" customFormat="1" ht="15.75" customHeight="1">
      <c r="A75" s="1007" t="str">
        <f>'4Program'!D13</f>
        <v>Unclear administrative rules</v>
      </c>
      <c r="B75" s="1047">
        <f>'4Program'!Z13</f>
        <v>0</v>
      </c>
      <c r="C75" s="1005" t="str">
        <f t="shared" si="0"/>
        <v>does not apply</v>
      </c>
      <c r="D75" s="909"/>
      <c r="E75" s="926"/>
    </row>
    <row r="76" spans="1:5" s="922" customFormat="1" ht="15.75" customHeight="1">
      <c r="A76" s="1007" t="str">
        <f>'4Program'!D14</f>
        <v>Loss of reputation</v>
      </c>
      <c r="B76" s="1047">
        <f>'4Program'!Z14</f>
        <v>0</v>
      </c>
      <c r="C76" s="1005" t="str">
        <f t="shared" si="0"/>
        <v>does not apply</v>
      </c>
      <c r="D76" s="909"/>
      <c r="E76" s="926"/>
    </row>
    <row r="77" spans="1:5" s="922" customFormat="1" ht="15.75" customHeight="1">
      <c r="A77" s="1007" t="str">
        <f>'4Program'!D15</f>
        <v>Enter custom consequences here</v>
      </c>
      <c r="B77" s="1047">
        <f>'4Program'!Z15</f>
        <v>0</v>
      </c>
      <c r="C77" s="1005" t="str">
        <f t="shared" si="0"/>
        <v>does not apply</v>
      </c>
      <c r="D77" s="909"/>
      <c r="E77" s="926"/>
    </row>
    <row r="78" spans="1:5" s="922" customFormat="1" ht="15.75" customHeight="1">
      <c r="A78" s="1007" t="str">
        <f>'4Program'!D16</f>
        <v>Enter custom consequences here</v>
      </c>
      <c r="B78" s="1047">
        <f>'4Program'!Z16</f>
        <v>0</v>
      </c>
      <c r="C78" s="1005" t="str">
        <f t="shared" si="0"/>
        <v>does not apply</v>
      </c>
      <c r="D78" s="909"/>
      <c r="E78" s="926"/>
    </row>
    <row r="79" spans="1:5" s="922" customFormat="1" ht="15.75" hidden="1" customHeight="1" outlineLevel="1">
      <c r="A79" s="937" t="s">
        <v>491</v>
      </c>
      <c r="B79" s="1047"/>
      <c r="C79" s="942"/>
      <c r="D79" s="909"/>
      <c r="E79" s="926"/>
    </row>
    <row r="80" spans="1:5" s="922" customFormat="1" ht="15.75" hidden="1" customHeight="1" outlineLevel="1">
      <c r="A80" s="1007" t="s">
        <v>492</v>
      </c>
      <c r="B80" s="1047"/>
      <c r="C80" s="942" t="str">
        <f>C.4SubjectProgramConsiderations</f>
        <v xml:space="preserve"> </v>
      </c>
      <c r="D80" s="909"/>
      <c r="E80" s="926"/>
    </row>
    <row r="81" spans="1:10" s="922" customFormat="1" ht="16.5" hidden="1" customHeight="1" outlineLevel="1">
      <c r="A81" s="1007" t="s">
        <v>493</v>
      </c>
      <c r="B81" s="1047"/>
      <c r="C81" s="942" t="str">
        <f>C.4OtherProgramConsiderations</f>
        <v xml:space="preserve"> </v>
      </c>
      <c r="D81" s="909"/>
      <c r="E81" s="926"/>
    </row>
    <row r="82" spans="1:10" s="922" customFormat="1" ht="15.75" customHeight="1" collapsed="1">
      <c r="A82" s="937" t="s">
        <v>192</v>
      </c>
      <c r="B82" s="1047">
        <f>C.4Dependencies</f>
        <v>0</v>
      </c>
      <c r="C82" s="942" t="str">
        <f>C.4DependencyStmt</f>
        <v>none</v>
      </c>
      <c r="D82" s="909"/>
      <c r="E82" s="926"/>
    </row>
    <row r="83" spans="1:10" s="922" customFormat="1" ht="15.75" hidden="1" customHeight="1" outlineLevel="1">
      <c r="A83" s="1013" t="s">
        <v>495</v>
      </c>
      <c r="B83" s="1046"/>
      <c r="C83" s="1014" t="str">
        <f>C.4DependencyDiscussion</f>
        <v xml:space="preserve"> </v>
      </c>
      <c r="D83" s="909"/>
      <c r="E83" s="926"/>
    </row>
    <row r="84" spans="1:10" collapsed="1">
      <c r="A84" s="944"/>
      <c r="B84" s="1058"/>
      <c r="C84" s="939"/>
      <c r="D84" s="945"/>
      <c r="E84" s="926"/>
    </row>
    <row r="85" spans="1:10" ht="30" customHeight="1">
      <c r="A85" s="946" t="s">
        <v>356</v>
      </c>
      <c r="B85" s="1059"/>
      <c r="C85" s="909"/>
      <c r="D85" s="910"/>
      <c r="E85" s="926"/>
    </row>
    <row r="86" spans="1:10" s="247" customFormat="1" ht="15.75" customHeight="1">
      <c r="A86" s="961" t="s">
        <v>239</v>
      </c>
      <c r="B86" s="1060">
        <f>C.5ComplexityRating</f>
        <v>5</v>
      </c>
      <c r="C86" s="947" t="str">
        <f>C.5RatingBlurb</f>
        <v>unknown</v>
      </c>
      <c r="D86" s="911"/>
      <c r="E86" s="926"/>
      <c r="F86" s="160"/>
      <c r="G86" s="160"/>
      <c r="H86" s="160"/>
      <c r="I86" s="160"/>
      <c r="J86" s="160"/>
    </row>
    <row r="87" spans="1:10" ht="15" customHeight="1">
      <c r="A87" s="941" t="s">
        <v>455</v>
      </c>
      <c r="B87" s="1061">
        <f>C.5SeverityRating</f>
        <v>5</v>
      </c>
      <c r="C87" s="939" t="str">
        <f>'5Environmental'!Y6</f>
        <v>medium</v>
      </c>
      <c r="D87" s="948"/>
      <c r="E87" s="926"/>
    </row>
    <row r="88" spans="1:10" s="922" customFormat="1" ht="15" customHeight="1">
      <c r="A88" s="1015" t="str">
        <f>'5Environmental'!D8</f>
        <v>Science does not apply to Oregon</v>
      </c>
      <c r="B88" s="1061">
        <f>'5Environmental'!Z8</f>
        <v>0</v>
      </c>
      <c r="C88" s="942" t="str">
        <f>IF('5Environmental'!X8=FALSE,"does not apply",LOWER('5Environmental'!X8))</f>
        <v>does not apply</v>
      </c>
      <c r="D88" s="948"/>
      <c r="E88" s="926"/>
    </row>
    <row r="89" spans="1:10" s="922" customFormat="1" ht="15" customHeight="1">
      <c r="A89" s="1015" t="str">
        <f>'5Environmental'!D9</f>
        <v>Delay in public health protection</v>
      </c>
      <c r="B89" s="1061">
        <f>'5Environmental'!Z9</f>
        <v>7</v>
      </c>
      <c r="C89" s="942" t="str">
        <f>IF('5Environmental'!X9=FALSE,"does not apply",LOWER('5Environmental'!X9))</f>
        <v>true</v>
      </c>
      <c r="D89" s="948"/>
      <c r="E89" s="926"/>
    </row>
    <row r="90" spans="1:10" s="922" customFormat="1" ht="15" customHeight="1">
      <c r="A90" s="1015" t="str">
        <f>'5Environmental'!D10</f>
        <v>Adverse effect on vulnerable populations</v>
      </c>
      <c r="B90" s="1061">
        <f>'5Environmental'!Z10</f>
        <v>0</v>
      </c>
      <c r="C90" s="942" t="str">
        <f>IF('5Environmental'!X10=FALSE,"does not apply",LOWER('5Environmental'!X10))</f>
        <v>does not apply</v>
      </c>
      <c r="D90" s="948"/>
      <c r="E90" s="926"/>
    </row>
    <row r="91" spans="1:10" s="922" customFormat="1" ht="15" customHeight="1">
      <c r="A91" s="1015" t="str">
        <f>'5Environmental'!D11</f>
        <v>Adverse effect on environmental justice communities</v>
      </c>
      <c r="B91" s="1061">
        <f>'5Environmental'!Z11</f>
        <v>0</v>
      </c>
      <c r="C91" s="942" t="str">
        <f>IF('5Environmental'!X11=FALSE,"does not apply",LOWER('5Environmental'!X11))</f>
        <v>does not apply</v>
      </c>
      <c r="D91" s="948"/>
      <c r="E91" s="926"/>
    </row>
    <row r="92" spans="1:10" s="922" customFormat="1" ht="15" customHeight="1">
      <c r="A92" s="1015" t="str">
        <f>'5Environmental'!D12</f>
        <v>Enter custom environmental consequence here</v>
      </c>
      <c r="B92" s="1061">
        <f>'5Environmental'!Z12</f>
        <v>0</v>
      </c>
      <c r="C92" s="942" t="str">
        <f>IF('5Environmental'!X12=FALSE,"does not apply",LOWER('5Environmental'!X12))</f>
        <v>does not apply</v>
      </c>
      <c r="D92" s="948"/>
      <c r="E92" s="926"/>
    </row>
    <row r="93" spans="1:10" s="922" customFormat="1" ht="15" customHeight="1">
      <c r="A93" s="1015" t="str">
        <f>'5Environmental'!D13</f>
        <v>Enter custom environmental consequence here</v>
      </c>
      <c r="B93" s="1061">
        <f>'5Environmental'!Z13</f>
        <v>0</v>
      </c>
      <c r="C93" s="942" t="str">
        <f>IF('5Environmental'!X13=FALSE,"does not apply",LOWER('5Environmental'!X13))</f>
        <v>does not apply</v>
      </c>
      <c r="D93" s="948"/>
      <c r="E93" s="926"/>
    </row>
    <row r="94" spans="1:10" ht="15.75" customHeight="1">
      <c r="A94" s="941" t="s">
        <v>365</v>
      </c>
      <c r="B94" s="1060">
        <f>C.5ReachRating</f>
        <v>5</v>
      </c>
      <c r="C94" s="949" t="str">
        <f>C.5Reach</f>
        <v>statewide</v>
      </c>
      <c r="D94" s="911"/>
      <c r="E94" s="926"/>
    </row>
    <row r="95" spans="1:10" ht="15.75" customHeight="1">
      <c r="A95" s="941" t="s">
        <v>458</v>
      </c>
      <c r="B95" s="1048" t="s">
        <v>0</v>
      </c>
      <c r="C95" s="942"/>
      <c r="D95" s="951"/>
      <c r="E95" s="926"/>
    </row>
    <row r="96" spans="1:10" ht="15.75" customHeight="1">
      <c r="A96" s="1013" t="s">
        <v>457</v>
      </c>
      <c r="B96" s="1049" t="s">
        <v>0</v>
      </c>
      <c r="C96" s="935" t="str">
        <f>'5Environmental'!Y4</f>
        <v>addresses problem directly.</v>
      </c>
      <c r="D96" s="926"/>
      <c r="E96" s="926"/>
    </row>
    <row r="97" spans="1:10" ht="15" customHeight="1">
      <c r="A97" s="954" t="s">
        <v>366</v>
      </c>
      <c r="B97" s="1061">
        <f>IF(C97="No",0,5)</f>
        <v>5</v>
      </c>
      <c r="C97" s="990" t="str">
        <f>C.5epaStrategicPlan</f>
        <v>Yes</v>
      </c>
      <c r="D97" s="934"/>
      <c r="E97" s="926"/>
    </row>
    <row r="98" spans="1:10" ht="15" customHeight="1">
      <c r="A98" s="954" t="s">
        <v>456</v>
      </c>
      <c r="B98" s="1061">
        <f>IF(C98="No",0,5)</f>
        <v>5</v>
      </c>
      <c r="C98" s="990" t="str">
        <f>C.5NaturalStep</f>
        <v>Yes</v>
      </c>
      <c r="D98" s="934"/>
      <c r="E98" s="926"/>
    </row>
    <row r="99" spans="1:10" hidden="1" outlineLevel="1">
      <c r="A99" s="941" t="s">
        <v>243</v>
      </c>
      <c r="B99" s="1050"/>
      <c r="C99" s="1019" t="str">
        <f>C.5Description</f>
        <v>EPA identified boilers, solid waste incinerators, and stationary internal combustion engines as emitters of one or more of the 33 hazardous air pollutants that pose the greatest risk to public health in urban areas. Many of the hazardous air pollutants are also of particular concern in Oregon. For instance, boilers, solid waste incinerators, and stationary internal combustion engines emit mercury, which can impair neurological development and cause neurological damage, and is a toxic of concern in Oregon.</v>
      </c>
      <c r="D99" s="911"/>
      <c r="E99" s="926"/>
    </row>
    <row r="100" spans="1:10" s="922" customFormat="1" collapsed="1">
      <c r="A100" s="941" t="s">
        <v>496</v>
      </c>
      <c r="B100" s="1050">
        <f>C.5DataUncertainties</f>
        <v>1</v>
      </c>
      <c r="C100" s="1019" t="str">
        <f>C.5DataUncertaintiesBlurb</f>
        <v>no data uncertainties</v>
      </c>
      <c r="D100" s="911"/>
      <c r="E100" s="926"/>
    </row>
    <row r="101" spans="1:10" s="825" customFormat="1" ht="30" customHeight="1">
      <c r="A101" s="928" t="s">
        <v>361</v>
      </c>
      <c r="B101" s="1050"/>
      <c r="C101" s="909"/>
      <c r="D101" s="912"/>
      <c r="E101" s="926"/>
      <c r="F101" s="160"/>
      <c r="G101" s="160"/>
      <c r="H101" s="160"/>
      <c r="I101" s="160"/>
      <c r="J101" s="160"/>
    </row>
    <row r="102" spans="1:10" ht="16.5" customHeight="1">
      <c r="A102" s="950" t="s">
        <v>239</v>
      </c>
      <c r="B102" s="1050">
        <f>C.6ComplexityRating</f>
        <v>3</v>
      </c>
      <c r="C102" s="939" t="str">
        <f>C.6RatingBlurb</f>
        <v>potential for minor complexity</v>
      </c>
      <c r="D102" s="911"/>
      <c r="E102" s="926"/>
    </row>
    <row r="103" spans="1:10" s="922" customFormat="1" ht="16.5" customHeight="1">
      <c r="A103" s="950" t="s">
        <v>497</v>
      </c>
      <c r="B103" s="1050">
        <f>C.6Challenge</f>
        <v>1</v>
      </c>
      <c r="C103" s="939" t="str">
        <f>C.6ChallengeBlurb</f>
        <v>low</v>
      </c>
      <c r="D103" s="911"/>
      <c r="E103" s="926"/>
    </row>
    <row r="104" spans="1:10" ht="15" customHeight="1">
      <c r="A104" s="950" t="s">
        <v>104</v>
      </c>
      <c r="B104" s="1050">
        <f>MAX('6Timing'!Z11:Z15,'6Timing'!AB12:AC13)</f>
        <v>7</v>
      </c>
      <c r="C104" s="949" t="str">
        <f>C.6SACStart.YrQtr&amp;" to "&amp;C.6SEffective.YrQtr</f>
        <v>2013-Q1 to 2013-Q4</v>
      </c>
      <c r="D104" s="911"/>
      <c r="E104" s="926"/>
    </row>
    <row r="105" spans="1:10" s="922" customFormat="1" ht="15" customHeight="1">
      <c r="A105" s="953" t="s">
        <v>54</v>
      </c>
      <c r="B105" s="1050">
        <f>'6Timing'!Z11</f>
        <v>7</v>
      </c>
      <c r="C105" s="995" t="str">
        <f>C.6SACStart.YrQtr</f>
        <v>2013-Q1</v>
      </c>
      <c r="D105" s="911"/>
      <c r="E105" s="926"/>
    </row>
    <row r="106" spans="1:10" ht="15" customHeight="1">
      <c r="A106" s="952" t="s">
        <v>211</v>
      </c>
      <c r="B106" s="1050">
        <f>IF(C106="not involved",0,MAX('6Timing'!Z12,'6Timing'!AB12,'6Timing'!AC12))</f>
        <v>0</v>
      </c>
      <c r="C106" s="930" t="str">
        <f>'6Timing'!AD12</f>
        <v>not involved</v>
      </c>
      <c r="D106" s="911"/>
      <c r="E106" s="926"/>
    </row>
    <row r="107" spans="1:10" ht="15" customHeight="1">
      <c r="A107" s="953" t="s">
        <v>461</v>
      </c>
      <c r="B107" s="1050">
        <f>IF(C107="not involved",0,MAX('6Timing'!Z13,'6Timing'!AB13,'6Timing'!AC13))</f>
        <v>0</v>
      </c>
      <c r="C107" s="930" t="str">
        <f>'6Timing'!AD13</f>
        <v>2013-Q3 to 2013-Q3</v>
      </c>
      <c r="D107" s="911"/>
      <c r="E107" s="926"/>
    </row>
    <row r="108" spans="1:10" ht="15" customHeight="1">
      <c r="A108" s="953" t="s">
        <v>462</v>
      </c>
      <c r="B108" s="1050">
        <f>'6Timing'!Z14</f>
        <v>0</v>
      </c>
      <c r="C108" s="930" t="str">
        <f>C.6SEQC.YrQtr</f>
        <v>2013-Q4</v>
      </c>
      <c r="D108" s="911"/>
      <c r="E108" s="926"/>
    </row>
    <row r="109" spans="1:10">
      <c r="A109" s="953" t="s">
        <v>55</v>
      </c>
      <c r="B109" s="1050">
        <f>'6Timing'!Z15</f>
        <v>0</v>
      </c>
      <c r="C109" s="1025" t="str">
        <f>C.6SEffective.YrQtr</f>
        <v>2013-Q4</v>
      </c>
    </row>
    <row r="110" spans="1:10" ht="15.75" hidden="1" customHeight="1" outlineLevel="1">
      <c r="A110" s="950" t="s">
        <v>498</v>
      </c>
      <c r="B110" s="1054"/>
      <c r="C110" s="1023" t="str">
        <f>C.6Rational</f>
        <v>Compliance dates of new federal standards.</v>
      </c>
      <c r="D110" s="955"/>
      <c r="E110" s="926"/>
    </row>
    <row r="111" spans="1:10" s="825" customFormat="1" ht="30" customHeight="1" collapsed="1">
      <c r="A111" s="956" t="s">
        <v>357</v>
      </c>
      <c r="B111" s="1059"/>
      <c r="C111" s="909"/>
      <c r="D111" s="913"/>
      <c r="E111" s="926"/>
      <c r="F111" s="160"/>
      <c r="G111" s="160"/>
      <c r="H111" s="160"/>
      <c r="I111" s="160"/>
      <c r="J111" s="160"/>
    </row>
    <row r="112" spans="1:10" ht="16.5" customHeight="1">
      <c r="A112" s="941" t="s">
        <v>239</v>
      </c>
      <c r="B112" s="1050">
        <f>C.7ComplexityRating</f>
        <v>3</v>
      </c>
      <c r="C112" s="939" t="str">
        <f>C.7RatingBlurb</f>
        <v>potential for minor complexity</v>
      </c>
      <c r="D112" s="911"/>
      <c r="E112" s="926"/>
    </row>
    <row r="113" spans="1:5" ht="15" customHeight="1">
      <c r="A113" s="941" t="s">
        <v>455</v>
      </c>
      <c r="B113" s="1055">
        <f>C.5SeverityRating</f>
        <v>5</v>
      </c>
      <c r="C113" s="939" t="str">
        <f>'7Financial'!Y7</f>
        <v>low</v>
      </c>
      <c r="D113" s="948"/>
      <c r="E113" s="926"/>
    </row>
    <row r="114" spans="1:5" s="922" customFormat="1" ht="15" customHeight="1">
      <c r="A114" s="1015" t="str">
        <f>'7Financial'!D10</f>
        <v>Loss of program funding</v>
      </c>
      <c r="B114" s="1055">
        <f>'7Financial'!AA10</f>
        <v>0</v>
      </c>
      <c r="C114" s="939" t="str">
        <f>IF('7Financial'!X10=FALSE,"does not apply",LOWER('7Financial'!X10))</f>
        <v>does not apply</v>
      </c>
      <c r="D114" s="948"/>
      <c r="E114" s="926"/>
    </row>
    <row r="115" spans="1:5" s="922" customFormat="1" ht="15" customHeight="1">
      <c r="A115" s="1015" t="str">
        <f>'7Financial'!D11</f>
        <v>Failure to address costs</v>
      </c>
      <c r="B115" s="1055">
        <f>'7Financial'!AA11</f>
        <v>0</v>
      </c>
      <c r="C115" s="939" t="str">
        <f>IF('7Financial'!X11=FALSE,"does not apply",LOWER('7Financial'!X11))</f>
        <v>does not apply</v>
      </c>
      <c r="D115" s="948"/>
      <c r="E115" s="926"/>
    </row>
    <row r="116" spans="1:5" s="922" customFormat="1" ht="15" customHeight="1">
      <c r="A116" s="1015" t="str">
        <f>'7Financial'!D12</f>
        <v>Loss of federal funding</v>
      </c>
      <c r="B116" s="1055">
        <f>'7Financial'!AA12</f>
        <v>0</v>
      </c>
      <c r="C116" s="939" t="str">
        <f>IF('7Financial'!X12=FALSE,"does not apply",LOWER('7Financial'!X12))</f>
        <v>does not apply</v>
      </c>
      <c r="D116" s="948"/>
      <c r="E116" s="926"/>
    </row>
    <row r="117" spans="1:5" s="922" customFormat="1" ht="15" customHeight="1">
      <c r="A117" s="1015" t="str">
        <f>'7Financial'!D13</f>
        <v>Insufficient funding</v>
      </c>
      <c r="B117" s="1055">
        <f>'7Financial'!AA13</f>
        <v>0</v>
      </c>
      <c r="C117" s="939" t="str">
        <f>IF('7Financial'!X13=FALSE,"does not apply",LOWER('7Financial'!X13))</f>
        <v>does not apply</v>
      </c>
      <c r="D117" s="948"/>
      <c r="E117" s="926"/>
    </row>
    <row r="118" spans="1:5" s="922" customFormat="1" ht="15" customHeight="1">
      <c r="A118" s="1015" t="str">
        <f>'7Financial'!D14</f>
        <v>Failure to address undue burden</v>
      </c>
      <c r="B118" s="1055">
        <f>'7Financial'!AA14</f>
        <v>0</v>
      </c>
      <c r="C118" s="939" t="str">
        <f>IF('7Financial'!X14=FALSE,"does not apply",LOWER('7Financial'!X14))</f>
        <v>does not apply</v>
      </c>
      <c r="D118" s="948"/>
      <c r="E118" s="926"/>
    </row>
    <row r="119" spans="1:5" s="922" customFormat="1" ht="15" customHeight="1">
      <c r="A119" s="1015" t="str">
        <f>'7Financial'!D15</f>
        <v>Enter custom financial consequence here</v>
      </c>
      <c r="B119" s="1055">
        <f>'7Financial'!AA15</f>
        <v>0</v>
      </c>
      <c r="C119" s="939" t="str">
        <f>IF('7Financial'!X15=FALSE,"does not apply",LOWER('7Financial'!X15))</f>
        <v>does not apply</v>
      </c>
      <c r="D119" s="948"/>
      <c r="E119" s="926"/>
    </row>
    <row r="120" spans="1:5" s="922" customFormat="1" ht="15" customHeight="1">
      <c r="A120" s="1015" t="str">
        <f>'7Financial'!D16</f>
        <v>Enter custom financial consequence here</v>
      </c>
      <c r="B120" s="1055">
        <f>'7Financial'!AA16</f>
        <v>0</v>
      </c>
      <c r="C120" s="939" t="str">
        <f>IF('7Financial'!X16=FALSE,"does not apply",LOWER('7Financial'!X16))</f>
        <v>does not apply</v>
      </c>
      <c r="D120" s="948"/>
      <c r="E120" s="926"/>
    </row>
    <row r="121" spans="1:5" ht="15.75" customHeight="1">
      <c r="A121" s="941" t="s">
        <v>463</v>
      </c>
      <c r="B121" s="1050"/>
      <c r="C121" s="939"/>
      <c r="D121" s="911"/>
      <c r="E121" s="926"/>
    </row>
    <row r="122" spans="1:5" ht="15.75" customHeight="1">
      <c r="A122" s="954" t="s">
        <v>346</v>
      </c>
      <c r="B122" s="1050" t="s">
        <v>0</v>
      </c>
      <c r="C122" s="949" t="str">
        <f>'7Financial'!E5</f>
        <v>Fee-funded</v>
      </c>
      <c r="D122" s="911"/>
      <c r="E122" s="926"/>
    </row>
    <row r="123" spans="1:5" ht="15.75" customHeight="1">
      <c r="A123" s="954" t="s">
        <v>329</v>
      </c>
      <c r="B123" s="1050"/>
      <c r="C123" s="949" t="str">
        <f>'7Financial'!E6</f>
        <v>Fee-funded</v>
      </c>
      <c r="D123" s="911"/>
      <c r="E123" s="926"/>
    </row>
    <row r="124" spans="1:5" ht="15.75" customHeight="1">
      <c r="A124" s="941" t="s">
        <v>113</v>
      </c>
      <c r="B124" s="1060">
        <f>C.7FiscalImpactRating</f>
        <v>4.25</v>
      </c>
      <c r="C124" s="942" t="s">
        <v>519</v>
      </c>
      <c r="D124" s="911"/>
      <c r="E124" s="926"/>
    </row>
    <row r="125" spans="1:5" ht="15.75" customHeight="1">
      <c r="A125" s="954" t="s">
        <v>335</v>
      </c>
      <c r="B125" s="1060">
        <f>'7Financial'!X25</f>
        <v>3</v>
      </c>
      <c r="C125" s="1065" t="str">
        <f>'7Financial'!Y25</f>
        <v>moderate cost decrease</v>
      </c>
      <c r="D125" s="957"/>
      <c r="E125" s="926"/>
    </row>
    <row r="126" spans="1:5" ht="15.75" customHeight="1">
      <c r="A126" s="954" t="s">
        <v>347</v>
      </c>
      <c r="B126" s="1060">
        <f>'7Financial'!X26</f>
        <v>3</v>
      </c>
      <c r="C126" s="1065" t="str">
        <f>'7Financial'!Y26</f>
        <v>moderate cost decrease</v>
      </c>
      <c r="D126" s="957"/>
      <c r="E126" s="926"/>
    </row>
    <row r="127" spans="1:5" ht="15.75" customHeight="1">
      <c r="A127" s="954" t="s">
        <v>336</v>
      </c>
      <c r="B127" s="1060">
        <f>'7Financial'!X27</f>
        <v>3</v>
      </c>
      <c r="C127" s="1065" t="str">
        <f>'7Financial'!Y27</f>
        <v>moderate cost decrease</v>
      </c>
      <c r="D127" s="957"/>
      <c r="E127" s="926"/>
    </row>
    <row r="128" spans="1:5" ht="15.75" customHeight="1">
      <c r="A128" s="954" t="s">
        <v>342</v>
      </c>
      <c r="B128" s="1060">
        <f>'7Financial'!X28</f>
        <v>3</v>
      </c>
      <c r="C128" s="1065" t="str">
        <f>'7Financial'!Y28</f>
        <v>moderate cost decrease</v>
      </c>
      <c r="D128" s="957"/>
      <c r="E128" s="926"/>
    </row>
    <row r="129" spans="1:10" ht="15.75" customHeight="1">
      <c r="A129" s="954" t="s">
        <v>348</v>
      </c>
      <c r="B129" s="1060">
        <f>'7Financial'!X29</f>
        <v>3</v>
      </c>
      <c r="C129" s="1065" t="str">
        <f>'7Financial'!Y29</f>
        <v>moderate cost decrease</v>
      </c>
      <c r="D129" s="957"/>
      <c r="E129" s="926"/>
    </row>
    <row r="130" spans="1:10" ht="15.75" customHeight="1">
      <c r="A130" s="954" t="s">
        <v>349</v>
      </c>
      <c r="B130" s="1060">
        <f>'7Financial'!X30</f>
        <v>3</v>
      </c>
      <c r="C130" s="1065" t="str">
        <f>'7Financial'!Y30</f>
        <v>moderate cost decrease</v>
      </c>
      <c r="D130" s="957"/>
      <c r="E130" s="926"/>
    </row>
    <row r="131" spans="1:10" ht="15.75" customHeight="1">
      <c r="A131" s="954" t="s">
        <v>1</v>
      </c>
      <c r="B131" s="1060">
        <f>'7Financial'!X31</f>
        <v>8</v>
      </c>
      <c r="C131" s="1065" t="str">
        <f>'7Financial'!Y31</f>
        <v xml:space="preserve">moderate cost increase </v>
      </c>
      <c r="D131" s="957"/>
      <c r="E131" s="926"/>
    </row>
    <row r="132" spans="1:10" ht="15.75" customHeight="1">
      <c r="A132" s="954" t="s">
        <v>449</v>
      </c>
      <c r="B132" s="1060">
        <f>'7Financial'!X32</f>
        <v>8</v>
      </c>
      <c r="C132" s="1065" t="str">
        <f>'7Financial'!Y32</f>
        <v xml:space="preserve">moderate cost increase </v>
      </c>
      <c r="D132" s="957"/>
      <c r="E132" s="926"/>
    </row>
    <row r="133" spans="1:10" ht="15.75" customHeight="1">
      <c r="A133" s="954" t="s">
        <v>459</v>
      </c>
      <c r="B133" s="1060">
        <f>'7Financial'!X33</f>
        <v>0</v>
      </c>
      <c r="C133" s="1065" t="str">
        <f>'7Financial'!Y33</f>
        <v>no fiscal impacts</v>
      </c>
      <c r="D133" s="957"/>
      <c r="E133" s="926"/>
    </row>
    <row r="134" spans="1:10" ht="15.75" customHeight="1">
      <c r="A134" s="954" t="s">
        <v>460</v>
      </c>
      <c r="B134" s="1060">
        <f>'7Financial'!X34</f>
        <v>0</v>
      </c>
      <c r="C134" s="1065" t="str">
        <f>'7Financial'!Y34</f>
        <v>no fiscal impacts</v>
      </c>
      <c r="D134" s="957"/>
      <c r="E134" s="926"/>
    </row>
    <row r="135" spans="1:10" s="922" customFormat="1" ht="15.75" hidden="1" customHeight="1" outlineLevel="1">
      <c r="A135" s="941" t="s">
        <v>445</v>
      </c>
      <c r="B135" s="1060"/>
      <c r="C135" s="966">
        <f>'7Financial'!D39</f>
        <v>0</v>
      </c>
      <c r="D135" s="957"/>
      <c r="E135" s="926"/>
    </row>
    <row r="136" spans="1:10" ht="15.75" customHeight="1" collapsed="1">
      <c r="A136" s="937" t="s">
        <v>2</v>
      </c>
      <c r="B136" s="1060">
        <f>IF(C136="not involved",0,7)</f>
        <v>0</v>
      </c>
      <c r="C136" s="939" t="str">
        <f>C.7Fee</f>
        <v>not involved</v>
      </c>
      <c r="D136" s="958"/>
      <c r="E136" s="926"/>
    </row>
    <row r="137" spans="1:10" s="922" customFormat="1" ht="15.75" customHeight="1">
      <c r="A137" s="1007" t="s">
        <v>518</v>
      </c>
      <c r="B137" s="1060"/>
      <c r="C137" s="1063" t="str">
        <f>'7Financial'!G23</f>
        <v xml:space="preserve">ORS </v>
      </c>
      <c r="D137" s="958"/>
      <c r="E137" s="926"/>
    </row>
    <row r="138" spans="1:10" s="922" customFormat="1" ht="15.75" customHeight="1">
      <c r="A138" s="1007" t="s">
        <v>516</v>
      </c>
      <c r="B138" s="1060">
        <f>'7Financial'!AA19</f>
        <v>0</v>
      </c>
      <c r="C138" s="939" t="str">
        <f>'7Financial'!AB18</f>
        <v>does not apply</v>
      </c>
      <c r="D138" s="958"/>
      <c r="E138" s="926"/>
    </row>
    <row r="139" spans="1:10" s="922" customFormat="1" ht="15.75" customHeight="1">
      <c r="A139" s="1064" t="s">
        <v>511</v>
      </c>
      <c r="B139" s="1060">
        <f>IF(C139=TRUE,7,0)</f>
        <v>0</v>
      </c>
      <c r="C139" s="939" t="str">
        <f>IF('7Financial'!X19=FALSE,"does not apply",LOWER('7Financial'!X19))</f>
        <v>does not apply</v>
      </c>
      <c r="D139" s="958"/>
      <c r="E139" s="926"/>
    </row>
    <row r="140" spans="1:10" s="922" customFormat="1" ht="15.75" customHeight="1">
      <c r="A140" s="1064" t="s">
        <v>512</v>
      </c>
      <c r="B140" s="1060">
        <f t="shared" ref="B140:B141" si="1">IF(C140=TRUE,7,0)</f>
        <v>0</v>
      </c>
      <c r="C140" s="939" t="str">
        <f>IF('7Financial'!X20=FALSE,"does not apply",LOWER('7Financial'!X20))</f>
        <v>does not apply</v>
      </c>
      <c r="D140" s="958"/>
      <c r="E140" s="926"/>
    </row>
    <row r="141" spans="1:10" s="922" customFormat="1" ht="15.75" customHeight="1">
      <c r="A141" s="1064" t="s">
        <v>513</v>
      </c>
      <c r="B141" s="1060">
        <f t="shared" si="1"/>
        <v>0</v>
      </c>
      <c r="C141" s="939" t="str">
        <f>IF('7Financial'!X21=FALSE,"does not apply",LOWER('7Financial'!X21))</f>
        <v>does not apply</v>
      </c>
      <c r="D141" s="958"/>
      <c r="E141" s="926"/>
    </row>
    <row r="142" spans="1:10" ht="15" customHeight="1">
      <c r="A142" s="1015" t="s">
        <v>351</v>
      </c>
      <c r="B142" s="1060">
        <f>IF(C142="not involved",0,10)</f>
        <v>10</v>
      </c>
      <c r="C142" s="960" t="str">
        <f>C.7InvoicingSystem</f>
        <v>involved</v>
      </c>
      <c r="D142" s="959"/>
      <c r="E142" s="926"/>
    </row>
    <row r="143" spans="1:10" s="922" customFormat="1" ht="15" hidden="1" customHeight="1" outlineLevel="1">
      <c r="A143" s="941" t="s">
        <v>520</v>
      </c>
      <c r="B143" s="1060"/>
      <c r="C143" s="1066" t="str">
        <f>'7Financial'!D47</f>
        <v xml:space="preserve"> </v>
      </c>
      <c r="D143" s="959"/>
      <c r="E143" s="926"/>
    </row>
    <row r="144" spans="1:10" s="825" customFormat="1" ht="30" customHeight="1" collapsed="1">
      <c r="A144" s="1067" t="s">
        <v>521</v>
      </c>
      <c r="B144" s="1060"/>
      <c r="C144" s="909"/>
      <c r="D144" s="912"/>
      <c r="E144" s="926"/>
      <c r="F144" s="160"/>
      <c r="G144" s="160"/>
      <c r="H144" s="160"/>
      <c r="I144" s="160"/>
      <c r="J144" s="160"/>
    </row>
    <row r="145" spans="1:5" ht="16.5" customHeight="1">
      <c r="A145" s="941" t="s">
        <v>239</v>
      </c>
      <c r="B145" s="1060">
        <f>C.8ComplexityRating</f>
        <v>5</v>
      </c>
      <c r="C145" s="939" t="str">
        <f>C.8ComplexityBlurb</f>
        <v>unknown</v>
      </c>
      <c r="D145" s="911"/>
      <c r="E145" s="926"/>
    </row>
    <row r="146" spans="1:5" ht="15" customHeight="1">
      <c r="A146" s="941" t="s">
        <v>455</v>
      </c>
      <c r="B146" s="1060">
        <f>C.8SeverityRating</f>
        <v>5</v>
      </c>
      <c r="C146" s="949" t="str">
        <f>'8Legal'!Y14</f>
        <v>medium</v>
      </c>
      <c r="D146" s="911"/>
      <c r="E146" s="926"/>
    </row>
    <row r="147" spans="1:5" s="922" customFormat="1" ht="15" customHeight="1">
      <c r="A147" s="1015" t="str">
        <f>'8Legal'!D17</f>
        <v>Rules will not align with the law</v>
      </c>
      <c r="B147" s="1060">
        <f>IF(C147=TRUE,7,0)</f>
        <v>0</v>
      </c>
      <c r="C147" s="949" t="str">
        <f>IF('8Legal'!X17=FALSE,"does not apply",LOWER('8Legal'!X17))</f>
        <v>true</v>
      </c>
      <c r="D147" s="911"/>
      <c r="E147" s="926"/>
    </row>
    <row r="148" spans="1:5" s="922" customFormat="1" ht="15" customHeight="1">
      <c r="A148" s="1015" t="str">
        <f>'8Legal'!D18</f>
        <v>Risks noncompliance</v>
      </c>
      <c r="B148" s="1060">
        <f t="shared" ref="B148:B152" si="2">IF(C148=TRUE,7,0)</f>
        <v>0</v>
      </c>
      <c r="C148" s="949" t="str">
        <f>IF('8Legal'!X18=FALSE,"does not apply",LOWER('8Legal'!X18))</f>
        <v>true</v>
      </c>
      <c r="D148" s="911"/>
      <c r="E148" s="926"/>
    </row>
    <row r="149" spans="1:5" s="922" customFormat="1" ht="15" customHeight="1">
      <c r="A149" s="1015" t="str">
        <f>'8Legal'!D19</f>
        <v>Failure to comply with Clean Water Act</v>
      </c>
      <c r="B149" s="1060">
        <f t="shared" si="2"/>
        <v>0</v>
      </c>
      <c r="C149" s="949" t="str">
        <f>IF('8Legal'!X19=FALSE,"does not apply",LOWER('8Legal'!X19))</f>
        <v>does not apply</v>
      </c>
      <c r="D149" s="911"/>
      <c r="E149" s="926"/>
    </row>
    <row r="150" spans="1:5" s="922" customFormat="1" ht="15" customHeight="1">
      <c r="A150" s="1015" t="str">
        <f>'8Legal'!D20</f>
        <v>Failure to comply with Clean Air Act</v>
      </c>
      <c r="B150" s="1060">
        <f t="shared" si="2"/>
        <v>0</v>
      </c>
      <c r="C150" s="949" t="str">
        <f>IF('8Legal'!X21=FALSE,"does not apply",LOWER('8Legal'!X21))</f>
        <v>does not apply</v>
      </c>
      <c r="D150" s="911"/>
      <c r="E150" s="926"/>
    </row>
    <row r="151" spans="1:5" s="922" customFormat="1" ht="15" customHeight="1">
      <c r="A151" s="1015" t="str">
        <f>'8Legal'!D22</f>
        <v>Enter custom legal consequence here</v>
      </c>
      <c r="B151" s="1060">
        <f t="shared" si="2"/>
        <v>0</v>
      </c>
      <c r="C151" s="949" t="str">
        <f>IF('8Legal'!X22=FALSE,"does not apply",LOWER('8Legal'!X22))</f>
        <v>does not apply</v>
      </c>
      <c r="D151" s="911"/>
      <c r="E151" s="926"/>
    </row>
    <row r="152" spans="1:5" s="922" customFormat="1" ht="15" customHeight="1">
      <c r="A152" s="1015" t="str">
        <f>'8Legal'!D23</f>
        <v>Enter custom legal consequence here</v>
      </c>
      <c r="B152" s="1060">
        <f t="shared" si="2"/>
        <v>0</v>
      </c>
      <c r="C152" s="949" t="str">
        <f>IF('8Legal'!X23=FALSE,"does not apply",LOWER('8Legal'!X23))</f>
        <v>does not apply</v>
      </c>
      <c r="D152" s="911"/>
      <c r="E152" s="926"/>
    </row>
    <row r="153" spans="1:5" s="922" customFormat="1" ht="15" hidden="1" customHeight="1" outlineLevel="1">
      <c r="A153" s="941" t="s">
        <v>243</v>
      </c>
      <c r="B153" s="1050"/>
      <c r="C153" s="949" t="str">
        <f>C.8Description</f>
        <v xml:space="preserve"> </v>
      </c>
      <c r="D153" s="911"/>
      <c r="E153" s="926"/>
    </row>
    <row r="154" spans="1:5" s="922" customFormat="1" ht="15" hidden="1" customHeight="1" outlineLevel="1">
      <c r="A154" s="941" t="s">
        <v>522</v>
      </c>
      <c r="B154" s="1050"/>
      <c r="C154" s="949"/>
      <c r="D154" s="911"/>
      <c r="E154" s="926"/>
    </row>
    <row r="155" spans="1:5" s="922" customFormat="1" ht="15" hidden="1" customHeight="1" outlineLevel="1">
      <c r="A155" s="1015" t="s">
        <v>523</v>
      </c>
      <c r="B155" s="1050"/>
      <c r="C155" s="966" t="str">
        <f>'8Legal'!D5</f>
        <v xml:space="preserve"> ORS 468.020, 468A.025, 468A.035, 468A.040, 468A.050 and 468A.310</v>
      </c>
      <c r="D155" s="911"/>
      <c r="E155" s="926"/>
    </row>
    <row r="156" spans="1:5" s="922" customFormat="1" ht="15" hidden="1" customHeight="1" outlineLevel="1">
      <c r="A156" s="1015" t="s">
        <v>524</v>
      </c>
      <c r="B156" s="1050"/>
      <c r="C156" s="966" t="str">
        <f>'8Legal'!D6</f>
        <v xml:space="preserve"> </v>
      </c>
      <c r="D156" s="911"/>
      <c r="E156" s="926"/>
    </row>
    <row r="157" spans="1:5" s="922" customFormat="1" ht="15" hidden="1" customHeight="1" outlineLevel="1">
      <c r="A157" s="1015" t="s">
        <v>527</v>
      </c>
      <c r="B157" s="1050"/>
      <c r="C157" s="966" t="str">
        <f>'8Legal'!D8</f>
        <v xml:space="preserve"> ORS 468.020, 468A.025, 468A.035, 468A.040, 468A.050 and 468A.310</v>
      </c>
      <c r="D157" s="911"/>
      <c r="E157" s="926"/>
    </row>
    <row r="158" spans="1:5" s="922" customFormat="1" ht="15" hidden="1" customHeight="1" outlineLevel="1">
      <c r="A158" s="1015" t="s">
        <v>528</v>
      </c>
      <c r="B158" s="1050"/>
      <c r="C158" s="966" t="str">
        <f>'8Legal'!D9</f>
        <v xml:space="preserve"> </v>
      </c>
      <c r="D158" s="911"/>
      <c r="E158" s="926"/>
    </row>
    <row r="159" spans="1:5" s="922" customFormat="1" ht="15" hidden="1" customHeight="1" outlineLevel="1">
      <c r="A159" s="1015" t="s">
        <v>525</v>
      </c>
      <c r="B159" s="1050"/>
      <c r="C159" s="966" t="str">
        <f>'8Legal'!D11</f>
        <v xml:space="preserve"> </v>
      </c>
      <c r="D159" s="911"/>
      <c r="E159" s="926"/>
    </row>
    <row r="160" spans="1:5" s="922" customFormat="1" ht="15" hidden="1" customHeight="1" outlineLevel="1">
      <c r="A160" s="1015" t="s">
        <v>526</v>
      </c>
      <c r="B160" s="1050"/>
      <c r="C160" s="966" t="str">
        <f>'8Legal'!D12</f>
        <v xml:space="preserve"> </v>
      </c>
      <c r="D160" s="911"/>
      <c r="E160" s="926"/>
    </row>
    <row r="161" spans="1:10" s="825" customFormat="1" ht="30" customHeight="1" collapsed="1">
      <c r="A161" s="928" t="s">
        <v>362</v>
      </c>
      <c r="B161" s="1050"/>
      <c r="C161" s="909"/>
      <c r="D161" s="912"/>
      <c r="E161" s="926"/>
      <c r="F161" s="922"/>
      <c r="G161" s="922"/>
      <c r="H161" s="922"/>
      <c r="I161" s="922"/>
      <c r="J161" s="922"/>
    </row>
    <row r="162" spans="1:10" s="922" customFormat="1" ht="16.5" customHeight="1">
      <c r="A162" s="941" t="s">
        <v>239</v>
      </c>
      <c r="B162" s="1050">
        <f>C.9ComplexityRating</f>
        <v>6</v>
      </c>
      <c r="C162" s="939" t="str">
        <f>C.9RatingBlurb</f>
        <v>potential for moderate complexity</v>
      </c>
      <c r="D162" s="911"/>
      <c r="E162" s="926"/>
    </row>
    <row r="163" spans="1:10" s="922" customFormat="1" ht="16.5" customHeight="1">
      <c r="A163" s="941" t="s">
        <v>541</v>
      </c>
      <c r="B163" s="1050">
        <f>C.9Innovation</f>
        <v>1</v>
      </c>
      <c r="C163" s="939" t="str">
        <f>C.9InnovationBlurb</f>
        <v>low</v>
      </c>
      <c r="D163" s="911"/>
      <c r="E163" s="926"/>
    </row>
    <row r="164" spans="1:10" s="922" customFormat="1" ht="16.5" customHeight="1">
      <c r="A164" s="941" t="s">
        <v>540</v>
      </c>
      <c r="B164" s="1050">
        <f>C.9Infrastructure</f>
        <v>1</v>
      </c>
      <c r="C164" s="1063" t="str">
        <f>C.9InfrastructureBlurb</f>
        <v>low</v>
      </c>
      <c r="D164" s="911"/>
      <c r="E164" s="926"/>
    </row>
    <row r="165" spans="1:10" s="922" customFormat="1" ht="16.5" hidden="1" customHeight="1" outlineLevel="1">
      <c r="A165" s="941" t="s">
        <v>520</v>
      </c>
      <c r="B165" s="1050"/>
      <c r="C165" s="1071" t="str">
        <f>C.9Description</f>
        <v>Existing databases will support implementation of this rulemaking.</v>
      </c>
      <c r="D165" s="911"/>
      <c r="E165" s="926"/>
    </row>
    <row r="166" spans="1:10" s="825" customFormat="1" ht="30" customHeight="1" collapsed="1">
      <c r="A166" s="936" t="s">
        <v>363</v>
      </c>
      <c r="B166" s="1062"/>
      <c r="C166" s="909"/>
      <c r="D166" s="914"/>
      <c r="E166" s="926"/>
      <c r="F166" s="160"/>
      <c r="G166" s="160"/>
      <c r="H166" s="160"/>
      <c r="I166" s="160"/>
      <c r="J166" s="160"/>
    </row>
    <row r="167" spans="1:10" s="247" customFormat="1" ht="16.5" customHeight="1">
      <c r="A167" s="961" t="s">
        <v>239</v>
      </c>
      <c r="B167" s="1050">
        <f>C.10ComplexityRating</f>
        <v>3</v>
      </c>
      <c r="C167" s="947" t="str">
        <f>C.10RatingBlurb</f>
        <v>potential for minor complexity</v>
      </c>
      <c r="D167" s="911"/>
      <c r="E167" s="926"/>
      <c r="F167" s="160"/>
      <c r="G167" s="160"/>
      <c r="H167" s="160"/>
      <c r="I167" s="160"/>
      <c r="J167" s="160"/>
    </row>
    <row r="168" spans="1:10" s="247" customFormat="1" ht="16.5" customHeight="1">
      <c r="A168" s="961" t="s">
        <v>542</v>
      </c>
      <c r="B168" s="1050">
        <f>C.10PolicyRisk</f>
        <v>1</v>
      </c>
      <c r="C168" s="947" t="str">
        <f>C.10PolicyRiskBlurb</f>
        <v>low</v>
      </c>
      <c r="D168" s="911"/>
      <c r="E168" s="926"/>
      <c r="F168" s="922"/>
      <c r="G168" s="922"/>
      <c r="H168" s="922"/>
      <c r="I168" s="922"/>
      <c r="J168" s="922"/>
    </row>
    <row r="169" spans="1:10" s="247" customFormat="1" ht="16.5" hidden="1" customHeight="1" outlineLevel="1">
      <c r="A169" s="961" t="s">
        <v>243</v>
      </c>
      <c r="B169" s="1050"/>
      <c r="C169" s="947">
        <f>C.10Description</f>
        <v>0</v>
      </c>
      <c r="D169" s="911"/>
      <c r="E169" s="926"/>
      <c r="F169" s="922"/>
      <c r="G169" s="922"/>
      <c r="H169" s="922"/>
      <c r="I169" s="922"/>
      <c r="J169" s="922"/>
    </row>
    <row r="170" spans="1:10" s="825" customFormat="1" ht="30" customHeight="1" collapsed="1">
      <c r="A170" s="956" t="s">
        <v>358</v>
      </c>
      <c r="B170" s="1059"/>
      <c r="C170" s="909"/>
      <c r="D170" s="913"/>
      <c r="E170" s="926"/>
      <c r="F170" s="160"/>
      <c r="G170" s="160"/>
      <c r="H170" s="160"/>
      <c r="I170" s="160"/>
      <c r="J170" s="160"/>
    </row>
    <row r="171" spans="1:10" s="247" customFormat="1" ht="15.75" customHeight="1">
      <c r="A171" s="961" t="s">
        <v>239</v>
      </c>
      <c r="B171" s="1050">
        <f>C.11ComplexityRating</f>
        <v>3</v>
      </c>
      <c r="C171" s="947" t="str">
        <f>C.11RatingBlurb</f>
        <v>potential for minor complexity</v>
      </c>
      <c r="D171" s="911"/>
      <c r="E171" s="926"/>
      <c r="F171" s="160"/>
      <c r="G171" s="160"/>
      <c r="H171" s="160"/>
      <c r="I171" s="160"/>
      <c r="J171" s="160"/>
    </row>
    <row r="172" spans="1:10" s="247" customFormat="1" ht="15.75" hidden="1" customHeight="1" outlineLevel="1">
      <c r="A172" s="961" t="s">
        <v>243</v>
      </c>
      <c r="B172" s="1050"/>
      <c r="C172" s="947" t="str">
        <f>C.11Description</f>
        <v xml:space="preserve"> </v>
      </c>
      <c r="D172" s="911"/>
      <c r="E172" s="926"/>
      <c r="F172" s="922"/>
      <c r="G172" s="922"/>
      <c r="H172" s="922"/>
      <c r="I172" s="922"/>
      <c r="J172" s="922"/>
    </row>
    <row r="173" spans="1:10" s="916" customFormat="1" ht="30" customHeight="1" collapsed="1">
      <c r="A173" s="936" t="s">
        <v>364</v>
      </c>
      <c r="B173" s="1062"/>
      <c r="C173" s="949"/>
      <c r="D173" s="915"/>
      <c r="E173" s="926"/>
      <c r="F173" s="160"/>
      <c r="G173" s="160"/>
      <c r="H173" s="160"/>
      <c r="I173" s="160"/>
      <c r="J173" s="160"/>
    </row>
    <row r="174" spans="1:10" s="247" customFormat="1" ht="15.75" customHeight="1">
      <c r="A174" s="961" t="s">
        <v>239</v>
      </c>
      <c r="B174" s="1050">
        <f>C.12ComplexityRating</f>
        <v>5</v>
      </c>
      <c r="C174" s="947" t="str">
        <f>C.12RatingBlurb</f>
        <v>unknown</v>
      </c>
      <c r="D174" s="911"/>
      <c r="E174" s="926"/>
      <c r="F174" s="160"/>
      <c r="G174" s="160"/>
      <c r="H174" s="160"/>
      <c r="I174" s="160"/>
      <c r="J174" s="160"/>
    </row>
    <row r="175" spans="1:10" ht="15" hidden="1" customHeight="1" outlineLevel="1">
      <c r="A175" s="941" t="s">
        <v>243</v>
      </c>
      <c r="B175" s="1049"/>
      <c r="C175" s="966" t="str">
        <f>C.12Description</f>
        <v xml:space="preserve">The adoption of new federal requirements will trigger a requirement that affected sources obtain a permit. To minimize the number of new permits, this rulemaking will maintain the current permitting threshold for boilers and slightly lower the permitting threshold for stationary internal combustion engines to align with the more significant requirements in the federal regulations. Raising the permitting threshold for gasoline dispensing facilities and metal fabrication and finishing operations will require the cancellation of several hundred permits.   </v>
      </c>
      <c r="D175" s="905"/>
      <c r="E175" s="926"/>
    </row>
    <row r="176" spans="1:10" s="922" customFormat="1" ht="15" customHeight="1" collapsed="1">
      <c r="A176" s="941"/>
      <c r="B176" s="1049"/>
      <c r="C176" s="966"/>
      <c r="D176" s="905"/>
      <c r="E176" s="926"/>
    </row>
    <row r="177" spans="1:10" s="916" customFormat="1" ht="30" hidden="1" customHeight="1" outlineLevel="1">
      <c r="A177" s="1069" t="s">
        <v>529</v>
      </c>
      <c r="B177" s="1062"/>
      <c r="C177" s="949"/>
      <c r="D177" s="915"/>
      <c r="E177" s="926"/>
      <c r="F177" s="922"/>
      <c r="G177" s="922"/>
      <c r="H177" s="922"/>
      <c r="I177" s="922"/>
      <c r="J177" s="922"/>
    </row>
    <row r="178" spans="1:10" hidden="1" outlineLevel="1">
      <c r="A178" s="1068" t="s">
        <v>530</v>
      </c>
      <c r="B178" s="1050" t="str">
        <f>C.4Message</f>
        <v xml:space="preserve"> </v>
      </c>
      <c r="C178" s="1070" t="s">
        <v>0</v>
      </c>
      <c r="D178" s="905"/>
      <c r="E178" s="926"/>
    </row>
    <row r="179" spans="1:10" hidden="1" outlineLevel="1">
      <c r="A179" s="1068" t="s">
        <v>531</v>
      </c>
      <c r="B179" s="1049" t="str">
        <f>C.5Message</f>
        <v xml:space="preserve"> </v>
      </c>
      <c r="C179" s="909"/>
      <c r="D179" s="905"/>
      <c r="E179" s="926"/>
    </row>
    <row r="180" spans="1:10" hidden="1" outlineLevel="1">
      <c r="A180" s="1068" t="s">
        <v>532</v>
      </c>
      <c r="B180" s="1049" t="str">
        <f>C.6Message</f>
        <v xml:space="preserve"> </v>
      </c>
      <c r="C180" s="909"/>
      <c r="D180" s="905"/>
      <c r="E180" s="926"/>
    </row>
    <row r="181" spans="1:10" hidden="1" outlineLevel="1">
      <c r="A181" s="1068" t="s">
        <v>533</v>
      </c>
      <c r="B181" s="1049" t="str">
        <f>C.7Message</f>
        <v xml:space="preserve"> </v>
      </c>
      <c r="C181" s="909"/>
      <c r="D181" s="905"/>
      <c r="E181" s="926"/>
    </row>
    <row r="182" spans="1:10" s="922" customFormat="1" hidden="1" outlineLevel="1">
      <c r="A182" s="1068" t="s">
        <v>534</v>
      </c>
      <c r="B182" s="1049" t="str">
        <f>C.8Message</f>
        <v xml:space="preserve"> </v>
      </c>
      <c r="C182" s="909"/>
      <c r="D182" s="905"/>
      <c r="E182" s="926"/>
    </row>
    <row r="183" spans="1:10" s="922" customFormat="1" hidden="1" outlineLevel="1">
      <c r="A183" s="1068" t="s">
        <v>535</v>
      </c>
      <c r="B183" s="1049" t="str">
        <f>C.9Message</f>
        <v xml:space="preserve"> </v>
      </c>
      <c r="C183" s="909"/>
      <c r="D183" s="905"/>
      <c r="E183" s="926"/>
    </row>
    <row r="184" spans="1:10" s="922" customFormat="1" hidden="1" outlineLevel="1">
      <c r="A184" s="1068" t="s">
        <v>536</v>
      </c>
      <c r="B184" s="1049" t="str">
        <f>C.10Message</f>
        <v xml:space="preserve"> </v>
      </c>
      <c r="C184" s="909"/>
      <c r="D184" s="905"/>
      <c r="E184" s="926"/>
    </row>
    <row r="185" spans="1:10" hidden="1" outlineLevel="1">
      <c r="A185" s="1068" t="s">
        <v>537</v>
      </c>
      <c r="B185" s="1049" t="str">
        <f>C.11Message</f>
        <v xml:space="preserve"> </v>
      </c>
      <c r="C185" s="909"/>
      <c r="D185" s="905"/>
      <c r="E185" s="926"/>
    </row>
    <row r="186" spans="1:10" hidden="1" outlineLevel="1">
      <c r="A186" s="1068" t="s">
        <v>538</v>
      </c>
      <c r="B186" s="1049" t="str">
        <f>C.12Message</f>
        <v xml:space="preserve"> </v>
      </c>
      <c r="C186" s="909"/>
      <c r="D186" s="905"/>
      <c r="E186" s="926"/>
    </row>
    <row r="187" spans="1:10" ht="18" hidden="1" outlineLevel="1">
      <c r="A187" s="1069" t="s">
        <v>539</v>
      </c>
      <c r="B187" s="1049"/>
      <c r="C187" s="909"/>
      <c r="D187" s="905"/>
      <c r="E187" s="926"/>
    </row>
    <row r="188" spans="1:10" hidden="1" outlineLevel="1">
      <c r="A188" s="1068" t="s">
        <v>530</v>
      </c>
      <c r="B188" s="1049" t="str">
        <f>C.4Charter</f>
        <v xml:space="preserve"> </v>
      </c>
      <c r="C188" s="909"/>
      <c r="D188" s="905"/>
      <c r="E188" s="926"/>
    </row>
    <row r="189" spans="1:10" hidden="1" outlineLevel="1">
      <c r="A189" s="1068" t="s">
        <v>531</v>
      </c>
      <c r="B189" s="1049" t="str">
        <f>C.5Charter</f>
        <v xml:space="preserve"> </v>
      </c>
      <c r="C189" s="909"/>
      <c r="D189" s="905"/>
      <c r="E189" s="926"/>
    </row>
    <row r="190" spans="1:10" hidden="1" outlineLevel="1">
      <c r="A190" s="1068" t="s">
        <v>532</v>
      </c>
      <c r="B190" s="1049" t="str">
        <f>C.6Charter</f>
        <v xml:space="preserve"> </v>
      </c>
      <c r="C190" s="909"/>
      <c r="D190" s="927"/>
      <c r="E190" s="926"/>
    </row>
    <row r="191" spans="1:10" hidden="1" outlineLevel="1">
      <c r="A191" s="1068" t="s">
        <v>533</v>
      </c>
      <c r="B191" s="1049" t="str">
        <f>C.7Charter</f>
        <v xml:space="preserve"> </v>
      </c>
      <c r="C191" s="909"/>
      <c r="D191" s="927"/>
      <c r="E191" s="926"/>
    </row>
    <row r="192" spans="1:10" hidden="1" outlineLevel="1">
      <c r="A192" s="1068" t="s">
        <v>534</v>
      </c>
      <c r="B192" s="1049" t="str">
        <f>C.8Charter</f>
        <v xml:space="preserve"> </v>
      </c>
      <c r="C192" s="909"/>
      <c r="D192" s="927"/>
      <c r="E192" s="926"/>
    </row>
    <row r="193" spans="1:5" hidden="1" outlineLevel="1">
      <c r="A193" s="1068" t="s">
        <v>535</v>
      </c>
      <c r="B193" s="1049" t="str">
        <f>C.9Charter</f>
        <v xml:space="preserve"> </v>
      </c>
      <c r="C193" s="909"/>
      <c r="D193" s="927"/>
      <c r="E193" s="926"/>
    </row>
    <row r="194" spans="1:5" hidden="1" outlineLevel="1">
      <c r="A194" s="1068" t="s">
        <v>536</v>
      </c>
      <c r="B194" s="1049" t="str">
        <f>C.10Charter</f>
        <v xml:space="preserve"> </v>
      </c>
      <c r="C194" s="909"/>
      <c r="D194" s="927"/>
      <c r="E194" s="926"/>
    </row>
    <row r="195" spans="1:5" hidden="1" outlineLevel="1">
      <c r="A195" s="1068" t="s">
        <v>537</v>
      </c>
      <c r="B195" s="1049" t="str">
        <f>C.11Charter</f>
        <v xml:space="preserve"> </v>
      </c>
      <c r="C195" s="909"/>
      <c r="D195" s="927"/>
      <c r="E195" s="926"/>
    </row>
    <row r="196" spans="1:5" hidden="1" outlineLevel="1">
      <c r="A196" s="1068" t="s">
        <v>538</v>
      </c>
      <c r="B196" s="1049" t="str">
        <f>C.12Charter</f>
        <v xml:space="preserve"> </v>
      </c>
      <c r="C196" s="909"/>
      <c r="D196" s="927"/>
      <c r="E196" s="926"/>
    </row>
    <row r="197" spans="1:5" s="922" customFormat="1" ht="18" hidden="1" outlineLevel="1">
      <c r="A197" s="1069" t="s">
        <v>99</v>
      </c>
      <c r="B197" s="1049"/>
      <c r="C197" s="909"/>
      <c r="D197" s="905"/>
      <c r="E197" s="926"/>
    </row>
    <row r="198" spans="1:5" s="922" customFormat="1" hidden="1" outlineLevel="1">
      <c r="A198" s="1068" t="s">
        <v>530</v>
      </c>
      <c r="B198" s="1049" t="str">
        <f>C.4Proposal</f>
        <v xml:space="preserve"> </v>
      </c>
      <c r="C198" s="909"/>
      <c r="D198" s="905"/>
      <c r="E198" s="926"/>
    </row>
    <row r="199" spans="1:5" s="922" customFormat="1" hidden="1" outlineLevel="1">
      <c r="A199" s="1068" t="s">
        <v>531</v>
      </c>
      <c r="B199" s="1049" t="str">
        <f>C.5Proposal</f>
        <v xml:space="preserve"> </v>
      </c>
      <c r="C199" s="909"/>
      <c r="D199" s="905"/>
      <c r="E199" s="926"/>
    </row>
    <row r="200" spans="1:5" s="922" customFormat="1" hidden="1" outlineLevel="1">
      <c r="A200" s="1068" t="s">
        <v>532</v>
      </c>
      <c r="B200" s="1049" t="str">
        <f>C.6Proposal</f>
        <v xml:space="preserve"> </v>
      </c>
      <c r="C200" s="909"/>
      <c r="D200" s="927"/>
      <c r="E200" s="926"/>
    </row>
    <row r="201" spans="1:5" s="922" customFormat="1" hidden="1" outlineLevel="1">
      <c r="A201" s="1068" t="s">
        <v>533</v>
      </c>
      <c r="B201" s="1049" t="str">
        <f>C.7Proposal</f>
        <v xml:space="preserve"> </v>
      </c>
      <c r="C201" s="909"/>
      <c r="D201" s="927"/>
      <c r="E201" s="926"/>
    </row>
    <row r="202" spans="1:5" s="922" customFormat="1" hidden="1" outlineLevel="1">
      <c r="A202" s="1068" t="s">
        <v>534</v>
      </c>
      <c r="B202" s="1049" t="str">
        <f>C.8Proposal</f>
        <v xml:space="preserve"> </v>
      </c>
      <c r="C202" s="909"/>
      <c r="D202" s="927"/>
      <c r="E202" s="926"/>
    </row>
    <row r="203" spans="1:5" s="922" customFormat="1" hidden="1" outlineLevel="1">
      <c r="A203" s="1068" t="s">
        <v>535</v>
      </c>
      <c r="B203" s="1049" t="str">
        <f>C.9Proposal</f>
        <v xml:space="preserve"> </v>
      </c>
      <c r="C203" s="909"/>
      <c r="D203" s="927"/>
      <c r="E203" s="926"/>
    </row>
    <row r="204" spans="1:5" s="922" customFormat="1" hidden="1" outlineLevel="1">
      <c r="A204" s="1068" t="s">
        <v>536</v>
      </c>
      <c r="B204" s="1049" t="str">
        <f>C.10Proposal</f>
        <v xml:space="preserve"> </v>
      </c>
      <c r="C204" s="909"/>
      <c r="D204" s="927"/>
      <c r="E204" s="926"/>
    </row>
    <row r="205" spans="1:5" s="922" customFormat="1" hidden="1" outlineLevel="1">
      <c r="A205" s="1068" t="s">
        <v>537</v>
      </c>
      <c r="B205" s="1049" t="str">
        <f>C.11Proposal</f>
        <v xml:space="preserve"> </v>
      </c>
      <c r="C205" s="909"/>
      <c r="D205" s="927"/>
      <c r="E205" s="926"/>
    </row>
    <row r="206" spans="1:5" s="922" customFormat="1" hidden="1" outlineLevel="1">
      <c r="A206" s="1068" t="s">
        <v>538</v>
      </c>
      <c r="B206" s="1049" t="str">
        <f>C.12Proposal</f>
        <v xml:space="preserve"> </v>
      </c>
      <c r="C206" s="909"/>
      <c r="D206" s="927"/>
      <c r="E206" s="926"/>
    </row>
    <row r="207" spans="1:5" collapsed="1">
      <c r="A207" s="926"/>
      <c r="B207" s="1049"/>
      <c r="C207" s="909"/>
      <c r="D207" s="927"/>
      <c r="E207" s="926"/>
    </row>
    <row r="208" spans="1:5">
      <c r="A208" s="926"/>
      <c r="B208" s="1049"/>
      <c r="C208" s="909"/>
      <c r="D208" s="927"/>
      <c r="E208" s="926"/>
    </row>
    <row r="209" spans="1:5">
      <c r="A209" s="926"/>
      <c r="B209" s="1049"/>
      <c r="C209" s="909"/>
      <c r="D209" s="927"/>
      <c r="E209" s="926"/>
    </row>
    <row r="210" spans="1:5">
      <c r="A210" s="926"/>
      <c r="B210" s="1049"/>
      <c r="C210" s="909"/>
      <c r="D210" s="927"/>
      <c r="E210" s="926"/>
    </row>
    <row r="211" spans="1:5">
      <c r="A211" s="926"/>
      <c r="B211" s="1049"/>
      <c r="C211" s="909"/>
      <c r="D211" s="927"/>
      <c r="E211" s="926"/>
    </row>
    <row r="212" spans="1:5">
      <c r="A212" s="926"/>
      <c r="B212" s="1049"/>
      <c r="C212" s="909"/>
      <c r="D212" s="927"/>
      <c r="E212" s="926"/>
    </row>
    <row r="213" spans="1:5">
      <c r="A213" s="926"/>
      <c r="B213" s="1049"/>
      <c r="C213" s="909"/>
      <c r="D213" s="927"/>
      <c r="E213" s="926"/>
    </row>
    <row r="214" spans="1:5">
      <c r="A214" s="926"/>
      <c r="B214" s="1049"/>
      <c r="C214" s="909"/>
      <c r="D214" s="927"/>
      <c r="E214" s="926"/>
    </row>
    <row r="215" spans="1:5">
      <c r="A215" s="926"/>
      <c r="B215" s="1049"/>
      <c r="C215" s="909"/>
      <c r="D215" s="927"/>
      <c r="E215" s="926"/>
    </row>
    <row r="216" spans="1:5">
      <c r="A216" s="926"/>
      <c r="B216" s="1049"/>
      <c r="C216" s="909"/>
      <c r="D216" s="927"/>
      <c r="E216" s="926"/>
    </row>
    <row r="217" spans="1:5">
      <c r="A217" s="926"/>
      <c r="B217" s="1049"/>
      <c r="C217" s="909"/>
      <c r="D217" s="927"/>
      <c r="E217" s="926"/>
    </row>
    <row r="218" spans="1:5">
      <c r="A218" s="926"/>
      <c r="B218" s="1049"/>
      <c r="C218" s="909"/>
      <c r="D218" s="927"/>
      <c r="E218" s="926"/>
    </row>
    <row r="219" spans="1:5">
      <c r="A219" s="926"/>
      <c r="B219" s="1049"/>
      <c r="C219" s="909"/>
      <c r="D219" s="927"/>
      <c r="E219" s="926"/>
    </row>
    <row r="220" spans="1:5">
      <c r="A220" s="926"/>
      <c r="B220" s="1049"/>
      <c r="C220" s="909"/>
      <c r="D220" s="927"/>
      <c r="E220" s="926"/>
    </row>
    <row r="221" spans="1:5">
      <c r="A221" s="926"/>
      <c r="B221" s="1049"/>
      <c r="C221" s="909"/>
      <c r="D221" s="927"/>
      <c r="E221" s="926"/>
    </row>
    <row r="222" spans="1:5">
      <c r="A222" s="926"/>
      <c r="B222" s="1049"/>
      <c r="C222" s="909"/>
      <c r="D222" s="927"/>
      <c r="E222" s="926"/>
    </row>
    <row r="223" spans="1:5">
      <c r="A223" s="926"/>
      <c r="B223" s="1049"/>
      <c r="C223" s="909"/>
      <c r="D223" s="927"/>
      <c r="E223" s="926"/>
    </row>
    <row r="224" spans="1:5">
      <c r="A224" s="926"/>
      <c r="B224" s="1049"/>
      <c r="C224" s="909"/>
      <c r="D224" s="927"/>
      <c r="E224" s="926"/>
    </row>
    <row r="225" spans="1:5">
      <c r="A225" s="926"/>
      <c r="B225" s="1049"/>
      <c r="C225" s="909"/>
      <c r="D225" s="927"/>
      <c r="E225" s="926"/>
    </row>
    <row r="226" spans="1:5">
      <c r="A226" s="926"/>
      <c r="B226" s="1049"/>
      <c r="C226" s="909"/>
      <c r="D226" s="927"/>
      <c r="E226" s="926"/>
    </row>
    <row r="227" spans="1:5">
      <c r="A227" s="926"/>
      <c r="B227" s="1049"/>
      <c r="C227" s="909"/>
      <c r="D227" s="927"/>
      <c r="E227" s="926"/>
    </row>
    <row r="228" spans="1:5">
      <c r="A228" s="926"/>
      <c r="B228" s="1049"/>
      <c r="C228" s="909"/>
      <c r="D228" s="927"/>
      <c r="E228" s="926"/>
    </row>
    <row r="229" spans="1:5">
      <c r="A229" s="926"/>
      <c r="B229" s="1049"/>
      <c r="C229" s="909"/>
      <c r="D229" s="927"/>
      <c r="E229" s="926"/>
    </row>
    <row r="230" spans="1:5">
      <c r="A230" s="926"/>
      <c r="B230" s="1049"/>
      <c r="C230" s="909"/>
      <c r="D230" s="927"/>
      <c r="E230" s="926"/>
    </row>
    <row r="231" spans="1:5">
      <c r="A231" s="926"/>
      <c r="B231" s="1049"/>
      <c r="C231" s="909"/>
      <c r="D231" s="927"/>
      <c r="E231" s="926"/>
    </row>
    <row r="232" spans="1:5">
      <c r="A232" s="926"/>
      <c r="B232" s="1049"/>
      <c r="C232" s="909"/>
      <c r="D232" s="927"/>
      <c r="E232" s="926"/>
    </row>
    <row r="233" spans="1:5">
      <c r="A233" s="926"/>
      <c r="B233" s="1049"/>
      <c r="C233" s="909"/>
      <c r="D233" s="927"/>
      <c r="E233" s="926"/>
    </row>
    <row r="234" spans="1:5">
      <c r="A234" s="926"/>
      <c r="B234" s="1049"/>
      <c r="C234" s="909"/>
      <c r="D234" s="927"/>
      <c r="E234" s="926"/>
    </row>
    <row r="235" spans="1:5">
      <c r="A235" s="926"/>
      <c r="B235" s="1049"/>
      <c r="C235" s="909"/>
      <c r="D235" s="927"/>
      <c r="E235" s="926"/>
    </row>
    <row r="236" spans="1:5">
      <c r="A236" s="926"/>
      <c r="B236" s="1049"/>
      <c r="C236" s="909"/>
      <c r="D236" s="927"/>
      <c r="E236" s="926"/>
    </row>
    <row r="237" spans="1:5">
      <c r="A237" s="926"/>
      <c r="B237" s="1049"/>
      <c r="C237" s="909"/>
      <c r="D237" s="927"/>
      <c r="E237" s="926"/>
    </row>
    <row r="238" spans="1:5">
      <c r="A238" s="926"/>
      <c r="B238" s="1049"/>
      <c r="C238" s="909"/>
      <c r="D238" s="927"/>
      <c r="E238" s="926"/>
    </row>
    <row r="239" spans="1:5">
      <c r="A239" s="926"/>
      <c r="B239" s="1049"/>
      <c r="C239" s="909"/>
      <c r="D239" s="927"/>
      <c r="E239" s="926"/>
    </row>
    <row r="240" spans="1:5">
      <c r="A240" s="926"/>
      <c r="B240" s="1049"/>
      <c r="C240" s="909"/>
      <c r="D240" s="927"/>
      <c r="E240" s="926"/>
    </row>
    <row r="241" spans="1:5">
      <c r="A241" s="926"/>
      <c r="B241" s="1049"/>
      <c r="C241" s="909"/>
      <c r="D241" s="927"/>
      <c r="E241" s="926"/>
    </row>
    <row r="242" spans="1:5">
      <c r="A242" s="926"/>
      <c r="B242" s="1049"/>
      <c r="C242" s="909"/>
      <c r="D242" s="927"/>
      <c r="E242" s="926"/>
    </row>
    <row r="243" spans="1:5">
      <c r="A243" s="926"/>
      <c r="B243" s="1049"/>
      <c r="C243" s="909"/>
      <c r="D243" s="927"/>
      <c r="E243" s="926"/>
    </row>
    <row r="244" spans="1:5">
      <c r="A244" s="926"/>
      <c r="B244" s="1049"/>
      <c r="C244" s="909"/>
      <c r="D244" s="927"/>
      <c r="E244" s="926"/>
    </row>
    <row r="245" spans="1:5">
      <c r="A245" s="926"/>
      <c r="B245" s="1049"/>
      <c r="C245" s="909"/>
      <c r="D245" s="927"/>
      <c r="E245" s="926"/>
    </row>
    <row r="246" spans="1:5">
      <c r="A246" s="926"/>
      <c r="B246" s="1049"/>
      <c r="C246" s="909"/>
      <c r="D246" s="927"/>
      <c r="E246" s="926"/>
    </row>
    <row r="247" spans="1:5">
      <c r="A247" s="926"/>
      <c r="B247" s="1049"/>
      <c r="C247" s="909"/>
      <c r="D247" s="927"/>
      <c r="E247" s="926"/>
    </row>
    <row r="248" spans="1:5">
      <c r="A248" s="926"/>
      <c r="B248" s="1049"/>
      <c r="C248" s="909"/>
      <c r="D248" s="927"/>
      <c r="E248" s="926"/>
    </row>
    <row r="249" spans="1:5">
      <c r="A249" s="926"/>
      <c r="B249" s="1049"/>
      <c r="C249" s="909"/>
      <c r="D249" s="927"/>
      <c r="E249" s="926"/>
    </row>
    <row r="250" spans="1:5">
      <c r="A250" s="926"/>
      <c r="B250" s="1049"/>
      <c r="C250" s="909"/>
      <c r="D250" s="927"/>
      <c r="E250" s="926"/>
    </row>
    <row r="251" spans="1:5">
      <c r="A251" s="926"/>
      <c r="B251" s="1049"/>
      <c r="C251" s="909"/>
      <c r="D251" s="927"/>
      <c r="E251" s="926"/>
    </row>
    <row r="252" spans="1:5">
      <c r="A252" s="926"/>
      <c r="B252" s="1049"/>
      <c r="C252" s="909"/>
      <c r="D252" s="927"/>
      <c r="E252" s="926"/>
    </row>
    <row r="253" spans="1:5">
      <c r="A253" s="926"/>
      <c r="B253" s="1049"/>
      <c r="C253" s="909"/>
      <c r="D253" s="927"/>
      <c r="E253" s="926"/>
    </row>
    <row r="254" spans="1:5">
      <c r="A254" s="926"/>
      <c r="B254" s="1049"/>
      <c r="C254" s="909"/>
      <c r="D254" s="927"/>
      <c r="E254" s="926"/>
    </row>
    <row r="255" spans="1:5">
      <c r="A255" s="926"/>
      <c r="B255" s="1049"/>
      <c r="C255" s="909"/>
      <c r="D255" s="927"/>
      <c r="E255" s="926"/>
    </row>
    <row r="256" spans="1:5">
      <c r="A256" s="926"/>
      <c r="B256" s="1049"/>
      <c r="C256" s="909"/>
      <c r="D256" s="927"/>
      <c r="E256" s="926"/>
    </row>
    <row r="257" spans="1:5">
      <c r="A257" s="926"/>
      <c r="B257" s="1049"/>
      <c r="C257" s="909"/>
      <c r="D257" s="927"/>
      <c r="E257" s="926"/>
    </row>
    <row r="258" spans="1:5">
      <c r="A258" s="926"/>
      <c r="B258" s="1049"/>
      <c r="C258" s="909"/>
      <c r="D258" s="927"/>
      <c r="E258" s="926"/>
    </row>
    <row r="259" spans="1:5">
      <c r="A259" s="926"/>
      <c r="B259" s="1049"/>
      <c r="C259" s="909"/>
      <c r="D259" s="927"/>
      <c r="E259" s="926"/>
    </row>
    <row r="260" spans="1:5">
      <c r="A260" s="926"/>
      <c r="B260" s="1049"/>
      <c r="C260" s="909"/>
      <c r="D260" s="927"/>
      <c r="E260" s="926"/>
    </row>
    <row r="261" spans="1:5">
      <c r="A261" s="926"/>
      <c r="B261" s="1049"/>
      <c r="C261" s="909"/>
      <c r="D261" s="927"/>
      <c r="E261" s="926"/>
    </row>
    <row r="262" spans="1:5">
      <c r="A262" s="926"/>
      <c r="B262" s="1049"/>
      <c r="C262" s="909"/>
      <c r="D262" s="927"/>
      <c r="E262" s="926"/>
    </row>
    <row r="263" spans="1:5">
      <c r="A263" s="926"/>
      <c r="B263" s="1049"/>
      <c r="C263" s="909"/>
      <c r="D263" s="927"/>
      <c r="E263" s="926"/>
    </row>
    <row r="264" spans="1:5">
      <c r="A264" s="926"/>
      <c r="B264" s="1049"/>
      <c r="C264" s="909"/>
      <c r="D264" s="927"/>
      <c r="E264" s="926"/>
    </row>
    <row r="265" spans="1:5">
      <c r="A265" s="926"/>
      <c r="B265" s="1049"/>
      <c r="C265" s="909"/>
      <c r="D265" s="927"/>
      <c r="E265" s="926"/>
    </row>
    <row r="266" spans="1:5">
      <c r="A266" s="926"/>
      <c r="B266" s="1049"/>
      <c r="C266" s="909"/>
      <c r="D266" s="927"/>
      <c r="E266" s="926"/>
    </row>
    <row r="267" spans="1:5">
      <c r="A267" s="926"/>
      <c r="B267" s="1049"/>
      <c r="C267" s="909"/>
      <c r="D267" s="927"/>
      <c r="E267" s="926"/>
    </row>
    <row r="268" spans="1:5">
      <c r="A268" s="926"/>
      <c r="B268" s="1049"/>
      <c r="C268" s="909"/>
      <c r="D268" s="927"/>
      <c r="E268" s="926"/>
    </row>
    <row r="269" spans="1:5">
      <c r="A269" s="926"/>
      <c r="B269" s="1049"/>
      <c r="C269" s="909"/>
      <c r="D269" s="927"/>
      <c r="E269" s="926"/>
    </row>
    <row r="270" spans="1:5">
      <c r="A270" s="926"/>
      <c r="B270" s="1049"/>
      <c r="C270" s="909"/>
      <c r="D270" s="927"/>
      <c r="E270" s="926"/>
    </row>
    <row r="271" spans="1:5">
      <c r="A271" s="926"/>
      <c r="B271" s="1049"/>
      <c r="C271" s="909"/>
      <c r="D271" s="927"/>
      <c r="E271" s="926"/>
    </row>
    <row r="272" spans="1:5">
      <c r="A272" s="926"/>
      <c r="B272" s="1049"/>
      <c r="C272" s="909"/>
      <c r="D272" s="927"/>
      <c r="E272" s="926"/>
    </row>
    <row r="273" spans="1:5">
      <c r="A273" s="926"/>
      <c r="B273" s="1049"/>
      <c r="C273" s="909"/>
      <c r="D273" s="927"/>
      <c r="E273" s="926"/>
    </row>
    <row r="274" spans="1:5">
      <c r="A274" s="926"/>
      <c r="B274" s="1049"/>
      <c r="C274" s="909"/>
      <c r="D274" s="927"/>
      <c r="E274" s="926"/>
    </row>
    <row r="275" spans="1:5">
      <c r="A275" s="926"/>
      <c r="B275" s="1049"/>
      <c r="C275" s="909"/>
      <c r="D275" s="927"/>
      <c r="E275" s="926"/>
    </row>
    <row r="276" spans="1:5">
      <c r="A276" s="926"/>
      <c r="B276" s="1049"/>
      <c r="C276" s="909"/>
      <c r="D276" s="927"/>
      <c r="E276" s="926"/>
    </row>
    <row r="277" spans="1:5">
      <c r="A277" s="926"/>
      <c r="B277" s="1049"/>
      <c r="C277" s="909"/>
      <c r="D277" s="927"/>
      <c r="E277" s="926"/>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F23" sqref="F23"/>
    </sheetView>
  </sheetViews>
  <sheetFormatPr defaultRowHeight="15.75"/>
  <cols>
    <col min="1" max="1" width="13.625" style="596"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88" t="s">
        <v>420</v>
      </c>
      <c r="B1" s="562"/>
      <c r="C1" s="562"/>
      <c r="D1" s="562"/>
      <c r="E1" s="562"/>
      <c r="F1" s="562"/>
      <c r="G1" s="562"/>
      <c r="H1" s="562"/>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6"/>
      <c r="B2" s="562"/>
      <c r="C2" s="479">
        <v>1</v>
      </c>
      <c r="D2" s="1201" t="s">
        <v>406</v>
      </c>
      <c r="E2" s="1201"/>
      <c r="F2" s="480"/>
      <c r="G2" s="200"/>
      <c r="H2" s="558"/>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6"/>
      <c r="B3" s="562"/>
      <c r="C3" s="481"/>
      <c r="D3" s="62"/>
      <c r="E3" s="62"/>
      <c r="F3" s="62"/>
      <c r="G3" s="482"/>
      <c r="H3" s="558"/>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602"/>
      <c r="B4" s="562"/>
      <c r="C4" s="364"/>
      <c r="D4" s="1200"/>
      <c r="E4" s="1200"/>
      <c r="F4" s="1200"/>
      <c r="G4" s="483"/>
      <c r="H4" s="563"/>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6"/>
      <c r="B5" s="562"/>
      <c r="C5" s="361"/>
      <c r="D5" s="223" t="s">
        <v>248</v>
      </c>
      <c r="E5" s="223" t="s">
        <v>98</v>
      </c>
      <c r="F5" s="223" t="s">
        <v>95</v>
      </c>
      <c r="G5" s="363"/>
      <c r="H5" s="559"/>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3" t="s">
        <v>0</v>
      </c>
      <c r="B6" s="562"/>
      <c r="C6" s="361"/>
      <c r="D6" s="846" t="s">
        <v>96</v>
      </c>
      <c r="E6" s="844" t="s">
        <v>78</v>
      </c>
      <c r="F6" s="843" t="s">
        <v>84</v>
      </c>
      <c r="G6" s="363"/>
      <c r="H6" s="564" t="s">
        <v>0</v>
      </c>
      <c r="I6" s="386" t="s">
        <v>960</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6"/>
      <c r="B7" s="562"/>
      <c r="C7" s="361"/>
      <c r="D7" s="846" t="s">
        <v>57</v>
      </c>
      <c r="E7" s="844" t="s">
        <v>69</v>
      </c>
      <c r="F7" s="843" t="s">
        <v>88</v>
      </c>
      <c r="G7" s="363"/>
      <c r="H7" s="559"/>
      <c r="I7" s="386" t="s">
        <v>960</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6"/>
      <c r="B8" s="562"/>
      <c r="C8" s="361"/>
      <c r="D8" s="846" t="s">
        <v>61</v>
      </c>
      <c r="E8" s="844" t="s">
        <v>78</v>
      </c>
      <c r="F8" s="843" t="s">
        <v>90</v>
      </c>
      <c r="G8" s="363"/>
      <c r="H8" s="559"/>
      <c r="I8" s="386" t="s">
        <v>960</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6"/>
      <c r="B9" s="562"/>
      <c r="C9" s="361"/>
      <c r="D9" s="846" t="s">
        <v>59</v>
      </c>
      <c r="E9" s="844" t="s">
        <v>78</v>
      </c>
      <c r="F9" s="843" t="s">
        <v>84</v>
      </c>
      <c r="G9" s="363"/>
      <c r="H9" s="559"/>
      <c r="I9" s="386" t="s">
        <v>960</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6"/>
      <c r="B10" s="562"/>
      <c r="C10" s="361"/>
      <c r="D10" s="846" t="s">
        <v>20</v>
      </c>
      <c r="E10" s="844" t="s">
        <v>78</v>
      </c>
      <c r="F10" s="843" t="s">
        <v>84</v>
      </c>
      <c r="G10" s="363"/>
      <c r="H10" s="559"/>
      <c r="I10" s="386" t="s">
        <v>960</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6"/>
      <c r="B11" s="562"/>
      <c r="C11" s="361"/>
      <c r="D11" s="846" t="s">
        <v>0</v>
      </c>
      <c r="E11" s="844" t="s">
        <v>0</v>
      </c>
      <c r="F11" s="843" t="s">
        <v>0</v>
      </c>
      <c r="G11" s="363"/>
      <c r="H11" s="559"/>
      <c r="I11" s="386" t="s">
        <v>960</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6"/>
      <c r="B12" s="562"/>
      <c r="C12" s="361"/>
      <c r="D12" s="846" t="s">
        <v>0</v>
      </c>
      <c r="E12" s="844" t="s">
        <v>0</v>
      </c>
      <c r="F12" s="843" t="s">
        <v>0</v>
      </c>
      <c r="G12" s="363"/>
      <c r="H12" s="559"/>
      <c r="I12" s="386" t="s">
        <v>960</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6"/>
      <c r="B13" s="562"/>
      <c r="C13" s="361"/>
      <c r="D13" s="847"/>
      <c r="E13" s="845"/>
      <c r="F13" s="848"/>
      <c r="G13" s="363"/>
      <c r="H13" s="559"/>
      <c r="I13" s="386" t="s">
        <v>960</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6"/>
      <c r="B14" s="562"/>
      <c r="C14" s="361"/>
      <c r="D14" s="847"/>
      <c r="E14" s="845"/>
      <c r="F14" s="848"/>
      <c r="G14" s="363"/>
      <c r="H14" s="559"/>
      <c r="I14" s="386" t="s">
        <v>960</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6"/>
      <c r="B15" s="562"/>
      <c r="C15" s="361"/>
      <c r="D15" s="1207" t="s">
        <v>490</v>
      </c>
      <c r="E15" s="1207"/>
      <c r="F15" s="652"/>
      <c r="G15" s="201"/>
      <c r="H15" s="559"/>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6"/>
      <c r="B16" s="562"/>
      <c r="C16" s="361"/>
      <c r="D16" s="1197"/>
      <c r="E16" s="1198"/>
      <c r="F16" s="1199"/>
      <c r="G16" s="201"/>
      <c r="H16" s="559"/>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6"/>
      <c r="B17" s="562"/>
      <c r="C17" s="361"/>
      <c r="D17" s="647" t="s">
        <v>22</v>
      </c>
      <c r="E17" s="652"/>
      <c r="F17" s="652"/>
      <c r="G17" s="201"/>
      <c r="H17" s="559"/>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88" t="s">
        <v>403</v>
      </c>
      <c r="B18" s="562"/>
      <c r="C18" s="361"/>
      <c r="D18" s="1202"/>
      <c r="E18" s="1203"/>
      <c r="F18" s="1204"/>
      <c r="G18" s="201"/>
      <c r="H18" s="559"/>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6"/>
      <c r="B19" s="562"/>
      <c r="C19" s="293"/>
      <c r="D19" s="294"/>
      <c r="E19" s="1205">
        <f ca="1">TODAY()</f>
        <v>41163</v>
      </c>
      <c r="F19" s="1205"/>
      <c r="G19" s="1206"/>
      <c r="H19" s="559"/>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62"/>
      <c r="C20" s="562"/>
      <c r="D20" s="562"/>
      <c r="E20" s="562"/>
      <c r="F20" s="562"/>
      <c r="G20" s="562"/>
      <c r="H20" s="565"/>
    </row>
  </sheetData>
  <sheetProtection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abSelected="1" zoomScaleNormal="100" workbookViewId="0">
      <selection activeCell="E32" sqref="E32:T32"/>
    </sheetView>
  </sheetViews>
  <sheetFormatPr defaultRowHeight="14.25" outlineLevelCol="1"/>
  <cols>
    <col min="1" max="1" width="13.75" style="601"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4" hidden="1" customWidth="1" outlineLevel="1"/>
    <col min="28" max="28" width="9" style="160" collapsed="1"/>
    <col min="29" max="46" width="9" style="160"/>
  </cols>
  <sheetData>
    <row r="1" spans="1:46" ht="19.5" customHeight="1">
      <c r="A1" s="1088" t="s">
        <v>420</v>
      </c>
      <c r="B1" s="562"/>
      <c r="C1" s="562"/>
      <c r="D1" s="562"/>
      <c r="E1" s="562"/>
      <c r="F1" s="562"/>
      <c r="G1" s="562"/>
      <c r="H1" s="562"/>
      <c r="I1" s="562"/>
      <c r="J1" s="562"/>
      <c r="K1" s="562"/>
      <c r="L1" s="562"/>
      <c r="M1" s="562"/>
      <c r="N1" s="562"/>
      <c r="O1" s="562"/>
      <c r="P1" s="562"/>
      <c r="Q1" s="562"/>
      <c r="R1" s="562"/>
      <c r="S1" s="562"/>
      <c r="T1" s="562"/>
      <c r="U1" s="562"/>
      <c r="V1" s="562"/>
      <c r="X1" s="147"/>
      <c r="Y1" s="147"/>
      <c r="Z1" s="147"/>
      <c r="AA1" s="609"/>
    </row>
    <row r="2" spans="1:46" s="7" customFormat="1" ht="30" customHeight="1" thickBot="1">
      <c r="A2" s="601"/>
      <c r="B2" s="562"/>
      <c r="C2" s="479">
        <v>2</v>
      </c>
      <c r="D2" s="1090" t="s">
        <v>368</v>
      </c>
      <c r="E2" s="607"/>
      <c r="F2" s="1208" t="s">
        <v>1040</v>
      </c>
      <c r="G2" s="1208"/>
      <c r="H2" s="1208"/>
      <c r="I2" s="1208"/>
      <c r="J2" s="1208"/>
      <c r="K2" s="1208"/>
      <c r="L2" s="1208"/>
      <c r="M2" s="1208"/>
      <c r="N2" s="1208"/>
      <c r="O2" s="1208"/>
      <c r="P2" s="1208"/>
      <c r="Q2" s="1208"/>
      <c r="R2" s="1208"/>
      <c r="S2" s="1208"/>
      <c r="T2" s="1208"/>
      <c r="U2" s="200"/>
      <c r="V2" s="562"/>
      <c r="W2" s="1240" t="s">
        <v>0</v>
      </c>
      <c r="X2" s="67"/>
      <c r="Y2" s="69" t="s">
        <v>0</v>
      </c>
      <c r="Z2" s="30"/>
      <c r="AA2" s="610"/>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602"/>
      <c r="B3" s="562"/>
      <c r="C3" s="361"/>
      <c r="D3" s="474"/>
      <c r="E3" s="474"/>
      <c r="F3" s="3"/>
      <c r="G3" s="3"/>
      <c r="H3" s="3"/>
      <c r="I3" s="3"/>
      <c r="J3" s="3"/>
      <c r="K3" s="3"/>
      <c r="L3" s="3"/>
      <c r="M3" s="3"/>
      <c r="N3" s="3"/>
      <c r="O3" s="3"/>
      <c r="P3" s="3"/>
      <c r="Q3" s="3"/>
      <c r="R3" s="3"/>
      <c r="S3" s="3"/>
      <c r="T3" s="3"/>
      <c r="U3" s="201"/>
      <c r="V3" s="562"/>
      <c r="W3" s="1240"/>
      <c r="X3" s="55"/>
      <c r="Y3" s="69"/>
      <c r="Z3" s="30"/>
      <c r="AA3" s="611"/>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602"/>
      <c r="B4" s="562"/>
      <c r="C4" s="389" t="s">
        <v>0</v>
      </c>
      <c r="D4" s="1216" t="s">
        <v>214</v>
      </c>
      <c r="E4" s="1216"/>
      <c r="F4" s="1216"/>
      <c r="G4" s="1216"/>
      <c r="H4" s="885"/>
      <c r="I4" s="885"/>
      <c r="J4" s="886"/>
      <c r="K4" s="887"/>
      <c r="L4" s="887"/>
      <c r="M4" s="887"/>
      <c r="N4" s="887"/>
      <c r="O4" s="887"/>
      <c r="P4" s="887"/>
      <c r="Q4" s="887"/>
      <c r="R4" s="887"/>
      <c r="S4" s="887"/>
      <c r="T4" s="887"/>
      <c r="U4" s="888"/>
      <c r="V4" s="562"/>
      <c r="W4" s="167"/>
      <c r="X4" s="58"/>
      <c r="Y4" s="28"/>
      <c r="Z4" s="28"/>
      <c r="AA4" s="612"/>
      <c r="AB4" s="392"/>
      <c r="AC4" s="392"/>
      <c r="AD4" s="392"/>
      <c r="AE4" s="392"/>
      <c r="AF4" s="392"/>
      <c r="AG4" s="392"/>
      <c r="AH4" s="392"/>
      <c r="AI4" s="392"/>
      <c r="AJ4" s="392"/>
      <c r="AK4" s="392"/>
      <c r="AL4" s="392"/>
      <c r="AM4" s="392"/>
      <c r="AN4" s="392"/>
      <c r="AO4" s="392"/>
      <c r="AP4" s="392"/>
      <c r="AQ4" s="392"/>
      <c r="AR4" s="167"/>
      <c r="AS4" s="167"/>
      <c r="AT4" s="167"/>
    </row>
    <row r="5" spans="1:46" s="66" customFormat="1" ht="19.5" customHeight="1">
      <c r="A5" s="602"/>
      <c r="B5" s="562"/>
      <c r="C5" s="279"/>
      <c r="D5" s="1223" t="s">
        <v>1026</v>
      </c>
      <c r="E5" s="1224"/>
      <c r="F5" s="1224"/>
      <c r="G5" s="1224"/>
      <c r="H5" s="1224"/>
      <c r="I5" s="1224"/>
      <c r="J5" s="1224"/>
      <c r="K5" s="1224"/>
      <c r="L5" s="1224"/>
      <c r="M5" s="1224"/>
      <c r="N5" s="1224"/>
      <c r="O5" s="1224"/>
      <c r="P5" s="1224"/>
      <c r="Q5" s="1224"/>
      <c r="R5" s="1224"/>
      <c r="S5" s="1224"/>
      <c r="T5" s="1225"/>
      <c r="U5" s="47"/>
      <c r="V5" s="562"/>
      <c r="W5" s="161"/>
      <c r="X5" s="55"/>
      <c r="Y5" s="55"/>
      <c r="Z5" s="55"/>
      <c r="AA5" s="611"/>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602"/>
      <c r="B6" s="562"/>
      <c r="C6" s="279"/>
      <c r="D6" s="653"/>
      <c r="E6" s="653"/>
      <c r="F6" s="653"/>
      <c r="G6" s="653"/>
      <c r="H6" s="653"/>
      <c r="I6" s="653"/>
      <c r="J6" s="653"/>
      <c r="K6" s="653"/>
      <c r="L6" s="653"/>
      <c r="M6" s="653"/>
      <c r="N6" s="653"/>
      <c r="O6" s="653"/>
      <c r="P6" s="653"/>
      <c r="Q6" s="653"/>
      <c r="R6" s="653"/>
      <c r="S6" s="653"/>
      <c r="T6" s="653"/>
      <c r="U6" s="157"/>
      <c r="V6" s="562"/>
      <c r="W6" s="161"/>
      <c r="X6" s="55"/>
      <c r="Y6" s="55"/>
      <c r="Z6" s="898"/>
      <c r="AA6" s="611"/>
      <c r="AB6" s="163"/>
      <c r="AC6" s="163"/>
      <c r="AD6" s="163"/>
      <c r="AE6" s="163"/>
      <c r="AF6" s="163"/>
      <c r="AG6" s="163"/>
      <c r="AH6" s="163"/>
      <c r="AI6" s="163"/>
      <c r="AJ6" s="163"/>
      <c r="AK6" s="163"/>
      <c r="AL6" s="163"/>
      <c r="AM6" s="163"/>
      <c r="AN6" s="163"/>
      <c r="AO6" s="163"/>
      <c r="AP6" s="163"/>
      <c r="AQ6" s="163"/>
      <c r="AR6" s="161"/>
      <c r="AS6" s="161"/>
      <c r="AT6" s="161"/>
    </row>
    <row r="7" spans="1:46" s="9" customFormat="1" ht="33.75" customHeight="1">
      <c r="A7" s="602"/>
      <c r="B7" s="562"/>
      <c r="C7" s="389"/>
      <c r="D7" s="182"/>
      <c r="E7" s="534" t="s">
        <v>146</v>
      </c>
      <c r="F7" s="1244" t="s">
        <v>376</v>
      </c>
      <c r="G7" s="1245"/>
      <c r="H7" s="1249" t="s">
        <v>210</v>
      </c>
      <c r="I7" s="1250"/>
      <c r="J7" s="1251"/>
      <c r="K7" s="1218" t="s">
        <v>1020</v>
      </c>
      <c r="L7" s="1219"/>
      <c r="M7" s="1219"/>
      <c r="N7" s="1219"/>
      <c r="O7" s="1219"/>
      <c r="P7" s="1219"/>
      <c r="Q7" s="1219"/>
      <c r="R7" s="1219"/>
      <c r="S7" s="1219"/>
      <c r="T7" s="1220"/>
      <c r="U7" s="205"/>
      <c r="V7" s="562"/>
      <c r="W7" s="314" t="s">
        <v>969</v>
      </c>
      <c r="X7" s="58"/>
      <c r="Y7" s="58"/>
      <c r="Z7" s="904" t="s">
        <v>0</v>
      </c>
      <c r="AA7" s="612"/>
      <c r="AB7" s="392"/>
      <c r="AC7" s="392"/>
      <c r="AD7" s="392"/>
      <c r="AE7" s="392"/>
      <c r="AF7" s="392"/>
      <c r="AG7" s="392"/>
      <c r="AH7" s="392"/>
      <c r="AI7" s="392"/>
      <c r="AJ7" s="392"/>
      <c r="AK7" s="392"/>
      <c r="AL7" s="392"/>
      <c r="AM7" s="392"/>
      <c r="AN7" s="392"/>
      <c r="AO7" s="392"/>
      <c r="AP7" s="392"/>
      <c r="AQ7" s="392"/>
      <c r="AR7" s="167"/>
      <c r="AS7" s="167"/>
      <c r="AT7" s="167"/>
    </row>
    <row r="8" spans="1:46" s="9" customFormat="1" ht="30.75" customHeight="1">
      <c r="A8" s="602"/>
      <c r="B8" s="562"/>
      <c r="C8" s="389"/>
      <c r="D8" s="1248" t="s">
        <v>425</v>
      </c>
      <c r="E8" s="1248"/>
      <c r="F8" s="1248"/>
      <c r="G8" s="1248"/>
      <c r="H8" s="1248"/>
      <c r="I8" s="365"/>
      <c r="J8" s="365"/>
      <c r="K8" s="365"/>
      <c r="L8" s="365"/>
      <c r="M8" s="365"/>
      <c r="N8" s="365"/>
      <c r="O8" s="365"/>
      <c r="P8" s="365"/>
      <c r="Q8" s="365"/>
      <c r="R8" s="365"/>
      <c r="S8" s="365"/>
      <c r="T8" s="365"/>
      <c r="U8" s="634"/>
      <c r="V8" s="562"/>
      <c r="W8" s="248"/>
      <c r="X8" s="108"/>
      <c r="Y8" s="884"/>
      <c r="Z8" s="904" t="s">
        <v>0</v>
      </c>
      <c r="AA8" s="612"/>
      <c r="AB8" s="392"/>
      <c r="AC8" s="392"/>
      <c r="AD8" s="392"/>
      <c r="AE8" s="392"/>
      <c r="AF8" s="392"/>
      <c r="AG8" s="392"/>
      <c r="AH8" s="392"/>
      <c r="AI8" s="392"/>
      <c r="AJ8" s="392"/>
      <c r="AK8" s="392"/>
      <c r="AL8" s="392"/>
      <c r="AM8" s="392"/>
      <c r="AN8" s="392"/>
      <c r="AO8" s="392"/>
      <c r="AP8" s="392"/>
      <c r="AQ8" s="392"/>
      <c r="AR8" s="167"/>
      <c r="AS8" s="167"/>
      <c r="AT8" s="167"/>
    </row>
    <row r="9" spans="1:46" s="66" customFormat="1" ht="19.5" customHeight="1">
      <c r="A9" s="602"/>
      <c r="B9" s="562"/>
      <c r="C9" s="279"/>
      <c r="D9" s="120"/>
      <c r="E9" s="1217" t="s">
        <v>372</v>
      </c>
      <c r="F9" s="1217"/>
      <c r="G9" s="1217"/>
      <c r="H9" s="509" t="s">
        <v>106</v>
      </c>
      <c r="I9" s="509"/>
      <c r="J9" s="531"/>
      <c r="K9" s="510" t="s">
        <v>7</v>
      </c>
      <c r="L9" s="510"/>
      <c r="M9" s="510"/>
      <c r="N9" s="510"/>
      <c r="O9" s="510"/>
      <c r="P9" s="510"/>
      <c r="Q9" s="510"/>
      <c r="R9" s="510"/>
      <c r="S9" s="510"/>
      <c r="T9" s="510"/>
      <c r="U9" s="292"/>
      <c r="V9" s="562"/>
      <c r="W9"/>
      <c r="X9" s="147"/>
      <c r="Y9" s="146"/>
      <c r="Z9" s="902" t="s">
        <v>0</v>
      </c>
      <c r="AA9" s="611"/>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601"/>
      <c r="B10" s="562"/>
      <c r="C10" s="279"/>
      <c r="D10" s="266"/>
      <c r="E10" s="1221" t="s">
        <v>385</v>
      </c>
      <c r="F10" s="1221"/>
      <c r="G10" s="1222"/>
      <c r="H10" s="1226" t="s">
        <v>9</v>
      </c>
      <c r="I10" s="1226"/>
      <c r="J10" s="225"/>
      <c r="K10" s="441">
        <v>1</v>
      </c>
      <c r="L10" s="442">
        <v>2</v>
      </c>
      <c r="M10" s="443">
        <v>3</v>
      </c>
      <c r="N10" s="444">
        <v>4</v>
      </c>
      <c r="O10" s="445">
        <v>5</v>
      </c>
      <c r="P10" s="446">
        <v>6</v>
      </c>
      <c r="Q10" s="447">
        <v>7</v>
      </c>
      <c r="R10" s="448">
        <v>8</v>
      </c>
      <c r="S10" s="449">
        <v>9</v>
      </c>
      <c r="T10" s="450">
        <v>10</v>
      </c>
      <c r="U10" s="292"/>
      <c r="V10" s="562"/>
      <c r="W10" s="314" t="s">
        <v>645</v>
      </c>
      <c r="X10" s="52">
        <f t="shared" ref="X10:X17" si="0">VLOOKUP($H10,C.VL_ScopeOfRule,2,FALSE)</f>
        <v>3</v>
      </c>
      <c r="Y10" s="14"/>
      <c r="Z10" s="903" t="s">
        <v>0</v>
      </c>
      <c r="AA10" s="610"/>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601"/>
      <c r="B11" s="562"/>
      <c r="C11" s="279"/>
      <c r="D11" s="153"/>
      <c r="E11" s="1221" t="s">
        <v>386</v>
      </c>
      <c r="F11" s="1221"/>
      <c r="G11" s="1222"/>
      <c r="H11" s="1226" t="s">
        <v>9</v>
      </c>
      <c r="I11" s="1226"/>
      <c r="J11" s="225"/>
      <c r="K11" s="441">
        <v>1</v>
      </c>
      <c r="L11" s="442">
        <v>2</v>
      </c>
      <c r="M11" s="443">
        <v>3</v>
      </c>
      <c r="N11" s="444">
        <v>4</v>
      </c>
      <c r="O11" s="445">
        <v>5</v>
      </c>
      <c r="P11" s="446">
        <v>6</v>
      </c>
      <c r="Q11" s="447">
        <v>7</v>
      </c>
      <c r="R11" s="448">
        <v>8</v>
      </c>
      <c r="S11" s="449">
        <v>9</v>
      </c>
      <c r="T11" s="450">
        <v>10</v>
      </c>
      <c r="U11" s="292"/>
      <c r="V11" s="562"/>
      <c r="W11" s="314" t="s">
        <v>645</v>
      </c>
      <c r="X11" s="52">
        <f t="shared" si="0"/>
        <v>3</v>
      </c>
      <c r="Y11" s="14"/>
      <c r="Z11" s="903"/>
      <c r="AA11" s="610"/>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601"/>
      <c r="B12" s="562"/>
      <c r="C12" s="279"/>
      <c r="D12" s="153"/>
      <c r="E12" s="1221" t="s">
        <v>387</v>
      </c>
      <c r="F12" s="1221"/>
      <c r="G12" s="1222"/>
      <c r="H12" s="1226" t="s">
        <v>9</v>
      </c>
      <c r="I12" s="1226"/>
      <c r="J12" s="225"/>
      <c r="K12" s="451">
        <v>1</v>
      </c>
      <c r="L12" s="452">
        <v>2</v>
      </c>
      <c r="M12" s="453">
        <v>3</v>
      </c>
      <c r="N12" s="454">
        <v>4</v>
      </c>
      <c r="O12" s="455">
        <v>5</v>
      </c>
      <c r="P12" s="456">
        <v>6</v>
      </c>
      <c r="Q12" s="457">
        <v>7</v>
      </c>
      <c r="R12" s="458">
        <v>8</v>
      </c>
      <c r="S12" s="459">
        <v>9</v>
      </c>
      <c r="T12" s="460">
        <v>10</v>
      </c>
      <c r="U12" s="292"/>
      <c r="V12" s="562"/>
      <c r="W12" s="314" t="s">
        <v>645</v>
      </c>
      <c r="X12" s="52">
        <f t="shared" si="0"/>
        <v>3</v>
      </c>
      <c r="Y12" s="14"/>
      <c r="Z12" s="899"/>
      <c r="AA12" s="610"/>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601"/>
      <c r="B13" s="562"/>
      <c r="C13" s="279"/>
      <c r="D13" s="153"/>
      <c r="E13" s="1221" t="s">
        <v>391</v>
      </c>
      <c r="F13" s="1221"/>
      <c r="G13" s="1222"/>
      <c r="H13" s="1226" t="s">
        <v>9</v>
      </c>
      <c r="I13" s="1226"/>
      <c r="J13" s="225"/>
      <c r="K13" s="441">
        <v>1</v>
      </c>
      <c r="L13" s="442">
        <v>2</v>
      </c>
      <c r="M13" s="443">
        <v>3</v>
      </c>
      <c r="N13" s="444">
        <v>4</v>
      </c>
      <c r="O13" s="445">
        <v>5</v>
      </c>
      <c r="P13" s="446">
        <v>6</v>
      </c>
      <c r="Q13" s="447">
        <v>7</v>
      </c>
      <c r="R13" s="448">
        <v>8</v>
      </c>
      <c r="S13" s="449">
        <v>9</v>
      </c>
      <c r="T13" s="450">
        <v>10</v>
      </c>
      <c r="U13" s="292"/>
      <c r="V13" s="562"/>
      <c r="W13" s="314" t="s">
        <v>645</v>
      </c>
      <c r="X13" s="52">
        <f t="shared" si="0"/>
        <v>3</v>
      </c>
      <c r="Y13" s="53"/>
      <c r="Z13" s="636"/>
      <c r="AA13" s="610"/>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601"/>
      <c r="B14" s="562"/>
      <c r="C14" s="279"/>
      <c r="D14" s="153"/>
      <c r="E14" s="1221" t="s">
        <v>390</v>
      </c>
      <c r="F14" s="1221"/>
      <c r="G14" s="1222"/>
      <c r="H14" s="1226" t="s">
        <v>9</v>
      </c>
      <c r="I14" s="1226"/>
      <c r="J14" s="225"/>
      <c r="K14" s="461">
        <v>1</v>
      </c>
      <c r="L14" s="432">
        <v>2</v>
      </c>
      <c r="M14" s="433">
        <v>3</v>
      </c>
      <c r="N14" s="434">
        <v>4</v>
      </c>
      <c r="O14" s="435">
        <v>5</v>
      </c>
      <c r="P14" s="436">
        <v>6</v>
      </c>
      <c r="Q14" s="437">
        <v>7</v>
      </c>
      <c r="R14" s="438">
        <v>8</v>
      </c>
      <c r="S14" s="439">
        <v>9</v>
      </c>
      <c r="T14" s="462">
        <v>10</v>
      </c>
      <c r="U14" s="292"/>
      <c r="V14" s="562"/>
      <c r="W14" s="314" t="s">
        <v>645</v>
      </c>
      <c r="X14" s="52">
        <f t="shared" si="0"/>
        <v>3</v>
      </c>
      <c r="Y14" s="14"/>
      <c r="Z14" s="899"/>
      <c r="AA14" s="610"/>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601"/>
      <c r="B15" s="562"/>
      <c r="C15" s="279"/>
      <c r="D15" s="153"/>
      <c r="E15" s="1221" t="s">
        <v>389</v>
      </c>
      <c r="F15" s="1221"/>
      <c r="G15" s="1222"/>
      <c r="H15" s="1226" t="s">
        <v>9</v>
      </c>
      <c r="I15" s="1226"/>
      <c r="J15" s="225"/>
      <c r="K15" s="441">
        <v>1</v>
      </c>
      <c r="L15" s="442">
        <v>2</v>
      </c>
      <c r="M15" s="443">
        <v>3</v>
      </c>
      <c r="N15" s="444">
        <v>4</v>
      </c>
      <c r="O15" s="445">
        <v>5</v>
      </c>
      <c r="P15" s="446">
        <v>6</v>
      </c>
      <c r="Q15" s="447">
        <v>7</v>
      </c>
      <c r="R15" s="448">
        <v>8</v>
      </c>
      <c r="S15" s="449">
        <v>9</v>
      </c>
      <c r="T15" s="450">
        <v>10</v>
      </c>
      <c r="U15" s="292"/>
      <c r="V15" s="562"/>
      <c r="W15" s="314" t="s">
        <v>645</v>
      </c>
      <c r="X15" s="52">
        <f t="shared" si="0"/>
        <v>3</v>
      </c>
      <c r="Y15" s="14"/>
      <c r="Z15" s="899"/>
      <c r="AA15" s="610"/>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601"/>
      <c r="B16" s="562"/>
      <c r="C16" s="279"/>
      <c r="D16" s="153"/>
      <c r="E16" s="1221" t="s">
        <v>388</v>
      </c>
      <c r="F16" s="1221"/>
      <c r="G16" s="1222"/>
      <c r="H16" s="1226" t="s">
        <v>9</v>
      </c>
      <c r="I16" s="1226"/>
      <c r="J16" s="225"/>
      <c r="K16" s="441">
        <v>1</v>
      </c>
      <c r="L16" s="442">
        <v>2</v>
      </c>
      <c r="M16" s="443">
        <v>3</v>
      </c>
      <c r="N16" s="444">
        <v>4</v>
      </c>
      <c r="O16" s="445">
        <v>5</v>
      </c>
      <c r="P16" s="446">
        <v>6</v>
      </c>
      <c r="Q16" s="447">
        <v>7</v>
      </c>
      <c r="R16" s="448">
        <v>8</v>
      </c>
      <c r="S16" s="449">
        <v>9</v>
      </c>
      <c r="T16" s="450">
        <v>10</v>
      </c>
      <c r="U16" s="292"/>
      <c r="V16" s="562"/>
      <c r="W16" s="314" t="s">
        <v>645</v>
      </c>
      <c r="X16" s="52">
        <f t="shared" si="0"/>
        <v>3</v>
      </c>
      <c r="Y16" s="14"/>
      <c r="Z16" s="899"/>
      <c r="AA16" s="610"/>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601"/>
      <c r="B17" s="562"/>
      <c r="C17" s="279"/>
      <c r="D17" s="153"/>
      <c r="E17" s="1221" t="s">
        <v>454</v>
      </c>
      <c r="F17" s="1221"/>
      <c r="G17" s="1222"/>
      <c r="H17" s="1226" t="s">
        <v>9</v>
      </c>
      <c r="I17" s="1226"/>
      <c r="J17" s="225"/>
      <c r="K17" s="461">
        <v>1</v>
      </c>
      <c r="L17" s="432">
        <v>2</v>
      </c>
      <c r="M17" s="433">
        <v>3</v>
      </c>
      <c r="N17" s="434">
        <v>4</v>
      </c>
      <c r="O17" s="435">
        <v>5</v>
      </c>
      <c r="P17" s="436">
        <v>6</v>
      </c>
      <c r="Q17" s="437">
        <v>7</v>
      </c>
      <c r="R17" s="438">
        <v>8</v>
      </c>
      <c r="S17" s="439">
        <v>9</v>
      </c>
      <c r="T17" s="462">
        <v>10</v>
      </c>
      <c r="U17" s="292"/>
      <c r="V17" s="562"/>
      <c r="W17" s="314" t="s">
        <v>645</v>
      </c>
      <c r="X17" s="52">
        <f t="shared" si="0"/>
        <v>3</v>
      </c>
      <c r="Y17" s="14"/>
      <c r="Z17" s="899"/>
      <c r="AA17" s="610"/>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601"/>
      <c r="B18" s="562"/>
      <c r="C18" s="279"/>
      <c r="D18" s="153"/>
      <c r="E18" s="529"/>
      <c r="F18" s="529"/>
      <c r="G18" s="530"/>
      <c r="H18" s="225"/>
      <c r="I18" s="225"/>
      <c r="J18" s="225"/>
      <c r="K18" s="521"/>
      <c r="L18" s="521"/>
      <c r="M18" s="521"/>
      <c r="N18" s="521"/>
      <c r="O18" s="521"/>
      <c r="P18" s="521"/>
      <c r="Q18" s="521"/>
      <c r="R18" s="521"/>
      <c r="S18" s="521"/>
      <c r="T18" s="521"/>
      <c r="U18" s="535"/>
      <c r="V18" s="562"/>
      <c r="W18" s="159"/>
      <c r="X18" s="41">
        <v>3</v>
      </c>
      <c r="Y18" s="14"/>
      <c r="Z18" s="900"/>
      <c r="AA18" s="610"/>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601"/>
      <c r="B19" s="562"/>
      <c r="C19" s="279"/>
      <c r="D19" s="153"/>
      <c r="E19" s="440"/>
      <c r="F19" s="440"/>
      <c r="G19" s="225"/>
      <c r="H19" s="225"/>
      <c r="I19" s="225"/>
      <c r="J19" s="225"/>
      <c r="K19" s="522"/>
      <c r="L19" s="522"/>
      <c r="M19" s="522"/>
      <c r="N19" s="522"/>
      <c r="O19" s="522"/>
      <c r="P19" s="522"/>
      <c r="Q19" s="522"/>
      <c r="R19" s="522"/>
      <c r="S19" s="522"/>
      <c r="T19" s="522"/>
      <c r="U19" s="535"/>
      <c r="V19" s="562"/>
      <c r="W19" s="159"/>
      <c r="X19" s="42"/>
      <c r="Y19" s="14"/>
      <c r="Z19" s="900"/>
      <c r="AA19" s="610"/>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601"/>
      <c r="B20" s="562"/>
      <c r="C20" s="279"/>
      <c r="D20" s="153"/>
      <c r="E20" s="183"/>
      <c r="F20" s="183"/>
      <c r="G20" s="1241" t="s">
        <v>107</v>
      </c>
      <c r="H20" s="1241"/>
      <c r="I20" s="1241"/>
      <c r="J20" s="225"/>
      <c r="K20" s="463">
        <v>1</v>
      </c>
      <c r="L20" s="464">
        <v>2</v>
      </c>
      <c r="M20" s="465">
        <v>3</v>
      </c>
      <c r="N20" s="466">
        <v>4</v>
      </c>
      <c r="O20" s="467">
        <v>5</v>
      </c>
      <c r="P20" s="468">
        <v>6</v>
      </c>
      <c r="Q20" s="469">
        <v>7</v>
      </c>
      <c r="R20" s="470">
        <v>8</v>
      </c>
      <c r="S20" s="471">
        <v>9</v>
      </c>
      <c r="T20" s="472">
        <v>10</v>
      </c>
      <c r="U20" s="535"/>
      <c r="V20" s="562" t="s">
        <v>0</v>
      </c>
      <c r="W20" s="159"/>
      <c r="X20" s="43">
        <f>IF(AVERAGE(X10:X17)=0,0,AVERAGEIF(X10:X17,"&gt;0",X10:X17))</f>
        <v>3</v>
      </c>
      <c r="Y20" s="14"/>
      <c r="Z20" s="900"/>
      <c r="AA20" s="610"/>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602"/>
      <c r="B21" s="562"/>
      <c r="C21" s="389" t="s">
        <v>0</v>
      </c>
      <c r="D21" s="1227" t="s">
        <v>377</v>
      </c>
      <c r="E21" s="1227"/>
      <c r="F21" s="1227"/>
      <c r="G21" s="1227"/>
      <c r="H21" s="1227"/>
      <c r="I21" s="1227"/>
      <c r="J21" s="1227"/>
      <c r="K21" s="1227"/>
      <c r="L21" s="1227"/>
      <c r="M21" s="1227"/>
      <c r="N21" s="1227"/>
      <c r="O21" s="1227"/>
      <c r="P21" s="1227"/>
      <c r="Q21" s="1227"/>
      <c r="R21" s="1227"/>
      <c r="S21" s="1227"/>
      <c r="T21" s="1227"/>
      <c r="U21" s="347"/>
      <c r="V21" s="562"/>
      <c r="W21" s="167"/>
      <c r="X21" s="58"/>
      <c r="Y21" s="883"/>
      <c r="Z21" s="901"/>
      <c r="AA21" s="612"/>
      <c r="AB21" s="392"/>
      <c r="AC21" s="392"/>
      <c r="AD21" s="392"/>
      <c r="AE21" s="392"/>
      <c r="AF21" s="392"/>
      <c r="AG21" s="392"/>
      <c r="AH21" s="392"/>
      <c r="AI21" s="392"/>
      <c r="AJ21" s="392"/>
      <c r="AK21" s="392"/>
      <c r="AL21" s="392"/>
      <c r="AM21" s="392"/>
      <c r="AN21" s="392"/>
      <c r="AO21" s="392"/>
      <c r="AP21" s="392"/>
      <c r="AQ21" s="392"/>
      <c r="AR21" s="167"/>
      <c r="AS21" s="167"/>
      <c r="AT21" s="167"/>
    </row>
    <row r="22" spans="1:46" s="66" customFormat="1" ht="31.5" customHeight="1">
      <c r="A22" s="602"/>
      <c r="B22" s="562"/>
      <c r="C22" s="279"/>
      <c r="D22" s="116" t="s">
        <v>196</v>
      </c>
      <c r="E22" s="1232" t="s">
        <v>1024</v>
      </c>
      <c r="F22" s="1233"/>
      <c r="G22" s="1233"/>
      <c r="H22" s="1233"/>
      <c r="I22" s="1233"/>
      <c r="J22" s="1233"/>
      <c r="K22" s="1233"/>
      <c r="L22" s="1233"/>
      <c r="M22" s="1233"/>
      <c r="N22" s="1233"/>
      <c r="O22" s="1233"/>
      <c r="P22" s="1233"/>
      <c r="Q22" s="1233"/>
      <c r="R22" s="1233"/>
      <c r="S22" s="1233"/>
      <c r="T22" s="1234"/>
      <c r="U22" s="201"/>
      <c r="V22" s="562"/>
      <c r="W22" s="161"/>
      <c r="X22" s="55"/>
      <c r="Y22" s="32"/>
      <c r="Z22" s="70"/>
      <c r="AA22" s="611"/>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45" customHeight="1">
      <c r="A23" s="602"/>
      <c r="B23" s="562"/>
      <c r="C23" s="279"/>
      <c r="D23" s="116" t="s">
        <v>197</v>
      </c>
      <c r="E23" s="1235" t="s">
        <v>1023</v>
      </c>
      <c r="F23" s="1236"/>
      <c r="G23" s="1236"/>
      <c r="H23" s="1236"/>
      <c r="I23" s="1236"/>
      <c r="J23" s="1236"/>
      <c r="K23" s="1236"/>
      <c r="L23" s="1236"/>
      <c r="M23" s="1236"/>
      <c r="N23" s="1236"/>
      <c r="O23" s="1236"/>
      <c r="P23" s="1236"/>
      <c r="Q23" s="1236"/>
      <c r="R23" s="1236"/>
      <c r="S23" s="1236"/>
      <c r="T23" s="1237"/>
      <c r="U23" s="201"/>
      <c r="V23" s="562"/>
      <c r="W23" s="161"/>
      <c r="X23" s="55"/>
      <c r="Y23" s="32"/>
      <c r="Z23" s="70"/>
      <c r="AA23" s="611"/>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602"/>
      <c r="B24" s="562"/>
      <c r="C24" s="389" t="s">
        <v>0</v>
      </c>
      <c r="D24" s="1227" t="s">
        <v>378</v>
      </c>
      <c r="E24" s="1227"/>
      <c r="F24" s="1227"/>
      <c r="G24" s="1227"/>
      <c r="H24" s="1227"/>
      <c r="I24" s="1227"/>
      <c r="J24" s="1227"/>
      <c r="K24" s="1227"/>
      <c r="L24" s="1227"/>
      <c r="M24" s="1227"/>
      <c r="N24" s="1227"/>
      <c r="O24" s="1227"/>
      <c r="P24" s="1227"/>
      <c r="Q24" s="1227"/>
      <c r="R24" s="1227"/>
      <c r="S24" s="1227"/>
      <c r="T24" s="1227"/>
      <c r="U24" s="347"/>
      <c r="V24" s="562"/>
      <c r="W24" s="167"/>
      <c r="X24" s="58"/>
      <c r="Y24" s="883"/>
      <c r="Z24" s="901"/>
      <c r="AA24" s="612"/>
      <c r="AB24" s="392"/>
      <c r="AC24" s="392"/>
      <c r="AD24" s="392"/>
      <c r="AE24" s="392"/>
      <c r="AF24" s="392"/>
      <c r="AG24" s="392"/>
      <c r="AH24" s="392"/>
      <c r="AI24" s="392"/>
      <c r="AJ24" s="392"/>
      <c r="AK24" s="392"/>
      <c r="AL24" s="392"/>
      <c r="AM24" s="392"/>
      <c r="AN24" s="392"/>
      <c r="AO24" s="392"/>
      <c r="AP24" s="392"/>
      <c r="AQ24" s="392"/>
      <c r="AR24" s="167"/>
      <c r="AS24" s="167"/>
      <c r="AT24" s="167"/>
    </row>
    <row r="25" spans="1:46" s="66" customFormat="1" ht="15.75" customHeight="1">
      <c r="A25" s="602"/>
      <c r="B25" s="562"/>
      <c r="C25" s="279"/>
      <c r="D25" s="116" t="s">
        <v>196</v>
      </c>
      <c r="E25" s="1235" t="s">
        <v>1025</v>
      </c>
      <c r="F25" s="1236"/>
      <c r="G25" s="1236"/>
      <c r="H25" s="1236"/>
      <c r="I25" s="1236"/>
      <c r="J25" s="1236"/>
      <c r="K25" s="1236"/>
      <c r="L25" s="1236"/>
      <c r="M25" s="1236"/>
      <c r="N25" s="1236"/>
      <c r="O25" s="1236"/>
      <c r="P25" s="1236"/>
      <c r="Q25" s="1236"/>
      <c r="R25" s="1236"/>
      <c r="S25" s="1236"/>
      <c r="T25" s="1237"/>
      <c r="U25" s="201"/>
      <c r="V25" s="562"/>
      <c r="W25" s="161"/>
      <c r="X25" s="55"/>
      <c r="Y25" s="32"/>
      <c r="Z25" s="70"/>
      <c r="AA25" s="611"/>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61.5" customHeight="1">
      <c r="A26" s="602"/>
      <c r="B26" s="562"/>
      <c r="C26" s="279"/>
      <c r="D26" s="116" t="s">
        <v>197</v>
      </c>
      <c r="E26" s="1235" t="s">
        <v>1027</v>
      </c>
      <c r="F26" s="1236"/>
      <c r="G26" s="1236"/>
      <c r="H26" s="1236"/>
      <c r="I26" s="1236"/>
      <c r="J26" s="1236"/>
      <c r="K26" s="1236"/>
      <c r="L26" s="1236"/>
      <c r="M26" s="1236"/>
      <c r="N26" s="1236"/>
      <c r="O26" s="1236"/>
      <c r="P26" s="1236"/>
      <c r="Q26" s="1236"/>
      <c r="R26" s="1236"/>
      <c r="S26" s="1236"/>
      <c r="T26" s="1237"/>
      <c r="U26" s="201"/>
      <c r="V26" s="562"/>
      <c r="W26" s="161"/>
      <c r="X26" s="55"/>
      <c r="Y26" s="32"/>
      <c r="Z26" s="70"/>
      <c r="AA26" s="611"/>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602"/>
      <c r="B27" s="562"/>
      <c r="C27" s="389" t="s">
        <v>0</v>
      </c>
      <c r="D27" s="1227" t="s">
        <v>379</v>
      </c>
      <c r="E27" s="1227"/>
      <c r="F27" s="1227"/>
      <c r="G27" s="1227"/>
      <c r="H27" s="1227"/>
      <c r="I27" s="1227"/>
      <c r="J27" s="1227"/>
      <c r="K27" s="1227"/>
      <c r="L27" s="1227"/>
      <c r="M27" s="1227"/>
      <c r="N27" s="1227"/>
      <c r="O27" s="1227"/>
      <c r="P27" s="1227"/>
      <c r="Q27" s="1227"/>
      <c r="R27" s="1227"/>
      <c r="S27" s="1227"/>
      <c r="T27" s="1227"/>
      <c r="U27" s="347"/>
      <c r="V27" s="562"/>
      <c r="W27" s="167"/>
      <c r="X27" s="58"/>
      <c r="Y27" s="883"/>
      <c r="Z27" s="901"/>
      <c r="AA27" s="612"/>
      <c r="AB27" s="392"/>
      <c r="AC27" s="392"/>
      <c r="AD27" s="392"/>
      <c r="AE27" s="392"/>
      <c r="AF27" s="392"/>
      <c r="AG27" s="392"/>
      <c r="AH27" s="392"/>
      <c r="AI27" s="392"/>
      <c r="AJ27" s="392"/>
      <c r="AK27" s="392"/>
      <c r="AL27" s="392"/>
      <c r="AM27" s="392"/>
      <c r="AN27" s="392"/>
      <c r="AO27" s="392"/>
      <c r="AP27" s="392"/>
      <c r="AQ27" s="392"/>
      <c r="AR27" s="167"/>
      <c r="AS27" s="167"/>
      <c r="AT27" s="167"/>
    </row>
    <row r="28" spans="1:46" s="66" customFormat="1" ht="15.75" customHeight="1">
      <c r="A28" s="602"/>
      <c r="B28" s="562"/>
      <c r="C28" s="279"/>
      <c r="D28" s="116" t="s">
        <v>196</v>
      </c>
      <c r="E28" s="1235" t="s">
        <v>1028</v>
      </c>
      <c r="F28" s="1236"/>
      <c r="G28" s="1236"/>
      <c r="H28" s="1236"/>
      <c r="I28" s="1236"/>
      <c r="J28" s="1236"/>
      <c r="K28" s="1236"/>
      <c r="L28" s="1236"/>
      <c r="M28" s="1236"/>
      <c r="N28" s="1236"/>
      <c r="O28" s="1236"/>
      <c r="P28" s="1236"/>
      <c r="Q28" s="1236"/>
      <c r="R28" s="1236"/>
      <c r="S28" s="1236"/>
      <c r="T28" s="1237"/>
      <c r="U28" s="201"/>
      <c r="V28" s="562"/>
      <c r="W28" s="161"/>
      <c r="X28" s="55"/>
      <c r="Y28" s="32"/>
      <c r="Z28" s="70"/>
      <c r="AA28" s="611"/>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76.5" customHeight="1">
      <c r="A29" s="602"/>
      <c r="B29" s="562"/>
      <c r="C29" s="279"/>
      <c r="D29" s="116" t="s">
        <v>197</v>
      </c>
      <c r="E29" s="1235" t="s">
        <v>1029</v>
      </c>
      <c r="F29" s="1236"/>
      <c r="G29" s="1236"/>
      <c r="H29" s="1236"/>
      <c r="I29" s="1236"/>
      <c r="J29" s="1236"/>
      <c r="K29" s="1236"/>
      <c r="L29" s="1236"/>
      <c r="M29" s="1236"/>
      <c r="N29" s="1236"/>
      <c r="O29" s="1236"/>
      <c r="P29" s="1236"/>
      <c r="Q29" s="1236"/>
      <c r="R29" s="1236"/>
      <c r="S29" s="1236"/>
      <c r="T29" s="1237"/>
      <c r="U29" s="201"/>
      <c r="V29" s="562"/>
      <c r="W29" s="161"/>
      <c r="X29" s="55"/>
      <c r="Y29" s="32"/>
      <c r="Z29" s="146"/>
      <c r="AA29" s="611"/>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602"/>
      <c r="B30" s="562"/>
      <c r="C30" s="389" t="s">
        <v>0</v>
      </c>
      <c r="D30" s="1227" t="s">
        <v>393</v>
      </c>
      <c r="E30" s="1227"/>
      <c r="F30" s="1227"/>
      <c r="G30" s="1227"/>
      <c r="H30" s="1227"/>
      <c r="I30" s="1227"/>
      <c r="J30" s="1227"/>
      <c r="K30" s="1227"/>
      <c r="L30" s="1227"/>
      <c r="M30" s="1227"/>
      <c r="N30" s="1227"/>
      <c r="O30" s="1227"/>
      <c r="P30" s="1227"/>
      <c r="Q30" s="1227"/>
      <c r="R30" s="1227"/>
      <c r="S30" s="1227"/>
      <c r="T30" s="1227"/>
      <c r="U30" s="347"/>
      <c r="V30" s="562"/>
      <c r="W30" s="167"/>
      <c r="X30" s="58"/>
      <c r="Y30" s="883"/>
      <c r="Z30" s="28"/>
      <c r="AA30" s="612"/>
      <c r="AB30" s="392"/>
      <c r="AC30" s="392"/>
      <c r="AD30" s="392"/>
      <c r="AE30" s="392"/>
      <c r="AF30" s="392"/>
      <c r="AG30" s="392"/>
      <c r="AH30" s="392"/>
      <c r="AI30" s="392"/>
      <c r="AJ30" s="392"/>
      <c r="AK30" s="392"/>
      <c r="AL30" s="392"/>
      <c r="AM30" s="392"/>
      <c r="AN30" s="392"/>
      <c r="AO30" s="392"/>
      <c r="AP30" s="392"/>
      <c r="AQ30" s="392"/>
      <c r="AR30" s="167"/>
      <c r="AS30" s="167"/>
      <c r="AT30" s="167"/>
    </row>
    <row r="31" spans="1:46" s="66" customFormat="1" ht="15.75" customHeight="1">
      <c r="A31" s="602"/>
      <c r="B31" s="562"/>
      <c r="C31" s="279"/>
      <c r="D31" s="116" t="s">
        <v>196</v>
      </c>
      <c r="E31" s="1232"/>
      <c r="F31" s="1233"/>
      <c r="G31" s="1233"/>
      <c r="H31" s="1233"/>
      <c r="I31" s="1233"/>
      <c r="J31" s="1233"/>
      <c r="K31" s="1233"/>
      <c r="L31" s="1233"/>
      <c r="M31" s="1233"/>
      <c r="N31" s="1233"/>
      <c r="O31" s="1233"/>
      <c r="P31" s="1233"/>
      <c r="Q31" s="1233"/>
      <c r="R31" s="1233"/>
      <c r="S31" s="1233"/>
      <c r="T31" s="1234"/>
      <c r="U31" s="201"/>
      <c r="V31" s="562"/>
      <c r="W31" s="161"/>
      <c r="X31" s="55"/>
      <c r="Y31" s="32"/>
      <c r="Z31" s="146"/>
      <c r="AA31" s="611"/>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602"/>
      <c r="B32" s="562"/>
      <c r="C32" s="279"/>
      <c r="D32" s="117" t="s">
        <v>197</v>
      </c>
      <c r="E32" s="1232"/>
      <c r="F32" s="1233"/>
      <c r="G32" s="1233"/>
      <c r="H32" s="1233"/>
      <c r="I32" s="1233"/>
      <c r="J32" s="1233"/>
      <c r="K32" s="1233"/>
      <c r="L32" s="1233"/>
      <c r="M32" s="1233"/>
      <c r="N32" s="1233"/>
      <c r="O32" s="1233"/>
      <c r="P32" s="1233"/>
      <c r="Q32" s="1233"/>
      <c r="R32" s="1233"/>
      <c r="S32" s="1233"/>
      <c r="T32" s="1234"/>
      <c r="U32" s="201"/>
      <c r="V32" s="562"/>
      <c r="W32" s="161"/>
      <c r="X32" s="55"/>
      <c r="Y32" s="32"/>
      <c r="Z32" s="146"/>
      <c r="AA32" s="611"/>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602"/>
      <c r="B33" s="562"/>
      <c r="C33" s="389" t="s">
        <v>0</v>
      </c>
      <c r="D33" s="1227" t="s">
        <v>394</v>
      </c>
      <c r="E33" s="1227"/>
      <c r="F33" s="1227"/>
      <c r="G33" s="1227"/>
      <c r="H33" s="1227"/>
      <c r="I33" s="1227"/>
      <c r="J33" s="1227"/>
      <c r="K33" s="1227"/>
      <c r="L33" s="1227"/>
      <c r="M33" s="1227"/>
      <c r="N33" s="1227"/>
      <c r="O33" s="1227"/>
      <c r="P33" s="1227"/>
      <c r="Q33" s="1227"/>
      <c r="R33" s="1227"/>
      <c r="S33" s="1227"/>
      <c r="T33" s="1227"/>
      <c r="U33" s="347"/>
      <c r="V33" s="562"/>
      <c r="W33" s="167"/>
      <c r="X33" s="58"/>
      <c r="Y33" s="883"/>
      <c r="Z33" s="28"/>
      <c r="AA33" s="612"/>
      <c r="AB33" s="392"/>
      <c r="AC33" s="392"/>
      <c r="AD33" s="392"/>
      <c r="AE33" s="392"/>
      <c r="AF33" s="392"/>
      <c r="AG33" s="392"/>
      <c r="AH33" s="392"/>
      <c r="AI33" s="392"/>
      <c r="AJ33" s="392"/>
      <c r="AK33" s="392"/>
      <c r="AL33" s="392"/>
      <c r="AM33" s="392"/>
      <c r="AN33" s="392"/>
      <c r="AO33" s="392"/>
      <c r="AP33" s="392"/>
      <c r="AQ33" s="392"/>
      <c r="AR33" s="167"/>
      <c r="AS33" s="167"/>
      <c r="AT33" s="167"/>
    </row>
    <row r="34" spans="1:46" s="66" customFormat="1" ht="15.75" customHeight="1">
      <c r="A34" s="602"/>
      <c r="B34" s="562"/>
      <c r="C34" s="279"/>
      <c r="D34" s="116" t="s">
        <v>196</v>
      </c>
      <c r="E34" s="1229" t="s">
        <v>1021</v>
      </c>
      <c r="F34" s="1230"/>
      <c r="G34" s="1230"/>
      <c r="H34" s="1230"/>
      <c r="I34" s="1230"/>
      <c r="J34" s="1230"/>
      <c r="K34" s="1230"/>
      <c r="L34" s="1230"/>
      <c r="M34" s="1230"/>
      <c r="N34" s="1230"/>
      <c r="O34" s="1230"/>
      <c r="P34" s="1230"/>
      <c r="Q34" s="1230"/>
      <c r="R34" s="1230"/>
      <c r="S34" s="1230"/>
      <c r="T34" s="1231"/>
      <c r="U34" s="201"/>
      <c r="V34" s="562"/>
      <c r="W34" s="161"/>
      <c r="X34" s="55"/>
      <c r="Y34" s="32"/>
      <c r="Z34" s="69"/>
      <c r="AA34" s="611"/>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46.5" customHeight="1">
      <c r="A35" s="602"/>
      <c r="B35" s="562"/>
      <c r="C35" s="279"/>
      <c r="D35" s="117" t="s">
        <v>197</v>
      </c>
      <c r="E35" s="1232" t="s">
        <v>1022</v>
      </c>
      <c r="F35" s="1233"/>
      <c r="G35" s="1233"/>
      <c r="H35" s="1233"/>
      <c r="I35" s="1233"/>
      <c r="J35" s="1233"/>
      <c r="K35" s="1233"/>
      <c r="L35" s="1233"/>
      <c r="M35" s="1233"/>
      <c r="N35" s="1233"/>
      <c r="O35" s="1233"/>
      <c r="P35" s="1233"/>
      <c r="Q35" s="1233"/>
      <c r="R35" s="1233"/>
      <c r="S35" s="1233"/>
      <c r="T35" s="1234"/>
      <c r="U35" s="201"/>
      <c r="V35" s="562"/>
      <c r="W35" s="161"/>
      <c r="X35" s="55"/>
      <c r="Y35" s="32"/>
      <c r="Z35" s="69"/>
      <c r="AA35" s="611"/>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602"/>
      <c r="B36" s="562"/>
      <c r="C36" s="389" t="s">
        <v>0</v>
      </c>
      <c r="D36" s="1227" t="s">
        <v>413</v>
      </c>
      <c r="E36" s="1227"/>
      <c r="F36" s="1227"/>
      <c r="G36" s="1227"/>
      <c r="H36" s="1227"/>
      <c r="I36" s="1227"/>
      <c r="J36" s="1227"/>
      <c r="K36" s="1227"/>
      <c r="L36" s="1227"/>
      <c r="M36" s="1227"/>
      <c r="N36" s="1227"/>
      <c r="O36" s="1227"/>
      <c r="P36" s="1227"/>
      <c r="Q36" s="1227"/>
      <c r="R36" s="1227"/>
      <c r="S36" s="1227"/>
      <c r="T36" s="1227"/>
      <c r="U36" s="347"/>
      <c r="V36" s="562"/>
      <c r="W36" s="167"/>
      <c r="X36" s="58"/>
      <c r="Y36" s="883"/>
      <c r="Z36" s="28"/>
      <c r="AA36" s="612"/>
      <c r="AB36" s="392"/>
      <c r="AC36" s="392"/>
      <c r="AD36" s="392"/>
      <c r="AE36" s="392"/>
      <c r="AF36" s="392"/>
      <c r="AG36" s="392"/>
      <c r="AH36" s="392"/>
      <c r="AI36" s="392"/>
      <c r="AJ36" s="392"/>
      <c r="AK36" s="392"/>
      <c r="AL36" s="392"/>
      <c r="AM36" s="392"/>
      <c r="AN36" s="392"/>
      <c r="AO36" s="392"/>
      <c r="AP36" s="392"/>
      <c r="AQ36" s="392"/>
      <c r="AR36" s="167"/>
      <c r="AS36" s="167"/>
      <c r="AT36" s="167"/>
    </row>
    <row r="37" spans="1:46" s="66" customFormat="1" ht="15.75" customHeight="1">
      <c r="A37" s="602"/>
      <c r="B37" s="562"/>
      <c r="C37" s="279"/>
      <c r="D37" s="116" t="s">
        <v>196</v>
      </c>
      <c r="E37" s="1229"/>
      <c r="F37" s="1230"/>
      <c r="G37" s="1230"/>
      <c r="H37" s="1230"/>
      <c r="I37" s="1230"/>
      <c r="J37" s="1230"/>
      <c r="K37" s="1230"/>
      <c r="L37" s="1230"/>
      <c r="M37" s="1230"/>
      <c r="N37" s="1230"/>
      <c r="O37" s="1230"/>
      <c r="P37" s="1230"/>
      <c r="Q37" s="1230"/>
      <c r="R37" s="1230"/>
      <c r="S37" s="1230"/>
      <c r="T37" s="1231"/>
      <c r="U37" s="201"/>
      <c r="V37" s="562"/>
      <c r="W37" s="161"/>
      <c r="X37" s="55"/>
      <c r="Y37" s="32"/>
      <c r="Z37" s="146"/>
      <c r="AA37" s="611"/>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602"/>
      <c r="B38" s="562"/>
      <c r="C38" s="279"/>
      <c r="D38" s="117" t="s">
        <v>197</v>
      </c>
      <c r="E38" s="1229"/>
      <c r="F38" s="1230"/>
      <c r="G38" s="1230"/>
      <c r="H38" s="1230"/>
      <c r="I38" s="1230"/>
      <c r="J38" s="1230"/>
      <c r="K38" s="1230"/>
      <c r="L38" s="1230"/>
      <c r="M38" s="1230"/>
      <c r="N38" s="1230"/>
      <c r="O38" s="1230"/>
      <c r="P38" s="1230"/>
      <c r="Q38" s="1230"/>
      <c r="R38" s="1230"/>
      <c r="S38" s="1230"/>
      <c r="T38" s="1231"/>
      <c r="U38" s="201"/>
      <c r="V38" s="562"/>
      <c r="W38" s="161"/>
      <c r="X38" s="55"/>
      <c r="Y38" s="32"/>
      <c r="Z38" s="146"/>
      <c r="AA38" s="611"/>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602"/>
      <c r="B39" s="562"/>
      <c r="C39" s="537"/>
      <c r="D39" s="114"/>
      <c r="E39" s="114"/>
      <c r="F39" s="114"/>
      <c r="G39" s="1211" t="s">
        <v>398</v>
      </c>
      <c r="H39" s="1211"/>
      <c r="I39" s="1211"/>
      <c r="J39" s="1211"/>
      <c r="K39" s="1211"/>
      <c r="L39" s="1211"/>
      <c r="M39" s="1211"/>
      <c r="N39" s="1211"/>
      <c r="O39" s="1211"/>
      <c r="P39" s="1211"/>
      <c r="Q39" s="1211"/>
      <c r="R39" s="1211"/>
      <c r="S39" s="1211"/>
      <c r="T39" s="1211"/>
      <c r="U39" s="201"/>
      <c r="V39" s="562"/>
      <c r="W39" s="161"/>
      <c r="X39" s="55"/>
      <c r="Y39" s="32"/>
      <c r="Z39" s="50" t="s">
        <v>0</v>
      </c>
      <c r="AA39" s="611"/>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602" t="s">
        <v>0</v>
      </c>
      <c r="B40" s="562"/>
      <c r="C40" s="279"/>
      <c r="D40" s="114"/>
      <c r="E40" s="114"/>
      <c r="F40" s="114"/>
      <c r="G40" s="597" t="s">
        <v>144</v>
      </c>
      <c r="H40" s="598"/>
      <c r="J40" s="109" t="s">
        <v>124</v>
      </c>
      <c r="L40" s="508"/>
      <c r="M40" s="508"/>
      <c r="N40" s="508"/>
      <c r="O40" s="508"/>
      <c r="P40" s="508"/>
      <c r="Q40" s="477"/>
      <c r="R40" s="114"/>
      <c r="S40" s="153"/>
      <c r="T40" s="476"/>
      <c r="U40" s="292"/>
      <c r="V40" s="562"/>
      <c r="W40" s="314" t="s">
        <v>644</v>
      </c>
      <c r="X40" s="622" t="str">
        <f>IF(J40="Y","involved","not involved")</f>
        <v>involved</v>
      </c>
      <c r="Y40" s="642">
        <f>IF(J40="Y",7,0)</f>
        <v>7</v>
      </c>
      <c r="Z40" s="17"/>
      <c r="AA40" s="611"/>
      <c r="AB40" s="502"/>
      <c r="AC40" s="502"/>
      <c r="AD40" s="502"/>
      <c r="AE40" s="502"/>
      <c r="AF40" s="502"/>
      <c r="AG40" s="502"/>
      <c r="AH40" s="502"/>
      <c r="AI40" s="502"/>
      <c r="AJ40" s="502"/>
      <c r="AK40" s="502"/>
      <c r="AL40" s="502"/>
      <c r="AM40" s="502"/>
      <c r="AN40" s="502"/>
      <c r="AO40" s="502"/>
      <c r="AP40" s="502"/>
      <c r="AQ40" s="502"/>
      <c r="AR40" s="166"/>
      <c r="AS40" s="166"/>
      <c r="AT40" s="166"/>
    </row>
    <row r="41" spans="1:46" s="8" customFormat="1" ht="6" customHeight="1">
      <c r="A41" s="602"/>
      <c r="B41" s="562"/>
      <c r="C41" s="279"/>
      <c r="D41" s="114"/>
      <c r="E41" s="114"/>
      <c r="F41" s="114"/>
      <c r="G41" s="599"/>
      <c r="H41" s="598"/>
      <c r="J41" s="591"/>
      <c r="L41" s="476"/>
      <c r="M41" s="592"/>
      <c r="N41" s="592"/>
      <c r="O41" s="592"/>
      <c r="P41" s="592"/>
      <c r="Q41" s="477"/>
      <c r="R41" s="114"/>
      <c r="S41" s="153"/>
      <c r="T41" s="476"/>
      <c r="U41" s="292"/>
      <c r="V41" s="562"/>
      <c r="W41" s="314"/>
      <c r="X41" s="623"/>
      <c r="Y41" s="636"/>
      <c r="Z41" s="17"/>
      <c r="AA41" s="611"/>
      <c r="AB41" s="502"/>
      <c r="AC41" s="502"/>
      <c r="AD41" s="502"/>
      <c r="AE41" s="502"/>
      <c r="AF41" s="502"/>
      <c r="AG41" s="502"/>
      <c r="AH41" s="502"/>
      <c r="AI41" s="502"/>
      <c r="AJ41" s="502"/>
      <c r="AK41" s="502"/>
      <c r="AL41" s="502"/>
      <c r="AM41" s="502"/>
      <c r="AN41" s="502"/>
      <c r="AO41" s="502"/>
      <c r="AP41" s="502"/>
      <c r="AQ41" s="502"/>
      <c r="AR41" s="166"/>
      <c r="AS41" s="166"/>
      <c r="AT41" s="166"/>
    </row>
    <row r="42" spans="1:46" s="8" customFormat="1" ht="15.75" customHeight="1">
      <c r="A42" s="602" t="s">
        <v>0</v>
      </c>
      <c r="B42" s="562"/>
      <c r="C42" s="279"/>
      <c r="D42" s="114"/>
      <c r="E42" s="114"/>
      <c r="F42" s="114"/>
      <c r="G42" s="597" t="s">
        <v>145</v>
      </c>
      <c r="H42" s="600"/>
      <c r="J42" s="590" t="s">
        <v>124</v>
      </c>
      <c r="L42" s="508"/>
      <c r="M42" s="508"/>
      <c r="N42" s="508"/>
      <c r="O42" s="508"/>
      <c r="P42" s="508"/>
      <c r="Q42" s="114"/>
      <c r="R42" s="114"/>
      <c r="S42" s="478"/>
      <c r="T42" s="478"/>
      <c r="U42" s="292"/>
      <c r="V42" s="562"/>
      <c r="W42" s="314" t="s">
        <v>644</v>
      </c>
      <c r="X42" s="622" t="str">
        <f>IF(J42="Y","involved","not involved")</f>
        <v>involved</v>
      </c>
      <c r="Y42" s="642">
        <f>IF(J42="Y",7,0)</f>
        <v>7</v>
      </c>
      <c r="Z42" s="17"/>
      <c r="AA42" s="611"/>
      <c r="AB42" s="502"/>
      <c r="AC42" s="502"/>
      <c r="AD42" s="502"/>
      <c r="AE42" s="502"/>
      <c r="AF42" s="502"/>
      <c r="AG42" s="502"/>
      <c r="AH42" s="502"/>
      <c r="AI42" s="502"/>
      <c r="AJ42" s="502"/>
      <c r="AK42" s="502"/>
      <c r="AL42" s="502"/>
      <c r="AM42" s="502"/>
      <c r="AN42" s="502"/>
      <c r="AO42" s="502"/>
      <c r="AP42" s="502"/>
      <c r="AQ42" s="502"/>
      <c r="AR42" s="166"/>
      <c r="AS42" s="166"/>
      <c r="AT42" s="166"/>
    </row>
    <row r="43" spans="1:46" s="9" customFormat="1" ht="25.5" customHeight="1">
      <c r="A43" s="602"/>
      <c r="B43" s="562"/>
      <c r="C43" s="389" t="s">
        <v>0</v>
      </c>
      <c r="D43" s="1243" t="s">
        <v>226</v>
      </c>
      <c r="E43" s="1243"/>
      <c r="F43" s="1243"/>
      <c r="G43" s="1243"/>
      <c r="H43" s="1243"/>
      <c r="I43" s="1243"/>
      <c r="J43" s="1243"/>
      <c r="K43" s="1243"/>
      <c r="L43" s="1243"/>
      <c r="M43" s="1243"/>
      <c r="N43" s="1243"/>
      <c r="O43" s="1243"/>
      <c r="P43" s="1243"/>
      <c r="Q43" s="1243"/>
      <c r="R43" s="1243"/>
      <c r="S43" s="1243"/>
      <c r="T43" s="1243"/>
      <c r="U43" s="347"/>
      <c r="V43" s="562"/>
      <c r="W43"/>
      <c r="X43" s="58"/>
      <c r="Y43" s="73"/>
      <c r="Z43" s="28"/>
      <c r="AA43" s="612"/>
      <c r="AB43" s="392"/>
      <c r="AC43" s="392"/>
      <c r="AD43" s="392"/>
      <c r="AE43" s="392"/>
      <c r="AF43" s="392"/>
      <c r="AG43" s="392"/>
      <c r="AH43" s="392"/>
      <c r="AI43" s="392"/>
      <c r="AJ43" s="392"/>
      <c r="AK43" s="392"/>
      <c r="AL43" s="392"/>
      <c r="AM43" s="392"/>
      <c r="AN43" s="392"/>
      <c r="AO43" s="392"/>
      <c r="AP43" s="392"/>
      <c r="AQ43" s="392"/>
      <c r="AR43" s="167"/>
      <c r="AS43" s="167"/>
      <c r="AT43" s="167"/>
    </row>
    <row r="44" spans="1:46" s="9" customFormat="1" ht="15.75" customHeight="1">
      <c r="A44" s="602"/>
      <c r="B44" s="562"/>
      <c r="C44" s="364"/>
      <c r="D44" s="1246" t="s">
        <v>118</v>
      </c>
      <c r="E44" s="1246"/>
      <c r="F44" s="1246"/>
      <c r="G44" s="475"/>
      <c r="H44" s="1247" t="s">
        <v>119</v>
      </c>
      <c r="I44" s="1247"/>
      <c r="J44" s="1247"/>
      <c r="K44" s="1247"/>
      <c r="L44" s="391"/>
      <c r="M44" s="391"/>
      <c r="N44" s="391"/>
      <c r="O44" s="391"/>
      <c r="P44" s="391"/>
      <c r="Q44" s="391"/>
      <c r="R44" s="391"/>
      <c r="S44" s="391"/>
      <c r="T44" s="391"/>
      <c r="U44" s="347"/>
      <c r="V44" s="562"/>
      <c r="W44"/>
      <c r="X44" s="58"/>
      <c r="Y44" s="28"/>
      <c r="Z44" s="28"/>
      <c r="AA44" s="612"/>
      <c r="AB44" s="392"/>
      <c r="AC44" s="392"/>
      <c r="AD44" s="392"/>
      <c r="AE44" s="392"/>
      <c r="AF44" s="392"/>
      <c r="AG44" s="392"/>
      <c r="AH44" s="392"/>
      <c r="AI44" s="392"/>
      <c r="AJ44" s="392"/>
      <c r="AK44" s="392"/>
      <c r="AL44" s="392"/>
      <c r="AM44" s="392"/>
      <c r="AN44" s="392"/>
      <c r="AO44" s="392"/>
      <c r="AP44" s="392"/>
      <c r="AQ44" s="392"/>
      <c r="AR44" s="167"/>
      <c r="AS44" s="167"/>
      <c r="AT44" s="167"/>
    </row>
    <row r="45" spans="1:46" s="6" customFormat="1" ht="15.75" customHeight="1">
      <c r="A45" s="602"/>
      <c r="B45" s="562"/>
      <c r="C45" s="361"/>
      <c r="D45" s="1242" t="s">
        <v>0</v>
      </c>
      <c r="E45" s="1242"/>
      <c r="F45" s="1242"/>
      <c r="G45" s="1242"/>
      <c r="H45" s="1242" t="s">
        <v>0</v>
      </c>
      <c r="I45" s="1242"/>
      <c r="J45" s="1242"/>
      <c r="K45" s="1242"/>
      <c r="L45" s="1242"/>
      <c r="M45" s="1242"/>
      <c r="N45" s="1242"/>
      <c r="O45" s="1242"/>
      <c r="P45" s="1242"/>
      <c r="Q45" s="1242"/>
      <c r="R45" s="1242"/>
      <c r="S45" s="1242"/>
      <c r="T45" s="1242"/>
      <c r="U45" s="536"/>
      <c r="V45" s="562"/>
      <c r="W45" s="161"/>
      <c r="X45" s="55"/>
      <c r="Y45" s="69"/>
      <c r="Z45" s="30"/>
      <c r="AA45" s="611"/>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602"/>
      <c r="B46" s="562"/>
      <c r="C46" s="361"/>
      <c r="D46" s="1242" t="s">
        <v>0</v>
      </c>
      <c r="E46" s="1242"/>
      <c r="F46" s="1242"/>
      <c r="G46" s="1242"/>
      <c r="H46" s="1242" t="s">
        <v>0</v>
      </c>
      <c r="I46" s="1242"/>
      <c r="J46" s="1242"/>
      <c r="K46" s="1242"/>
      <c r="L46" s="1242"/>
      <c r="M46" s="1242"/>
      <c r="N46" s="1242"/>
      <c r="O46" s="1242"/>
      <c r="P46" s="1242"/>
      <c r="Q46" s="1242"/>
      <c r="R46" s="1242"/>
      <c r="S46" s="1242"/>
      <c r="T46" s="1242"/>
      <c r="U46" s="536"/>
      <c r="V46" s="562"/>
      <c r="W46" s="161"/>
      <c r="X46" s="55"/>
      <c r="Y46" s="68"/>
      <c r="Z46" s="30"/>
      <c r="AA46" s="611"/>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602"/>
      <c r="B47" s="562"/>
      <c r="C47" s="361"/>
      <c r="D47" s="1242" t="s">
        <v>0</v>
      </c>
      <c r="E47" s="1242"/>
      <c r="F47" s="1242"/>
      <c r="G47" s="1242"/>
      <c r="H47" s="1242" t="s">
        <v>0</v>
      </c>
      <c r="I47" s="1242"/>
      <c r="J47" s="1242"/>
      <c r="K47" s="1242"/>
      <c r="L47" s="1242"/>
      <c r="M47" s="1242"/>
      <c r="N47" s="1242"/>
      <c r="O47" s="1242"/>
      <c r="P47" s="1242"/>
      <c r="Q47" s="1242"/>
      <c r="R47" s="1242"/>
      <c r="S47" s="1242"/>
      <c r="T47" s="1242"/>
      <c r="U47" s="536"/>
      <c r="V47" s="562"/>
      <c r="W47" s="161"/>
      <c r="X47" s="55"/>
      <c r="Y47" s="68"/>
      <c r="Z47" s="146"/>
      <c r="AA47" s="611"/>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602"/>
      <c r="B48" s="562"/>
      <c r="C48" s="361"/>
      <c r="D48" s="654"/>
      <c r="E48" s="655"/>
      <c r="F48" s="655"/>
      <c r="G48" s="145"/>
      <c r="H48" s="656"/>
      <c r="I48" s="656"/>
      <c r="J48" s="656"/>
      <c r="K48" s="656"/>
      <c r="L48" s="656"/>
      <c r="M48" s="656"/>
      <c r="N48" s="656"/>
      <c r="O48" s="656"/>
      <c r="P48" s="656"/>
      <c r="Q48" s="656"/>
      <c r="R48" s="656"/>
      <c r="S48" s="656"/>
      <c r="T48" s="656"/>
      <c r="U48" s="295"/>
      <c r="V48" s="562"/>
      <c r="W48" s="161"/>
      <c r="X48" s="55"/>
      <c r="Y48" s="32"/>
      <c r="Z48" s="69"/>
      <c r="AA48" s="611"/>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602"/>
      <c r="B49" s="562"/>
      <c r="C49" s="279" t="s">
        <v>0</v>
      </c>
      <c r="D49" s="1255" t="s">
        <v>375</v>
      </c>
      <c r="E49" s="1255"/>
      <c r="F49" s="1255"/>
      <c r="G49" s="1255"/>
      <c r="H49" s="1255"/>
      <c r="I49" s="1255"/>
      <c r="J49" s="1255"/>
      <c r="K49" s="1255"/>
      <c r="L49" s="1255"/>
      <c r="M49" s="1255"/>
      <c r="N49" s="1255"/>
      <c r="O49" s="1255"/>
      <c r="P49" s="1255"/>
      <c r="Q49" s="1255"/>
      <c r="R49" s="1255"/>
      <c r="S49" s="1255"/>
      <c r="T49" s="1255"/>
      <c r="U49" s="657"/>
      <c r="V49" s="562"/>
      <c r="W49"/>
      <c r="X49" s="533"/>
      <c r="Y49" s="122"/>
      <c r="Z49" s="147"/>
      <c r="AA49" s="611"/>
      <c r="AB49" s="502"/>
      <c r="AC49" s="502"/>
      <c r="AD49" s="502"/>
      <c r="AE49" s="502"/>
      <c r="AF49" s="502"/>
      <c r="AG49" s="502"/>
      <c r="AH49" s="502"/>
      <c r="AI49" s="502"/>
      <c r="AJ49" s="502"/>
      <c r="AK49" s="502"/>
      <c r="AL49" s="502"/>
      <c r="AM49" s="502"/>
      <c r="AN49" s="502"/>
      <c r="AO49" s="502"/>
      <c r="AP49" s="502"/>
      <c r="AQ49" s="502"/>
      <c r="AR49" s="166"/>
      <c r="AS49" s="166"/>
      <c r="AT49" s="166"/>
    </row>
    <row r="50" spans="1:46" s="8" customFormat="1" ht="21" customHeight="1">
      <c r="A50" s="602"/>
      <c r="B50" s="562"/>
      <c r="C50" s="279"/>
      <c r="D50" s="345"/>
      <c r="E50" s="345"/>
      <c r="F50" s="1239" t="s">
        <v>397</v>
      </c>
      <c r="G50" s="1239"/>
      <c r="H50" s="1239"/>
      <c r="I50" s="1239"/>
      <c r="J50" s="1239"/>
      <c r="K50" s="1239"/>
      <c r="L50" s="1239"/>
      <c r="M50" s="1239"/>
      <c r="N50" s="1239"/>
      <c r="O50" s="1239"/>
      <c r="P50" s="1239"/>
      <c r="Q50" s="1239"/>
      <c r="R50" s="1239"/>
      <c r="S50" s="1239"/>
      <c r="T50" s="1239"/>
      <c r="U50" s="657"/>
      <c r="V50" s="562"/>
      <c r="W50" s="380"/>
      <c r="X50" s="533"/>
      <c r="Y50" s="122"/>
      <c r="Z50" s="147"/>
      <c r="AA50" s="611"/>
      <c r="AB50" s="502"/>
      <c r="AC50" s="502"/>
      <c r="AD50" s="502"/>
      <c r="AE50" s="502"/>
      <c r="AF50" s="502"/>
      <c r="AG50" s="502"/>
      <c r="AH50" s="502"/>
      <c r="AI50" s="502"/>
      <c r="AJ50" s="502"/>
      <c r="AK50" s="502"/>
      <c r="AL50" s="502"/>
      <c r="AM50" s="502"/>
      <c r="AN50" s="502"/>
      <c r="AO50" s="502"/>
      <c r="AP50" s="502"/>
      <c r="AQ50" s="502"/>
      <c r="AR50" s="166"/>
      <c r="AS50" s="166"/>
      <c r="AT50" s="166"/>
    </row>
    <row r="51" spans="1:46" s="8" customFormat="1" ht="21.75" customHeight="1" thickBot="1">
      <c r="A51" s="602"/>
      <c r="B51" s="562"/>
      <c r="C51" s="279"/>
      <c r="D51" s="505"/>
      <c r="E51" s="505"/>
      <c r="F51" s="589" t="s">
        <v>0</v>
      </c>
      <c r="G51" s="523" t="s">
        <v>0</v>
      </c>
      <c r="H51" s="523"/>
      <c r="I51" s="524"/>
      <c r="J51" s="524"/>
      <c r="K51" s="524"/>
      <c r="L51" s="525"/>
      <c r="M51" s="526"/>
      <c r="N51" s="527"/>
      <c r="O51" s="527"/>
      <c r="P51" s="527"/>
      <c r="Q51" s="527"/>
      <c r="R51" s="527"/>
      <c r="S51" s="527"/>
      <c r="T51" s="527"/>
      <c r="U51" s="363"/>
      <c r="V51" s="562"/>
      <c r="W51" s="380"/>
      <c r="X51" s="533"/>
      <c r="Y51" s="122"/>
      <c r="Z51" s="147"/>
      <c r="AA51" s="611"/>
      <c r="AB51" s="502"/>
      <c r="AC51" s="502"/>
      <c r="AD51" s="502"/>
      <c r="AE51" s="502"/>
      <c r="AF51" s="502"/>
      <c r="AG51" s="502"/>
      <c r="AH51" s="502"/>
      <c r="AI51" s="502"/>
      <c r="AJ51" s="502"/>
      <c r="AK51" s="502"/>
      <c r="AL51" s="502"/>
      <c r="AM51" s="502"/>
      <c r="AN51" s="502"/>
      <c r="AO51" s="502"/>
      <c r="AP51" s="502"/>
      <c r="AQ51" s="502"/>
      <c r="AR51" s="166"/>
      <c r="AS51" s="166"/>
      <c r="AT51" s="166"/>
    </row>
    <row r="52" spans="1:46" s="8" customFormat="1" ht="21" customHeight="1" thickTop="1" thickBot="1">
      <c r="A52" s="602"/>
      <c r="B52" s="562"/>
      <c r="C52" s="279"/>
      <c r="D52" s="1238" t="s">
        <v>130</v>
      </c>
      <c r="E52" s="1238"/>
      <c r="F52" s="1212"/>
      <c r="G52" s="1212"/>
      <c r="H52" s="1213"/>
      <c r="I52" s="1213"/>
      <c r="J52" s="1214"/>
      <c r="K52" s="1214"/>
      <c r="L52" s="1214"/>
      <c r="M52" s="1214"/>
      <c r="N52" s="1214"/>
      <c r="O52" s="1214"/>
      <c r="P52" s="1214"/>
      <c r="Q52" s="1214"/>
      <c r="R52" s="1214"/>
      <c r="S52" s="1214"/>
      <c r="T52" s="1214"/>
      <c r="U52" s="363"/>
      <c r="V52" s="562" t="s">
        <v>0</v>
      </c>
      <c r="W52" s="504"/>
      <c r="X52" s="554">
        <v>1</v>
      </c>
      <c r="Y52" s="896" t="s">
        <v>395</v>
      </c>
      <c r="Z52" s="897">
        <f>IF(X52=1,0,X52*2)</f>
        <v>0</v>
      </c>
      <c r="AA52" s="890" t="str">
        <f>IF(X52=2,"reduced",IF(X52=3,"involved, not new or expanded",IF(X52=4,"new",IF(X52=5,"expanded","not involved"))))</f>
        <v>not involved</v>
      </c>
      <c r="AB52" s="502"/>
      <c r="AC52" s="502"/>
      <c r="AD52" s="502"/>
      <c r="AE52" s="502"/>
      <c r="AF52" s="502"/>
      <c r="AG52" s="502"/>
      <c r="AH52" s="502"/>
      <c r="AI52" s="502"/>
      <c r="AJ52" s="502"/>
      <c r="AK52" s="502"/>
      <c r="AL52" s="502"/>
      <c r="AM52" s="502"/>
      <c r="AN52" s="502"/>
      <c r="AO52" s="502"/>
      <c r="AP52" s="502"/>
      <c r="AQ52" s="502"/>
      <c r="AR52" s="166"/>
      <c r="AS52" s="166"/>
      <c r="AT52" s="166"/>
    </row>
    <row r="53" spans="1:46" s="8" customFormat="1" ht="21" customHeight="1" thickTop="1" thickBot="1">
      <c r="A53" s="602"/>
      <c r="B53" s="562"/>
      <c r="C53" s="279"/>
      <c r="D53" s="1238" t="s">
        <v>131</v>
      </c>
      <c r="E53" s="1238"/>
      <c r="F53" s="1212"/>
      <c r="G53" s="1212"/>
      <c r="H53" s="1213"/>
      <c r="I53" s="1213"/>
      <c r="J53" s="1214"/>
      <c r="K53" s="1214"/>
      <c r="L53" s="1214"/>
      <c r="M53" s="1214"/>
      <c r="N53" s="1214"/>
      <c r="O53" s="1214"/>
      <c r="P53" s="1214"/>
      <c r="Q53" s="1214"/>
      <c r="R53" s="1214"/>
      <c r="S53" s="1214"/>
      <c r="T53" s="1214"/>
      <c r="U53" s="363"/>
      <c r="V53" s="562" t="s">
        <v>0</v>
      </c>
      <c r="W53" s="504"/>
      <c r="X53" s="554">
        <v>1</v>
      </c>
      <c r="Y53" s="147"/>
      <c r="Z53" s="897">
        <f>IF(X53=1,0,X53*2)</f>
        <v>0</v>
      </c>
      <c r="AA53" s="615" t="str">
        <f>IF(X53=2,"reduced",IF(X53=3,"involved, not new or expanded",IF(X53=4,"new",IF(X53=5,"expanded","not involved"))))</f>
        <v>not involved</v>
      </c>
      <c r="AB53" s="502"/>
      <c r="AC53" s="502"/>
      <c r="AD53" s="502"/>
      <c r="AE53" s="502"/>
      <c r="AF53" s="502"/>
      <c r="AG53" s="502"/>
      <c r="AH53" s="502"/>
      <c r="AI53" s="502"/>
      <c r="AJ53" s="502"/>
      <c r="AK53" s="502"/>
      <c r="AL53" s="502"/>
      <c r="AM53" s="502"/>
      <c r="AN53" s="502"/>
      <c r="AO53" s="502"/>
      <c r="AP53" s="502"/>
      <c r="AQ53" s="502"/>
      <c r="AR53" s="166"/>
      <c r="AS53" s="166"/>
      <c r="AT53" s="166"/>
    </row>
    <row r="54" spans="1:46" ht="9.75" customHeight="1" thickTop="1">
      <c r="B54" s="562"/>
      <c r="C54" s="399"/>
      <c r="D54" s="114"/>
      <c r="E54" s="114"/>
      <c r="F54" s="114"/>
      <c r="G54" s="114"/>
      <c r="H54" s="114"/>
      <c r="I54" s="114"/>
      <c r="J54" s="114"/>
      <c r="K54" s="114"/>
      <c r="L54" s="114"/>
      <c r="M54" s="114"/>
      <c r="N54" s="114"/>
      <c r="O54" s="114"/>
      <c r="P54" s="114"/>
      <c r="Q54" s="114"/>
      <c r="R54" s="114"/>
      <c r="S54" s="114"/>
      <c r="T54" s="114"/>
      <c r="U54" s="292"/>
      <c r="V54" s="562"/>
      <c r="X54" s="147" t="s">
        <v>0</v>
      </c>
      <c r="Y54" s="147"/>
      <c r="Z54" s="147"/>
      <c r="AA54" s="609"/>
    </row>
    <row r="55" spans="1:46" ht="15.75">
      <c r="B55" s="562"/>
      <c r="C55" s="399"/>
      <c r="D55" s="1258" t="s">
        <v>407</v>
      </c>
      <c r="E55" s="1259"/>
      <c r="F55" s="114"/>
      <c r="G55" s="114"/>
      <c r="H55" s="114"/>
      <c r="I55" s="114"/>
      <c r="J55" s="114"/>
      <c r="K55" s="114"/>
      <c r="L55" s="114"/>
      <c r="M55" s="114"/>
      <c r="N55" s="114"/>
      <c r="O55" s="114"/>
      <c r="P55" s="114"/>
      <c r="Q55" s="114"/>
      <c r="R55" s="114"/>
      <c r="S55" s="114"/>
      <c r="T55" s="114"/>
      <c r="U55" s="292"/>
      <c r="V55" s="562"/>
      <c r="W55" s="314" t="s">
        <v>642</v>
      </c>
      <c r="X55" s="147"/>
      <c r="Y55" s="147"/>
      <c r="Z55" s="147"/>
      <c r="AA55" s="621" t="str">
        <f>LOWER(D55)</f>
        <v>does not apply</v>
      </c>
    </row>
    <row r="56" spans="1:46" s="380" customFormat="1" ht="8.25" customHeight="1">
      <c r="A56" s="601"/>
      <c r="B56" s="562"/>
      <c r="C56" s="399"/>
      <c r="D56" s="528"/>
      <c r="E56" s="528"/>
      <c r="F56" s="114"/>
      <c r="G56" s="114"/>
      <c r="H56" s="114"/>
      <c r="I56" s="114"/>
      <c r="J56" s="114"/>
      <c r="K56" s="114"/>
      <c r="L56" s="114"/>
      <c r="M56" s="114"/>
      <c r="N56" s="114"/>
      <c r="O56" s="114"/>
      <c r="P56" s="114"/>
      <c r="Q56" s="114"/>
      <c r="R56" s="114"/>
      <c r="S56" s="114"/>
      <c r="T56" s="114"/>
      <c r="U56" s="292"/>
      <c r="V56" s="562"/>
      <c r="W56" s="160"/>
      <c r="X56" s="147"/>
      <c r="Y56" s="147"/>
      <c r="Z56" s="147"/>
      <c r="AA56" s="609"/>
      <c r="AB56" s="160"/>
      <c r="AC56" s="160"/>
      <c r="AD56" s="160"/>
      <c r="AE56" s="160"/>
      <c r="AF56" s="160"/>
      <c r="AG56" s="160"/>
      <c r="AH56" s="160"/>
      <c r="AI56" s="160"/>
      <c r="AJ56" s="160"/>
      <c r="AK56" s="160"/>
      <c r="AL56" s="160"/>
      <c r="AM56" s="160"/>
      <c r="AN56" s="160"/>
      <c r="AO56" s="160"/>
      <c r="AP56" s="160"/>
      <c r="AQ56" s="160"/>
      <c r="AR56" s="160"/>
      <c r="AS56" s="160"/>
      <c r="AT56" s="160"/>
    </row>
    <row r="57" spans="1:46" s="380" customFormat="1" ht="21" customHeight="1" thickBot="1">
      <c r="A57" s="601"/>
      <c r="B57" s="562"/>
      <c r="C57" s="279"/>
      <c r="D57" s="1215" t="str">
        <f>Y57</f>
        <v/>
      </c>
      <c r="E57" s="1215"/>
      <c r="F57" s="1212"/>
      <c r="G57" s="1212"/>
      <c r="H57" s="1213"/>
      <c r="I57" s="1213"/>
      <c r="J57" s="1214"/>
      <c r="K57" s="1214"/>
      <c r="L57" s="1214"/>
      <c r="M57" s="1214"/>
      <c r="N57" s="1214"/>
      <c r="O57" s="1214"/>
      <c r="P57" s="1214"/>
      <c r="Q57" s="1214"/>
      <c r="R57" s="1214"/>
      <c r="S57" s="1214"/>
      <c r="T57" s="1214"/>
      <c r="U57" s="363"/>
      <c r="V57" s="562" t="s">
        <v>0</v>
      </c>
      <c r="W57" s="504"/>
      <c r="X57" s="554">
        <v>1</v>
      </c>
      <c r="Y57" s="553" t="str">
        <f>IF($D$55=C.PermitType0,"",IF($D$55=C.PermitType1,DDLs!C66,IF($D$55=C.PermitType2,DDLs!D66,IF($D$55=C.PermitType3,DDLs!E66,DDLs!F66))))</f>
        <v/>
      </c>
      <c r="Z57" s="1252"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80" customFormat="1" ht="21" customHeight="1" thickTop="1" thickBot="1">
      <c r="A58" s="601"/>
      <c r="B58" s="562"/>
      <c r="C58" s="279"/>
      <c r="D58" s="1215" t="str">
        <f t="shared" ref="D58:D63" si="1">Y58</f>
        <v/>
      </c>
      <c r="E58" s="1215"/>
      <c r="F58" s="1212"/>
      <c r="G58" s="1212"/>
      <c r="H58" s="1213"/>
      <c r="I58" s="1213"/>
      <c r="J58" s="1214"/>
      <c r="K58" s="1214"/>
      <c r="L58" s="1214"/>
      <c r="M58" s="1214"/>
      <c r="N58" s="1214"/>
      <c r="O58" s="1214"/>
      <c r="P58" s="1214"/>
      <c r="Q58" s="1214"/>
      <c r="R58" s="1214"/>
      <c r="S58" s="1214"/>
      <c r="T58" s="1214"/>
      <c r="U58" s="363"/>
      <c r="V58" s="562" t="s">
        <v>0</v>
      </c>
      <c r="W58" s="504"/>
      <c r="X58" s="554">
        <v>1</v>
      </c>
      <c r="Y58" s="553" t="str">
        <f>IF($D$55=C.PermitType0,"",IF($D$55=C.PermitType1,DDLs!C67,IF($D$55=C.PermitType2,DDLs!D67,IF($D$55=C.PermitType3,DDLs!E67,DDLs!F67))))</f>
        <v/>
      </c>
      <c r="Z58" s="1253"/>
      <c r="AA58" s="620"/>
      <c r="AB58" s="160"/>
      <c r="AC58" s="160"/>
      <c r="AD58" s="160"/>
      <c r="AE58" s="160"/>
      <c r="AF58" s="160"/>
      <c r="AG58" s="160"/>
      <c r="AH58" s="160"/>
      <c r="AI58" s="160"/>
      <c r="AJ58" s="160"/>
      <c r="AK58" s="160"/>
      <c r="AL58" s="160"/>
      <c r="AM58" s="160"/>
      <c r="AN58" s="160"/>
      <c r="AO58" s="160"/>
      <c r="AP58" s="160"/>
      <c r="AQ58" s="160"/>
      <c r="AR58" s="160"/>
      <c r="AS58" s="160"/>
      <c r="AT58" s="160"/>
    </row>
    <row r="59" spans="1:46" s="380" customFormat="1" ht="21" customHeight="1" thickTop="1" thickBot="1">
      <c r="A59" s="601"/>
      <c r="B59" s="562"/>
      <c r="C59" s="279"/>
      <c r="D59" s="1215" t="str">
        <f t="shared" si="1"/>
        <v/>
      </c>
      <c r="E59" s="1215"/>
      <c r="F59" s="1212"/>
      <c r="G59" s="1212"/>
      <c r="H59" s="1213"/>
      <c r="I59" s="1213"/>
      <c r="J59" s="1214"/>
      <c r="K59" s="1214"/>
      <c r="L59" s="1214"/>
      <c r="M59" s="1214"/>
      <c r="N59" s="1214"/>
      <c r="O59" s="1214"/>
      <c r="P59" s="1214"/>
      <c r="Q59" s="1214"/>
      <c r="R59" s="1214"/>
      <c r="S59" s="1214"/>
      <c r="T59" s="1214"/>
      <c r="U59" s="363"/>
      <c r="V59" s="562"/>
      <c r="W59" s="504"/>
      <c r="X59" s="554">
        <v>1</v>
      </c>
      <c r="Y59" s="553" t="str">
        <f>IF($D$55=C.PermitType0,"",IF($D$55=C.PermitType1,DDLs!C68,IF($D$55=C.PermitType2,DDLs!D68,IF($D$55=C.PermitType3,DDLs!E68,DDLs!F68))))</f>
        <v/>
      </c>
      <c r="Z59" s="1253"/>
      <c r="AA59" s="620"/>
      <c r="AB59" s="160"/>
      <c r="AC59" s="160"/>
      <c r="AD59" s="160"/>
      <c r="AE59" s="160"/>
      <c r="AF59" s="160"/>
      <c r="AG59" s="160"/>
      <c r="AH59" s="160"/>
      <c r="AI59" s="160"/>
      <c r="AJ59" s="160"/>
      <c r="AK59" s="160"/>
      <c r="AL59" s="160"/>
      <c r="AM59" s="160"/>
      <c r="AN59" s="160"/>
      <c r="AO59" s="160"/>
      <c r="AP59" s="160"/>
      <c r="AQ59" s="160"/>
      <c r="AR59" s="160"/>
      <c r="AS59" s="160"/>
      <c r="AT59" s="160"/>
    </row>
    <row r="60" spans="1:46" s="380" customFormat="1" ht="21" customHeight="1" thickTop="1" thickBot="1">
      <c r="A60" s="601"/>
      <c r="B60" s="562"/>
      <c r="C60" s="279"/>
      <c r="D60" s="1215" t="str">
        <f t="shared" si="1"/>
        <v/>
      </c>
      <c r="E60" s="1215"/>
      <c r="F60" s="1212"/>
      <c r="G60" s="1212"/>
      <c r="H60" s="1213"/>
      <c r="I60" s="1213"/>
      <c r="J60" s="1214"/>
      <c r="K60" s="1214"/>
      <c r="L60" s="1214"/>
      <c r="M60" s="1214"/>
      <c r="N60" s="1214"/>
      <c r="O60" s="1214"/>
      <c r="P60" s="1214"/>
      <c r="Q60" s="1214"/>
      <c r="R60" s="1214"/>
      <c r="S60" s="1214"/>
      <c r="T60" s="1214"/>
      <c r="U60" s="363"/>
      <c r="V60" s="562" t="s">
        <v>0</v>
      </c>
      <c r="W60" s="504"/>
      <c r="X60" s="554">
        <v>1</v>
      </c>
      <c r="Y60" s="553" t="str">
        <f>IF($D$55=C.PermitType0,"",IF($D$55=C.PermitType1,DDLs!C69,IF($D$55=C.PermitType2,DDLs!D69,IF($D$55=C.PermitType3,DDLs!E69,DDLs!F69))))</f>
        <v/>
      </c>
      <c r="Z60" s="1253"/>
      <c r="AA60" s="620"/>
      <c r="AB60" s="160"/>
      <c r="AC60" s="160"/>
      <c r="AD60" s="160"/>
      <c r="AE60" s="160"/>
      <c r="AF60" s="160"/>
      <c r="AG60" s="160"/>
      <c r="AH60" s="160"/>
      <c r="AI60" s="160"/>
      <c r="AJ60" s="160"/>
      <c r="AK60" s="160"/>
      <c r="AL60" s="160"/>
      <c r="AM60" s="160"/>
      <c r="AN60" s="160"/>
      <c r="AO60" s="160"/>
      <c r="AP60" s="160"/>
      <c r="AQ60" s="160"/>
      <c r="AR60" s="160"/>
      <c r="AS60" s="160"/>
      <c r="AT60" s="160"/>
    </row>
    <row r="61" spans="1:46" s="380" customFormat="1" ht="21" customHeight="1" thickTop="1" thickBot="1">
      <c r="A61" s="601"/>
      <c r="B61" s="562"/>
      <c r="C61" s="279"/>
      <c r="D61" s="1215" t="str">
        <f t="shared" si="1"/>
        <v/>
      </c>
      <c r="E61" s="1215"/>
      <c r="F61" s="1212"/>
      <c r="G61" s="1212"/>
      <c r="H61" s="1213"/>
      <c r="I61" s="1213"/>
      <c r="J61" s="1214"/>
      <c r="K61" s="1214"/>
      <c r="L61" s="1214"/>
      <c r="M61" s="1214"/>
      <c r="N61" s="1214"/>
      <c r="O61" s="1214"/>
      <c r="P61" s="1214"/>
      <c r="Q61" s="1214"/>
      <c r="R61" s="1214"/>
      <c r="S61" s="1214"/>
      <c r="T61" s="1214"/>
      <c r="U61" s="363"/>
      <c r="V61" s="562" t="s">
        <v>0</v>
      </c>
      <c r="W61" s="504"/>
      <c r="X61" s="554">
        <v>1</v>
      </c>
      <c r="Y61" s="553" t="str">
        <f>IF($D$55=C.PermitType0,"",IF($D$55=C.PermitType1,DDLs!C70,IF($D$55=C.PermitType2,DDLs!D70,IF($D$55=C.PermitType3,DDLs!E70,DDLs!F70))))</f>
        <v/>
      </c>
      <c r="Z61" s="1253"/>
      <c r="AA61" s="620"/>
      <c r="AB61" s="160"/>
      <c r="AC61" s="160"/>
      <c r="AD61" s="160"/>
      <c r="AE61" s="160"/>
      <c r="AF61" s="160"/>
      <c r="AG61" s="160"/>
      <c r="AH61" s="160"/>
      <c r="AI61" s="160"/>
      <c r="AJ61" s="160"/>
      <c r="AK61" s="160"/>
      <c r="AL61" s="160"/>
      <c r="AM61" s="160"/>
      <c r="AN61" s="160"/>
      <c r="AO61" s="160"/>
      <c r="AP61" s="160"/>
      <c r="AQ61" s="160"/>
      <c r="AR61" s="160"/>
      <c r="AS61" s="160"/>
      <c r="AT61" s="160"/>
    </row>
    <row r="62" spans="1:46" s="380" customFormat="1" ht="21" customHeight="1" thickTop="1" thickBot="1">
      <c r="A62" s="601"/>
      <c r="B62" s="562"/>
      <c r="C62" s="279"/>
      <c r="D62" s="1215" t="str">
        <f t="shared" si="1"/>
        <v/>
      </c>
      <c r="E62" s="1215"/>
      <c r="F62" s="1212"/>
      <c r="G62" s="1212"/>
      <c r="H62" s="1213"/>
      <c r="I62" s="1213"/>
      <c r="J62" s="1214"/>
      <c r="K62" s="1214"/>
      <c r="L62" s="1214"/>
      <c r="M62" s="1214"/>
      <c r="N62" s="1214"/>
      <c r="O62" s="1214"/>
      <c r="P62" s="1214"/>
      <c r="Q62" s="1214"/>
      <c r="R62" s="1214"/>
      <c r="S62" s="1214"/>
      <c r="T62" s="1214"/>
      <c r="U62" s="363"/>
      <c r="V62" s="562"/>
      <c r="W62" s="504"/>
      <c r="X62" s="554">
        <v>1</v>
      </c>
      <c r="Y62" s="553" t="str">
        <f>IF($D$55=C.PermitType0,"",IF($D$55=C.PermitType1,DDLs!C71,IF($D$55=C.PermitType2,DDLs!D71,IF($D$55=C.PermitType3,DDLs!E71,DDLs!F71))))</f>
        <v/>
      </c>
      <c r="Z62" s="1253"/>
      <c r="AA62" s="620"/>
      <c r="AB62" s="160"/>
      <c r="AC62" s="160"/>
      <c r="AD62" s="160"/>
      <c r="AE62" s="160"/>
      <c r="AF62" s="160"/>
      <c r="AG62" s="160"/>
      <c r="AH62" s="160"/>
      <c r="AI62" s="160"/>
      <c r="AJ62" s="160"/>
      <c r="AK62" s="160"/>
      <c r="AL62" s="160"/>
      <c r="AM62" s="160"/>
      <c r="AN62" s="160"/>
      <c r="AO62" s="160"/>
      <c r="AP62" s="160"/>
      <c r="AQ62" s="160"/>
      <c r="AR62" s="160"/>
      <c r="AS62" s="160"/>
      <c r="AT62" s="160"/>
    </row>
    <row r="63" spans="1:46" s="380" customFormat="1" ht="21" customHeight="1" thickTop="1" thickBot="1">
      <c r="A63" s="601"/>
      <c r="B63" s="562"/>
      <c r="C63" s="279"/>
      <c r="D63" s="1215" t="str">
        <f t="shared" si="1"/>
        <v/>
      </c>
      <c r="E63" s="1215"/>
      <c r="F63" s="1212"/>
      <c r="G63" s="1212"/>
      <c r="H63" s="1213"/>
      <c r="I63" s="1213"/>
      <c r="J63" s="1214"/>
      <c r="K63" s="1214"/>
      <c r="L63" s="1214"/>
      <c r="M63" s="1214"/>
      <c r="N63" s="1214"/>
      <c r="O63" s="1214"/>
      <c r="P63" s="1214"/>
      <c r="Q63" s="1214"/>
      <c r="R63" s="1214"/>
      <c r="S63" s="1214"/>
      <c r="T63" s="1214"/>
      <c r="U63" s="363"/>
      <c r="V63" s="562" t="s">
        <v>0</v>
      </c>
      <c r="W63" s="504"/>
      <c r="X63" s="554">
        <v>1</v>
      </c>
      <c r="Y63" s="553" t="str">
        <f>IF($D$55=C.PermitType0,"",IF($D$55=C.PermitType1,DDLs!C72,IF($D$55=C.PermitType2,DDLs!D72,IF($D$55=C.PermitType3,DDLs!E72,DDLs!F72))))</f>
        <v/>
      </c>
      <c r="Z63" s="1253"/>
      <c r="AA63" s="620"/>
      <c r="AB63" s="160"/>
      <c r="AC63" s="160"/>
      <c r="AD63" s="160"/>
      <c r="AE63" s="160"/>
      <c r="AF63" s="160"/>
      <c r="AG63" s="160"/>
      <c r="AH63" s="160"/>
      <c r="AI63" s="160"/>
      <c r="AJ63" s="160"/>
      <c r="AK63" s="160"/>
      <c r="AL63" s="160"/>
      <c r="AM63" s="160"/>
      <c r="AN63" s="160"/>
      <c r="AO63" s="160"/>
      <c r="AP63" s="160"/>
      <c r="AQ63" s="160"/>
      <c r="AR63" s="160"/>
      <c r="AS63" s="160"/>
      <c r="AT63" s="160"/>
    </row>
    <row r="64" spans="1:46" s="380" customFormat="1" ht="21" customHeight="1" thickTop="1" thickBot="1">
      <c r="A64" s="601"/>
      <c r="B64" s="562"/>
      <c r="C64" s="279"/>
      <c r="D64" s="1256" t="s">
        <v>450</v>
      </c>
      <c r="E64" s="1256"/>
      <c r="F64" s="1212"/>
      <c r="G64" s="1212"/>
      <c r="H64" s="1213"/>
      <c r="I64" s="1213"/>
      <c r="J64" s="1214"/>
      <c r="K64" s="1214"/>
      <c r="L64" s="1214"/>
      <c r="M64" s="1214"/>
      <c r="N64" s="1214"/>
      <c r="O64" s="1214"/>
      <c r="P64" s="1214"/>
      <c r="Q64" s="1214"/>
      <c r="R64" s="1214"/>
      <c r="S64" s="1214"/>
      <c r="T64" s="1214"/>
      <c r="U64" s="363"/>
      <c r="V64" s="562" t="s">
        <v>0</v>
      </c>
      <c r="W64" s="504"/>
      <c r="X64" s="554">
        <v>1</v>
      </c>
      <c r="Y64" s="553" t="str">
        <f>IF($D$55=C.PermitType0,"",IF($D$55=C.PermitType1,DDLs!C73,IF($D$55=C.PermitType2,DDLs!D73,IF($D$55=C.PermitType3,DDLs!E73,DDLs!F73))))</f>
        <v/>
      </c>
      <c r="Z64" s="1253"/>
      <c r="AA64" s="620"/>
      <c r="AB64" s="160"/>
      <c r="AC64" s="160"/>
      <c r="AD64" s="160"/>
      <c r="AE64" s="160"/>
      <c r="AF64" s="160"/>
      <c r="AG64" s="160"/>
      <c r="AH64" s="160"/>
      <c r="AI64" s="160"/>
      <c r="AJ64" s="160"/>
      <c r="AK64" s="160"/>
      <c r="AL64" s="160"/>
      <c r="AM64" s="160"/>
      <c r="AN64" s="160"/>
      <c r="AO64" s="160"/>
      <c r="AP64" s="160"/>
      <c r="AQ64" s="160"/>
      <c r="AR64" s="160"/>
      <c r="AS64" s="160"/>
      <c r="AT64" s="160"/>
    </row>
    <row r="65" spans="1:47" s="380" customFormat="1" ht="21" customHeight="1" thickTop="1" thickBot="1">
      <c r="A65" s="601"/>
      <c r="B65" s="562"/>
      <c r="C65" s="279"/>
      <c r="D65" s="1256" t="s">
        <v>450</v>
      </c>
      <c r="E65" s="1256"/>
      <c r="F65" s="1212"/>
      <c r="G65" s="1212"/>
      <c r="H65" s="1213"/>
      <c r="I65" s="1213"/>
      <c r="J65" s="1214"/>
      <c r="K65" s="1214"/>
      <c r="L65" s="1214"/>
      <c r="M65" s="1214"/>
      <c r="N65" s="1214"/>
      <c r="O65" s="1214"/>
      <c r="P65" s="1214"/>
      <c r="Q65" s="1214"/>
      <c r="R65" s="1214"/>
      <c r="S65" s="1214"/>
      <c r="T65" s="1214"/>
      <c r="U65" s="363"/>
      <c r="V65" s="562"/>
      <c r="W65" s="504"/>
      <c r="X65" s="554">
        <v>1</v>
      </c>
      <c r="Y65" s="553" t="str">
        <f>IF($D$55=C.PermitType0,"",IF($D$55=C.PermitType1,DDLs!C74,IF($D$55=C.PermitType2,DDLs!D74,IF($D$55=C.PermitType3,DDLs!E74,DDLs!F74))))</f>
        <v/>
      </c>
      <c r="Z65" s="1253"/>
      <c r="AA65" s="620"/>
      <c r="AB65" s="160"/>
      <c r="AC65" s="160"/>
      <c r="AD65" s="160"/>
      <c r="AE65" s="160"/>
      <c r="AF65" s="160"/>
      <c r="AG65" s="160"/>
      <c r="AH65" s="160"/>
      <c r="AI65" s="160"/>
      <c r="AJ65" s="160"/>
      <c r="AK65" s="160"/>
      <c r="AL65" s="160"/>
      <c r="AM65" s="160"/>
      <c r="AN65" s="160"/>
      <c r="AO65" s="160"/>
      <c r="AP65" s="160"/>
      <c r="AQ65" s="160"/>
      <c r="AR65" s="160"/>
      <c r="AS65" s="160"/>
      <c r="AT65" s="160"/>
    </row>
    <row r="66" spans="1:47" s="380" customFormat="1" ht="21" customHeight="1" thickTop="1" thickBot="1">
      <c r="A66" s="601"/>
      <c r="B66" s="562"/>
      <c r="C66" s="279"/>
      <c r="D66" s="1257" t="s">
        <v>450</v>
      </c>
      <c r="E66" s="1257"/>
      <c r="F66" s="1212"/>
      <c r="G66" s="1212"/>
      <c r="H66" s="1213"/>
      <c r="I66" s="1213"/>
      <c r="J66" s="1214"/>
      <c r="K66" s="1214"/>
      <c r="L66" s="1214"/>
      <c r="M66" s="1214"/>
      <c r="N66" s="1214"/>
      <c r="O66" s="1214"/>
      <c r="P66" s="1214"/>
      <c r="Q66" s="1214"/>
      <c r="R66" s="1214"/>
      <c r="S66" s="1214"/>
      <c r="T66" s="1214"/>
      <c r="U66" s="363"/>
      <c r="V66" s="562" t="s">
        <v>0</v>
      </c>
      <c r="W66" s="504"/>
      <c r="X66" s="554">
        <v>1</v>
      </c>
      <c r="Y66" s="553" t="str">
        <f>IF($D$55=C.PermitType0,"",IF($D$55=C.PermitType1,DDLs!C75,IF($D$55=C.PermitType2,DDLs!D75,IF($D$55=C.PermitType3,DDLs!E75,DDLs!F75))))</f>
        <v/>
      </c>
      <c r="Z66" s="1254"/>
      <c r="AA66" s="620"/>
      <c r="AB66" s="160"/>
      <c r="AC66" s="160"/>
      <c r="AD66" s="160"/>
      <c r="AE66" s="160"/>
      <c r="AF66" s="160"/>
      <c r="AG66" s="160"/>
      <c r="AH66" s="160"/>
      <c r="AI66" s="160"/>
      <c r="AJ66" s="160"/>
      <c r="AK66" s="160"/>
      <c r="AL66" s="160"/>
      <c r="AM66" s="160"/>
      <c r="AN66" s="160"/>
      <c r="AO66" s="160"/>
      <c r="AP66" s="160"/>
      <c r="AQ66" s="160"/>
      <c r="AR66" s="160"/>
      <c r="AS66" s="160"/>
      <c r="AT66" s="160"/>
    </row>
    <row r="67" spans="1:47" s="380" customFormat="1" ht="5.25" customHeight="1" thickTop="1">
      <c r="A67" s="601"/>
      <c r="B67" s="562"/>
      <c r="C67" s="399"/>
      <c r="D67" s="528"/>
      <c r="E67" s="528"/>
      <c r="F67" s="114"/>
      <c r="G67" s="114"/>
      <c r="H67" s="114"/>
      <c r="I67" s="114"/>
      <c r="J67" s="114"/>
      <c r="K67" s="114"/>
      <c r="L67" s="114"/>
      <c r="M67" s="114"/>
      <c r="N67" s="114"/>
      <c r="O67" s="114"/>
      <c r="P67" s="114"/>
      <c r="Q67" s="114"/>
      <c r="R67" s="114"/>
      <c r="S67" s="114"/>
      <c r="T67" s="114"/>
      <c r="U67" s="292"/>
      <c r="V67" s="562"/>
      <c r="W67" s="160"/>
      <c r="X67" s="552"/>
      <c r="Y67" s="147"/>
      <c r="Z67" s="147"/>
      <c r="AA67" s="609"/>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602"/>
      <c r="B68" s="562"/>
      <c r="C68" s="537"/>
      <c r="D68" s="1228" t="s">
        <v>198</v>
      </c>
      <c r="E68" s="1228"/>
      <c r="F68" s="1228"/>
      <c r="G68" s="4"/>
      <c r="H68" s="4"/>
      <c r="I68" s="4"/>
      <c r="J68" s="4"/>
      <c r="K68" s="4"/>
      <c r="L68" s="4"/>
      <c r="M68" s="4"/>
      <c r="N68" s="4"/>
      <c r="O68" s="4"/>
      <c r="P68" s="4"/>
      <c r="Q68" s="4"/>
      <c r="R68" s="4"/>
      <c r="S68" s="4"/>
      <c r="T68" s="4"/>
      <c r="U68" s="201"/>
      <c r="V68" s="562"/>
      <c r="W68" s="161"/>
      <c r="X68" s="637">
        <f>MAX(X57:X66)</f>
        <v>1</v>
      </c>
      <c r="Y68" s="32"/>
      <c r="Z68" s="897">
        <f>IF(X68=1,0,X68*2)</f>
        <v>0</v>
      </c>
      <c r="AA68" s="615"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602"/>
      <c r="B69" s="562"/>
      <c r="C69" s="537"/>
      <c r="D69" s="1223" t="s">
        <v>0</v>
      </c>
      <c r="E69" s="1224"/>
      <c r="F69" s="1224"/>
      <c r="G69" s="1224"/>
      <c r="H69" s="1224"/>
      <c r="I69" s="1224"/>
      <c r="J69" s="1224"/>
      <c r="K69" s="1224"/>
      <c r="L69" s="1224"/>
      <c r="M69" s="1224"/>
      <c r="N69" s="1224"/>
      <c r="O69" s="1224"/>
      <c r="P69" s="1224"/>
      <c r="Q69" s="1224"/>
      <c r="R69" s="1224"/>
      <c r="S69" s="1224"/>
      <c r="T69" s="1225"/>
      <c r="U69" s="201"/>
      <c r="V69" s="562" t="s">
        <v>0</v>
      </c>
      <c r="W69" s="161"/>
      <c r="X69" s="55"/>
      <c r="Y69" s="50"/>
      <c r="Z69" s="69"/>
      <c r="AA69" s="611"/>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602"/>
      <c r="B70" s="562"/>
      <c r="C70" s="537"/>
      <c r="D70" s="1228" t="s">
        <v>22</v>
      </c>
      <c r="E70" s="1228"/>
      <c r="F70" s="1228"/>
      <c r="G70" s="5"/>
      <c r="H70" s="5"/>
      <c r="I70" s="5"/>
      <c r="J70" s="5"/>
      <c r="K70" s="5"/>
      <c r="L70" s="5"/>
      <c r="M70" s="5"/>
      <c r="N70" s="5"/>
      <c r="O70" s="5"/>
      <c r="P70" s="5"/>
      <c r="Q70" s="5"/>
      <c r="R70" s="5"/>
      <c r="S70" s="5"/>
      <c r="T70" s="5"/>
      <c r="U70" s="363"/>
      <c r="V70" s="562"/>
      <c r="W70" s="161"/>
      <c r="X70" s="55"/>
      <c r="Y70" s="50"/>
      <c r="Z70" s="31"/>
      <c r="AA70" s="611"/>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88" t="s">
        <v>489</v>
      </c>
      <c r="B71" s="562"/>
      <c r="C71" s="537"/>
      <c r="D71" s="1202"/>
      <c r="E71" s="1203"/>
      <c r="F71" s="1203"/>
      <c r="G71" s="1203"/>
      <c r="H71" s="1203"/>
      <c r="I71" s="1203"/>
      <c r="J71" s="1203"/>
      <c r="K71" s="1203"/>
      <c r="L71" s="1203"/>
      <c r="M71" s="1203"/>
      <c r="N71" s="1203"/>
      <c r="O71" s="1203"/>
      <c r="P71" s="1203"/>
      <c r="Q71" s="1203"/>
      <c r="R71" s="1203"/>
      <c r="S71" s="1203"/>
      <c r="T71" s="1204"/>
      <c r="U71" s="363"/>
      <c r="V71" s="562"/>
      <c r="W71" s="161"/>
      <c r="X71" s="55"/>
      <c r="Y71" s="50"/>
      <c r="Z71" s="31"/>
      <c r="AA71" s="611"/>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602"/>
      <c r="B72" s="562"/>
      <c r="C72" s="594"/>
      <c r="D72" s="64"/>
      <c r="E72" s="64"/>
      <c r="F72" s="64"/>
      <c r="G72" s="64"/>
      <c r="H72" s="1209">
        <f ca="1">TODAY()</f>
        <v>41163</v>
      </c>
      <c r="I72" s="1209"/>
      <c r="J72" s="1209"/>
      <c r="K72" s="1209"/>
      <c r="L72" s="1209"/>
      <c r="M72" s="1209"/>
      <c r="N72" s="1209"/>
      <c r="O72" s="1209"/>
      <c r="P72" s="1209"/>
      <c r="Q72" s="1209"/>
      <c r="R72" s="1209"/>
      <c r="S72" s="1209"/>
      <c r="T72" s="1209"/>
      <c r="U72" s="1210"/>
      <c r="V72" s="562"/>
      <c r="W72" s="161"/>
      <c r="X72" s="161"/>
      <c r="Y72" s="538"/>
      <c r="Z72" s="539"/>
      <c r="AA72" s="613"/>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602"/>
      <c r="B73" s="562"/>
      <c r="C73" s="562"/>
      <c r="D73" s="562"/>
      <c r="E73" s="562"/>
      <c r="F73" s="562"/>
      <c r="G73" s="562"/>
      <c r="H73" s="562"/>
      <c r="I73" s="562"/>
      <c r="J73" s="562"/>
      <c r="K73" s="562"/>
      <c r="L73" s="562"/>
      <c r="M73" s="562"/>
      <c r="N73" s="562"/>
      <c r="O73" s="562"/>
      <c r="P73" s="562"/>
      <c r="Q73" s="562"/>
      <c r="R73" s="562"/>
      <c r="S73" s="562"/>
      <c r="T73" s="562"/>
      <c r="U73" s="562"/>
      <c r="V73" s="562"/>
      <c r="W73" s="540"/>
      <c r="X73" s="160"/>
      <c r="Y73" s="541"/>
      <c r="Z73" s="160"/>
      <c r="AA73" s="613"/>
      <c r="AB73" s="502"/>
      <c r="AC73" s="502"/>
      <c r="AD73" s="502"/>
      <c r="AE73" s="502"/>
      <c r="AF73" s="502"/>
      <c r="AG73" s="502"/>
      <c r="AH73" s="502"/>
      <c r="AI73" s="502"/>
      <c r="AJ73" s="502"/>
      <c r="AK73" s="502"/>
      <c r="AL73" s="502"/>
      <c r="AM73" s="502"/>
      <c r="AN73" s="502"/>
      <c r="AO73" s="502"/>
      <c r="AP73" s="166"/>
      <c r="AQ73" s="166"/>
      <c r="AR73" s="166"/>
      <c r="AS73" s="166"/>
      <c r="AT73" s="166"/>
      <c r="AU73" s="166"/>
    </row>
    <row r="75" spans="1:47" s="380" customFormat="1">
      <c r="A75" s="658"/>
      <c r="B75" s="659"/>
      <c r="C75" s="659"/>
      <c r="D75" s="659"/>
      <c r="E75" s="659"/>
      <c r="F75" s="659"/>
      <c r="G75" s="659"/>
      <c r="H75" s="659"/>
      <c r="I75" s="659"/>
      <c r="J75" s="659"/>
      <c r="K75" s="659"/>
      <c r="L75" s="659"/>
      <c r="M75" s="659"/>
      <c r="N75" s="659"/>
      <c r="O75" s="659"/>
      <c r="P75" s="659"/>
      <c r="Q75" s="659"/>
      <c r="R75" s="659"/>
      <c r="S75" s="659"/>
      <c r="T75" s="659"/>
      <c r="U75" s="659"/>
      <c r="V75" s="660"/>
      <c r="W75" s="660"/>
      <c r="X75" s="160"/>
      <c r="AA75" s="614"/>
      <c r="AB75" s="160"/>
      <c r="AC75" s="160"/>
      <c r="AD75" s="160"/>
      <c r="AE75" s="160"/>
      <c r="AF75" s="160"/>
      <c r="AG75" s="160"/>
      <c r="AH75" s="160"/>
      <c r="AI75" s="160"/>
      <c r="AJ75" s="160"/>
      <c r="AK75" s="160"/>
      <c r="AL75" s="160"/>
      <c r="AM75" s="160"/>
      <c r="AN75" s="160"/>
      <c r="AO75" s="160"/>
      <c r="AP75" s="160"/>
      <c r="AQ75" s="160"/>
      <c r="AR75" s="160"/>
      <c r="AS75" s="160"/>
      <c r="AT75" s="160"/>
    </row>
    <row r="76" spans="1:47" s="380" customFormat="1">
      <c r="A76" s="658"/>
      <c r="B76" s="659"/>
      <c r="C76" s="659"/>
      <c r="D76" s="659"/>
      <c r="E76" s="659"/>
      <c r="F76" s="659"/>
      <c r="G76" s="659"/>
      <c r="H76" s="659"/>
      <c r="I76" s="659"/>
      <c r="J76" s="659"/>
      <c r="K76" s="659"/>
      <c r="L76" s="659"/>
      <c r="M76" s="659"/>
      <c r="N76" s="659"/>
      <c r="O76" s="659"/>
      <c r="P76" s="659"/>
      <c r="Q76" s="659"/>
      <c r="R76" s="659"/>
      <c r="S76" s="659"/>
      <c r="T76" s="659"/>
      <c r="U76" s="659"/>
      <c r="V76" s="660"/>
      <c r="W76" s="660"/>
      <c r="X76" s="160"/>
      <c r="AA76" s="614"/>
      <c r="AB76" s="160"/>
      <c r="AC76" s="160"/>
      <c r="AD76" s="160"/>
      <c r="AE76" s="160"/>
      <c r="AF76" s="160"/>
      <c r="AG76" s="160"/>
      <c r="AH76" s="160"/>
      <c r="AI76" s="160"/>
      <c r="AJ76" s="160"/>
      <c r="AK76" s="160"/>
      <c r="AL76" s="160"/>
      <c r="AM76" s="160"/>
      <c r="AN76" s="160"/>
      <c r="AO76" s="160"/>
      <c r="AP76" s="160"/>
      <c r="AQ76" s="160"/>
      <c r="AR76" s="160"/>
      <c r="AS76" s="160"/>
      <c r="AT76" s="160"/>
    </row>
    <row r="77" spans="1:47" s="380" customFormat="1">
      <c r="A77" s="658"/>
      <c r="B77" s="659"/>
      <c r="C77" s="659"/>
      <c r="D77" s="659"/>
      <c r="E77" s="659"/>
      <c r="F77" s="659"/>
      <c r="G77" s="659"/>
      <c r="H77" s="659"/>
      <c r="I77" s="659"/>
      <c r="J77" s="659"/>
      <c r="K77" s="659"/>
      <c r="L77" s="659"/>
      <c r="M77" s="659"/>
      <c r="N77" s="659"/>
      <c r="O77" s="659"/>
      <c r="P77" s="659"/>
      <c r="Q77" s="659"/>
      <c r="R77" s="659"/>
      <c r="S77" s="659"/>
      <c r="T77" s="659"/>
      <c r="U77" s="659"/>
      <c r="V77" s="660"/>
      <c r="W77" s="660"/>
      <c r="X77" s="160"/>
      <c r="AA77" s="614"/>
      <c r="AB77" s="160"/>
      <c r="AC77" s="160"/>
      <c r="AD77" s="160"/>
      <c r="AE77" s="160"/>
      <c r="AF77" s="160"/>
      <c r="AG77" s="160"/>
      <c r="AH77" s="160"/>
      <c r="AI77" s="160"/>
      <c r="AJ77" s="160"/>
      <c r="AK77" s="160"/>
      <c r="AL77" s="160"/>
      <c r="AM77" s="160"/>
      <c r="AN77" s="160"/>
      <c r="AO77" s="160"/>
      <c r="AP77" s="160"/>
      <c r="AQ77" s="160"/>
      <c r="AR77" s="160"/>
      <c r="AS77" s="160"/>
      <c r="AT77" s="160"/>
    </row>
    <row r="78" spans="1:47" s="380" customFormat="1">
      <c r="A78" s="658"/>
      <c r="B78" s="659"/>
      <c r="C78" s="659"/>
      <c r="D78" s="659"/>
      <c r="E78" s="659"/>
      <c r="F78" s="659"/>
      <c r="G78" s="659"/>
      <c r="H78" s="659"/>
      <c r="I78" s="659"/>
      <c r="J78" s="659"/>
      <c r="K78" s="659"/>
      <c r="L78" s="659"/>
      <c r="M78" s="659"/>
      <c r="N78" s="659"/>
      <c r="O78" s="659"/>
      <c r="P78" s="659"/>
      <c r="Q78" s="659"/>
      <c r="R78" s="659"/>
      <c r="S78" s="659"/>
      <c r="T78" s="659"/>
      <c r="U78" s="659"/>
      <c r="V78" s="660"/>
      <c r="W78" s="660"/>
      <c r="X78" s="160"/>
      <c r="AA78" s="614"/>
      <c r="AB78" s="160"/>
      <c r="AC78" s="160"/>
      <c r="AD78" s="160"/>
      <c r="AE78" s="160"/>
      <c r="AF78" s="160"/>
      <c r="AG78" s="160"/>
      <c r="AH78" s="160"/>
      <c r="AI78" s="160"/>
      <c r="AJ78" s="160"/>
      <c r="AK78" s="160"/>
      <c r="AL78" s="160"/>
      <c r="AM78" s="160"/>
      <c r="AN78" s="160"/>
      <c r="AO78" s="160"/>
      <c r="AP78" s="160"/>
      <c r="AQ78" s="160"/>
      <c r="AR78" s="160"/>
      <c r="AS78" s="160"/>
      <c r="AT78" s="160"/>
    </row>
    <row r="79" spans="1:47" s="380" customFormat="1">
      <c r="A79" s="658"/>
      <c r="B79" s="659"/>
      <c r="C79" s="659"/>
      <c r="D79" s="659"/>
      <c r="E79" s="659"/>
      <c r="F79" s="659"/>
      <c r="G79" s="659"/>
      <c r="H79" s="659"/>
      <c r="I79" s="659"/>
      <c r="J79" s="659"/>
      <c r="K79" s="659"/>
      <c r="L79" s="659"/>
      <c r="M79" s="659"/>
      <c r="N79" s="659"/>
      <c r="O79" s="659"/>
      <c r="P79" s="659"/>
      <c r="Q79" s="659"/>
      <c r="R79" s="659"/>
      <c r="S79" s="659"/>
      <c r="T79" s="659"/>
      <c r="U79" s="659"/>
      <c r="V79" s="660"/>
      <c r="W79" s="660"/>
      <c r="X79" s="160"/>
      <c r="AA79" s="614"/>
      <c r="AB79" s="160"/>
      <c r="AC79" s="160"/>
      <c r="AD79" s="160"/>
      <c r="AE79" s="160"/>
      <c r="AF79" s="160"/>
      <c r="AG79" s="160"/>
      <c r="AH79" s="160"/>
      <c r="AI79" s="160"/>
      <c r="AJ79" s="160"/>
      <c r="AK79" s="160"/>
      <c r="AL79" s="160"/>
      <c r="AM79" s="160"/>
      <c r="AN79" s="160"/>
      <c r="AO79" s="160"/>
      <c r="AP79" s="160"/>
      <c r="AQ79" s="160"/>
      <c r="AR79" s="160"/>
      <c r="AS79" s="160"/>
      <c r="AT79" s="160"/>
    </row>
    <row r="80" spans="1:47" s="380" customFormat="1">
      <c r="A80" s="658"/>
      <c r="B80" s="659"/>
      <c r="C80" s="659"/>
      <c r="D80" s="659"/>
      <c r="E80" s="659"/>
      <c r="F80" s="659"/>
      <c r="G80" s="659"/>
      <c r="H80" s="659"/>
      <c r="I80" s="659"/>
      <c r="J80" s="659"/>
      <c r="K80" s="659"/>
      <c r="L80" s="659"/>
      <c r="M80" s="659"/>
      <c r="N80" s="659"/>
      <c r="O80" s="659"/>
      <c r="P80" s="659"/>
      <c r="Q80" s="659"/>
      <c r="R80" s="659"/>
      <c r="S80" s="659"/>
      <c r="T80" s="659"/>
      <c r="U80" s="659"/>
      <c r="V80" s="660"/>
      <c r="W80" s="660"/>
      <c r="X80" s="160"/>
      <c r="AA80" s="614"/>
      <c r="AB80" s="160"/>
      <c r="AC80" s="160"/>
      <c r="AD80" s="160"/>
      <c r="AE80" s="160"/>
      <c r="AF80" s="160"/>
      <c r="AG80" s="160"/>
      <c r="AH80" s="160"/>
      <c r="AI80" s="160"/>
      <c r="AJ80" s="160"/>
      <c r="AK80" s="160"/>
      <c r="AL80" s="160"/>
      <c r="AM80" s="160"/>
      <c r="AN80" s="160"/>
      <c r="AO80" s="160"/>
      <c r="AP80" s="160"/>
      <c r="AQ80" s="160"/>
      <c r="AR80" s="160"/>
      <c r="AS80" s="160"/>
      <c r="AT80" s="160"/>
    </row>
    <row r="81" spans="1:46" s="380" customFormat="1">
      <c r="A81" s="658"/>
      <c r="B81" s="659"/>
      <c r="C81" s="659"/>
      <c r="D81" s="659"/>
      <c r="E81" s="659"/>
      <c r="F81" s="659"/>
      <c r="G81" s="659"/>
      <c r="H81" s="659"/>
      <c r="I81" s="659"/>
      <c r="J81" s="659"/>
      <c r="K81" s="659"/>
      <c r="L81" s="659"/>
      <c r="M81" s="659"/>
      <c r="N81" s="659"/>
      <c r="O81" s="659"/>
      <c r="P81" s="659"/>
      <c r="Q81" s="659"/>
      <c r="R81" s="659"/>
      <c r="S81" s="659"/>
      <c r="T81" s="659"/>
      <c r="U81" s="659"/>
      <c r="V81" s="660"/>
      <c r="W81" s="660"/>
      <c r="X81" s="160"/>
      <c r="AA81" s="614"/>
      <c r="AB81" s="160"/>
      <c r="AC81" s="160"/>
      <c r="AD81" s="160"/>
      <c r="AE81" s="160"/>
      <c r="AF81" s="160"/>
      <c r="AG81" s="160"/>
      <c r="AH81" s="160"/>
      <c r="AI81" s="160"/>
      <c r="AJ81" s="160"/>
      <c r="AK81" s="160"/>
      <c r="AL81" s="160"/>
      <c r="AM81" s="160"/>
      <c r="AN81" s="160"/>
      <c r="AO81" s="160"/>
      <c r="AP81" s="160"/>
      <c r="AQ81" s="160"/>
      <c r="AR81" s="160"/>
      <c r="AS81" s="160"/>
      <c r="AT81" s="160"/>
    </row>
    <row r="82" spans="1:46" s="380" customFormat="1">
      <c r="A82" s="658"/>
      <c r="B82" s="659"/>
      <c r="C82" s="659"/>
      <c r="D82" s="659"/>
      <c r="E82" s="659"/>
      <c r="F82" s="659"/>
      <c r="G82" s="659"/>
      <c r="H82" s="659"/>
      <c r="I82" s="659"/>
      <c r="J82" s="659"/>
      <c r="K82" s="659"/>
      <c r="L82" s="659"/>
      <c r="M82" s="659"/>
      <c r="N82" s="659"/>
      <c r="O82" s="659"/>
      <c r="P82" s="659"/>
      <c r="Q82" s="659"/>
      <c r="R82" s="659"/>
      <c r="S82" s="659"/>
      <c r="T82" s="659"/>
      <c r="U82" s="659"/>
      <c r="V82" s="660"/>
      <c r="W82" s="660"/>
      <c r="X82" s="160"/>
      <c r="AA82" s="614"/>
      <c r="AB82" s="160"/>
      <c r="AC82" s="160"/>
      <c r="AD82" s="160"/>
      <c r="AE82" s="160"/>
      <c r="AF82" s="160"/>
      <c r="AG82" s="160"/>
      <c r="AH82" s="160"/>
      <c r="AI82" s="160"/>
      <c r="AJ82" s="160"/>
      <c r="AK82" s="160"/>
      <c r="AL82" s="160"/>
      <c r="AM82" s="160"/>
      <c r="AN82" s="160"/>
      <c r="AO82" s="160"/>
      <c r="AP82" s="160"/>
      <c r="AQ82" s="160"/>
      <c r="AR82" s="160"/>
      <c r="AS82" s="160"/>
      <c r="AT82" s="160"/>
    </row>
    <row r="83" spans="1:46" s="380" customFormat="1">
      <c r="A83" s="658"/>
      <c r="B83" s="659"/>
      <c r="C83" s="659"/>
      <c r="D83" s="659"/>
      <c r="E83" s="659"/>
      <c r="F83" s="659"/>
      <c r="G83" s="659"/>
      <c r="H83" s="659"/>
      <c r="I83" s="659"/>
      <c r="J83" s="659"/>
      <c r="K83" s="659"/>
      <c r="L83" s="659"/>
      <c r="M83" s="659"/>
      <c r="N83" s="659"/>
      <c r="O83" s="659"/>
      <c r="P83" s="659"/>
      <c r="Q83" s="659"/>
      <c r="R83" s="659"/>
      <c r="S83" s="659"/>
      <c r="T83" s="659"/>
      <c r="U83" s="659"/>
      <c r="V83" s="660"/>
      <c r="W83" s="660"/>
      <c r="X83" s="160"/>
      <c r="AA83" s="614"/>
      <c r="AB83" s="160"/>
      <c r="AC83" s="160"/>
      <c r="AD83" s="160"/>
      <c r="AE83" s="160"/>
      <c r="AF83" s="160"/>
      <c r="AG83" s="160"/>
      <c r="AH83" s="160"/>
      <c r="AI83" s="160"/>
      <c r="AJ83" s="160"/>
      <c r="AK83" s="160"/>
      <c r="AL83" s="160"/>
      <c r="AM83" s="160"/>
      <c r="AN83" s="160"/>
      <c r="AO83" s="160"/>
      <c r="AP83" s="160"/>
      <c r="AQ83" s="160"/>
      <c r="AR83" s="160"/>
      <c r="AS83" s="160"/>
      <c r="AT83" s="160"/>
    </row>
    <row r="84" spans="1:46" s="380" customFormat="1">
      <c r="A84" s="658"/>
      <c r="B84" s="659"/>
      <c r="C84" s="659"/>
      <c r="D84" s="659"/>
      <c r="E84" s="659"/>
      <c r="F84" s="659"/>
      <c r="G84" s="659"/>
      <c r="H84" s="659"/>
      <c r="I84" s="659"/>
      <c r="J84" s="659"/>
      <c r="K84" s="659"/>
      <c r="L84" s="659"/>
      <c r="M84" s="659"/>
      <c r="N84" s="659"/>
      <c r="O84" s="659"/>
      <c r="P84" s="659"/>
      <c r="Q84" s="659"/>
      <c r="R84" s="659"/>
      <c r="S84" s="659"/>
      <c r="T84" s="659"/>
      <c r="U84" s="659"/>
      <c r="V84" s="660"/>
      <c r="W84" s="660"/>
      <c r="X84" s="160"/>
      <c r="AA84" s="614"/>
      <c r="AB84" s="160"/>
      <c r="AC84" s="160"/>
      <c r="AD84" s="160"/>
      <c r="AE84" s="160"/>
      <c r="AF84" s="160"/>
      <c r="AG84" s="160"/>
      <c r="AH84" s="160"/>
      <c r="AI84" s="160"/>
      <c r="AJ84" s="160"/>
      <c r="AK84" s="160"/>
      <c r="AL84" s="160"/>
      <c r="AM84" s="160"/>
      <c r="AN84" s="160"/>
      <c r="AO84" s="160"/>
      <c r="AP84" s="160"/>
      <c r="AQ84" s="160"/>
      <c r="AR84" s="160"/>
      <c r="AS84" s="160"/>
      <c r="AT84" s="160"/>
    </row>
    <row r="85" spans="1:46" s="981" customFormat="1">
      <c r="A85" s="658"/>
      <c r="B85" s="659"/>
      <c r="C85" s="659"/>
      <c r="D85" s="659"/>
      <c r="E85" s="659"/>
      <c r="F85" s="659"/>
      <c r="G85" s="659"/>
      <c r="H85" s="659"/>
      <c r="I85" s="659"/>
      <c r="J85" s="659"/>
      <c r="K85" s="659"/>
      <c r="L85" s="659"/>
      <c r="M85" s="659"/>
      <c r="N85" s="659"/>
      <c r="O85" s="659"/>
      <c r="P85" s="659"/>
      <c r="Q85" s="659"/>
      <c r="R85" s="659"/>
      <c r="S85" s="659"/>
      <c r="T85" s="659"/>
      <c r="U85" s="659"/>
      <c r="V85" s="660"/>
      <c r="W85" s="660"/>
      <c r="X85" s="922"/>
      <c r="AA85" s="614"/>
      <c r="AB85" s="922"/>
      <c r="AC85" s="922"/>
      <c r="AD85" s="922"/>
      <c r="AE85" s="922"/>
      <c r="AF85" s="922"/>
      <c r="AG85" s="922"/>
      <c r="AH85" s="922"/>
      <c r="AI85" s="922"/>
      <c r="AJ85" s="922"/>
      <c r="AK85" s="922"/>
      <c r="AL85" s="922"/>
      <c r="AM85" s="922"/>
      <c r="AN85" s="922"/>
      <c r="AO85" s="922"/>
      <c r="AP85" s="922"/>
      <c r="AQ85" s="922"/>
      <c r="AR85" s="922"/>
      <c r="AS85" s="922"/>
      <c r="AT85" s="922"/>
    </row>
    <row r="86" spans="1:46" s="981" customFormat="1">
      <c r="A86" s="658"/>
      <c r="B86" s="659"/>
      <c r="C86" s="659"/>
      <c r="D86" s="659"/>
      <c r="E86" s="659"/>
      <c r="F86" s="659"/>
      <c r="G86" s="659"/>
      <c r="H86" s="659"/>
      <c r="I86" s="659"/>
      <c r="J86" s="659"/>
      <c r="K86" s="659"/>
      <c r="L86" s="659"/>
      <c r="M86" s="659"/>
      <c r="N86" s="659"/>
      <c r="O86" s="659"/>
      <c r="P86" s="659"/>
      <c r="Q86" s="659"/>
      <c r="R86" s="659"/>
      <c r="S86" s="659"/>
      <c r="T86" s="659"/>
      <c r="U86" s="659"/>
      <c r="V86" s="660"/>
      <c r="W86" s="660"/>
      <c r="X86" s="922"/>
      <c r="AA86" s="614"/>
      <c r="AB86" s="922"/>
      <c r="AC86" s="922"/>
      <c r="AD86" s="922"/>
      <c r="AE86" s="922"/>
      <c r="AF86" s="922"/>
      <c r="AG86" s="922"/>
      <c r="AH86" s="922"/>
      <c r="AI86" s="922"/>
      <c r="AJ86" s="922"/>
      <c r="AK86" s="922"/>
      <c r="AL86" s="922"/>
      <c r="AM86" s="922"/>
      <c r="AN86" s="922"/>
      <c r="AO86" s="922"/>
      <c r="AP86" s="922"/>
      <c r="AQ86" s="922"/>
      <c r="AR86" s="922"/>
      <c r="AS86" s="922"/>
      <c r="AT86" s="922"/>
    </row>
    <row r="87" spans="1:46" s="981" customFormat="1">
      <c r="A87" s="658"/>
      <c r="B87" s="659"/>
      <c r="C87" s="659"/>
      <c r="D87" s="659"/>
      <c r="E87" s="659"/>
      <c r="F87" s="659"/>
      <c r="G87" s="659"/>
      <c r="H87" s="659"/>
      <c r="I87" s="659"/>
      <c r="J87" s="659"/>
      <c r="K87" s="659"/>
      <c r="L87" s="659"/>
      <c r="M87" s="659"/>
      <c r="N87" s="659"/>
      <c r="O87" s="659"/>
      <c r="P87" s="659"/>
      <c r="Q87" s="659"/>
      <c r="R87" s="659"/>
      <c r="S87" s="659"/>
      <c r="T87" s="659"/>
      <c r="U87" s="659"/>
      <c r="V87" s="660"/>
      <c r="W87" s="660"/>
      <c r="X87" s="922"/>
      <c r="AA87" s="614"/>
      <c r="AB87" s="922"/>
      <c r="AC87" s="922"/>
      <c r="AD87" s="922"/>
      <c r="AE87" s="922"/>
      <c r="AF87" s="922"/>
      <c r="AG87" s="922"/>
      <c r="AH87" s="922"/>
      <c r="AI87" s="922"/>
      <c r="AJ87" s="922"/>
      <c r="AK87" s="922"/>
      <c r="AL87" s="922"/>
      <c r="AM87" s="922"/>
      <c r="AN87" s="922"/>
      <c r="AO87" s="922"/>
      <c r="AP87" s="922"/>
      <c r="AQ87" s="922"/>
      <c r="AR87" s="922"/>
      <c r="AS87" s="922"/>
      <c r="AT87" s="922"/>
    </row>
    <row r="88" spans="1:46" s="981" customFormat="1">
      <c r="A88" s="658"/>
      <c r="B88" s="659"/>
      <c r="C88" s="659"/>
      <c r="D88" s="659"/>
      <c r="E88" s="659"/>
      <c r="F88" s="659"/>
      <c r="G88" s="659"/>
      <c r="H88" s="659"/>
      <c r="I88" s="659"/>
      <c r="J88" s="659"/>
      <c r="K88" s="659"/>
      <c r="L88" s="659"/>
      <c r="M88" s="659"/>
      <c r="N88" s="659"/>
      <c r="O88" s="659"/>
      <c r="P88" s="659"/>
      <c r="Q88" s="659"/>
      <c r="R88" s="659"/>
      <c r="S88" s="659"/>
      <c r="T88" s="659"/>
      <c r="U88" s="659"/>
      <c r="V88" s="660"/>
      <c r="W88" s="660"/>
      <c r="X88" s="922"/>
      <c r="AA88" s="614"/>
      <c r="AB88" s="922"/>
      <c r="AC88" s="922"/>
      <c r="AD88" s="922"/>
      <c r="AE88" s="922"/>
      <c r="AF88" s="922"/>
      <c r="AG88" s="922"/>
      <c r="AH88" s="922"/>
      <c r="AI88" s="922"/>
      <c r="AJ88" s="922"/>
      <c r="AK88" s="922"/>
      <c r="AL88" s="922"/>
      <c r="AM88" s="922"/>
      <c r="AN88" s="922"/>
      <c r="AO88" s="922"/>
      <c r="AP88" s="922"/>
      <c r="AQ88" s="922"/>
      <c r="AR88" s="922"/>
      <c r="AS88" s="922"/>
      <c r="AT88" s="922"/>
    </row>
    <row r="89" spans="1:46" s="981" customFormat="1">
      <c r="A89" s="658"/>
      <c r="B89" s="659"/>
      <c r="C89" s="659"/>
      <c r="D89" s="659"/>
      <c r="E89" s="659"/>
      <c r="F89" s="659"/>
      <c r="G89" s="659"/>
      <c r="H89" s="659"/>
      <c r="I89" s="659"/>
      <c r="J89" s="659"/>
      <c r="K89" s="659"/>
      <c r="L89" s="659"/>
      <c r="M89" s="659"/>
      <c r="N89" s="659"/>
      <c r="O89" s="659"/>
      <c r="P89" s="659"/>
      <c r="Q89" s="659"/>
      <c r="R89" s="659"/>
      <c r="S89" s="659"/>
      <c r="T89" s="659"/>
      <c r="U89" s="659"/>
      <c r="V89" s="660"/>
      <c r="W89" s="660"/>
      <c r="X89" s="922"/>
      <c r="AA89" s="614"/>
      <c r="AB89" s="922"/>
      <c r="AC89" s="922"/>
      <c r="AD89" s="922"/>
      <c r="AE89" s="922"/>
      <c r="AF89" s="922"/>
      <c r="AG89" s="922"/>
      <c r="AH89" s="922"/>
      <c r="AI89" s="922"/>
      <c r="AJ89" s="922"/>
      <c r="AK89" s="922"/>
      <c r="AL89" s="922"/>
      <c r="AM89" s="922"/>
      <c r="AN89" s="922"/>
      <c r="AO89" s="922"/>
      <c r="AP89" s="922"/>
      <c r="AQ89" s="922"/>
      <c r="AR89" s="922"/>
      <c r="AS89" s="922"/>
      <c r="AT89" s="922"/>
    </row>
    <row r="90" spans="1:46" s="981" customFormat="1">
      <c r="A90" s="658"/>
      <c r="B90" s="659"/>
      <c r="C90" s="659"/>
      <c r="D90" s="659"/>
      <c r="E90" s="659"/>
      <c r="F90" s="659"/>
      <c r="G90" s="659"/>
      <c r="H90" s="659"/>
      <c r="I90" s="659"/>
      <c r="J90" s="659"/>
      <c r="K90" s="659"/>
      <c r="L90" s="659"/>
      <c r="M90" s="659"/>
      <c r="N90" s="659"/>
      <c r="O90" s="659"/>
      <c r="P90" s="659"/>
      <c r="Q90" s="659"/>
      <c r="R90" s="659"/>
      <c r="S90" s="659"/>
      <c r="T90" s="659"/>
      <c r="U90" s="659"/>
      <c r="V90" s="660"/>
      <c r="W90" s="660"/>
      <c r="X90" s="922"/>
      <c r="AA90" s="614"/>
      <c r="AB90" s="922"/>
      <c r="AC90" s="922"/>
      <c r="AD90" s="922"/>
      <c r="AE90" s="922"/>
      <c r="AF90" s="922"/>
      <c r="AG90" s="922"/>
      <c r="AH90" s="922"/>
      <c r="AI90" s="922"/>
      <c r="AJ90" s="922"/>
      <c r="AK90" s="922"/>
      <c r="AL90" s="922"/>
      <c r="AM90" s="922"/>
      <c r="AN90" s="922"/>
      <c r="AO90" s="922"/>
      <c r="AP90" s="922"/>
      <c r="AQ90" s="922"/>
      <c r="AR90" s="922"/>
      <c r="AS90" s="922"/>
      <c r="AT90" s="922"/>
    </row>
    <row r="91" spans="1:46" s="981" customFormat="1">
      <c r="A91" s="658"/>
      <c r="B91" s="659"/>
      <c r="C91" s="659"/>
      <c r="D91" s="659"/>
      <c r="E91" s="659"/>
      <c r="F91" s="659"/>
      <c r="G91" s="659"/>
      <c r="H91" s="659"/>
      <c r="I91" s="659"/>
      <c r="J91" s="659"/>
      <c r="K91" s="659"/>
      <c r="L91" s="659"/>
      <c r="M91" s="659"/>
      <c r="N91" s="659"/>
      <c r="O91" s="659"/>
      <c r="P91" s="659"/>
      <c r="Q91" s="659"/>
      <c r="R91" s="659"/>
      <c r="S91" s="659"/>
      <c r="T91" s="659"/>
      <c r="U91" s="659"/>
      <c r="V91" s="660"/>
      <c r="W91" s="660"/>
      <c r="X91" s="922"/>
      <c r="AA91" s="614"/>
      <c r="AB91" s="922"/>
      <c r="AC91" s="922"/>
      <c r="AD91" s="922"/>
      <c r="AE91" s="922"/>
      <c r="AF91" s="922"/>
      <c r="AG91" s="922"/>
      <c r="AH91" s="922"/>
      <c r="AI91" s="922"/>
      <c r="AJ91" s="922"/>
      <c r="AK91" s="922"/>
      <c r="AL91" s="922"/>
      <c r="AM91" s="922"/>
      <c r="AN91" s="922"/>
      <c r="AO91" s="922"/>
      <c r="AP91" s="922"/>
      <c r="AQ91" s="922"/>
      <c r="AR91" s="922"/>
      <c r="AS91" s="922"/>
      <c r="AT91" s="922"/>
    </row>
    <row r="92" spans="1:46" s="981" customFormat="1">
      <c r="A92" s="658"/>
      <c r="B92" s="659"/>
      <c r="C92" s="659"/>
      <c r="D92" s="659"/>
      <c r="E92" s="659"/>
      <c r="F92" s="659"/>
      <c r="G92" s="659"/>
      <c r="H92" s="659"/>
      <c r="I92" s="659"/>
      <c r="J92" s="659"/>
      <c r="K92" s="659"/>
      <c r="L92" s="659"/>
      <c r="M92" s="659"/>
      <c r="N92" s="659"/>
      <c r="O92" s="659"/>
      <c r="P92" s="659"/>
      <c r="Q92" s="659"/>
      <c r="R92" s="659"/>
      <c r="S92" s="659"/>
      <c r="T92" s="659"/>
      <c r="U92" s="659"/>
      <c r="V92" s="660"/>
      <c r="W92" s="660"/>
      <c r="X92" s="922"/>
      <c r="AA92" s="614"/>
      <c r="AB92" s="922"/>
      <c r="AC92" s="922"/>
      <c r="AD92" s="922"/>
      <c r="AE92" s="922"/>
      <c r="AF92" s="922"/>
      <c r="AG92" s="922"/>
      <c r="AH92" s="922"/>
      <c r="AI92" s="922"/>
      <c r="AJ92" s="922"/>
      <c r="AK92" s="922"/>
      <c r="AL92" s="922"/>
      <c r="AM92" s="922"/>
      <c r="AN92" s="922"/>
      <c r="AO92" s="922"/>
      <c r="AP92" s="922"/>
      <c r="AQ92" s="922"/>
      <c r="AR92" s="922"/>
      <c r="AS92" s="922"/>
      <c r="AT92" s="922"/>
    </row>
    <row r="93" spans="1:46" s="981" customFormat="1">
      <c r="A93" s="658"/>
      <c r="B93" s="659"/>
      <c r="C93" s="659"/>
      <c r="D93" s="659"/>
      <c r="E93" s="659"/>
      <c r="F93" s="659"/>
      <c r="G93" s="659"/>
      <c r="H93" s="659"/>
      <c r="I93" s="659"/>
      <c r="J93" s="659"/>
      <c r="K93" s="659"/>
      <c r="L93" s="659"/>
      <c r="M93" s="659"/>
      <c r="N93" s="659"/>
      <c r="O93" s="659"/>
      <c r="P93" s="659"/>
      <c r="Q93" s="659"/>
      <c r="R93" s="659"/>
      <c r="S93" s="659"/>
      <c r="T93" s="659"/>
      <c r="U93" s="659"/>
      <c r="V93" s="660"/>
      <c r="W93" s="660"/>
      <c r="X93" s="922"/>
      <c r="AA93" s="614"/>
      <c r="AB93" s="922"/>
      <c r="AC93" s="922"/>
      <c r="AD93" s="922"/>
      <c r="AE93" s="922"/>
      <c r="AF93" s="922"/>
      <c r="AG93" s="922"/>
      <c r="AH93" s="922"/>
      <c r="AI93" s="922"/>
      <c r="AJ93" s="922"/>
      <c r="AK93" s="922"/>
      <c r="AL93" s="922"/>
      <c r="AM93" s="922"/>
      <c r="AN93" s="922"/>
      <c r="AO93" s="922"/>
      <c r="AP93" s="922"/>
      <c r="AQ93" s="922"/>
      <c r="AR93" s="922"/>
      <c r="AS93" s="922"/>
      <c r="AT93" s="922"/>
    </row>
    <row r="94" spans="1:46" s="981" customFormat="1">
      <c r="A94" s="658"/>
      <c r="B94" s="659"/>
      <c r="C94" s="659"/>
      <c r="D94" s="659"/>
      <c r="E94" s="659"/>
      <c r="F94" s="659"/>
      <c r="G94" s="659"/>
      <c r="H94" s="659"/>
      <c r="I94" s="659"/>
      <c r="J94" s="659"/>
      <c r="K94" s="659"/>
      <c r="L94" s="659"/>
      <c r="M94" s="659"/>
      <c r="N94" s="659"/>
      <c r="O94" s="659"/>
      <c r="P94" s="659"/>
      <c r="Q94" s="659"/>
      <c r="R94" s="659"/>
      <c r="S94" s="659"/>
      <c r="T94" s="659"/>
      <c r="U94" s="659"/>
      <c r="V94" s="660"/>
      <c r="W94" s="660"/>
      <c r="X94" s="922"/>
      <c r="AA94" s="614"/>
      <c r="AB94" s="922"/>
      <c r="AC94" s="922"/>
      <c r="AD94" s="922"/>
      <c r="AE94" s="922"/>
      <c r="AF94" s="922"/>
      <c r="AG94" s="922"/>
      <c r="AH94" s="922"/>
      <c r="AI94" s="922"/>
      <c r="AJ94" s="922"/>
      <c r="AK94" s="922"/>
      <c r="AL94" s="922"/>
      <c r="AM94" s="922"/>
      <c r="AN94" s="922"/>
      <c r="AO94" s="922"/>
      <c r="AP94" s="922"/>
      <c r="AQ94" s="922"/>
      <c r="AR94" s="922"/>
      <c r="AS94" s="922"/>
      <c r="AT94" s="922"/>
    </row>
    <row r="95" spans="1:46" s="981" customFormat="1">
      <c r="A95" s="658"/>
      <c r="B95" s="659"/>
      <c r="C95" s="659"/>
      <c r="D95" s="659"/>
      <c r="E95" s="659"/>
      <c r="F95" s="659"/>
      <c r="G95" s="659"/>
      <c r="H95" s="659"/>
      <c r="I95" s="659"/>
      <c r="J95" s="659"/>
      <c r="K95" s="659"/>
      <c r="L95" s="659"/>
      <c r="M95" s="659"/>
      <c r="N95" s="659"/>
      <c r="O95" s="659"/>
      <c r="P95" s="659"/>
      <c r="Q95" s="659"/>
      <c r="R95" s="659"/>
      <c r="S95" s="659"/>
      <c r="T95" s="659"/>
      <c r="U95" s="659"/>
      <c r="V95" s="660"/>
      <c r="W95" s="660"/>
      <c r="X95" s="922"/>
      <c r="AA95" s="614"/>
      <c r="AB95" s="922"/>
      <c r="AC95" s="922"/>
      <c r="AD95" s="922"/>
      <c r="AE95" s="922"/>
      <c r="AF95" s="922"/>
      <c r="AG95" s="922"/>
      <c r="AH95" s="922"/>
      <c r="AI95" s="922"/>
      <c r="AJ95" s="922"/>
      <c r="AK95" s="922"/>
      <c r="AL95" s="922"/>
      <c r="AM95" s="922"/>
      <c r="AN95" s="922"/>
      <c r="AO95" s="922"/>
      <c r="AP95" s="922"/>
      <c r="AQ95" s="922"/>
      <c r="AR95" s="922"/>
      <c r="AS95" s="922"/>
      <c r="AT95" s="922"/>
    </row>
    <row r="96" spans="1:46" s="981" customFormat="1">
      <c r="A96" s="658"/>
      <c r="B96" s="659"/>
      <c r="C96" s="659"/>
      <c r="D96" s="659"/>
      <c r="E96" s="659"/>
      <c r="F96" s="659"/>
      <c r="G96" s="659"/>
      <c r="H96" s="659"/>
      <c r="I96" s="659"/>
      <c r="J96" s="659"/>
      <c r="K96" s="659"/>
      <c r="L96" s="659"/>
      <c r="M96" s="659"/>
      <c r="N96" s="659"/>
      <c r="O96" s="659"/>
      <c r="P96" s="659"/>
      <c r="Q96" s="659"/>
      <c r="R96" s="659"/>
      <c r="S96" s="659"/>
      <c r="T96" s="659"/>
      <c r="U96" s="659"/>
      <c r="V96" s="660"/>
      <c r="W96" s="660"/>
      <c r="X96" s="922"/>
      <c r="AA96" s="614"/>
      <c r="AB96" s="922"/>
      <c r="AC96" s="922"/>
      <c r="AD96" s="922"/>
      <c r="AE96" s="922"/>
      <c r="AF96" s="922"/>
      <c r="AG96" s="922"/>
      <c r="AH96" s="922"/>
      <c r="AI96" s="922"/>
      <c r="AJ96" s="922"/>
      <c r="AK96" s="922"/>
      <c r="AL96" s="922"/>
      <c r="AM96" s="922"/>
      <c r="AN96" s="922"/>
      <c r="AO96" s="922"/>
      <c r="AP96" s="922"/>
      <c r="AQ96" s="922"/>
      <c r="AR96" s="922"/>
      <c r="AS96" s="922"/>
      <c r="AT96" s="922"/>
    </row>
    <row r="97" spans="1:47" s="380" customFormat="1">
      <c r="A97" s="658"/>
      <c r="B97" s="659"/>
      <c r="C97" s="659"/>
      <c r="D97" s="659"/>
      <c r="E97" s="659"/>
      <c r="F97" s="659"/>
      <c r="G97" s="659"/>
      <c r="H97" s="659"/>
      <c r="I97" s="659"/>
      <c r="J97" s="659"/>
      <c r="K97" s="659"/>
      <c r="L97" s="659"/>
      <c r="M97" s="659"/>
      <c r="N97" s="659"/>
      <c r="O97" s="659"/>
      <c r="P97" s="659"/>
      <c r="Q97" s="659"/>
      <c r="R97" s="659"/>
      <c r="S97" s="659"/>
      <c r="T97" s="659"/>
      <c r="U97" s="659"/>
      <c r="V97" s="660"/>
      <c r="W97" s="660"/>
      <c r="X97" s="160"/>
      <c r="AA97" s="614"/>
      <c r="AB97" s="160"/>
      <c r="AC97" s="160"/>
      <c r="AD97" s="160"/>
      <c r="AE97" s="160"/>
      <c r="AF97" s="160"/>
      <c r="AG97" s="160"/>
      <c r="AH97" s="160"/>
      <c r="AI97" s="160"/>
      <c r="AJ97" s="160"/>
      <c r="AK97" s="160"/>
      <c r="AL97" s="160"/>
      <c r="AM97" s="160"/>
      <c r="AN97" s="160"/>
      <c r="AO97" s="160"/>
      <c r="AP97" s="160"/>
      <c r="AQ97" s="160"/>
      <c r="AR97" s="160"/>
      <c r="AS97" s="160"/>
      <c r="AT97" s="160"/>
    </row>
    <row r="98" spans="1:47" s="380" customFormat="1">
      <c r="A98" s="658"/>
      <c r="B98" s="659"/>
      <c r="C98" s="659"/>
      <c r="D98" s="659"/>
      <c r="E98" s="659"/>
      <c r="F98" s="659"/>
      <c r="G98" s="659"/>
      <c r="H98" s="659"/>
      <c r="I98" s="659"/>
      <c r="J98" s="659"/>
      <c r="K98" s="659"/>
      <c r="L98" s="659"/>
      <c r="M98" s="659"/>
      <c r="N98" s="659"/>
      <c r="O98" s="659"/>
      <c r="P98" s="659"/>
      <c r="Q98" s="659"/>
      <c r="R98" s="659"/>
      <c r="S98" s="659"/>
      <c r="T98" s="659"/>
      <c r="U98" s="659"/>
      <c r="V98" s="660"/>
      <c r="W98" s="660"/>
      <c r="X98" s="160"/>
      <c r="AA98" s="614"/>
      <c r="AB98" s="160"/>
      <c r="AC98" s="160"/>
      <c r="AD98" s="160"/>
      <c r="AE98" s="160"/>
      <c r="AF98" s="160"/>
      <c r="AG98" s="160"/>
      <c r="AH98" s="160"/>
      <c r="AI98" s="160"/>
      <c r="AJ98" s="160"/>
      <c r="AK98" s="160"/>
      <c r="AL98" s="160"/>
      <c r="AM98" s="160"/>
      <c r="AN98" s="160"/>
      <c r="AO98" s="160"/>
      <c r="AP98" s="160"/>
      <c r="AQ98" s="160"/>
      <c r="AR98" s="160"/>
      <c r="AS98" s="160"/>
      <c r="AT98" s="160"/>
    </row>
    <row r="99" spans="1:47" s="380" customFormat="1">
      <c r="A99" s="658"/>
      <c r="B99" s="659"/>
      <c r="C99" s="659"/>
      <c r="D99" s="659"/>
      <c r="E99" s="659"/>
      <c r="F99" s="659"/>
      <c r="G99" s="659"/>
      <c r="H99" s="659"/>
      <c r="I99" s="659"/>
      <c r="J99" s="659"/>
      <c r="K99" s="659"/>
      <c r="L99" s="659"/>
      <c r="M99" s="659"/>
      <c r="N99" s="659"/>
      <c r="O99" s="659"/>
      <c r="P99" s="659"/>
      <c r="Q99" s="659"/>
      <c r="R99" s="659"/>
      <c r="S99" s="659"/>
      <c r="T99" s="659"/>
      <c r="U99" s="659"/>
      <c r="V99" s="660"/>
      <c r="W99" s="660"/>
      <c r="X99" s="160"/>
      <c r="AA99" s="614"/>
      <c r="AB99" s="160"/>
      <c r="AC99" s="160"/>
      <c r="AD99" s="160"/>
      <c r="AE99" s="160"/>
      <c r="AF99" s="160"/>
      <c r="AG99" s="160"/>
      <c r="AH99" s="160"/>
      <c r="AI99" s="160"/>
      <c r="AJ99" s="160"/>
      <c r="AK99" s="160"/>
      <c r="AL99" s="160"/>
      <c r="AM99" s="160"/>
      <c r="AN99" s="160"/>
      <c r="AO99" s="160"/>
      <c r="AP99" s="160"/>
      <c r="AQ99" s="160"/>
      <c r="AR99" s="160"/>
      <c r="AS99" s="160"/>
      <c r="AT99" s="160"/>
    </row>
    <row r="100" spans="1:47" s="380" customFormat="1">
      <c r="A100" s="658"/>
      <c r="B100" s="659"/>
      <c r="C100" s="659"/>
      <c r="D100" s="659"/>
      <c r="E100" s="659"/>
      <c r="F100" s="659"/>
      <c r="G100" s="659"/>
      <c r="H100" s="659"/>
      <c r="I100" s="659"/>
      <c r="J100" s="659"/>
      <c r="K100" s="659"/>
      <c r="L100" s="659"/>
      <c r="M100" s="659"/>
      <c r="N100" s="659"/>
      <c r="O100" s="659"/>
      <c r="P100" s="659"/>
      <c r="Q100" s="659"/>
      <c r="R100" s="659"/>
      <c r="S100" s="659"/>
      <c r="T100" s="659"/>
      <c r="U100" s="659"/>
      <c r="V100" s="660"/>
      <c r="W100" s="660"/>
      <c r="X100" s="160"/>
      <c r="AA100" s="614"/>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80" customFormat="1">
      <c r="A101" s="658"/>
      <c r="B101" s="659"/>
      <c r="C101" s="659"/>
      <c r="D101" s="659"/>
      <c r="E101" s="659"/>
      <c r="F101" s="659"/>
      <c r="G101" s="659"/>
      <c r="H101" s="659"/>
      <c r="I101" s="659"/>
      <c r="J101" s="659"/>
      <c r="K101" s="659"/>
      <c r="L101" s="659"/>
      <c r="M101" s="659"/>
      <c r="N101" s="659"/>
      <c r="O101" s="659"/>
      <c r="P101" s="659"/>
      <c r="Q101" s="659"/>
      <c r="R101" s="659"/>
      <c r="S101" s="659"/>
      <c r="T101" s="659"/>
      <c r="U101" s="659"/>
      <c r="V101" s="660"/>
      <c r="W101" s="660"/>
      <c r="X101" s="160"/>
      <c r="AA101" s="614"/>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61"/>
      <c r="B102" s="662"/>
      <c r="C102" s="663"/>
      <c r="D102" s="664"/>
      <c r="E102" s="664"/>
      <c r="F102" s="664"/>
      <c r="G102" s="664"/>
      <c r="H102" s="664"/>
      <c r="I102" s="664"/>
      <c r="J102" s="664"/>
      <c r="K102" s="664"/>
      <c r="L102" s="664"/>
      <c r="M102" s="664"/>
      <c r="N102" s="664"/>
      <c r="O102" s="664"/>
      <c r="P102" s="664"/>
      <c r="Q102" s="664"/>
      <c r="R102" s="664"/>
      <c r="S102" s="664"/>
      <c r="T102" s="665"/>
      <c r="U102" s="666"/>
      <c r="V102" s="171"/>
      <c r="W102" s="667"/>
      <c r="X102" s="532"/>
      <c r="Y102" s="160"/>
      <c r="Z102" s="541"/>
      <c r="AA102" s="613"/>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61"/>
      <c r="B103" s="662"/>
      <c r="C103" s="663"/>
      <c r="D103" s="668"/>
      <c r="E103" s="668"/>
      <c r="F103" s="664"/>
      <c r="G103" s="668"/>
      <c r="H103" s="668"/>
      <c r="I103" s="668"/>
      <c r="J103" s="668"/>
      <c r="K103" s="668"/>
      <c r="L103" s="668"/>
      <c r="M103" s="668"/>
      <c r="N103" s="668"/>
      <c r="O103" s="668"/>
      <c r="P103" s="668"/>
      <c r="Q103" s="668"/>
      <c r="R103" s="668"/>
      <c r="S103" s="668"/>
      <c r="T103" s="665"/>
      <c r="U103" s="666"/>
      <c r="V103" s="171"/>
      <c r="W103" s="667"/>
      <c r="X103" s="532"/>
      <c r="Y103" s="160"/>
      <c r="Z103" s="541"/>
      <c r="AA103" s="613"/>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8"/>
      <c r="B104" s="659"/>
      <c r="C104" s="664"/>
      <c r="D104" s="664"/>
      <c r="E104" s="664"/>
      <c r="F104" s="664"/>
      <c r="G104" s="664"/>
      <c r="H104" s="664"/>
      <c r="I104" s="664"/>
      <c r="J104" s="664"/>
      <c r="K104" s="664"/>
      <c r="L104" s="664"/>
      <c r="M104" s="664"/>
      <c r="N104" s="664"/>
      <c r="O104" s="664"/>
      <c r="P104" s="664"/>
      <c r="Q104" s="664"/>
      <c r="R104" s="664"/>
      <c r="S104" s="664"/>
      <c r="T104" s="664"/>
      <c r="U104" s="669"/>
      <c r="V104" s="660"/>
      <c r="W104" s="660"/>
      <c r="Y104" s="160"/>
      <c r="Z104" s="160"/>
      <c r="AU104" s="160"/>
    </row>
    <row r="105" spans="1:47">
      <c r="A105" s="658"/>
      <c r="B105" s="659"/>
      <c r="C105" s="659"/>
      <c r="D105" s="659"/>
      <c r="E105" s="659"/>
      <c r="F105" s="659"/>
      <c r="G105" s="659"/>
      <c r="H105" s="659"/>
      <c r="I105" s="659"/>
      <c r="J105" s="659"/>
      <c r="K105" s="659"/>
      <c r="L105" s="659"/>
      <c r="M105" s="659"/>
      <c r="N105" s="659"/>
      <c r="O105" s="659"/>
      <c r="P105" s="659"/>
      <c r="Q105" s="659"/>
      <c r="R105" s="659"/>
      <c r="S105" s="659"/>
      <c r="T105" s="659"/>
      <c r="U105" s="659"/>
      <c r="V105" s="660"/>
      <c r="W105" s="660"/>
      <c r="Y105" s="160"/>
      <c r="Z105" s="160"/>
      <c r="AU105" s="160"/>
    </row>
    <row r="106" spans="1:47">
      <c r="A106" s="658"/>
      <c r="B106" s="659"/>
      <c r="C106" s="659"/>
      <c r="D106" s="659"/>
      <c r="E106" s="659"/>
      <c r="F106" s="659"/>
      <c r="G106" s="659"/>
      <c r="H106" s="659"/>
      <c r="I106" s="659"/>
      <c r="J106" s="659"/>
      <c r="K106" s="659"/>
      <c r="L106" s="659"/>
      <c r="M106" s="659"/>
      <c r="N106" s="659"/>
      <c r="O106" s="659"/>
      <c r="P106" s="659"/>
      <c r="Q106" s="659"/>
      <c r="R106" s="659"/>
      <c r="S106" s="659"/>
      <c r="T106" s="659"/>
      <c r="U106" s="659"/>
      <c r="V106" s="660"/>
      <c r="W106" s="660"/>
      <c r="Y106" s="160"/>
      <c r="Z106" s="160"/>
      <c r="AU106" s="160"/>
    </row>
    <row r="107" spans="1:47">
      <c r="A107" s="658"/>
      <c r="B107" s="659"/>
      <c r="C107" s="659"/>
      <c r="D107" s="659"/>
      <c r="E107" s="659"/>
      <c r="F107" s="659"/>
      <c r="G107" s="659"/>
      <c r="H107" s="659"/>
      <c r="I107" s="659"/>
      <c r="J107" s="659"/>
      <c r="K107" s="659"/>
      <c r="L107" s="659"/>
      <c r="M107" s="659"/>
      <c r="N107" s="659"/>
      <c r="O107" s="659"/>
      <c r="P107" s="659"/>
      <c r="Q107" s="659"/>
      <c r="R107" s="659"/>
      <c r="S107" s="659"/>
      <c r="T107" s="659"/>
      <c r="U107" s="659"/>
      <c r="V107" s="660"/>
      <c r="W107" s="660"/>
    </row>
    <row r="108" spans="1:47">
      <c r="A108" s="658"/>
      <c r="B108" s="659"/>
      <c r="C108" s="659"/>
      <c r="D108" s="659"/>
      <c r="E108" s="659"/>
      <c r="F108" s="659"/>
      <c r="G108" s="659"/>
      <c r="H108" s="659"/>
      <c r="I108" s="659"/>
      <c r="J108" s="659"/>
      <c r="K108" s="659"/>
      <c r="L108" s="659"/>
      <c r="M108" s="659"/>
      <c r="N108" s="659"/>
      <c r="O108" s="659"/>
      <c r="P108" s="659"/>
      <c r="Q108" s="659"/>
      <c r="R108" s="659"/>
      <c r="S108" s="659"/>
      <c r="T108" s="659"/>
      <c r="U108" s="659"/>
      <c r="V108" s="660"/>
      <c r="W108" s="660"/>
    </row>
    <row r="109" spans="1:47">
      <c r="A109" s="658"/>
      <c r="B109" s="659"/>
      <c r="C109" s="659"/>
      <c r="D109" s="659"/>
      <c r="E109" s="659"/>
      <c r="F109" s="659"/>
      <c r="G109" s="659"/>
      <c r="H109" s="659"/>
      <c r="I109" s="659"/>
      <c r="J109" s="659"/>
      <c r="K109" s="659"/>
      <c r="L109" s="659"/>
      <c r="M109" s="659"/>
      <c r="N109" s="659"/>
      <c r="O109" s="659"/>
      <c r="P109" s="659"/>
      <c r="Q109" s="659"/>
      <c r="R109" s="659"/>
      <c r="S109" s="659"/>
      <c r="T109" s="659"/>
      <c r="U109" s="659"/>
      <c r="V109" s="660"/>
      <c r="W109" s="660"/>
      <c r="X109"/>
      <c r="AA109"/>
      <c r="AB109"/>
      <c r="AC109"/>
      <c r="AD109"/>
      <c r="AE109"/>
      <c r="AF109"/>
      <c r="AG109"/>
      <c r="AH109"/>
      <c r="AI109"/>
      <c r="AJ109"/>
      <c r="AK109"/>
      <c r="AL109"/>
      <c r="AM109"/>
      <c r="AN109"/>
      <c r="AO109"/>
      <c r="AP109"/>
      <c r="AQ109"/>
      <c r="AR109"/>
      <c r="AS109"/>
      <c r="AT109"/>
    </row>
    <row r="110" spans="1:47">
      <c r="A110" s="658"/>
      <c r="B110" s="659"/>
      <c r="C110" s="659"/>
      <c r="D110" s="659"/>
      <c r="E110" s="659"/>
      <c r="F110" s="659"/>
      <c r="G110" s="659"/>
      <c r="H110" s="659"/>
      <c r="I110" s="659"/>
      <c r="J110" s="659"/>
      <c r="K110" s="659"/>
      <c r="L110" s="659"/>
      <c r="M110" s="659"/>
      <c r="N110" s="659"/>
      <c r="O110" s="659"/>
      <c r="P110" s="659"/>
      <c r="Q110" s="659"/>
      <c r="R110" s="659"/>
      <c r="S110" s="659"/>
      <c r="T110" s="659"/>
      <c r="U110" s="659"/>
      <c r="V110" s="660"/>
      <c r="W110" s="660"/>
      <c r="X110"/>
      <c r="AA110"/>
      <c r="AB110"/>
      <c r="AC110"/>
      <c r="AD110"/>
      <c r="AE110"/>
      <c r="AF110"/>
      <c r="AG110"/>
      <c r="AH110"/>
      <c r="AI110"/>
      <c r="AJ110"/>
      <c r="AK110"/>
      <c r="AL110"/>
      <c r="AM110"/>
      <c r="AN110"/>
      <c r="AO110"/>
      <c r="AP110"/>
      <c r="AQ110"/>
      <c r="AR110"/>
      <c r="AS110"/>
      <c r="AT110"/>
    </row>
    <row r="111" spans="1:47">
      <c r="A111" s="658"/>
      <c r="B111" s="659"/>
      <c r="C111" s="659"/>
      <c r="D111" s="659"/>
      <c r="E111" s="659"/>
      <c r="F111" s="659"/>
      <c r="G111" s="659"/>
      <c r="H111" s="659"/>
      <c r="I111" s="659"/>
      <c r="J111" s="659"/>
      <c r="K111" s="659"/>
      <c r="L111" s="659"/>
      <c r="M111" s="659"/>
      <c r="N111" s="659"/>
      <c r="O111" s="659"/>
      <c r="P111" s="659"/>
      <c r="Q111" s="659"/>
      <c r="R111" s="659"/>
      <c r="S111" s="659"/>
      <c r="T111" s="659"/>
      <c r="U111" s="659"/>
      <c r="V111" s="660"/>
      <c r="W111" s="660"/>
      <c r="X111"/>
      <c r="AA111"/>
      <c r="AB111"/>
      <c r="AC111"/>
      <c r="AD111"/>
      <c r="AE111"/>
      <c r="AF111"/>
      <c r="AG111"/>
      <c r="AH111"/>
      <c r="AI111"/>
      <c r="AJ111"/>
      <c r="AK111"/>
      <c r="AL111"/>
      <c r="AM111"/>
      <c r="AN111"/>
      <c r="AO111"/>
      <c r="AP111"/>
      <c r="AQ111"/>
      <c r="AR111"/>
      <c r="AS111"/>
      <c r="AT111"/>
    </row>
    <row r="112" spans="1:47">
      <c r="A112" s="658"/>
      <c r="B112" s="659"/>
      <c r="C112" s="659"/>
      <c r="D112" s="659"/>
      <c r="E112" s="659"/>
      <c r="F112" s="659"/>
      <c r="G112" s="659"/>
      <c r="H112" s="659"/>
      <c r="I112" s="659"/>
      <c r="J112" s="659"/>
      <c r="K112" s="659"/>
      <c r="L112" s="659"/>
      <c r="M112" s="659"/>
      <c r="N112" s="659"/>
      <c r="O112" s="659"/>
      <c r="P112" s="659"/>
      <c r="Q112" s="659"/>
      <c r="R112" s="659"/>
      <c r="S112" s="659"/>
      <c r="T112" s="659"/>
      <c r="U112" s="659"/>
      <c r="V112" s="660"/>
      <c r="W112" s="660"/>
      <c r="X112"/>
      <c r="AA112"/>
      <c r="AB112"/>
      <c r="AC112"/>
      <c r="AD112"/>
      <c r="AE112"/>
      <c r="AF112"/>
      <c r="AG112"/>
      <c r="AH112"/>
      <c r="AI112"/>
      <c r="AJ112"/>
      <c r="AK112"/>
      <c r="AL112"/>
      <c r="AM112"/>
      <c r="AN112"/>
      <c r="AO112"/>
      <c r="AP112"/>
      <c r="AQ112"/>
      <c r="AR112"/>
      <c r="AS112"/>
      <c r="AT112"/>
    </row>
    <row r="113" spans="1:46">
      <c r="A113" s="658"/>
      <c r="B113" s="659"/>
      <c r="C113" s="659"/>
      <c r="D113" s="659"/>
      <c r="E113" s="659"/>
      <c r="F113" s="659"/>
      <c r="G113" s="659"/>
      <c r="H113" s="659"/>
      <c r="I113" s="659"/>
      <c r="J113" s="659"/>
      <c r="K113" s="659"/>
      <c r="L113" s="659"/>
      <c r="M113" s="659"/>
      <c r="N113" s="659"/>
      <c r="O113" s="659"/>
      <c r="P113" s="659"/>
      <c r="Q113" s="659"/>
      <c r="R113" s="659"/>
      <c r="S113" s="659"/>
      <c r="T113" s="659"/>
      <c r="U113" s="659"/>
      <c r="V113" s="660"/>
      <c r="W113" s="660"/>
      <c r="X113"/>
      <c r="AA113"/>
      <c r="AB113"/>
      <c r="AC113"/>
      <c r="AD113"/>
      <c r="AE113"/>
      <c r="AF113"/>
      <c r="AG113"/>
      <c r="AH113"/>
      <c r="AI113"/>
      <c r="AJ113"/>
      <c r="AK113"/>
      <c r="AL113"/>
      <c r="AM113"/>
      <c r="AN113"/>
      <c r="AO113"/>
      <c r="AP113"/>
      <c r="AQ113"/>
      <c r="AR113"/>
      <c r="AS113"/>
      <c r="AT113"/>
    </row>
    <row r="114" spans="1:46">
      <c r="A114" s="658"/>
      <c r="B114" s="659"/>
      <c r="C114" s="659"/>
      <c r="D114" s="659"/>
      <c r="E114" s="659"/>
      <c r="F114" s="659"/>
      <c r="G114" s="659"/>
      <c r="H114" s="659"/>
      <c r="I114" s="659"/>
      <c r="J114" s="659"/>
      <c r="K114" s="659"/>
      <c r="L114" s="659"/>
      <c r="M114" s="659"/>
      <c r="N114" s="659"/>
      <c r="O114" s="659"/>
      <c r="P114" s="659"/>
      <c r="Q114" s="659"/>
      <c r="R114" s="659"/>
      <c r="S114" s="659"/>
      <c r="T114" s="659"/>
      <c r="U114" s="659"/>
      <c r="V114" s="660"/>
      <c r="W114" s="660"/>
      <c r="X114"/>
      <c r="AA114"/>
      <c r="AB114"/>
      <c r="AC114"/>
      <c r="AD114"/>
      <c r="AE114"/>
      <c r="AF114"/>
      <c r="AG114"/>
      <c r="AH114"/>
      <c r="AI114"/>
      <c r="AJ114"/>
      <c r="AK114"/>
      <c r="AL114"/>
      <c r="AM114"/>
      <c r="AN114"/>
      <c r="AO114"/>
      <c r="AP114"/>
      <c r="AQ114"/>
      <c r="AR114"/>
      <c r="AS114"/>
      <c r="AT114"/>
    </row>
    <row r="115" spans="1:46">
      <c r="A115" s="658"/>
      <c r="B115" s="659"/>
      <c r="C115" s="659"/>
      <c r="D115" s="659"/>
      <c r="E115" s="659"/>
      <c r="F115" s="659"/>
      <c r="G115" s="659"/>
      <c r="H115" s="659"/>
      <c r="I115" s="659"/>
      <c r="J115" s="659"/>
      <c r="K115" s="659"/>
      <c r="L115" s="659"/>
      <c r="M115" s="659"/>
      <c r="N115" s="659"/>
      <c r="O115" s="659"/>
      <c r="P115" s="659"/>
      <c r="Q115" s="659"/>
      <c r="R115" s="659"/>
      <c r="S115" s="659"/>
      <c r="T115" s="659"/>
      <c r="U115" s="659"/>
      <c r="V115" s="660"/>
      <c r="W115" s="660"/>
      <c r="X115"/>
      <c r="AA115"/>
      <c r="AB115"/>
      <c r="AC115"/>
      <c r="AD115"/>
      <c r="AE115"/>
      <c r="AF115"/>
      <c r="AG115"/>
      <c r="AH115"/>
      <c r="AI115"/>
      <c r="AJ115"/>
      <c r="AK115"/>
      <c r="AL115"/>
      <c r="AM115"/>
      <c r="AN115"/>
      <c r="AO115"/>
      <c r="AP115"/>
      <c r="AQ115"/>
      <c r="AR115"/>
      <c r="AS115"/>
      <c r="AT115"/>
    </row>
    <row r="116" spans="1:46">
      <c r="A116" s="658"/>
      <c r="B116" s="659"/>
      <c r="C116" s="659"/>
      <c r="D116" s="659"/>
      <c r="E116" s="659"/>
      <c r="F116" s="659"/>
      <c r="G116" s="659"/>
      <c r="H116" s="659"/>
      <c r="I116" s="659"/>
      <c r="J116" s="659"/>
      <c r="K116" s="659"/>
      <c r="L116" s="659"/>
      <c r="M116" s="659"/>
      <c r="N116" s="659"/>
      <c r="O116" s="659"/>
      <c r="P116" s="659"/>
      <c r="Q116" s="659"/>
      <c r="R116" s="659"/>
      <c r="S116" s="659"/>
      <c r="T116" s="659"/>
      <c r="U116" s="659"/>
      <c r="V116" s="660"/>
      <c r="W116" s="660"/>
      <c r="X116"/>
      <c r="AA116"/>
      <c r="AB116"/>
      <c r="AC116"/>
      <c r="AD116"/>
      <c r="AE116"/>
      <c r="AF116"/>
      <c r="AG116"/>
      <c r="AH116"/>
      <c r="AI116"/>
      <c r="AJ116"/>
      <c r="AK116"/>
      <c r="AL116"/>
      <c r="AM116"/>
      <c r="AN116"/>
      <c r="AO116"/>
      <c r="AP116"/>
      <c r="AQ116"/>
      <c r="AR116"/>
      <c r="AS116"/>
      <c r="AT116"/>
    </row>
    <row r="117" spans="1:46">
      <c r="A117" s="658"/>
      <c r="B117" s="659"/>
      <c r="C117" s="659"/>
      <c r="D117" s="659"/>
      <c r="E117" s="659"/>
      <c r="F117" s="659"/>
      <c r="G117" s="659"/>
      <c r="H117" s="659"/>
      <c r="I117" s="659"/>
      <c r="J117" s="659"/>
      <c r="K117" s="659"/>
      <c r="L117" s="659"/>
      <c r="M117" s="659"/>
      <c r="N117" s="659"/>
      <c r="O117" s="659"/>
      <c r="P117" s="659"/>
      <c r="Q117" s="659"/>
      <c r="R117" s="659"/>
      <c r="S117" s="659"/>
      <c r="T117" s="659"/>
      <c r="U117" s="659"/>
      <c r="V117" s="660"/>
      <c r="W117" s="660"/>
      <c r="X117"/>
      <c r="AA117"/>
      <c r="AB117"/>
      <c r="AC117"/>
      <c r="AD117"/>
      <c r="AE117"/>
      <c r="AF117"/>
      <c r="AG117"/>
      <c r="AH117"/>
      <c r="AI117"/>
      <c r="AJ117"/>
      <c r="AK117"/>
      <c r="AL117"/>
      <c r="AM117"/>
      <c r="AN117"/>
      <c r="AO117"/>
      <c r="AP117"/>
      <c r="AQ117"/>
      <c r="AR117"/>
      <c r="AS117"/>
      <c r="AT117"/>
    </row>
    <row r="118" spans="1:46">
      <c r="A118" s="658"/>
      <c r="B118" s="659"/>
      <c r="C118" s="659"/>
      <c r="D118" s="659"/>
      <c r="E118" s="659"/>
      <c r="F118" s="659"/>
      <c r="G118" s="659"/>
      <c r="H118" s="659"/>
      <c r="I118" s="659"/>
      <c r="J118" s="659"/>
      <c r="K118" s="659"/>
      <c r="L118" s="659"/>
      <c r="M118" s="659"/>
      <c r="N118" s="659"/>
      <c r="O118" s="659"/>
      <c r="P118" s="659"/>
      <c r="Q118" s="659"/>
      <c r="R118" s="659"/>
      <c r="S118" s="659"/>
      <c r="T118" s="659"/>
      <c r="U118" s="659"/>
      <c r="V118" s="660"/>
      <c r="W118" s="660"/>
      <c r="X118"/>
      <c r="AA118"/>
      <c r="AB118"/>
      <c r="AC118"/>
      <c r="AD118"/>
      <c r="AE118"/>
      <c r="AF118"/>
      <c r="AG118"/>
      <c r="AH118"/>
      <c r="AI118"/>
      <c r="AJ118"/>
      <c r="AK118"/>
      <c r="AL118"/>
      <c r="AM118"/>
      <c r="AN118"/>
      <c r="AO118"/>
      <c r="AP118"/>
      <c r="AQ118"/>
      <c r="AR118"/>
      <c r="AS118"/>
      <c r="AT118"/>
    </row>
    <row r="119" spans="1:46">
      <c r="A119" s="658"/>
      <c r="B119" s="659"/>
      <c r="C119" s="659"/>
      <c r="D119" s="659"/>
      <c r="E119" s="659"/>
      <c r="F119" s="659"/>
      <c r="G119" s="659"/>
      <c r="H119" s="659"/>
      <c r="I119" s="659"/>
      <c r="J119" s="659"/>
      <c r="K119" s="659"/>
      <c r="L119" s="659"/>
      <c r="M119" s="659"/>
      <c r="N119" s="659"/>
      <c r="O119" s="659"/>
      <c r="P119" s="659"/>
      <c r="Q119" s="659"/>
      <c r="R119" s="659"/>
      <c r="S119" s="659"/>
      <c r="T119" s="659"/>
      <c r="U119" s="659"/>
      <c r="V119" s="660"/>
      <c r="W119" s="660"/>
      <c r="X119"/>
      <c r="AA119"/>
      <c r="AB119"/>
      <c r="AC119"/>
      <c r="AD119"/>
      <c r="AE119"/>
      <c r="AF119"/>
      <c r="AG119"/>
      <c r="AH119"/>
      <c r="AI119"/>
      <c r="AJ119"/>
      <c r="AK119"/>
      <c r="AL119"/>
      <c r="AM119"/>
      <c r="AN119"/>
      <c r="AO119"/>
      <c r="AP119"/>
      <c r="AQ119"/>
      <c r="AR119"/>
      <c r="AS119"/>
      <c r="AT119"/>
    </row>
    <row r="120" spans="1:46">
      <c r="A120" s="658"/>
      <c r="B120" s="659"/>
      <c r="C120" s="659"/>
      <c r="D120" s="659"/>
      <c r="E120" s="659"/>
      <c r="F120" s="659"/>
      <c r="G120" s="659"/>
      <c r="H120" s="659"/>
      <c r="I120" s="659"/>
      <c r="J120" s="659"/>
      <c r="K120" s="659"/>
      <c r="L120" s="659"/>
      <c r="M120" s="659"/>
      <c r="N120" s="659"/>
      <c r="O120" s="659"/>
      <c r="P120" s="659"/>
      <c r="Q120" s="659"/>
      <c r="R120" s="659"/>
      <c r="S120" s="659"/>
      <c r="T120" s="659"/>
      <c r="U120" s="659"/>
      <c r="V120" s="660"/>
      <c r="W120" s="660"/>
      <c r="X120"/>
      <c r="AA120"/>
      <c r="AB120"/>
      <c r="AC120"/>
      <c r="AD120"/>
      <c r="AE120"/>
      <c r="AF120"/>
      <c r="AG120"/>
      <c r="AH120"/>
      <c r="AI120"/>
      <c r="AJ120"/>
      <c r="AK120"/>
      <c r="AL120"/>
      <c r="AM120"/>
      <c r="AN120"/>
      <c r="AO120"/>
      <c r="AP120"/>
      <c r="AQ120"/>
      <c r="AR120"/>
      <c r="AS120"/>
      <c r="AT120"/>
    </row>
    <row r="121" spans="1:46">
      <c r="A121" s="658"/>
      <c r="B121" s="659"/>
      <c r="C121" s="659"/>
      <c r="D121" s="659"/>
      <c r="E121" s="659"/>
      <c r="F121" s="659"/>
      <c r="G121" s="659"/>
      <c r="H121" s="659"/>
      <c r="I121" s="659"/>
      <c r="J121" s="659"/>
      <c r="K121" s="659"/>
      <c r="L121" s="659"/>
      <c r="M121" s="659"/>
      <c r="N121" s="659"/>
      <c r="O121" s="659"/>
      <c r="P121" s="659"/>
      <c r="Q121" s="659"/>
      <c r="R121" s="659"/>
      <c r="S121" s="659"/>
      <c r="T121" s="659"/>
      <c r="U121" s="659"/>
      <c r="V121" s="660"/>
      <c r="W121" s="660"/>
      <c r="X121"/>
      <c r="AA121"/>
      <c r="AB121"/>
      <c r="AC121"/>
      <c r="AD121"/>
      <c r="AE121"/>
      <c r="AF121"/>
      <c r="AG121"/>
      <c r="AH121"/>
      <c r="AI121"/>
      <c r="AJ121"/>
      <c r="AK121"/>
      <c r="AL121"/>
      <c r="AM121"/>
      <c r="AN121"/>
      <c r="AO121"/>
      <c r="AP121"/>
      <c r="AQ121"/>
      <c r="AR121"/>
      <c r="AS121"/>
      <c r="AT121"/>
    </row>
    <row r="122" spans="1:46">
      <c r="A122" s="658"/>
      <c r="B122" s="659"/>
      <c r="C122" s="659"/>
      <c r="D122" s="659"/>
      <c r="E122" s="659"/>
      <c r="F122" s="659"/>
      <c r="G122" s="659"/>
      <c r="H122" s="659"/>
      <c r="I122" s="659"/>
      <c r="J122" s="659"/>
      <c r="K122" s="659"/>
      <c r="L122" s="659"/>
      <c r="M122" s="659"/>
      <c r="N122" s="659"/>
      <c r="O122" s="659"/>
      <c r="P122" s="659"/>
      <c r="Q122" s="659"/>
      <c r="R122" s="659"/>
      <c r="S122" s="659"/>
      <c r="T122" s="659"/>
      <c r="U122" s="659"/>
      <c r="V122" s="660"/>
      <c r="W122" s="660"/>
      <c r="X122"/>
      <c r="AA122"/>
      <c r="AB122"/>
      <c r="AC122"/>
      <c r="AD122"/>
      <c r="AE122"/>
      <c r="AF122"/>
      <c r="AG122"/>
      <c r="AH122"/>
      <c r="AI122"/>
      <c r="AJ122"/>
      <c r="AK122"/>
      <c r="AL122"/>
      <c r="AM122"/>
      <c r="AN122"/>
      <c r="AO122"/>
      <c r="AP122"/>
      <c r="AQ122"/>
      <c r="AR122"/>
      <c r="AS122"/>
      <c r="AT122"/>
    </row>
    <row r="123" spans="1:46">
      <c r="A123" s="658"/>
      <c r="B123" s="659"/>
      <c r="C123" s="659"/>
      <c r="D123" s="659"/>
      <c r="E123" s="659"/>
      <c r="F123" s="659"/>
      <c r="G123" s="659"/>
      <c r="H123" s="659"/>
      <c r="I123" s="659"/>
      <c r="J123" s="659"/>
      <c r="K123" s="659"/>
      <c r="L123" s="659"/>
      <c r="M123" s="659"/>
      <c r="N123" s="659"/>
      <c r="O123" s="659"/>
      <c r="P123" s="659"/>
      <c r="Q123" s="659"/>
      <c r="R123" s="659"/>
      <c r="S123" s="659"/>
      <c r="T123" s="659"/>
      <c r="U123" s="659"/>
      <c r="V123" s="660"/>
      <c r="W123" s="660"/>
      <c r="X123"/>
      <c r="AA123"/>
      <c r="AB123"/>
      <c r="AC123"/>
      <c r="AD123"/>
      <c r="AE123"/>
      <c r="AF123"/>
      <c r="AG123"/>
      <c r="AH123"/>
      <c r="AI123"/>
      <c r="AJ123"/>
      <c r="AK123"/>
      <c r="AL123"/>
      <c r="AM123"/>
      <c r="AN123"/>
      <c r="AO123"/>
      <c r="AP123"/>
      <c r="AQ123"/>
      <c r="AR123"/>
      <c r="AS123"/>
      <c r="AT123"/>
    </row>
    <row r="124" spans="1:46">
      <c r="A124" s="658"/>
      <c r="B124" s="659"/>
      <c r="C124" s="659"/>
      <c r="D124" s="659"/>
      <c r="E124" s="659"/>
      <c r="F124" s="659"/>
      <c r="G124" s="659"/>
      <c r="H124" s="659"/>
      <c r="I124" s="659"/>
      <c r="J124" s="659"/>
      <c r="K124" s="659"/>
      <c r="L124" s="659"/>
      <c r="M124" s="659"/>
      <c r="N124" s="659"/>
      <c r="O124" s="659"/>
      <c r="P124" s="659"/>
      <c r="Q124" s="659"/>
      <c r="R124" s="659"/>
      <c r="S124" s="659"/>
      <c r="T124" s="659"/>
      <c r="U124" s="659"/>
      <c r="V124" s="660"/>
      <c r="W124" s="660"/>
      <c r="X124"/>
      <c r="AA124"/>
      <c r="AB124"/>
      <c r="AC124"/>
      <c r="AD124"/>
      <c r="AE124"/>
      <c r="AF124"/>
      <c r="AG124"/>
      <c r="AH124"/>
      <c r="AI124"/>
      <c r="AJ124"/>
      <c r="AK124"/>
      <c r="AL124"/>
      <c r="AM124"/>
      <c r="AN124"/>
      <c r="AO124"/>
      <c r="AP124"/>
      <c r="AQ124"/>
      <c r="AR124"/>
      <c r="AS124"/>
      <c r="AT124"/>
    </row>
    <row r="125" spans="1:46">
      <c r="A125" s="658"/>
      <c r="B125" s="659"/>
      <c r="C125" s="659"/>
      <c r="D125" s="659"/>
      <c r="E125" s="659"/>
      <c r="F125" s="659"/>
      <c r="G125" s="659"/>
      <c r="H125" s="659"/>
      <c r="I125" s="659"/>
      <c r="J125" s="659"/>
      <c r="K125" s="659"/>
      <c r="L125" s="659"/>
      <c r="M125" s="659"/>
      <c r="N125" s="659"/>
      <c r="O125" s="659"/>
      <c r="P125" s="659"/>
      <c r="Q125" s="659"/>
      <c r="R125" s="659"/>
      <c r="S125" s="659"/>
      <c r="T125" s="659"/>
      <c r="U125" s="659"/>
      <c r="V125" s="660"/>
      <c r="W125" s="660"/>
      <c r="X125"/>
      <c r="AA125"/>
      <c r="AB125"/>
      <c r="AC125"/>
      <c r="AD125"/>
      <c r="AE125"/>
      <c r="AF125"/>
      <c r="AG125"/>
      <c r="AH125"/>
      <c r="AI125"/>
      <c r="AJ125"/>
      <c r="AK125"/>
      <c r="AL125"/>
      <c r="AM125"/>
      <c r="AN125"/>
      <c r="AO125"/>
      <c r="AP125"/>
      <c r="AQ125"/>
      <c r="AR125"/>
      <c r="AS125"/>
      <c r="AT125"/>
    </row>
    <row r="126" spans="1:46">
      <c r="A126" s="658"/>
      <c r="B126" s="659"/>
      <c r="C126" s="659"/>
      <c r="D126" s="659"/>
      <c r="E126" s="659"/>
      <c r="F126" s="659"/>
      <c r="G126" s="659"/>
      <c r="H126" s="659"/>
      <c r="I126" s="659"/>
      <c r="J126" s="659"/>
      <c r="K126" s="659"/>
      <c r="L126" s="659"/>
      <c r="M126" s="659"/>
      <c r="N126" s="659"/>
      <c r="O126" s="659"/>
      <c r="P126" s="659"/>
      <c r="Q126" s="659"/>
      <c r="R126" s="659"/>
      <c r="S126" s="659"/>
      <c r="T126" s="659"/>
      <c r="U126" s="659"/>
      <c r="V126" s="660"/>
      <c r="W126" s="660"/>
      <c r="X126"/>
      <c r="AA126"/>
      <c r="AB126"/>
      <c r="AC126"/>
      <c r="AD126"/>
      <c r="AE126"/>
      <c r="AF126"/>
      <c r="AG126"/>
      <c r="AH126"/>
      <c r="AI126"/>
      <c r="AJ126"/>
      <c r="AK126"/>
      <c r="AL126"/>
      <c r="AM126"/>
      <c r="AN126"/>
      <c r="AO126"/>
      <c r="AP126"/>
      <c r="AQ126"/>
      <c r="AR126"/>
      <c r="AS126"/>
      <c r="AT126"/>
    </row>
    <row r="127" spans="1:46">
      <c r="A127" s="658"/>
      <c r="B127" s="659"/>
      <c r="C127" s="659"/>
      <c r="D127" s="659"/>
      <c r="E127" s="659"/>
      <c r="F127" s="659"/>
      <c r="G127" s="659"/>
      <c r="H127" s="659"/>
      <c r="I127" s="659"/>
      <c r="J127" s="659"/>
      <c r="K127" s="659"/>
      <c r="L127" s="659"/>
      <c r="M127" s="659"/>
      <c r="N127" s="659"/>
      <c r="O127" s="659"/>
      <c r="P127" s="659"/>
      <c r="Q127" s="659"/>
      <c r="R127" s="659"/>
      <c r="S127" s="659"/>
      <c r="T127" s="659"/>
      <c r="U127" s="659"/>
      <c r="V127" s="660"/>
      <c r="W127" s="660"/>
      <c r="X127"/>
      <c r="AA127"/>
      <c r="AB127"/>
      <c r="AC127"/>
      <c r="AD127"/>
      <c r="AE127"/>
      <c r="AF127"/>
      <c r="AG127"/>
      <c r="AH127"/>
      <c r="AI127"/>
      <c r="AJ127"/>
      <c r="AK127"/>
      <c r="AL127"/>
      <c r="AM127"/>
      <c r="AN127"/>
      <c r="AO127"/>
      <c r="AP127"/>
      <c r="AQ127"/>
      <c r="AR127"/>
      <c r="AS127"/>
      <c r="AT127"/>
    </row>
    <row r="128" spans="1:46">
      <c r="A128" s="658"/>
      <c r="B128" s="659"/>
      <c r="C128" s="659"/>
      <c r="D128" s="659"/>
      <c r="E128" s="659"/>
      <c r="F128" s="659"/>
      <c r="G128" s="659"/>
      <c r="H128" s="659"/>
      <c r="I128" s="659"/>
      <c r="J128" s="659"/>
      <c r="K128" s="659"/>
      <c r="L128" s="659"/>
      <c r="M128" s="659"/>
      <c r="N128" s="659"/>
      <c r="O128" s="659"/>
      <c r="P128" s="659"/>
      <c r="Q128" s="659"/>
      <c r="R128" s="659"/>
      <c r="S128" s="659"/>
      <c r="T128" s="659"/>
      <c r="U128" s="659"/>
      <c r="V128" s="660"/>
      <c r="W128" s="660"/>
      <c r="X128"/>
      <c r="AA128"/>
      <c r="AB128"/>
      <c r="AC128"/>
      <c r="AD128"/>
      <c r="AE128"/>
      <c r="AF128"/>
      <c r="AG128"/>
      <c r="AH128"/>
      <c r="AI128"/>
      <c r="AJ128"/>
      <c r="AK128"/>
      <c r="AL128"/>
      <c r="AM128"/>
      <c r="AN128"/>
      <c r="AO128"/>
      <c r="AP128"/>
      <c r="AQ128"/>
      <c r="AR128"/>
      <c r="AS128"/>
      <c r="AT128"/>
    </row>
    <row r="129" spans="1:46">
      <c r="A129" s="658"/>
      <c r="B129" s="659"/>
      <c r="C129" s="659"/>
      <c r="D129" s="659"/>
      <c r="E129" s="659"/>
      <c r="F129" s="659"/>
      <c r="G129" s="659"/>
      <c r="H129" s="659"/>
      <c r="I129" s="659"/>
      <c r="J129" s="659"/>
      <c r="K129" s="659"/>
      <c r="L129" s="659"/>
      <c r="M129" s="659"/>
      <c r="N129" s="659"/>
      <c r="O129" s="659"/>
      <c r="P129" s="659"/>
      <c r="Q129" s="659"/>
      <c r="R129" s="659"/>
      <c r="S129" s="659"/>
      <c r="T129" s="659"/>
      <c r="U129" s="659"/>
      <c r="V129" s="660"/>
      <c r="W129" s="660"/>
      <c r="X129"/>
      <c r="AA129"/>
      <c r="AB129"/>
      <c r="AC129"/>
      <c r="AD129"/>
      <c r="AE129"/>
      <c r="AF129"/>
      <c r="AG129"/>
      <c r="AH129"/>
      <c r="AI129"/>
      <c r="AJ129"/>
      <c r="AK129"/>
      <c r="AL129"/>
      <c r="AM129"/>
      <c r="AN129"/>
      <c r="AO129"/>
      <c r="AP129"/>
      <c r="AQ129"/>
      <c r="AR129"/>
      <c r="AS129"/>
      <c r="AT129"/>
    </row>
    <row r="130" spans="1:46">
      <c r="A130" s="658"/>
      <c r="B130" s="659"/>
      <c r="C130" s="659"/>
      <c r="D130" s="659"/>
      <c r="E130" s="659"/>
      <c r="F130" s="659"/>
      <c r="G130" s="659"/>
      <c r="H130" s="659"/>
      <c r="I130" s="659"/>
      <c r="J130" s="659"/>
      <c r="K130" s="659"/>
      <c r="L130" s="659"/>
      <c r="M130" s="659"/>
      <c r="N130" s="659"/>
      <c r="O130" s="659"/>
      <c r="P130" s="659"/>
      <c r="Q130" s="659"/>
      <c r="R130" s="659"/>
      <c r="S130" s="659"/>
      <c r="T130" s="659"/>
      <c r="U130" s="659"/>
      <c r="V130" s="660"/>
      <c r="W130" s="660"/>
      <c r="X130"/>
      <c r="AA130"/>
      <c r="AB130"/>
      <c r="AC130"/>
      <c r="AD130"/>
      <c r="AE130"/>
      <c r="AF130"/>
      <c r="AG130"/>
      <c r="AH130"/>
      <c r="AI130"/>
      <c r="AJ130"/>
      <c r="AK130"/>
      <c r="AL130"/>
      <c r="AM130"/>
      <c r="AN130"/>
      <c r="AO130"/>
      <c r="AP130"/>
      <c r="AQ130"/>
      <c r="AR130"/>
      <c r="AS130"/>
      <c r="AT130"/>
    </row>
    <row r="131" spans="1:46">
      <c r="A131" s="658"/>
      <c r="B131" s="659"/>
      <c r="C131" s="659"/>
      <c r="D131" s="659"/>
      <c r="E131" s="659"/>
      <c r="F131" s="659"/>
      <c r="G131" s="659"/>
      <c r="H131" s="659"/>
      <c r="I131" s="659"/>
      <c r="J131" s="659"/>
      <c r="K131" s="659"/>
      <c r="L131" s="659"/>
      <c r="M131" s="659"/>
      <c r="N131" s="659"/>
      <c r="O131" s="659"/>
      <c r="P131" s="659"/>
      <c r="Q131" s="659"/>
      <c r="R131" s="659"/>
      <c r="S131" s="659"/>
      <c r="T131" s="659"/>
      <c r="U131" s="659"/>
      <c r="V131" s="660"/>
      <c r="W131" s="660"/>
      <c r="X131"/>
      <c r="AA131"/>
      <c r="AB131"/>
      <c r="AC131"/>
      <c r="AD131"/>
      <c r="AE131"/>
      <c r="AF131"/>
      <c r="AG131"/>
      <c r="AH131"/>
      <c r="AI131"/>
      <c r="AJ131"/>
      <c r="AK131"/>
      <c r="AL131"/>
      <c r="AM131"/>
      <c r="AN131"/>
      <c r="AO131"/>
      <c r="AP131"/>
      <c r="AQ131"/>
      <c r="AR131"/>
      <c r="AS131"/>
      <c r="AT131"/>
    </row>
    <row r="132" spans="1:46">
      <c r="A132" s="658"/>
      <c r="B132" s="659"/>
      <c r="C132" s="659"/>
      <c r="D132" s="659"/>
      <c r="E132" s="659"/>
      <c r="F132" s="659"/>
      <c r="G132" s="659"/>
      <c r="H132" s="659"/>
      <c r="I132" s="659"/>
      <c r="J132" s="659"/>
      <c r="K132" s="659"/>
      <c r="L132" s="659"/>
      <c r="M132" s="659"/>
      <c r="N132" s="659"/>
      <c r="O132" s="659"/>
      <c r="P132" s="659"/>
      <c r="Q132" s="659"/>
      <c r="R132" s="659"/>
      <c r="S132" s="659"/>
      <c r="T132" s="659"/>
      <c r="U132" s="659"/>
      <c r="V132" s="660"/>
      <c r="W132" s="660"/>
      <c r="X132"/>
      <c r="AA132"/>
      <c r="AB132"/>
      <c r="AC132"/>
      <c r="AD132"/>
      <c r="AE132"/>
      <c r="AF132"/>
      <c r="AG132"/>
      <c r="AH132"/>
      <c r="AI132"/>
      <c r="AJ132"/>
      <c r="AK132"/>
      <c r="AL132"/>
      <c r="AM132"/>
      <c r="AN132"/>
      <c r="AO132"/>
      <c r="AP132"/>
      <c r="AQ132"/>
      <c r="AR132"/>
      <c r="AS132"/>
      <c r="AT132"/>
    </row>
    <row r="133" spans="1:46">
      <c r="A133" s="658"/>
      <c r="B133" s="659"/>
      <c r="C133" s="659"/>
      <c r="D133" s="659"/>
      <c r="E133" s="659"/>
      <c r="F133" s="659"/>
      <c r="G133" s="659"/>
      <c r="H133" s="659"/>
      <c r="I133" s="659"/>
      <c r="J133" s="659"/>
      <c r="K133" s="659"/>
      <c r="L133" s="659"/>
      <c r="M133" s="659"/>
      <c r="N133" s="659"/>
      <c r="O133" s="659"/>
      <c r="P133" s="659"/>
      <c r="Q133" s="659"/>
      <c r="R133" s="659"/>
      <c r="S133" s="659"/>
      <c r="T133" s="659"/>
      <c r="U133" s="659"/>
      <c r="V133" s="660"/>
      <c r="W133" s="660"/>
      <c r="X133"/>
      <c r="AA133"/>
      <c r="AB133"/>
      <c r="AC133"/>
      <c r="AD133"/>
      <c r="AE133"/>
      <c r="AF133"/>
      <c r="AG133"/>
      <c r="AH133"/>
      <c r="AI133"/>
      <c r="AJ133"/>
      <c r="AK133"/>
      <c r="AL133"/>
      <c r="AM133"/>
      <c r="AN133"/>
      <c r="AO133"/>
      <c r="AP133"/>
      <c r="AQ133"/>
      <c r="AR133"/>
      <c r="AS133"/>
      <c r="AT133"/>
    </row>
    <row r="134" spans="1:46">
      <c r="A134" s="658"/>
      <c r="B134" s="659"/>
      <c r="C134" s="659"/>
      <c r="D134" s="659"/>
      <c r="E134" s="659"/>
      <c r="F134" s="659"/>
      <c r="G134" s="659"/>
      <c r="H134" s="659"/>
      <c r="I134" s="659"/>
      <c r="J134" s="659"/>
      <c r="K134" s="659"/>
      <c r="L134" s="659"/>
      <c r="M134" s="659"/>
      <c r="N134" s="659"/>
      <c r="O134" s="659"/>
      <c r="P134" s="659"/>
      <c r="Q134" s="659"/>
      <c r="R134" s="659"/>
      <c r="S134" s="659"/>
      <c r="T134" s="659"/>
      <c r="U134" s="659"/>
      <c r="V134" s="660"/>
      <c r="W134" s="660"/>
      <c r="X134"/>
      <c r="AA134"/>
      <c r="AB134"/>
      <c r="AC134"/>
      <c r="AD134"/>
      <c r="AE134"/>
      <c r="AF134"/>
      <c r="AG134"/>
      <c r="AH134"/>
      <c r="AI134"/>
      <c r="AJ134"/>
      <c r="AK134"/>
      <c r="AL134"/>
      <c r="AM134"/>
      <c r="AN134"/>
      <c r="AO134"/>
      <c r="AP134"/>
      <c r="AQ134"/>
      <c r="AR134"/>
      <c r="AS134"/>
      <c r="AT134"/>
    </row>
  </sheetData>
  <sheetProtection formatCells="0" formatRows="0" insertRows="0" insertHyperlinks="0"/>
  <mergeCells count="111">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s>
  <conditionalFormatting sqref="T10:T20">
    <cfRule type="expression" dxfId="337" priority="27" stopIfTrue="1">
      <formula>IF($X10&lt;10,TRUE,)</formula>
    </cfRule>
  </conditionalFormatting>
  <conditionalFormatting sqref="K10:K20">
    <cfRule type="expression" dxfId="336" priority="31" stopIfTrue="1">
      <formula>IF($X10&lt;1,TRUE,)</formula>
    </cfRule>
  </conditionalFormatting>
  <conditionalFormatting sqref="T27">
    <cfRule type="expression" dxfId="335" priority="10" stopIfTrue="1">
      <formula>IF(AND(#REF!="H",$Y27&lt;10),TRUE,)</formula>
    </cfRule>
  </conditionalFormatting>
  <conditionalFormatting sqref="K27">
    <cfRule type="expression" dxfId="334" priority="9" stopIfTrue="1">
      <formula>IF(AND(#REF!="H",$Y27&lt;1),TRUE,)</formula>
    </cfRule>
  </conditionalFormatting>
  <conditionalFormatting sqref="L27">
    <cfRule type="expression" dxfId="333" priority="8" stopIfTrue="1">
      <formula>IF(AND(#REF!="H",$Y27&lt;2),TRUE,)</formula>
    </cfRule>
  </conditionalFormatting>
  <conditionalFormatting sqref="N27">
    <cfRule type="expression" dxfId="332" priority="7" stopIfTrue="1">
      <formula>IF(AND(#REF!="H",$Y27&lt;4),TRUE,)</formula>
    </cfRule>
  </conditionalFormatting>
  <conditionalFormatting sqref="O27">
    <cfRule type="expression" dxfId="331" priority="6" stopIfTrue="1">
      <formula>IF(AND(#REF!="H",$Y27&lt;5),TRUE,)</formula>
    </cfRule>
  </conditionalFormatting>
  <conditionalFormatting sqref="P27">
    <cfRule type="expression" dxfId="330" priority="5" stopIfTrue="1">
      <formula>IF(AND(#REF!="H",$Y27&lt;6),TRUE,)</formula>
    </cfRule>
  </conditionalFormatting>
  <conditionalFormatting sqref="Q27">
    <cfRule type="expression" dxfId="329" priority="4" stopIfTrue="1">
      <formula>IF(AND(#REF!="H",$Y27&lt;7),TRUE,)</formula>
    </cfRule>
  </conditionalFormatting>
  <conditionalFormatting sqref="R27">
    <cfRule type="expression" dxfId="328" priority="3" stopIfTrue="1">
      <formula>IF(AND(#REF!="H",$Y27&lt;8),TRUE,)</formula>
    </cfRule>
  </conditionalFormatting>
  <conditionalFormatting sqref="S27">
    <cfRule type="expression" dxfId="327" priority="2" stopIfTrue="1">
      <formula>IF(AND(#REF!="H",$Y27&lt;9),TRUE,)</formula>
    </cfRule>
  </conditionalFormatting>
  <conditionalFormatting sqref="M27">
    <cfRule type="expression" dxfId="326" priority="1" stopIfTrue="1">
      <formula>IF(AND(#REF!="H",$Y27&lt;3),TRUE,)</formula>
    </cfRule>
  </conditionalFormatting>
  <conditionalFormatting sqref="L10:L20">
    <cfRule type="expression" dxfId="325" priority="34" stopIfTrue="1">
      <formula>IF($X10&lt;2,TRUE,)</formula>
    </cfRule>
  </conditionalFormatting>
  <conditionalFormatting sqref="M10:M20">
    <cfRule type="expression" dxfId="324" priority="37" stopIfTrue="1">
      <formula>IF(X10&lt;3,TRUE,)</formula>
    </cfRule>
  </conditionalFormatting>
  <conditionalFormatting sqref="N10:N20">
    <cfRule type="expression" dxfId="323" priority="40" stopIfTrue="1">
      <formula>IF($X10&lt;4,TRUE,)</formula>
    </cfRule>
  </conditionalFormatting>
  <conditionalFormatting sqref="O10:O20">
    <cfRule type="expression" dxfId="322" priority="43" stopIfTrue="1">
      <formula>IF($X10&lt;5,TRUE,)</formula>
    </cfRule>
  </conditionalFormatting>
  <conditionalFormatting sqref="P10:P20">
    <cfRule type="expression" dxfId="321" priority="46" stopIfTrue="1">
      <formula>IF($X10&lt;6,TRUE,)</formula>
    </cfRule>
  </conditionalFormatting>
  <conditionalFormatting sqref="Q10:Q20">
    <cfRule type="expression" dxfId="320" priority="49" stopIfTrue="1">
      <formula>IF($X10&lt;7,TRUE,)</formula>
    </cfRule>
  </conditionalFormatting>
  <conditionalFormatting sqref="R10:R20">
    <cfRule type="expression" dxfId="319" priority="52" stopIfTrue="1">
      <formula>IF($X10&lt;8,TRUE,)</formula>
    </cfRule>
  </conditionalFormatting>
  <conditionalFormatting sqref="S10:S20">
    <cfRule type="expression" dxfId="31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985" yWindow="413" count="25">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 allowBlank="1" showInputMessage="1" showErrorMessage="1" promptTitle="ENTER TEXT" prompt="Enter additional information, if needed, to describe information and research needed to complete the project._x000a_" sqref="E32:T32"/>
  </dataValidations>
  <hyperlinks>
    <hyperlink ref="A1" location="C.0Header" display="⧀ Summary"/>
    <hyperlink ref="A71" location="C.2Header" display="Go to  top"/>
  </hyperlinks>
  <pageMargins left="0.35" right="0.25"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A43" workbookViewId="0">
      <selection activeCell="I10" sqref="I10:K10"/>
    </sheetView>
  </sheetViews>
  <sheetFormatPr defaultRowHeight="15.75" outlineLevelCol="1"/>
  <cols>
    <col min="1" max="1" width="16.75" style="604"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80" hidden="1" customWidth="1" outlineLevel="1"/>
    <col min="26" max="26" width="9.375" style="380" hidden="1" customWidth="1" outlineLevel="1"/>
    <col min="27" max="27" width="11.5" style="380" hidden="1" customWidth="1" outlineLevel="1"/>
    <col min="28" max="28" width="11.75" hidden="1" customWidth="1" outlineLevel="1"/>
    <col min="29" max="29" width="9" style="160" collapsed="1"/>
    <col min="30" max="61" width="9" style="160"/>
  </cols>
  <sheetData>
    <row r="1" spans="1:61" s="158" customFormat="1" ht="21" customHeight="1">
      <c r="A1" s="1088" t="s">
        <v>420</v>
      </c>
      <c r="B1" s="566"/>
      <c r="C1" s="566"/>
      <c r="D1" s="566"/>
      <c r="E1" s="566"/>
      <c r="F1" s="566"/>
      <c r="G1" s="566"/>
      <c r="H1" s="566"/>
      <c r="I1" s="566"/>
      <c r="J1" s="566"/>
      <c r="K1" s="566"/>
      <c r="L1" s="566"/>
      <c r="M1" s="566"/>
      <c r="N1" s="566"/>
      <c r="O1" s="566"/>
      <c r="P1" s="566"/>
      <c r="Q1" s="566"/>
      <c r="R1" s="566"/>
      <c r="S1" s="566"/>
      <c r="T1" s="566"/>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4"/>
      <c r="B2" s="566"/>
      <c r="C2" s="360">
        <v>3</v>
      </c>
      <c r="D2" s="1201" t="s">
        <v>229</v>
      </c>
      <c r="E2" s="1201"/>
      <c r="F2" s="1201"/>
      <c r="G2" s="1274" t="str">
        <f>C.2Name</f>
        <v>Address federal air quality regulations in Oregon rules</v>
      </c>
      <c r="H2" s="1274"/>
      <c r="I2" s="1274"/>
      <c r="J2" s="1274"/>
      <c r="K2" s="1274"/>
      <c r="L2" s="1274"/>
      <c r="M2" s="1274"/>
      <c r="N2" s="1274"/>
      <c r="O2" s="1274"/>
      <c r="P2" s="1274"/>
      <c r="Q2" s="1274"/>
      <c r="R2" s="1274"/>
      <c r="S2" s="200"/>
      <c r="T2" s="566"/>
      <c r="U2" s="1240" t="s">
        <v>0</v>
      </c>
      <c r="V2" s="379"/>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4"/>
      <c r="B3" s="566"/>
      <c r="C3" s="361"/>
      <c r="D3" s="3"/>
      <c r="E3" s="3"/>
      <c r="F3" s="3"/>
      <c r="G3" s="3"/>
      <c r="H3" s="3"/>
      <c r="I3" s="3"/>
      <c r="J3" s="3"/>
      <c r="K3" s="3"/>
      <c r="L3" s="3"/>
      <c r="M3" s="3"/>
      <c r="N3" s="3"/>
      <c r="O3" s="3"/>
      <c r="P3" s="3"/>
      <c r="Q3" s="3"/>
      <c r="R3" s="3"/>
      <c r="S3" s="201"/>
      <c r="T3" s="566"/>
      <c r="U3" s="1240"/>
      <c r="V3" s="379"/>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4"/>
      <c r="B4" s="566"/>
      <c r="C4" s="361"/>
      <c r="D4" s="1303" t="s">
        <v>700</v>
      </c>
      <c r="E4" s="1303"/>
      <c r="F4" s="1303"/>
      <c r="G4" s="1303"/>
      <c r="H4" s="1303"/>
      <c r="I4" s="1303"/>
      <c r="J4" s="1303"/>
      <c r="K4" s="1303"/>
      <c r="L4" s="1303"/>
      <c r="M4" s="1303"/>
      <c r="N4" s="1303"/>
      <c r="O4" s="1303"/>
      <c r="P4" s="1303"/>
      <c r="Q4" s="1303"/>
      <c r="R4" s="1303"/>
      <c r="S4" s="201"/>
      <c r="T4" s="566"/>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4"/>
      <c r="B5" s="566"/>
      <c r="C5" s="361"/>
      <c r="D5" s="1304" t="s">
        <v>228</v>
      </c>
      <c r="E5" s="1304"/>
      <c r="F5" s="120"/>
      <c r="G5" s="120"/>
      <c r="H5" s="112"/>
      <c r="I5" s="112"/>
      <c r="J5" s="112"/>
      <c r="K5" s="112"/>
      <c r="L5" s="120"/>
      <c r="M5" s="112"/>
      <c r="N5" s="112"/>
      <c r="O5" s="112"/>
      <c r="P5" s="112"/>
      <c r="Q5" s="114"/>
      <c r="R5" s="114"/>
      <c r="S5" s="363"/>
      <c r="T5" s="566"/>
      <c r="U5" s="161" t="s">
        <v>0</v>
      </c>
      <c r="V5" s="161"/>
      <c r="W5" s="161"/>
      <c r="X5" s="50" t="s">
        <v>0</v>
      </c>
      <c r="Y5" s="50"/>
      <c r="Z5" s="394" t="s">
        <v>312</v>
      </c>
      <c r="AA5" s="394" t="s">
        <v>311</v>
      </c>
      <c r="AB5" s="394"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4"/>
      <c r="B6" s="566"/>
      <c r="C6" s="361"/>
      <c r="D6" s="362"/>
      <c r="E6" s="362"/>
      <c r="F6" s="120"/>
      <c r="G6" s="352" t="s">
        <v>314</v>
      </c>
      <c r="H6" s="112"/>
      <c r="I6" s="1310" t="s">
        <v>310</v>
      </c>
      <c r="J6" s="1310"/>
      <c r="K6" s="1310"/>
      <c r="L6" s="1310"/>
      <c r="M6" s="1310"/>
      <c r="N6" s="1310"/>
      <c r="O6" s="1310"/>
      <c r="P6" s="1310"/>
      <c r="Q6" s="1310"/>
      <c r="R6" s="114"/>
      <c r="S6" s="363"/>
      <c r="T6" s="566"/>
      <c r="U6" s="555" t="s">
        <v>0</v>
      </c>
      <c r="V6" s="161"/>
      <c r="W6" s="161"/>
      <c r="X6" s="50"/>
      <c r="Y6" s="50"/>
      <c r="Z6" s="52">
        <f>COUNTIF($I$8:$I$13,"X")</f>
        <v>1</v>
      </c>
      <c r="AA6" s="52">
        <f>COUNTIF($L$8:$L$13,"X")</f>
        <v>3</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4"/>
      <c r="B7" s="566"/>
      <c r="C7" s="361"/>
      <c r="D7" s="54" t="s">
        <v>0</v>
      </c>
      <c r="E7" s="650" t="s">
        <v>437</v>
      </c>
      <c r="F7" s="352" t="s">
        <v>42</v>
      </c>
      <c r="G7" s="352" t="s">
        <v>315</v>
      </c>
      <c r="H7" s="114"/>
      <c r="I7" s="1308" t="s">
        <v>312</v>
      </c>
      <c r="J7" s="1308"/>
      <c r="K7" s="1308"/>
      <c r="L7" s="1309" t="s">
        <v>311</v>
      </c>
      <c r="M7" s="1309"/>
      <c r="N7" s="1309"/>
      <c r="O7" s="1308" t="s">
        <v>313</v>
      </c>
      <c r="P7" s="1308"/>
      <c r="Q7" s="1308"/>
      <c r="R7" s="114"/>
      <c r="S7" s="47"/>
      <c r="T7" s="566" t="s">
        <v>0</v>
      </c>
      <c r="U7" s="161"/>
      <c r="V7" s="161"/>
      <c r="W7" s="161"/>
      <c r="X7" s="63" t="str">
        <f>IF(MAX(X8:X13)=3,"involves "&amp;Z7&amp;"previously unregulated parties",IF(MAX(X8:X13)=2,"involves "&amp;Z7&amp;"current regulated parties","not involved"))</f>
        <v>not involved</v>
      </c>
      <c r="Y7" s="63"/>
      <c r="Z7" s="1278" t="str">
        <f>IF(AB6&gt;0,"thousands of ",IF(AA6&gt;0,"hundreds of ", IF(Z6&gt;0,"under one hundred ","")))</f>
        <v xml:space="preserve">hundreds of </v>
      </c>
      <c r="AA7" s="1278"/>
      <c r="AB7" s="1278"/>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4"/>
      <c r="B8" s="566"/>
      <c r="C8" s="364"/>
      <c r="D8" s="506" t="s">
        <v>120</v>
      </c>
      <c r="E8" s="253"/>
      <c r="F8" s="257"/>
      <c r="G8" s="254"/>
      <c r="H8" s="365"/>
      <c r="I8" s="1270"/>
      <c r="J8" s="1270"/>
      <c r="K8" s="1270"/>
      <c r="L8" s="1271" t="s">
        <v>1035</v>
      </c>
      <c r="M8" s="1272"/>
      <c r="N8" s="1273"/>
      <c r="O8" s="1277"/>
      <c r="P8" s="1277"/>
      <c r="Q8" s="1277"/>
      <c r="R8" s="114"/>
      <c r="S8" s="205"/>
      <c r="T8" s="566"/>
      <c r="U8" s="314" t="s">
        <v>316</v>
      </c>
      <c r="V8" s="314"/>
      <c r="W8" s="167"/>
      <c r="X8" s="670">
        <v>1</v>
      </c>
      <c r="Y8" s="473">
        <f>IF($O8="X",3,IF($L8="X",2,IF($I8="X",1,"0")))</f>
        <v>2</v>
      </c>
      <c r="Z8" s="473" t="str">
        <f>IF($O8="X"," thousands",IF($L8="X"," hundreds",IF($I8="X"," under 100","")))</f>
        <v xml:space="preserve"> hundreds</v>
      </c>
      <c r="AA8" s="641" t="str">
        <f>IF(X8=1,"not affected ",IF(X8=2,"affects "&amp;Z8&amp;" currently regulated","affects "&amp;Z8&amp;" previously unregulated"))</f>
        <v xml:space="preserve">not affected </v>
      </c>
      <c r="AB8" s="642">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4"/>
      <c r="B9" s="566"/>
      <c r="C9" s="364"/>
      <c r="D9" s="506" t="s">
        <v>108</v>
      </c>
      <c r="E9" s="251"/>
      <c r="F9" s="256"/>
      <c r="G9" s="252"/>
      <c r="H9" s="365"/>
      <c r="I9" s="1270"/>
      <c r="J9" s="1270"/>
      <c r="K9" s="1270"/>
      <c r="L9" s="1271" t="s">
        <v>1035</v>
      </c>
      <c r="M9" s="1272"/>
      <c r="N9" s="1273"/>
      <c r="O9" s="1277"/>
      <c r="P9" s="1277"/>
      <c r="Q9" s="1277"/>
      <c r="R9" s="351"/>
      <c r="S9" s="205"/>
      <c r="T9" s="566"/>
      <c r="U9" s="314" t="s">
        <v>316</v>
      </c>
      <c r="V9" s="167"/>
      <c r="W9" s="167"/>
      <c r="X9" s="670">
        <v>1</v>
      </c>
      <c r="Y9" s="473">
        <f t="shared" ref="Y9:Y13" si="0">IF($O9="X",2,IF($L9="X",1,IF($I9="X",1,"0")))</f>
        <v>1</v>
      </c>
      <c r="Z9" s="473" t="str">
        <f t="shared" ref="Z9:Z13" si="1">IF($O9="X"," thousands",IF($L9="X"," hundreds",IF($I9="X"," under 100","")))</f>
        <v xml:space="preserve"> hundreds</v>
      </c>
      <c r="AA9" s="641" t="str">
        <f t="shared" ref="AA9:AA13" si="2">IF(X9=1,"not affected ",IF(X9=2,"affects "&amp;Z9&amp;" currently regulated","affects "&amp;Z9&amp;" previously unregulated"))</f>
        <v xml:space="preserve">not affected </v>
      </c>
      <c r="AB9" s="642">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4"/>
      <c r="B10" s="566"/>
      <c r="C10" s="364"/>
      <c r="D10" s="506" t="s">
        <v>109</v>
      </c>
      <c r="E10" s="249"/>
      <c r="F10" s="255"/>
      <c r="G10" s="250"/>
      <c r="H10" s="365"/>
      <c r="I10" s="1270" t="s">
        <v>1035</v>
      </c>
      <c r="J10" s="1270"/>
      <c r="K10" s="1270"/>
      <c r="L10" s="1271"/>
      <c r="M10" s="1272"/>
      <c r="N10" s="1273"/>
      <c r="O10" s="1277"/>
      <c r="P10" s="1277"/>
      <c r="Q10" s="1277"/>
      <c r="R10" s="351"/>
      <c r="S10" s="205"/>
      <c r="T10" s="566"/>
      <c r="U10" s="314" t="s">
        <v>316</v>
      </c>
      <c r="V10" s="167"/>
      <c r="W10" s="167"/>
      <c r="X10" s="670">
        <v>1</v>
      </c>
      <c r="Y10" s="473">
        <f t="shared" si="0"/>
        <v>1</v>
      </c>
      <c r="Z10" s="473" t="str">
        <f t="shared" si="1"/>
        <v xml:space="preserve"> under 100</v>
      </c>
      <c r="AA10" s="641" t="str">
        <f t="shared" si="2"/>
        <v xml:space="preserve">not affected </v>
      </c>
      <c r="AB10" s="642">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4"/>
      <c r="B11" s="566"/>
      <c r="C11" s="364"/>
      <c r="D11" s="506" t="s">
        <v>123</v>
      </c>
      <c r="E11" s="249"/>
      <c r="F11" s="255"/>
      <c r="G11" s="250"/>
      <c r="H11" s="365"/>
      <c r="I11" s="1270"/>
      <c r="J11" s="1270"/>
      <c r="K11" s="1270"/>
      <c r="L11" s="1271" t="s">
        <v>1035</v>
      </c>
      <c r="M11" s="1272"/>
      <c r="N11" s="1273"/>
      <c r="O11" s="1277"/>
      <c r="P11" s="1277"/>
      <c r="Q11" s="1277"/>
      <c r="R11" s="351"/>
      <c r="S11" s="205"/>
      <c r="T11" s="566"/>
      <c r="U11" s="314" t="s">
        <v>316</v>
      </c>
      <c r="V11" s="167"/>
      <c r="W11" s="167"/>
      <c r="X11" s="670">
        <v>1</v>
      </c>
      <c r="Y11" s="473">
        <f t="shared" si="0"/>
        <v>1</v>
      </c>
      <c r="Z11" s="473" t="str">
        <f t="shared" si="1"/>
        <v xml:space="preserve"> hundreds</v>
      </c>
      <c r="AA11" s="641" t="str">
        <f t="shared" si="2"/>
        <v xml:space="preserve">not affected </v>
      </c>
      <c r="AB11" s="642">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4"/>
      <c r="B12" s="566"/>
      <c r="C12" s="364"/>
      <c r="D12" s="793" t="s">
        <v>213</v>
      </c>
      <c r="E12" s="249"/>
      <c r="F12" s="255"/>
      <c r="G12" s="250"/>
      <c r="H12" s="365"/>
      <c r="I12" s="1270"/>
      <c r="J12" s="1270"/>
      <c r="K12" s="1270"/>
      <c r="L12" s="1271"/>
      <c r="M12" s="1272"/>
      <c r="N12" s="1273"/>
      <c r="O12" s="1277"/>
      <c r="P12" s="1277"/>
      <c r="Q12" s="1277"/>
      <c r="R12" s="351"/>
      <c r="S12" s="205"/>
      <c r="T12" s="566"/>
      <c r="U12" s="314" t="s">
        <v>316</v>
      </c>
      <c r="V12" s="167"/>
      <c r="W12" s="167"/>
      <c r="X12" s="670">
        <v>1</v>
      </c>
      <c r="Y12" s="473" t="str">
        <f t="shared" si="0"/>
        <v>0</v>
      </c>
      <c r="Z12" s="473" t="str">
        <f t="shared" si="1"/>
        <v/>
      </c>
      <c r="AA12" s="641" t="str">
        <f t="shared" si="2"/>
        <v xml:space="preserve">not affected </v>
      </c>
      <c r="AB12" s="642">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4"/>
      <c r="B13" s="566"/>
      <c r="C13" s="364"/>
      <c r="D13" s="793" t="s">
        <v>213</v>
      </c>
      <c r="E13" s="258"/>
      <c r="F13" s="259"/>
      <c r="G13" s="260"/>
      <c r="H13" s="365"/>
      <c r="I13" s="1270"/>
      <c r="J13" s="1270"/>
      <c r="K13" s="1270"/>
      <c r="L13" s="1271"/>
      <c r="M13" s="1272"/>
      <c r="N13" s="1273"/>
      <c r="O13" s="1277"/>
      <c r="P13" s="1277"/>
      <c r="Q13" s="1277"/>
      <c r="R13" s="351"/>
      <c r="S13" s="205"/>
      <c r="T13" s="566"/>
      <c r="U13" s="314" t="s">
        <v>316</v>
      </c>
      <c r="V13" s="167"/>
      <c r="W13" s="167"/>
      <c r="X13" s="670">
        <v>1</v>
      </c>
      <c r="Y13" s="473" t="str">
        <f t="shared" si="0"/>
        <v>0</v>
      </c>
      <c r="Z13" s="473" t="str">
        <f t="shared" si="1"/>
        <v/>
      </c>
      <c r="AA13" s="641" t="str">
        <f t="shared" si="2"/>
        <v xml:space="preserve">not affected </v>
      </c>
      <c r="AB13" s="642">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4"/>
      <c r="B14" s="566"/>
      <c r="C14" s="366" t="s">
        <v>0</v>
      </c>
      <c r="D14" s="1283" t="s">
        <v>238</v>
      </c>
      <c r="E14" s="1283"/>
      <c r="F14" s="1283"/>
      <c r="G14" s="114"/>
      <c r="H14" s="114"/>
      <c r="I14" s="114"/>
      <c r="J14" s="114"/>
      <c r="K14" s="114"/>
      <c r="L14" s="114"/>
      <c r="M14" s="114"/>
      <c r="N14" s="114"/>
      <c r="O14" s="114"/>
      <c r="P14" s="114"/>
      <c r="Q14" s="114"/>
      <c r="R14" s="114"/>
      <c r="S14" s="292"/>
      <c r="T14" s="566"/>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4"/>
      <c r="B15" s="566"/>
      <c r="C15" s="367"/>
      <c r="D15" s="261"/>
      <c r="E15" s="261"/>
      <c r="F15" s="353"/>
      <c r="G15" s="353"/>
      <c r="H15" s="368"/>
      <c r="I15" s="354"/>
      <c r="J15" s="354"/>
      <c r="K15" s="354"/>
      <c r="L15" s="354"/>
      <c r="M15" s="354"/>
      <c r="N15" s="354"/>
      <c r="O15" s="354"/>
      <c r="P15" s="354"/>
      <c r="Q15" s="354"/>
      <c r="R15" s="354"/>
      <c r="S15" s="212"/>
      <c r="T15" s="566"/>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4"/>
      <c r="B16" s="566"/>
      <c r="C16" s="367"/>
      <c r="D16" s="1305" t="s">
        <v>217</v>
      </c>
      <c r="E16" s="1306"/>
      <c r="F16" s="1307"/>
      <c r="G16" s="1307"/>
      <c r="H16" s="1279"/>
      <c r="I16" s="1279"/>
      <c r="J16" s="1279"/>
      <c r="K16" s="1279"/>
      <c r="L16" s="1279"/>
      <c r="M16" s="1279"/>
      <c r="N16" s="1279"/>
      <c r="O16" s="1279"/>
      <c r="P16" s="1279"/>
      <c r="Q16" s="1279"/>
      <c r="R16" s="1279"/>
      <c r="S16" s="212"/>
      <c r="T16" s="566"/>
      <c r="U16" s="400"/>
      <c r="W16" s="159"/>
      <c r="X16" s="144">
        <v>3</v>
      </c>
      <c r="Y16" s="75" t="s">
        <v>230</v>
      </c>
      <c r="Z16" s="56"/>
      <c r="AA16" s="1018" t="str">
        <f>IF(C.3ComplexityRating=1,"low, no opposition",IF(C.3ComplexityRating=2,"low/medium, minor opposition",IF(C.3ComplexityRating=3,"medium, manageable opposition",IF(C.3ComplexityRating=4,"medium/high, definite opposition",IF(C.3ComplexityRating=5,"high, significant opposition")))))</f>
        <v>medium, manageable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4"/>
      <c r="B17" s="566"/>
      <c r="C17" s="348" t="s">
        <v>0</v>
      </c>
      <c r="D17" s="651" t="s">
        <v>435</v>
      </c>
      <c r="E17" s="382"/>
      <c r="H17" s="145"/>
      <c r="I17" s="145"/>
      <c r="J17" s="145"/>
      <c r="K17" s="145"/>
      <c r="L17" s="145"/>
      <c r="M17" s="145"/>
      <c r="N17" s="145"/>
      <c r="O17" s="145"/>
      <c r="P17" s="145"/>
      <c r="Q17" s="145"/>
      <c r="R17" s="145"/>
      <c r="S17" s="157"/>
      <c r="T17" s="566"/>
      <c r="U17" s="401"/>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4"/>
      <c r="B18" s="566"/>
      <c r="C18" s="348"/>
      <c r="D18" s="1293" t="s">
        <v>344</v>
      </c>
      <c r="E18" s="1293"/>
      <c r="F18" s="1293"/>
      <c r="G18" s="1293"/>
      <c r="H18" s="1293"/>
      <c r="I18" s="1293"/>
      <c r="J18" s="1293"/>
      <c r="K18" s="1293"/>
      <c r="L18" s="1293"/>
      <c r="M18" s="1293"/>
      <c r="N18" s="1293"/>
      <c r="O18" s="1293"/>
      <c r="P18" s="1293"/>
      <c r="Q18" s="1293"/>
      <c r="R18" s="145"/>
      <c r="S18" s="157"/>
      <c r="T18" s="566"/>
      <c r="U18" s="401"/>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4"/>
      <c r="B19" s="566"/>
      <c r="C19" s="369"/>
      <c r="D19" s="404" t="s">
        <v>115</v>
      </c>
      <c r="E19" s="370"/>
      <c r="F19" s="1300" t="s">
        <v>194</v>
      </c>
      <c r="G19" s="1300"/>
      <c r="H19" s="1296" t="s">
        <v>7</v>
      </c>
      <c r="I19" s="1296"/>
      <c r="J19" s="1296"/>
      <c r="K19" s="1296"/>
      <c r="L19" s="1296"/>
      <c r="M19" s="1296"/>
      <c r="N19" s="1296"/>
      <c r="O19" s="1296"/>
      <c r="P19" s="1296"/>
      <c r="Q19" s="1296"/>
      <c r="R19" s="268"/>
      <c r="S19" s="295"/>
      <c r="T19" s="566"/>
      <c r="U19" s="402"/>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4"/>
      <c r="B20" s="566"/>
      <c r="C20" s="361"/>
      <c r="D20" s="1294" t="s">
        <v>335</v>
      </c>
      <c r="E20" s="1295"/>
      <c r="F20" s="1281" t="s">
        <v>205</v>
      </c>
      <c r="G20" s="1281"/>
      <c r="H20" s="18">
        <v>1</v>
      </c>
      <c r="I20" s="19">
        <v>2</v>
      </c>
      <c r="J20" s="20">
        <v>3</v>
      </c>
      <c r="K20" s="21">
        <v>4</v>
      </c>
      <c r="L20" s="22">
        <v>5</v>
      </c>
      <c r="M20" s="23">
        <v>6</v>
      </c>
      <c r="N20" s="24">
        <v>7</v>
      </c>
      <c r="O20" s="25">
        <v>8</v>
      </c>
      <c r="P20" s="26">
        <v>9</v>
      </c>
      <c r="Q20" s="27">
        <v>10</v>
      </c>
      <c r="R20" s="267"/>
      <c r="S20" s="47"/>
      <c r="T20" s="566"/>
      <c r="U20" s="314" t="s">
        <v>973</v>
      </c>
      <c r="V20" s="169"/>
      <c r="W20" s="169"/>
      <c r="X20" s="52">
        <f t="shared" ref="X20:X30" si="4">VLOOKUP($F20,C.VL_InterestInRule,2,FALSE)</f>
        <v>6</v>
      </c>
      <c r="Y20" s="895" t="str">
        <f>F20</f>
        <v>unknown at this time</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4"/>
      <c r="B21" s="566"/>
      <c r="C21" s="361"/>
      <c r="D21" s="1294" t="s">
        <v>336</v>
      </c>
      <c r="E21" s="1295"/>
      <c r="F21" s="1281" t="s">
        <v>205</v>
      </c>
      <c r="G21" s="1281"/>
      <c r="H21" s="18">
        <v>1</v>
      </c>
      <c r="I21" s="19">
        <v>2</v>
      </c>
      <c r="J21" s="20">
        <v>3</v>
      </c>
      <c r="K21" s="21">
        <v>4</v>
      </c>
      <c r="L21" s="22">
        <v>5</v>
      </c>
      <c r="M21" s="23">
        <v>6</v>
      </c>
      <c r="N21" s="24">
        <v>7</v>
      </c>
      <c r="O21" s="25">
        <v>8</v>
      </c>
      <c r="P21" s="26">
        <v>9</v>
      </c>
      <c r="Q21" s="27">
        <v>10</v>
      </c>
      <c r="R21" s="267"/>
      <c r="S21" s="47"/>
      <c r="T21" s="566"/>
      <c r="U21" s="314" t="s">
        <v>973</v>
      </c>
      <c r="V21" s="169"/>
      <c r="W21" s="169"/>
      <c r="X21" s="52">
        <f t="shared" si="4"/>
        <v>6</v>
      </c>
      <c r="Y21" s="895" t="str">
        <f t="shared" ref="Y21:Y30" si="5">F21</f>
        <v>unknown at this time</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4"/>
      <c r="B22" s="566"/>
      <c r="C22" s="361"/>
      <c r="D22" s="1294" t="s">
        <v>337</v>
      </c>
      <c r="E22" s="1295"/>
      <c r="F22" s="1281" t="s">
        <v>205</v>
      </c>
      <c r="G22" s="1281"/>
      <c r="H22" s="18">
        <v>1</v>
      </c>
      <c r="I22" s="19">
        <v>2</v>
      </c>
      <c r="J22" s="20">
        <v>3</v>
      </c>
      <c r="K22" s="21">
        <v>4</v>
      </c>
      <c r="L22" s="22">
        <v>5</v>
      </c>
      <c r="M22" s="23">
        <v>6</v>
      </c>
      <c r="N22" s="24">
        <v>7</v>
      </c>
      <c r="O22" s="25">
        <v>8</v>
      </c>
      <c r="P22" s="26">
        <v>9</v>
      </c>
      <c r="Q22" s="27">
        <v>10</v>
      </c>
      <c r="R22" s="267"/>
      <c r="S22" s="47"/>
      <c r="T22" s="566"/>
      <c r="U22" s="314" t="s">
        <v>973</v>
      </c>
      <c r="V22" s="169"/>
      <c r="W22" s="169"/>
      <c r="X22" s="52">
        <f t="shared" si="4"/>
        <v>6</v>
      </c>
      <c r="Y22" s="895" t="str">
        <f t="shared" si="5"/>
        <v>unknown at this time</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4"/>
      <c r="B23" s="566"/>
      <c r="C23" s="361"/>
      <c r="D23" s="1294" t="s">
        <v>338</v>
      </c>
      <c r="E23" s="1295"/>
      <c r="F23" s="1281" t="s">
        <v>205</v>
      </c>
      <c r="G23" s="1281"/>
      <c r="H23" s="18">
        <v>1</v>
      </c>
      <c r="I23" s="19">
        <v>2</v>
      </c>
      <c r="J23" s="20">
        <v>3</v>
      </c>
      <c r="K23" s="21">
        <v>4</v>
      </c>
      <c r="L23" s="22">
        <v>5</v>
      </c>
      <c r="M23" s="23">
        <v>6</v>
      </c>
      <c r="N23" s="24">
        <v>7</v>
      </c>
      <c r="O23" s="25">
        <v>8</v>
      </c>
      <c r="P23" s="26">
        <v>9</v>
      </c>
      <c r="Q23" s="27">
        <v>10</v>
      </c>
      <c r="R23" s="267"/>
      <c r="S23" s="47"/>
      <c r="T23" s="566"/>
      <c r="U23" s="314" t="s">
        <v>973</v>
      </c>
      <c r="V23" s="159"/>
      <c r="W23" s="159"/>
      <c r="X23" s="52">
        <f t="shared" si="4"/>
        <v>6</v>
      </c>
      <c r="Y23" s="895" t="str">
        <f t="shared" si="5"/>
        <v>unknown at this time</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4"/>
      <c r="B24" s="566"/>
      <c r="C24" s="361"/>
      <c r="D24" s="1294" t="s">
        <v>339</v>
      </c>
      <c r="E24" s="1295"/>
      <c r="F24" s="1281" t="s">
        <v>205</v>
      </c>
      <c r="G24" s="1281"/>
      <c r="H24" s="18">
        <v>1</v>
      </c>
      <c r="I24" s="19">
        <v>2</v>
      </c>
      <c r="J24" s="20">
        <v>3</v>
      </c>
      <c r="K24" s="21">
        <v>4</v>
      </c>
      <c r="L24" s="22">
        <v>5</v>
      </c>
      <c r="M24" s="23">
        <v>6</v>
      </c>
      <c r="N24" s="24">
        <v>7</v>
      </c>
      <c r="O24" s="25">
        <v>8</v>
      </c>
      <c r="P24" s="26">
        <v>9</v>
      </c>
      <c r="Q24" s="27">
        <v>10</v>
      </c>
      <c r="R24" s="267"/>
      <c r="S24" s="47"/>
      <c r="T24" s="566"/>
      <c r="U24" s="314" t="s">
        <v>973</v>
      </c>
      <c r="V24" s="169"/>
      <c r="W24" s="169"/>
      <c r="X24" s="52">
        <f t="shared" si="4"/>
        <v>6</v>
      </c>
      <c r="Y24" s="895" t="str">
        <f t="shared" si="5"/>
        <v>unknown at this time</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4"/>
      <c r="B25" s="566"/>
      <c r="C25" s="361"/>
      <c r="D25" s="1294" t="s">
        <v>340</v>
      </c>
      <c r="E25" s="1295"/>
      <c r="F25" s="1281" t="s">
        <v>205</v>
      </c>
      <c r="G25" s="1281"/>
      <c r="H25" s="18">
        <v>1</v>
      </c>
      <c r="I25" s="19">
        <v>2</v>
      </c>
      <c r="J25" s="20">
        <v>3</v>
      </c>
      <c r="K25" s="21">
        <v>4</v>
      </c>
      <c r="L25" s="22">
        <v>5</v>
      </c>
      <c r="M25" s="23">
        <v>6</v>
      </c>
      <c r="N25" s="24">
        <v>7</v>
      </c>
      <c r="O25" s="25">
        <v>8</v>
      </c>
      <c r="P25" s="26">
        <v>9</v>
      </c>
      <c r="Q25" s="27">
        <v>10</v>
      </c>
      <c r="R25" s="267"/>
      <c r="S25" s="47"/>
      <c r="T25" s="566"/>
      <c r="U25" s="314" t="s">
        <v>973</v>
      </c>
      <c r="V25" s="169"/>
      <c r="W25" s="169"/>
      <c r="X25" s="52">
        <f t="shared" si="4"/>
        <v>6</v>
      </c>
      <c r="Y25" s="895" t="str">
        <f t="shared" si="5"/>
        <v>unknown at this time</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4"/>
      <c r="B26" s="566"/>
      <c r="C26" s="361"/>
      <c r="D26" s="1294" t="s">
        <v>341</v>
      </c>
      <c r="E26" s="1295"/>
      <c r="F26" s="1281" t="s">
        <v>205</v>
      </c>
      <c r="G26" s="1281"/>
      <c r="H26" s="18">
        <v>1</v>
      </c>
      <c r="I26" s="19">
        <v>2</v>
      </c>
      <c r="J26" s="20">
        <v>3</v>
      </c>
      <c r="K26" s="21">
        <v>4</v>
      </c>
      <c r="L26" s="22">
        <v>5</v>
      </c>
      <c r="M26" s="23">
        <v>6</v>
      </c>
      <c r="N26" s="24">
        <v>7</v>
      </c>
      <c r="O26" s="25">
        <v>8</v>
      </c>
      <c r="P26" s="26">
        <v>9</v>
      </c>
      <c r="Q26" s="27">
        <v>10</v>
      </c>
      <c r="R26" s="267"/>
      <c r="S26" s="47"/>
      <c r="T26" s="566"/>
      <c r="U26" s="314" t="s">
        <v>973</v>
      </c>
      <c r="V26" s="169"/>
      <c r="W26" s="169"/>
      <c r="X26" s="52">
        <f t="shared" si="4"/>
        <v>6</v>
      </c>
      <c r="Y26" s="895" t="str">
        <f t="shared" si="5"/>
        <v>unknown at this time</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4"/>
      <c r="B27" s="566"/>
      <c r="C27" s="361"/>
      <c r="D27" s="1294" t="s">
        <v>342</v>
      </c>
      <c r="E27" s="1295"/>
      <c r="F27" s="1281" t="s">
        <v>205</v>
      </c>
      <c r="G27" s="1281"/>
      <c r="H27" s="18">
        <v>1</v>
      </c>
      <c r="I27" s="19">
        <v>2</v>
      </c>
      <c r="J27" s="20">
        <v>3</v>
      </c>
      <c r="K27" s="21">
        <v>4</v>
      </c>
      <c r="L27" s="22">
        <v>5</v>
      </c>
      <c r="M27" s="23">
        <v>6</v>
      </c>
      <c r="N27" s="24">
        <v>7</v>
      </c>
      <c r="O27" s="25">
        <v>8</v>
      </c>
      <c r="P27" s="26">
        <v>9</v>
      </c>
      <c r="Q27" s="27">
        <v>10</v>
      </c>
      <c r="R27" s="267"/>
      <c r="S27" s="47"/>
      <c r="T27" s="566"/>
      <c r="U27" s="314" t="s">
        <v>973</v>
      </c>
      <c r="V27" s="169"/>
      <c r="W27" s="169"/>
      <c r="X27" s="52">
        <f t="shared" si="4"/>
        <v>6</v>
      </c>
      <c r="Y27" s="895" t="str">
        <f t="shared" si="5"/>
        <v>unknown at this time</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4"/>
      <c r="B28" s="566"/>
      <c r="C28" s="361"/>
      <c r="D28" s="1294" t="s">
        <v>343</v>
      </c>
      <c r="E28" s="1295"/>
      <c r="F28" s="1281" t="s">
        <v>205</v>
      </c>
      <c r="G28" s="1281"/>
      <c r="H28" s="18">
        <v>1</v>
      </c>
      <c r="I28" s="19">
        <v>2</v>
      </c>
      <c r="J28" s="20">
        <v>3</v>
      </c>
      <c r="K28" s="21">
        <v>4</v>
      </c>
      <c r="L28" s="22">
        <v>5</v>
      </c>
      <c r="M28" s="23">
        <v>6</v>
      </c>
      <c r="N28" s="24">
        <v>7</v>
      </c>
      <c r="O28" s="25">
        <v>8</v>
      </c>
      <c r="P28" s="26">
        <v>9</v>
      </c>
      <c r="Q28" s="27">
        <v>10</v>
      </c>
      <c r="R28" s="267"/>
      <c r="S28" s="47"/>
      <c r="T28" s="566"/>
      <c r="U28" s="314" t="s">
        <v>973</v>
      </c>
      <c r="V28" s="169"/>
      <c r="W28" s="169"/>
      <c r="X28" s="52">
        <f t="shared" si="4"/>
        <v>6</v>
      </c>
      <c r="Y28" s="895" t="str">
        <f t="shared" si="5"/>
        <v>unknown at this time</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4"/>
      <c r="B29" s="566"/>
      <c r="C29" s="361"/>
      <c r="D29" s="1311" t="s">
        <v>213</v>
      </c>
      <c r="E29" s="1312"/>
      <c r="F29" s="1281" t="s">
        <v>4</v>
      </c>
      <c r="G29" s="1281"/>
      <c r="H29" s="18">
        <v>1</v>
      </c>
      <c r="I29" s="19">
        <v>2</v>
      </c>
      <c r="J29" s="20">
        <v>3</v>
      </c>
      <c r="K29" s="21">
        <v>4</v>
      </c>
      <c r="L29" s="22">
        <v>5</v>
      </c>
      <c r="M29" s="23">
        <v>6</v>
      </c>
      <c r="N29" s="24">
        <v>7</v>
      </c>
      <c r="O29" s="25">
        <v>8</v>
      </c>
      <c r="P29" s="26">
        <v>9</v>
      </c>
      <c r="Q29" s="27">
        <v>10</v>
      </c>
      <c r="R29" s="267"/>
      <c r="S29" s="47"/>
      <c r="T29" s="566"/>
      <c r="U29" s="314" t="s">
        <v>973</v>
      </c>
      <c r="V29" s="169"/>
      <c r="W29" s="169"/>
      <c r="X29" s="52">
        <f t="shared" si="4"/>
        <v>0</v>
      </c>
      <c r="Y29" s="895"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4"/>
      <c r="B30" s="566"/>
      <c r="C30" s="361"/>
      <c r="D30" s="1311" t="s">
        <v>213</v>
      </c>
      <c r="E30" s="1312"/>
      <c r="F30" s="1281" t="s">
        <v>4</v>
      </c>
      <c r="G30" s="1281"/>
      <c r="H30" s="18">
        <v>1</v>
      </c>
      <c r="I30" s="19">
        <v>2</v>
      </c>
      <c r="J30" s="20">
        <v>3</v>
      </c>
      <c r="K30" s="21">
        <v>4</v>
      </c>
      <c r="L30" s="22">
        <v>5</v>
      </c>
      <c r="M30" s="23">
        <v>6</v>
      </c>
      <c r="N30" s="24">
        <v>7</v>
      </c>
      <c r="O30" s="25">
        <v>8</v>
      </c>
      <c r="P30" s="26">
        <v>9</v>
      </c>
      <c r="Q30" s="27">
        <v>10</v>
      </c>
      <c r="R30" s="267"/>
      <c r="S30" s="47"/>
      <c r="T30" s="566"/>
      <c r="U30" s="314" t="s">
        <v>973</v>
      </c>
      <c r="V30" s="169"/>
      <c r="W30" s="169"/>
      <c r="X30" s="52">
        <f t="shared" si="4"/>
        <v>0</v>
      </c>
      <c r="Y30" s="895"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4"/>
      <c r="B31" s="566"/>
      <c r="C31" s="361"/>
      <c r="D31" s="267"/>
      <c r="E31" s="266"/>
      <c r="F31" s="262"/>
      <c r="G31" s="262"/>
      <c r="H31" s="264"/>
      <c r="I31" s="264"/>
      <c r="J31" s="264"/>
      <c r="K31" s="264"/>
      <c r="L31" s="264"/>
      <c r="M31" s="264"/>
      <c r="N31" s="264"/>
      <c r="O31" s="264"/>
      <c r="P31" s="264"/>
      <c r="Q31" s="264"/>
      <c r="R31" s="265"/>
      <c r="S31" s="47"/>
      <c r="T31" s="566"/>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4"/>
      <c r="B32" s="566"/>
      <c r="C32" s="361"/>
      <c r="D32" s="267"/>
      <c r="E32" s="266"/>
      <c r="F32" s="262"/>
      <c r="G32" s="262"/>
      <c r="H32" s="265"/>
      <c r="I32" s="265"/>
      <c r="J32" s="265"/>
      <c r="K32" s="265"/>
      <c r="L32" s="265"/>
      <c r="M32" s="265"/>
      <c r="N32" s="265"/>
      <c r="O32" s="265"/>
      <c r="P32" s="265"/>
      <c r="Q32" s="265"/>
      <c r="R32" s="265"/>
      <c r="S32" s="47"/>
      <c r="T32" s="566"/>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4"/>
      <c r="B33" s="566"/>
      <c r="C33" s="361"/>
      <c r="D33" s="269"/>
      <c r="E33" s="267"/>
      <c r="F33" s="263"/>
      <c r="G33" s="789" t="s">
        <v>436</v>
      </c>
      <c r="H33" s="18">
        <v>1</v>
      </c>
      <c r="I33" s="19">
        <v>2</v>
      </c>
      <c r="J33" s="20">
        <v>3</v>
      </c>
      <c r="K33" s="21">
        <v>4</v>
      </c>
      <c r="L33" s="22">
        <v>5</v>
      </c>
      <c r="M33" s="23">
        <v>6</v>
      </c>
      <c r="N33" s="24">
        <v>7</v>
      </c>
      <c r="O33" s="25">
        <v>8</v>
      </c>
      <c r="P33" s="26">
        <v>9</v>
      </c>
      <c r="Q33" s="27">
        <v>10</v>
      </c>
      <c r="R33" s="267"/>
      <c r="S33" s="47"/>
      <c r="T33" s="566"/>
      <c r="U33" s="176"/>
      <c r="V33" s="159"/>
      <c r="W33" s="159"/>
      <c r="X33" s="48">
        <f>IF(AVERAGE(X20:X30)=0,0,AVERAGEIF(X20:X30,"&gt;0",X20:X30))</f>
        <v>6</v>
      </c>
      <c r="Y33" s="790" t="str">
        <f>IF(C.3Interest&gt;8,"high",IF(C.3Interest&gt;6,"medium/high",IF(C.3Interest&gt;4,"medium",IF(C.3Interest&gt;2,"low/medium","low"))))</f>
        <v>medium</v>
      </c>
      <c r="Z33" s="641" t="str">
        <f>IF(C.3Interest=0,"There is no expressed interest in this proposal at this time.","Interest in this proposal is "&amp;Y33&amp;".")</f>
        <v>Interest in this proposal is 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4"/>
      <c r="B34" s="566"/>
      <c r="C34" s="361"/>
      <c r="D34" s="313" t="s">
        <v>414</v>
      </c>
      <c r="E34" s="120"/>
      <c r="F34" s="4"/>
      <c r="G34" s="4"/>
      <c r="H34" s="4"/>
      <c r="I34" s="4"/>
      <c r="J34" s="4"/>
      <c r="K34" s="4"/>
      <c r="L34" s="4"/>
      <c r="M34" s="4"/>
      <c r="N34" s="4"/>
      <c r="O34" s="4"/>
      <c r="P34" s="4"/>
      <c r="Q34" s="4"/>
      <c r="R34" s="4"/>
      <c r="S34" s="47"/>
      <c r="T34" s="566"/>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4"/>
      <c r="B35" s="566"/>
      <c r="C35" s="361"/>
      <c r="D35" s="1284" t="s">
        <v>0</v>
      </c>
      <c r="E35" s="1285"/>
      <c r="F35" s="1285"/>
      <c r="G35" s="1285"/>
      <c r="H35" s="1285"/>
      <c r="I35" s="1285"/>
      <c r="J35" s="1285"/>
      <c r="K35" s="1285"/>
      <c r="L35" s="1285"/>
      <c r="M35" s="1285"/>
      <c r="N35" s="1285"/>
      <c r="O35" s="1285"/>
      <c r="P35" s="1285"/>
      <c r="Q35" s="1285"/>
      <c r="R35" s="1286"/>
      <c r="S35" s="201"/>
      <c r="T35" s="566"/>
      <c r="U35"/>
      <c r="V35" s="380"/>
      <c r="W35" s="161"/>
      <c r="X35" s="147" t="s">
        <v>442</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8"/>
      <c r="B36" s="566" t="s">
        <v>0</v>
      </c>
      <c r="C36" s="389" t="s">
        <v>0</v>
      </c>
      <c r="D36" s="390" t="s">
        <v>440</v>
      </c>
      <c r="E36" s="391"/>
      <c r="F36" s="1282" t="s">
        <v>439</v>
      </c>
      <c r="G36" s="1282"/>
      <c r="H36" s="1282"/>
      <c r="I36" s="1282"/>
      <c r="J36" s="1282"/>
      <c r="K36" s="1282"/>
      <c r="L36" s="1282"/>
      <c r="M36" s="1282"/>
      <c r="N36" s="1282"/>
      <c r="O36" s="1282"/>
      <c r="P36" s="1282"/>
      <c r="Q36" s="1282"/>
      <c r="R36" s="1282"/>
      <c r="S36" s="347"/>
      <c r="T36" s="566"/>
      <c r="U36"/>
      <c r="V36" s="167"/>
      <c r="W36" s="167"/>
      <c r="X36" s="802" t="str">
        <f>C.3InterestDialog&amp;" "&amp;X41&amp;Z41</f>
        <v>Interest in this proposal is medium. DEQ does not plan to appoint an advisory committee. We plan to ask the committee to provide advice.</v>
      </c>
      <c r="Y36" s="984" t="b">
        <f>IF(X37&gt;1,TRUE,FALSE)</f>
        <v>0</v>
      </c>
      <c r="Z36" s="985" t="str">
        <f>X41&amp;Z41</f>
        <v>DEQ does not plan to appoint an advisory committee. We plan to ask the committee to provide advice.</v>
      </c>
      <c r="AA36" s="393"/>
      <c r="AB36" s="108"/>
      <c r="AC36" s="392"/>
      <c r="AD36" s="392"/>
      <c r="AE36" s="392"/>
      <c r="AF36" s="392"/>
      <c r="AG36" s="392"/>
      <c r="AH36" s="392"/>
      <c r="AI36" s="392"/>
      <c r="AJ36" s="392"/>
      <c r="AK36" s="392"/>
      <c r="AL36" s="392"/>
      <c r="AM36" s="392"/>
      <c r="AN36" s="392"/>
      <c r="AO36" s="392"/>
      <c r="AP36" s="392"/>
      <c r="AQ36" s="392"/>
      <c r="AR36" s="392"/>
      <c r="AS36" s="392"/>
      <c r="AT36" s="167"/>
      <c r="AU36" s="167"/>
      <c r="AV36" s="167"/>
      <c r="AW36" s="167"/>
      <c r="AX36" s="167"/>
      <c r="AY36" s="167"/>
      <c r="AZ36" s="167"/>
      <c r="BA36" s="167"/>
      <c r="BB36" s="167"/>
      <c r="BC36" s="167"/>
      <c r="BD36" s="167"/>
      <c r="BE36" s="167"/>
      <c r="BF36" s="167"/>
      <c r="BG36" s="167"/>
      <c r="BH36" s="167"/>
      <c r="BI36" s="167"/>
    </row>
    <row r="37" spans="1:61" s="16" customFormat="1" ht="21.2" customHeight="1">
      <c r="A37" s="1120"/>
      <c r="B37" s="566"/>
      <c r="C37" s="361"/>
      <c r="D37" s="377" t="s">
        <v>330</v>
      </c>
      <c r="E37" s="378"/>
      <c r="G37" s="648" t="s">
        <v>325</v>
      </c>
      <c r="H37"/>
      <c r="I37"/>
      <c r="J37" s="1275" t="s">
        <v>443</v>
      </c>
      <c r="K37" s="1275"/>
      <c r="L37" s="1275"/>
      <c r="M37" s="1275"/>
      <c r="N37" s="1275"/>
      <c r="O37" s="1275"/>
      <c r="P37" s="1275"/>
      <c r="Q37" s="1275"/>
      <c r="R37" s="1275"/>
      <c r="S37" s="371"/>
      <c r="T37" s="566" t="s">
        <v>0</v>
      </c>
      <c r="U37" s="176"/>
      <c r="V37" s="172"/>
      <c r="W37" s="172"/>
      <c r="X37" s="987">
        <v>1</v>
      </c>
      <c r="Y37" s="983" t="b">
        <v>0</v>
      </c>
      <c r="Z37" s="982" t="b">
        <v>0</v>
      </c>
      <c r="AA37" s="803" t="s">
        <v>0</v>
      </c>
      <c r="AB37" s="803"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20"/>
      <c r="B38" s="566"/>
      <c r="C38" s="361"/>
      <c r="D38" s="377" t="s">
        <v>110</v>
      </c>
      <c r="E38" s="378"/>
      <c r="F38" s="114"/>
      <c r="G38" s="648" t="s">
        <v>326</v>
      </c>
      <c r="H38"/>
      <c r="I38"/>
      <c r="J38" s="1275" t="s">
        <v>328</v>
      </c>
      <c r="K38" s="1275"/>
      <c r="L38" s="1275"/>
      <c r="M38" s="1275"/>
      <c r="N38" s="1275"/>
      <c r="O38" s="1275"/>
      <c r="P38" s="1275"/>
      <c r="Q38" s="1275"/>
      <c r="R38" s="1275"/>
      <c r="S38" s="371"/>
      <c r="T38" s="566"/>
      <c r="U38" s="176"/>
      <c r="V38" s="172"/>
      <c r="W38" s="172"/>
      <c r="X38" s="988" t="str">
        <f>IF(X37=1,"none",IF(X37=2,"standing",IF(X37=3,"reconvene existing","appoint new")))</f>
        <v>none</v>
      </c>
      <c r="Y38" s="986" t="b">
        <v>0</v>
      </c>
      <c r="Z38" s="396" t="b">
        <v>0</v>
      </c>
      <c r="AA38" s="803" t="str">
        <f>IF(Y38=FALSE,"",IF($Y$42-COUNTIF(Y37:Z37,TRUE)=1,LOWER(G38),IF($Y$42-COUNTIF(Y37:Z37,TRUE)=2,LOWER(G38)&amp;", and ",LOWER(G38&amp;", "))))</f>
        <v/>
      </c>
      <c r="AB38" s="803"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1000"/>
      <c r="B39" s="566"/>
      <c r="C39" s="361"/>
      <c r="D39" s="377" t="s">
        <v>111</v>
      </c>
      <c r="E39" s="378"/>
      <c r="F39" s="114"/>
      <c r="G39" s="648" t="s">
        <v>327</v>
      </c>
      <c r="H39"/>
      <c r="I39"/>
      <c r="J39" s="1276" t="s">
        <v>444</v>
      </c>
      <c r="K39" s="1276"/>
      <c r="L39" s="1276"/>
      <c r="M39" s="1276"/>
      <c r="N39" s="1276"/>
      <c r="O39" s="1276"/>
      <c r="P39" s="1276"/>
      <c r="Q39" s="1276"/>
      <c r="R39" s="1276"/>
      <c r="S39" s="371"/>
      <c r="T39" s="566"/>
      <c r="U39" s="403" t="s">
        <v>0</v>
      </c>
      <c r="V39" s="175"/>
      <c r="W39" s="172"/>
      <c r="X39" s="61"/>
      <c r="Y39" s="395" t="b">
        <v>0</v>
      </c>
      <c r="Z39" s="396" t="b">
        <v>0</v>
      </c>
      <c r="AA39" s="803" t="str">
        <f>IF(Y39=FALSE,"",IF($Y$42-COUNTIF(Y37:Z38,TRUE)=1,LOWER(G39),IF($Y$42-COUNTIF(Y37:Z38,TRUE)=2,LOWER(G39)&amp;", and ",LOWER(G39&amp;", "))))</f>
        <v/>
      </c>
      <c r="AB39" s="803"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1000"/>
      <c r="B40" s="566"/>
      <c r="C40" s="361"/>
      <c r="D40" s="377" t="s">
        <v>112</v>
      </c>
      <c r="E40" s="378"/>
      <c r="F40" s="114"/>
      <c r="G40" s="387" t="s">
        <v>329</v>
      </c>
      <c r="H40" s="376"/>
      <c r="I40" s="376"/>
      <c r="J40" s="1280" t="s">
        <v>213</v>
      </c>
      <c r="K40" s="1280"/>
      <c r="L40" s="1280"/>
      <c r="M40" s="1280"/>
      <c r="N40" s="1280"/>
      <c r="O40" s="1280"/>
      <c r="P40" s="1280"/>
      <c r="Q40" s="1280"/>
      <c r="R40" s="1280"/>
      <c r="S40" s="371"/>
      <c r="T40" s="566"/>
      <c r="U40" s="403"/>
      <c r="V40" s="175"/>
      <c r="W40" s="172"/>
      <c r="X40" s="61"/>
      <c r="Y40" s="396" t="b">
        <v>0</v>
      </c>
      <c r="Z40" s="396" t="b">
        <v>0</v>
      </c>
      <c r="AA40" s="803" t="str">
        <f>IF(Y40=FALSE,"",IF($Y$42-COUNTIF(Y37:Z39,TRUE)=1,LOWER(G40),IF($Y$42-COUNTIF(Y37:Z39,TRUE)=2,LOWER(G40)&amp;", and ",LOWER(G40&amp;", "))))</f>
        <v/>
      </c>
      <c r="AB40" s="803"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1000"/>
      <c r="B41" s="566"/>
      <c r="C41" s="361"/>
      <c r="D41" s="377"/>
      <c r="E41" s="797" t="s">
        <v>320</v>
      </c>
      <c r="F41"/>
      <c r="G41"/>
      <c r="H41"/>
      <c r="I41"/>
      <c r="J41"/>
      <c r="K41"/>
      <c r="L41"/>
      <c r="M41"/>
      <c r="N41"/>
      <c r="O41"/>
      <c r="P41"/>
      <c r="Q41"/>
      <c r="R41"/>
      <c r="S41" s="371"/>
      <c r="T41" s="566"/>
      <c r="U41" s="403"/>
      <c r="V41" s="175"/>
      <c r="W41" s="172"/>
      <c r="X41" s="800"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297" t="str">
        <f>" We plan to ask the committee to provide"&amp;AA37&amp;AB37&amp;AA38&amp;AB38&amp;AA39&amp;AB39&amp;AA40&amp;AB40&amp;"advice."</f>
        <v xml:space="preserve"> We plan to ask the committee to provide advice.</v>
      </c>
      <c r="AA41" s="1298"/>
      <c r="AB41" s="1299"/>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1000"/>
      <c r="B42" s="566"/>
      <c r="C42" s="361"/>
      <c r="D42" s="377"/>
      <c r="E42" s="798">
        <v>0</v>
      </c>
      <c r="F42"/>
      <c r="G42"/>
      <c r="H42"/>
      <c r="I42"/>
      <c r="J42"/>
      <c r="K42"/>
      <c r="L42"/>
      <c r="M42"/>
      <c r="N42"/>
      <c r="O42"/>
      <c r="P42"/>
      <c r="Q42"/>
      <c r="R42"/>
      <c r="S42" s="371"/>
      <c r="T42" s="566"/>
      <c r="U42" s="403"/>
      <c r="V42" s="175"/>
      <c r="W42" s="172"/>
      <c r="X42" s="799">
        <f>E42</f>
        <v>0</v>
      </c>
      <c r="Y42" s="804">
        <f>COUNTIF(Y37:Z40,TRUE)</f>
        <v>0</v>
      </c>
      <c r="Z42" s="989" t="str">
        <f>AA37&amp;AB37&amp;AA38&amp;AB38&amp;AA39&amp;AB39&amp;AA40&amp;AB40</f>
        <v xml:space="preserve"> </v>
      </c>
      <c r="AA42" s="805"/>
      <c r="AB42" s="806"/>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1000"/>
      <c r="B43" s="566"/>
      <c r="C43" s="361"/>
      <c r="D43" s="388" t="s">
        <v>438</v>
      </c>
      <c r="E43" s="378"/>
      <c r="F43"/>
      <c r="G43"/>
      <c r="H43"/>
      <c r="I43"/>
      <c r="J43"/>
      <c r="K43"/>
      <c r="L43"/>
      <c r="M43"/>
      <c r="N43"/>
      <c r="O43"/>
      <c r="P43"/>
      <c r="Q43"/>
      <c r="R43"/>
      <c r="S43" s="674"/>
      <c r="T43" s="566"/>
      <c r="U43" s="403"/>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1000"/>
      <c r="B44" s="566"/>
      <c r="C44" s="361"/>
      <c r="D44" s="1290" t="s">
        <v>0</v>
      </c>
      <c r="E44" s="1291"/>
      <c r="F44" s="1291"/>
      <c r="G44" s="1291"/>
      <c r="H44" s="1291"/>
      <c r="I44" s="1291"/>
      <c r="J44" s="1291"/>
      <c r="K44" s="1291"/>
      <c r="L44" s="1291"/>
      <c r="M44" s="1291"/>
      <c r="N44" s="1291"/>
      <c r="O44" s="1291"/>
      <c r="P44" s="1291"/>
      <c r="Q44" s="1291"/>
      <c r="R44" s="1292"/>
      <c r="S44" s="371"/>
      <c r="T44" s="566"/>
      <c r="U44" s="403"/>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1000"/>
      <c r="B45" s="566"/>
      <c r="C45" s="361"/>
      <c r="D45" s="675" t="s">
        <v>331</v>
      </c>
      <c r="E45" s="676"/>
      <c r="F45" s="664"/>
      <c r="G45" s="671"/>
      <c r="H45" s="672"/>
      <c r="I45" s="672"/>
      <c r="J45" s="673"/>
      <c r="K45" s="673"/>
      <c r="L45" s="673"/>
      <c r="M45" s="673"/>
      <c r="N45" s="673"/>
      <c r="O45" s="673"/>
      <c r="P45" s="673"/>
      <c r="Q45" s="673"/>
      <c r="R45" s="673"/>
      <c r="S45" s="674"/>
      <c r="T45" s="566"/>
      <c r="U45" s="403"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1000"/>
      <c r="B46" s="566"/>
      <c r="C46" s="361"/>
      <c r="D46" s="1290" t="s">
        <v>0</v>
      </c>
      <c r="E46" s="1291"/>
      <c r="F46" s="1291"/>
      <c r="G46" s="1291"/>
      <c r="H46" s="1291"/>
      <c r="I46" s="1291"/>
      <c r="J46" s="1291"/>
      <c r="K46" s="1291"/>
      <c r="L46" s="1291"/>
      <c r="M46" s="1291"/>
      <c r="N46" s="1291"/>
      <c r="O46" s="1291"/>
      <c r="P46" s="1291"/>
      <c r="Q46" s="1291"/>
      <c r="R46" s="1292"/>
      <c r="S46" s="371"/>
      <c r="T46" s="566"/>
      <c r="U46" s="403"/>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1000"/>
      <c r="B47" s="566"/>
      <c r="C47" s="361"/>
      <c r="D47" s="377"/>
      <c r="E47" s="378"/>
      <c r="F47" s="114"/>
      <c r="G47" s="376"/>
      <c r="H47" s="376"/>
      <c r="I47" s="376"/>
      <c r="J47" s="376"/>
      <c r="K47" s="376"/>
      <c r="L47" s="376"/>
      <c r="M47" s="376"/>
      <c r="N47" s="376"/>
      <c r="O47" s="376"/>
      <c r="P47" s="376"/>
      <c r="Q47" s="376"/>
      <c r="R47" s="376"/>
      <c r="S47" s="371"/>
      <c r="T47" s="566"/>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101" t="s">
        <v>616</v>
      </c>
      <c r="B48" s="566"/>
      <c r="C48" s="361"/>
      <c r="E48"/>
      <c r="F48"/>
      <c r="G48"/>
      <c r="H48" s="114"/>
      <c r="I48" s="114"/>
      <c r="J48" s="114"/>
      <c r="K48" s="114"/>
      <c r="L48" s="114"/>
      <c r="M48" s="114"/>
      <c r="N48" s="114"/>
      <c r="O48" s="114"/>
      <c r="P48" s="114"/>
      <c r="Q48" s="114"/>
      <c r="R48" s="114"/>
      <c r="S48" s="292"/>
      <c r="T48" s="566" t="s">
        <v>0</v>
      </c>
      <c r="V48" s="175"/>
      <c r="W48" s="172"/>
      <c r="X48" s="1287"/>
      <c r="Y48" s="1288"/>
      <c r="Z48" s="1288"/>
      <c r="AA48" s="1288"/>
      <c r="AB48" s="1289"/>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88" t="s">
        <v>41</v>
      </c>
      <c r="B49" s="566" t="s">
        <v>0</v>
      </c>
      <c r="C49" s="279" t="s">
        <v>0</v>
      </c>
      <c r="D49" s="1001" t="s">
        <v>419</v>
      </c>
      <c r="E49" s="375"/>
      <c r="F49" s="375"/>
      <c r="G49" s="677"/>
      <c r="H49" s="677"/>
      <c r="J49" s="677"/>
      <c r="K49" s="1089"/>
      <c r="L49" s="677"/>
      <c r="M49" s="677"/>
      <c r="N49" s="679"/>
      <c r="O49" s="680"/>
      <c r="P49" s="678"/>
      <c r="Q49" s="678"/>
      <c r="R49" s="678"/>
      <c r="S49" s="212"/>
      <c r="T49" s="566"/>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1000"/>
      <c r="B50" s="566"/>
      <c r="C50" s="348" t="s">
        <v>0</v>
      </c>
      <c r="D50" s="1268" t="s">
        <v>415</v>
      </c>
      <c r="E50" s="1268"/>
      <c r="F50" s="1268"/>
      <c r="G50" s="1302" t="s">
        <v>237</v>
      </c>
      <c r="H50" s="1302"/>
      <c r="I50" s="1302"/>
      <c r="J50" s="1302"/>
      <c r="K50" s="1302"/>
      <c r="L50" s="1302"/>
      <c r="M50" s="1302"/>
      <c r="N50" s="1302"/>
      <c r="O50" s="1302"/>
      <c r="P50" s="1302"/>
      <c r="Q50" s="1302"/>
      <c r="R50" s="1302"/>
      <c r="S50" s="350"/>
      <c r="T50" s="566"/>
      <c r="U50" s="286"/>
      <c r="V50" s="286"/>
      <c r="W50" s="286"/>
      <c r="X50" s="850"/>
      <c r="Y50" s="850"/>
      <c r="Z50" s="992">
        <v>3</v>
      </c>
      <c r="AA50" s="398"/>
      <c r="AB50" s="850"/>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1000"/>
      <c r="B51" s="566"/>
      <c r="C51" s="348"/>
      <c r="D51" s="359" t="s">
        <v>317</v>
      </c>
      <c r="E51" s="13"/>
      <c r="F51" s="329"/>
      <c r="G51" s="356" t="s">
        <v>324</v>
      </c>
      <c r="H51" s="329"/>
      <c r="I51" s="355"/>
      <c r="J51" s="355"/>
      <c r="K51" s="355"/>
      <c r="L51" s="355"/>
      <c r="M51" s="355"/>
      <c r="N51" s="355"/>
      <c r="O51" s="355"/>
      <c r="P51" s="355"/>
      <c r="Q51" s="355"/>
      <c r="R51" s="355"/>
      <c r="S51" s="350"/>
      <c r="T51" s="566"/>
      <c r="U51" s="286"/>
      <c r="V51" s="286"/>
      <c r="W51" s="286"/>
      <c r="X51" s="681" t="b">
        <v>1</v>
      </c>
      <c r="Y51" s="994" t="str">
        <f>IF(AND(X51=TRUE,X52=TRUE),"Regions &amp; Portland area",IF(X51=TRUE,"Portland area",IF(X52=TRUE,"Regional","none")))</f>
        <v>Regions &amp; Portland area</v>
      </c>
      <c r="Z51" s="989" t="str">
        <f>IF(Z50=1,G51,IF(Z50=2,G52,IF(Z50=3,G53)))</f>
        <v xml:space="preserve">Public notice with hearing </v>
      </c>
      <c r="AA51" s="29"/>
      <c r="AB51" s="850"/>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1000"/>
      <c r="B52" s="566"/>
      <c r="C52" s="348"/>
      <c r="D52" s="359" t="s">
        <v>318</v>
      </c>
      <c r="E52" s="114"/>
      <c r="F52" s="329"/>
      <c r="G52" s="356" t="s">
        <v>485</v>
      </c>
      <c r="H52" s="329"/>
      <c r="I52" s="357"/>
      <c r="J52" s="357"/>
      <c r="K52" s="357"/>
      <c r="L52" s="357"/>
      <c r="M52" s="357"/>
      <c r="N52" s="357"/>
      <c r="O52" s="357"/>
      <c r="P52" s="357"/>
      <c r="Q52" s="357"/>
      <c r="R52" s="357"/>
      <c r="S52" s="350"/>
      <c r="T52" s="566"/>
      <c r="U52" s="286"/>
      <c r="V52" s="286"/>
      <c r="W52" s="286"/>
      <c r="X52" s="284" t="b">
        <v>1</v>
      </c>
      <c r="Y52" s="850"/>
      <c r="Z52" s="1017"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1000"/>
      <c r="B53" s="566"/>
      <c r="C53" s="348"/>
      <c r="D53" s="329"/>
      <c r="E53" s="795" t="s">
        <v>320</v>
      </c>
      <c r="F53" s="329"/>
      <c r="G53" s="358" t="s">
        <v>319</v>
      </c>
      <c r="S53" s="350"/>
      <c r="T53" s="566"/>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1000"/>
      <c r="B54" s="566"/>
      <c r="C54" s="348"/>
      <c r="D54" s="329"/>
      <c r="E54" s="796">
        <v>1</v>
      </c>
      <c r="F54" s="329"/>
      <c r="G54" s="1260" t="s">
        <v>323</v>
      </c>
      <c r="H54" s="1260"/>
      <c r="I54" s="1260"/>
      <c r="J54" s="1260"/>
      <c r="K54" s="1260"/>
      <c r="L54" s="1260"/>
      <c r="M54" s="1260"/>
      <c r="N54" s="1260"/>
      <c r="O54" s="1260"/>
      <c r="P54" s="1260"/>
      <c r="Q54" s="1260"/>
      <c r="R54" s="1260"/>
      <c r="S54" s="350"/>
      <c r="T54" s="566"/>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1000"/>
      <c r="B55" s="566"/>
      <c r="C55" s="361"/>
      <c r="D55" s="397" t="s">
        <v>332</v>
      </c>
      <c r="E55" s="120"/>
      <c r="F55" s="4"/>
      <c r="G55" s="1261"/>
      <c r="H55" s="1261"/>
      <c r="I55" s="1261"/>
      <c r="J55" s="1261"/>
      <c r="K55" s="1261"/>
      <c r="L55" s="1261"/>
      <c r="M55" s="1261"/>
      <c r="N55" s="1261"/>
      <c r="O55" s="1261"/>
      <c r="P55" s="1261"/>
      <c r="Q55" s="1261"/>
      <c r="R55" s="1261"/>
      <c r="S55" s="47"/>
      <c r="T55" s="566"/>
      <c r="U55" s="175"/>
      <c r="V55" s="175"/>
      <c r="W55" s="161"/>
      <c r="X55" s="147"/>
      <c r="Y55" s="147"/>
      <c r="Z55" s="850"/>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1000"/>
      <c r="B56" s="566"/>
      <c r="C56" s="361"/>
      <c r="D56" s="1269" t="s">
        <v>1030</v>
      </c>
      <c r="E56" s="1269"/>
      <c r="F56" s="1269"/>
      <c r="G56" s="1269"/>
      <c r="H56" s="1269"/>
      <c r="I56" s="1269"/>
      <c r="J56" s="1269"/>
      <c r="K56" s="1269"/>
      <c r="L56" s="1269"/>
      <c r="M56" s="1269"/>
      <c r="N56" s="1269"/>
      <c r="O56" s="1269"/>
      <c r="P56" s="1269"/>
      <c r="Q56" s="1269"/>
      <c r="R56" s="1269"/>
      <c r="S56" s="201"/>
      <c r="T56" s="566"/>
      <c r="U56" s="380"/>
      <c r="V56" s="380"/>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1000"/>
      <c r="B57" s="566"/>
      <c r="C57" s="361"/>
      <c r="D57" s="1228" t="s">
        <v>198</v>
      </c>
      <c r="E57" s="1228"/>
      <c r="F57" s="1228"/>
      <c r="G57" s="1228"/>
      <c r="H57" s="1228"/>
      <c r="I57" s="4"/>
      <c r="J57" s="4"/>
      <c r="K57" s="4"/>
      <c r="L57" s="4"/>
      <c r="M57" s="4"/>
      <c r="N57" s="4"/>
      <c r="O57" s="4"/>
      <c r="P57" s="4"/>
      <c r="Q57" s="4"/>
      <c r="R57" s="4"/>
      <c r="S57" s="47"/>
      <c r="T57" s="566"/>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1000"/>
      <c r="B58" s="566"/>
      <c r="C58" s="361"/>
      <c r="D58" s="1265"/>
      <c r="E58" s="1266"/>
      <c r="F58" s="1266"/>
      <c r="G58" s="1266"/>
      <c r="H58" s="1266"/>
      <c r="I58" s="1266"/>
      <c r="J58" s="1266"/>
      <c r="K58" s="1266"/>
      <c r="L58" s="1266"/>
      <c r="M58" s="1266"/>
      <c r="N58" s="1266"/>
      <c r="O58" s="1266"/>
      <c r="P58" s="1266"/>
      <c r="Q58" s="1266"/>
      <c r="R58" s="1267"/>
      <c r="S58" s="201"/>
      <c r="T58" s="566"/>
      <c r="U58"/>
      <c r="V58" s="380"/>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1000"/>
      <c r="B59" s="566"/>
      <c r="C59" s="361"/>
      <c r="D59" s="341" t="s">
        <v>22</v>
      </c>
      <c r="E59" s="36"/>
      <c r="F59" s="1"/>
      <c r="G59" s="1"/>
      <c r="H59" s="1"/>
      <c r="I59" s="1"/>
      <c r="J59" s="1"/>
      <c r="K59" s="1"/>
      <c r="L59" s="1"/>
      <c r="M59" s="1"/>
      <c r="N59" s="1"/>
      <c r="O59" s="1"/>
      <c r="P59" s="1"/>
      <c r="Q59" s="1"/>
      <c r="R59" s="1"/>
      <c r="S59" s="201"/>
      <c r="T59" s="566"/>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31.5" customHeight="1">
      <c r="A60" s="1088" t="s">
        <v>251</v>
      </c>
      <c r="B60" s="566"/>
      <c r="C60" s="361"/>
      <c r="D60" s="1262"/>
      <c r="E60" s="1263"/>
      <c r="F60" s="1263"/>
      <c r="G60" s="1263"/>
      <c r="H60" s="1263"/>
      <c r="I60" s="1263"/>
      <c r="J60" s="1263"/>
      <c r="K60" s="1263"/>
      <c r="L60" s="1263"/>
      <c r="M60" s="1263"/>
      <c r="N60" s="1263"/>
      <c r="O60" s="1263"/>
      <c r="P60" s="1263"/>
      <c r="Q60" s="1263"/>
      <c r="R60" s="1264"/>
      <c r="S60" s="201"/>
      <c r="T60" s="566"/>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1000"/>
      <c r="B61" s="566"/>
      <c r="C61" s="372"/>
      <c r="D61" s="373"/>
      <c r="E61" s="373"/>
      <c r="F61" s="1301">
        <f ca="1">TODAY()</f>
        <v>41163</v>
      </c>
      <c r="G61" s="1301"/>
      <c r="H61" s="1301"/>
      <c r="I61" s="1301"/>
      <c r="J61" s="1301"/>
      <c r="K61" s="1301"/>
      <c r="L61" s="1301"/>
      <c r="M61" s="1301"/>
      <c r="N61" s="1301"/>
      <c r="O61" s="1301"/>
      <c r="P61" s="1301"/>
      <c r="Q61" s="1301"/>
      <c r="R61" s="1301"/>
      <c r="S61" s="1301"/>
      <c r="T61" s="566"/>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6"/>
      <c r="C62" s="566"/>
      <c r="D62" s="566"/>
      <c r="E62" s="566"/>
      <c r="F62" s="566"/>
      <c r="G62" s="566"/>
      <c r="H62" s="566"/>
      <c r="I62" s="566"/>
      <c r="J62" s="566"/>
      <c r="K62" s="566"/>
      <c r="L62" s="566"/>
      <c r="M62" s="566"/>
      <c r="N62" s="566"/>
      <c r="O62" s="566"/>
      <c r="P62" s="566"/>
      <c r="Q62" s="566"/>
      <c r="R62" s="566"/>
      <c r="S62" s="566"/>
      <c r="T62" s="566"/>
    </row>
  </sheetData>
  <sheetProtection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80">
      <colorScale>
        <cfvo type="num" val="0"/>
        <cfvo type="num" val="5"/>
        <cfvo type="num" val="10"/>
        <color rgb="FF00B050"/>
        <color rgb="FFFFFF00"/>
        <color rgb="FFFF0000"/>
      </colorScale>
    </cfRule>
  </conditionalFormatting>
  <conditionalFormatting sqref="Q20:Q26 Q29:Q33">
    <cfRule type="expression" dxfId="317" priority="80" stopIfTrue="1">
      <formula>IF($X20&lt;10,TRUE,)</formula>
    </cfRule>
  </conditionalFormatting>
  <conditionalFormatting sqref="Q58 Q60">
    <cfRule type="expression" dxfId="316" priority="5031" stopIfTrue="1">
      <formula>IF(AND(#REF!="H",$X57&lt;10),TRUE,)</formula>
    </cfRule>
  </conditionalFormatting>
  <conditionalFormatting sqref="H58 H60">
    <cfRule type="expression" dxfId="315" priority="5032" stopIfTrue="1">
      <formula>IF(AND(#REF!="H",$X57&lt;1),TRUE,)</formula>
    </cfRule>
  </conditionalFormatting>
  <conditionalFormatting sqref="I58 I60">
    <cfRule type="expression" dxfId="314" priority="5033" stopIfTrue="1">
      <formula>IF(AND(#REF!="H",$X57&lt;2),TRUE,)</formula>
    </cfRule>
  </conditionalFormatting>
  <conditionalFormatting sqref="K58 K60">
    <cfRule type="expression" dxfId="313" priority="5034" stopIfTrue="1">
      <formula>IF(AND(#REF!="H",$X57&lt;4),TRUE,)</formula>
    </cfRule>
  </conditionalFormatting>
  <conditionalFormatting sqref="L58 L60">
    <cfRule type="expression" dxfId="312" priority="5035" stopIfTrue="1">
      <formula>IF(AND(#REF!="H",$X57&lt;5),TRUE,)</formula>
    </cfRule>
  </conditionalFormatting>
  <conditionalFormatting sqref="M58 M60">
    <cfRule type="expression" dxfId="311" priority="5036" stopIfTrue="1">
      <formula>IF(AND(#REF!="H",$X57&lt;6),TRUE,)</formula>
    </cfRule>
  </conditionalFormatting>
  <conditionalFormatting sqref="N58 N60">
    <cfRule type="expression" dxfId="310" priority="5037" stopIfTrue="1">
      <formula>IF(AND(#REF!="H",$X57&lt;7),TRUE,)</formula>
    </cfRule>
  </conditionalFormatting>
  <conditionalFormatting sqref="O58 O60">
    <cfRule type="expression" dxfId="309" priority="5038" stopIfTrue="1">
      <formula>IF(AND(#REF!="H",$X57&lt;8),TRUE,)</formula>
    </cfRule>
  </conditionalFormatting>
  <conditionalFormatting sqref="P58 P60">
    <cfRule type="expression" dxfId="308" priority="5039" stopIfTrue="1">
      <formula>IF(AND(#REF!="H",$X57&lt;9),TRUE,)</formula>
    </cfRule>
  </conditionalFormatting>
  <conditionalFormatting sqref="J58 J60">
    <cfRule type="expression" dxfId="307" priority="5040" stopIfTrue="1">
      <formula>IF(AND(#REF!="H",$X57&lt;3),TRUE,)</formula>
    </cfRule>
  </conditionalFormatting>
  <conditionalFormatting sqref="H20:H26 H29:H33">
    <cfRule type="expression" dxfId="306" priority="4950" stopIfTrue="1">
      <formula>IF($X20&lt;1,TRUE,)</formula>
    </cfRule>
  </conditionalFormatting>
  <conditionalFormatting sqref="I20:I26 I29:I33">
    <cfRule type="expression" dxfId="305" priority="4954" stopIfTrue="1">
      <formula>IF($X20&lt;2,TRUE,)</formula>
    </cfRule>
  </conditionalFormatting>
  <conditionalFormatting sqref="J20:J26 J29:J33">
    <cfRule type="expression" dxfId="304" priority="4957" stopIfTrue="1">
      <formula>IF($X20&lt;3,TRUE,)</formula>
    </cfRule>
  </conditionalFormatting>
  <conditionalFormatting sqref="K20:K26 K29:K33">
    <cfRule type="expression" dxfId="303" priority="4960" stopIfTrue="1">
      <formula>IF($X20&lt;4,TRUE,)</formula>
    </cfRule>
  </conditionalFormatting>
  <conditionalFormatting sqref="L20:L26 L29:L33">
    <cfRule type="expression" dxfId="302" priority="4963" stopIfTrue="1">
      <formula>IF($X20&lt;5,TRUE,)</formula>
    </cfRule>
  </conditionalFormatting>
  <conditionalFormatting sqref="M29:S33 AD20:LR33 M20:S26">
    <cfRule type="expression" dxfId="301" priority="4966" stopIfTrue="1">
      <formula>IF($X20&lt;6,TRUE,)</formula>
    </cfRule>
  </conditionalFormatting>
  <conditionalFormatting sqref="N20:N26 N29:N33">
    <cfRule type="expression" dxfId="300" priority="4970" stopIfTrue="1">
      <formula>IF($X20&lt;7,TRUE,)</formula>
    </cfRule>
  </conditionalFormatting>
  <conditionalFormatting sqref="O20:O26 O29:O33">
    <cfRule type="expression" dxfId="299" priority="4974" stopIfTrue="1">
      <formula>IF($X20&lt;8,TRUE,)</formula>
    </cfRule>
  </conditionalFormatting>
  <conditionalFormatting sqref="P20:P26 P29:P33">
    <cfRule type="expression" dxfId="298" priority="4977" stopIfTrue="1">
      <formula>IF($X20&lt;9,TRUE,)</formula>
    </cfRule>
  </conditionalFormatting>
  <conditionalFormatting sqref="Q57">
    <cfRule type="expression" dxfId="297" priority="5099" stopIfTrue="1">
      <formula>IF(AND(#REF!="H",$X50&lt;10),TRUE,)</formula>
    </cfRule>
  </conditionalFormatting>
  <conditionalFormatting sqref="I57">
    <cfRule type="expression" dxfId="296" priority="5101" stopIfTrue="1">
      <formula>IF(AND(#REF!="H",$X50&lt;2),TRUE,)</formula>
    </cfRule>
  </conditionalFormatting>
  <conditionalFormatting sqref="K57">
    <cfRule type="expression" dxfId="295" priority="5102" stopIfTrue="1">
      <formula>IF(AND(#REF!="H",$X50&lt;4),TRUE,)</formula>
    </cfRule>
  </conditionalFormatting>
  <conditionalFormatting sqref="L57">
    <cfRule type="expression" dxfId="294" priority="5103" stopIfTrue="1">
      <formula>IF(AND(#REF!="H",$X50&lt;5),TRUE,)</formula>
    </cfRule>
  </conditionalFormatting>
  <conditionalFormatting sqref="M57">
    <cfRule type="expression" dxfId="293" priority="5104" stopIfTrue="1">
      <formula>IF(AND(#REF!="H",$X50&lt;6),TRUE,)</formula>
    </cfRule>
  </conditionalFormatting>
  <conditionalFormatting sqref="N57">
    <cfRule type="expression" dxfId="292" priority="5105" stopIfTrue="1">
      <formula>IF(AND(#REF!="H",$X50&lt;7),TRUE,)</formula>
    </cfRule>
  </conditionalFormatting>
  <conditionalFormatting sqref="O57">
    <cfRule type="expression" dxfId="291" priority="5106" stopIfTrue="1">
      <formula>IF(AND(#REF!="H",$X50&lt;8),TRUE,)</formula>
    </cfRule>
  </conditionalFormatting>
  <conditionalFormatting sqref="P57">
    <cfRule type="expression" dxfId="290" priority="5107" stopIfTrue="1">
      <formula>IF(AND(#REF!="H",$X50&lt;9),TRUE,)</formula>
    </cfRule>
  </conditionalFormatting>
  <conditionalFormatting sqref="J57">
    <cfRule type="expression" dxfId="289" priority="5108" stopIfTrue="1">
      <formula>IF(AND(#REF!="H",$X50&lt;3),TRUE,)</formula>
    </cfRule>
  </conditionalFormatting>
  <conditionalFormatting sqref="Q59">
    <cfRule type="expression" dxfId="288" priority="5111" stopIfTrue="1">
      <formula>IF(AND(#REF!="H",#REF!&lt;10),TRUE,)</formula>
    </cfRule>
  </conditionalFormatting>
  <conditionalFormatting sqref="H59">
    <cfRule type="expression" dxfId="287" priority="5114" stopIfTrue="1">
      <formula>IF(AND(#REF!="H",#REF!&lt;1),TRUE,)</formula>
    </cfRule>
  </conditionalFormatting>
  <conditionalFormatting sqref="I59">
    <cfRule type="expression" dxfId="286" priority="5117" stopIfTrue="1">
      <formula>IF(AND(#REF!="H",#REF!&lt;2),TRUE,)</formula>
    </cfRule>
  </conditionalFormatting>
  <conditionalFormatting sqref="K59">
    <cfRule type="expression" dxfId="285" priority="5120" stopIfTrue="1">
      <formula>IF(AND(#REF!="H",#REF!&lt;4),TRUE,)</formula>
    </cfRule>
  </conditionalFormatting>
  <conditionalFormatting sqref="L59">
    <cfRule type="expression" dxfId="284" priority="5123" stopIfTrue="1">
      <formula>IF(AND(#REF!="H",#REF!&lt;5),TRUE,)</formula>
    </cfRule>
  </conditionalFormatting>
  <conditionalFormatting sqref="M59">
    <cfRule type="expression" dxfId="283" priority="5126" stopIfTrue="1">
      <formula>IF(AND(#REF!="H",#REF!&lt;6),TRUE,)</formula>
    </cfRule>
  </conditionalFormatting>
  <conditionalFormatting sqref="N59">
    <cfRule type="expression" dxfId="282" priority="5129" stopIfTrue="1">
      <formula>IF(AND(#REF!="H",#REF!&lt;7),TRUE,)</formula>
    </cfRule>
  </conditionalFormatting>
  <conditionalFormatting sqref="O59">
    <cfRule type="expression" dxfId="281" priority="5132" stopIfTrue="1">
      <formula>IF(AND(#REF!="H",#REF!&lt;8),TRUE,)</formula>
    </cfRule>
  </conditionalFormatting>
  <conditionalFormatting sqref="P59">
    <cfRule type="expression" dxfId="280" priority="5135" stopIfTrue="1">
      <formula>IF(AND(#REF!="H",#REF!&lt;9),TRUE,)</formula>
    </cfRule>
  </conditionalFormatting>
  <conditionalFormatting sqref="J59">
    <cfRule type="expression" dxfId="279" priority="5138" stopIfTrue="1">
      <formula>IF(AND(#REF!="H",#REF!&lt;3),TRUE,)</formula>
    </cfRule>
  </conditionalFormatting>
  <conditionalFormatting sqref="Q28">
    <cfRule type="expression" dxfId="278" priority="24" stopIfTrue="1">
      <formula>IF($X28&lt;10,TRUE,)</formula>
    </cfRule>
  </conditionalFormatting>
  <conditionalFormatting sqref="H28">
    <cfRule type="expression" dxfId="277" priority="25" stopIfTrue="1">
      <formula>IF($X28&lt;1,TRUE,)</formula>
    </cfRule>
  </conditionalFormatting>
  <conditionalFormatting sqref="I28">
    <cfRule type="expression" dxfId="276" priority="26" stopIfTrue="1">
      <formula>IF($X28&lt;2,TRUE,)</formula>
    </cfRule>
  </conditionalFormatting>
  <conditionalFormatting sqref="J28">
    <cfRule type="expression" dxfId="275" priority="27" stopIfTrue="1">
      <formula>IF($X28&lt;3,TRUE,)</formula>
    </cfRule>
  </conditionalFormatting>
  <conditionalFormatting sqref="K28">
    <cfRule type="expression" dxfId="274" priority="28" stopIfTrue="1">
      <formula>IF($X28&lt;4,TRUE,)</formula>
    </cfRule>
  </conditionalFormatting>
  <conditionalFormatting sqref="L28">
    <cfRule type="expression" dxfId="273" priority="29" stopIfTrue="1">
      <formula>IF($X28&lt;5,TRUE,)</formula>
    </cfRule>
  </conditionalFormatting>
  <conditionalFormatting sqref="M28:S28">
    <cfRule type="expression" dxfId="272" priority="30" stopIfTrue="1">
      <formula>IF($X28&lt;6,TRUE,)</formula>
    </cfRule>
  </conditionalFormatting>
  <conditionalFormatting sqref="N28">
    <cfRule type="expression" dxfId="271" priority="31" stopIfTrue="1">
      <formula>IF($X28&lt;7,TRUE,)</formula>
    </cfRule>
  </conditionalFormatting>
  <conditionalFormatting sqref="O28">
    <cfRule type="expression" dxfId="270" priority="32" stopIfTrue="1">
      <formula>IF($X28&lt;8,TRUE,)</formula>
    </cfRule>
  </conditionalFormatting>
  <conditionalFormatting sqref="P28">
    <cfRule type="expression" dxfId="269" priority="33" stopIfTrue="1">
      <formula>IF($X28&lt;9,TRUE,)</formula>
    </cfRule>
  </conditionalFormatting>
  <conditionalFormatting sqref="Q27">
    <cfRule type="expression" dxfId="268" priority="13" stopIfTrue="1">
      <formula>IF($X27&lt;10,TRUE,)</formula>
    </cfRule>
  </conditionalFormatting>
  <conditionalFormatting sqref="H27">
    <cfRule type="expression" dxfId="267" priority="14" stopIfTrue="1">
      <formula>IF($X27&lt;1,TRUE,)</formula>
    </cfRule>
  </conditionalFormatting>
  <conditionalFormatting sqref="I27">
    <cfRule type="expression" dxfId="266" priority="15" stopIfTrue="1">
      <formula>IF($X27&lt;2,TRUE,)</formula>
    </cfRule>
  </conditionalFormatting>
  <conditionalFormatting sqref="J27">
    <cfRule type="expression" dxfId="265" priority="16" stopIfTrue="1">
      <formula>IF($X27&lt;3,TRUE,)</formula>
    </cfRule>
  </conditionalFormatting>
  <conditionalFormatting sqref="K27">
    <cfRule type="expression" dxfId="264" priority="17" stopIfTrue="1">
      <formula>IF($X27&lt;4,TRUE,)</formula>
    </cfRule>
  </conditionalFormatting>
  <conditionalFormatting sqref="L27">
    <cfRule type="expression" dxfId="263" priority="18" stopIfTrue="1">
      <formula>IF($X27&lt;5,TRUE,)</formula>
    </cfRule>
  </conditionalFormatting>
  <conditionalFormatting sqref="M27:S27">
    <cfRule type="expression" dxfId="262" priority="19" stopIfTrue="1">
      <formula>IF($X27&lt;6,TRUE,)</formula>
    </cfRule>
  </conditionalFormatting>
  <conditionalFormatting sqref="N27">
    <cfRule type="expression" dxfId="261" priority="20" stopIfTrue="1">
      <formula>IF($X27&lt;7,TRUE,)</formula>
    </cfRule>
  </conditionalFormatting>
  <conditionalFormatting sqref="O27">
    <cfRule type="expression" dxfId="260" priority="21" stopIfTrue="1">
      <formula>IF($X27&lt;8,TRUE,)</formula>
    </cfRule>
  </conditionalFormatting>
  <conditionalFormatting sqref="P27">
    <cfRule type="expression" dxfId="259" priority="22" stopIfTrue="1">
      <formula>IF($X27&lt;9,TRUE,)</formula>
    </cfRule>
  </conditionalFormatting>
  <conditionalFormatting sqref="I8:Q13">
    <cfRule type="expression" dxfId="258" priority="12">
      <formula>IF($X$8=1,TRUE)</formula>
    </cfRule>
  </conditionalFormatting>
  <dataValidations xWindow="939" yWindow="750"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G31" sqref="G31"/>
    </sheetView>
  </sheetViews>
  <sheetFormatPr defaultRowHeight="15.75" outlineLevelCol="1"/>
  <cols>
    <col min="1" max="1" width="13.75" style="604"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4"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88" t="s">
        <v>420</v>
      </c>
      <c r="B1" s="566"/>
      <c r="C1" s="566"/>
      <c r="D1" s="566"/>
      <c r="E1" s="566"/>
      <c r="F1" s="566"/>
      <c r="G1" s="566"/>
      <c r="H1" s="566"/>
      <c r="I1" s="566"/>
      <c r="J1" s="566"/>
      <c r="K1" s="566"/>
      <c r="L1" s="566"/>
      <c r="M1" s="566"/>
      <c r="N1" s="566"/>
      <c r="O1" s="566"/>
      <c r="P1" s="566"/>
      <c r="Q1" s="566"/>
      <c r="R1" s="566"/>
      <c r="S1" s="566"/>
      <c r="T1" s="566"/>
      <c r="U1" s="566"/>
      <c r="V1" s="574"/>
      <c r="W1" s="160"/>
      <c r="X1" s="147"/>
      <c r="Y1" s="147"/>
      <c r="Z1" s="147"/>
    </row>
    <row r="2" spans="1:58" s="74" customFormat="1" ht="30" customHeight="1" thickBot="1">
      <c r="A2" s="604"/>
      <c r="B2" s="566"/>
      <c r="C2" s="218">
        <v>4</v>
      </c>
      <c r="D2" s="1201" t="s">
        <v>350</v>
      </c>
      <c r="E2" s="1201"/>
      <c r="F2" s="1201"/>
      <c r="G2" s="1342" t="str">
        <f>C.2Name</f>
        <v>Address federal air quality regulations in Oregon rules</v>
      </c>
      <c r="H2" s="1342"/>
      <c r="I2" s="1342"/>
      <c r="J2" s="1342"/>
      <c r="K2" s="1342"/>
      <c r="L2" s="1342"/>
      <c r="M2" s="1342"/>
      <c r="N2" s="1342"/>
      <c r="O2" s="1342"/>
      <c r="P2" s="1342"/>
      <c r="Q2" s="1342"/>
      <c r="R2" s="1342"/>
      <c r="S2" s="1342"/>
      <c r="T2" s="200"/>
      <c r="U2" s="566"/>
      <c r="V2" s="575" t="s">
        <v>0</v>
      </c>
      <c r="W2" s="159"/>
      <c r="X2" s="68"/>
      <c r="Y2" s="147"/>
      <c r="Z2" s="147"/>
    </row>
    <row r="3" spans="1:58" s="66" customFormat="1" ht="12.75" customHeight="1" thickTop="1">
      <c r="A3" s="604"/>
      <c r="B3" s="566"/>
      <c r="C3" s="1348"/>
      <c r="D3" s="1349"/>
      <c r="E3" s="1349"/>
      <c r="F3" s="1349"/>
      <c r="G3" s="183"/>
      <c r="H3" s="183"/>
      <c r="I3" s="183"/>
      <c r="J3" s="183"/>
      <c r="K3" s="183"/>
      <c r="L3" s="183"/>
      <c r="M3" s="183"/>
      <c r="N3" s="183"/>
      <c r="O3" s="183"/>
      <c r="P3" s="183"/>
      <c r="Q3" s="183"/>
      <c r="R3" s="183"/>
      <c r="S3" s="183"/>
      <c r="T3" s="201"/>
      <c r="U3" s="566"/>
      <c r="V3" s="575"/>
      <c r="W3" s="161"/>
      <c r="X3" s="121"/>
      <c r="Y3" s="75"/>
      <c r="Z3" s="75"/>
    </row>
    <row r="4" spans="1:58" s="66" customFormat="1" ht="18" customHeight="1">
      <c r="A4" s="604"/>
      <c r="B4" s="566"/>
      <c r="C4" s="571"/>
      <c r="D4" s="569" t="s">
        <v>246</v>
      </c>
      <c r="E4" s="1334" t="s">
        <v>1034</v>
      </c>
      <c r="F4" s="1335"/>
      <c r="G4" s="1335"/>
      <c r="H4" s="1335"/>
      <c r="I4" s="1335"/>
      <c r="J4" s="1335"/>
      <c r="K4" s="1335"/>
      <c r="L4" s="1335"/>
      <c r="M4" s="1335"/>
      <c r="N4" s="1335"/>
      <c r="O4" s="1335"/>
      <c r="P4" s="1335"/>
      <c r="Q4" s="1335"/>
      <c r="R4" s="1336"/>
      <c r="S4" s="183"/>
      <c r="T4" s="201"/>
      <c r="U4" s="566"/>
      <c r="V4" s="575"/>
      <c r="W4" s="161"/>
      <c r="X4" s="179"/>
      <c r="Y4" s="147"/>
      <c r="Z4" s="147"/>
    </row>
    <row r="5" spans="1:58" s="66" customFormat="1" ht="18" customHeight="1">
      <c r="A5" s="604"/>
      <c r="B5" s="566"/>
      <c r="C5" s="571"/>
      <c r="D5" s="569"/>
      <c r="E5" s="572"/>
      <c r="F5" s="426"/>
      <c r="G5" s="659"/>
      <c r="H5" s="659"/>
      <c r="I5" s="659"/>
      <c r="J5" s="659"/>
      <c r="K5" s="659"/>
      <c r="L5" s="659"/>
      <c r="M5" s="659"/>
      <c r="N5" s="659"/>
      <c r="O5" s="659"/>
      <c r="P5" s="659"/>
      <c r="Q5" s="659"/>
      <c r="R5" s="659"/>
      <c r="S5" s="659"/>
      <c r="T5" s="659"/>
      <c r="U5" s="566"/>
      <c r="V5" s="575"/>
      <c r="W5" s="161"/>
      <c r="X5" s="289"/>
      <c r="Y5" s="147"/>
      <c r="Z5" s="147"/>
    </row>
    <row r="6" spans="1:58" s="66" customFormat="1" ht="18" customHeight="1">
      <c r="A6" s="604"/>
      <c r="B6" s="566"/>
      <c r="C6" s="571"/>
      <c r="D6" s="569" t="s">
        <v>133</v>
      </c>
      <c r="E6" s="1332" t="s">
        <v>186</v>
      </c>
      <c r="F6" s="1333"/>
      <c r="G6" s="659"/>
      <c r="H6" s="659"/>
      <c r="I6" s="659"/>
      <c r="J6" s="659"/>
      <c r="K6" s="659"/>
      <c r="L6" s="659"/>
      <c r="M6" s="659"/>
      <c r="N6" s="659"/>
      <c r="O6" s="659"/>
      <c r="P6" s="659"/>
      <c r="Q6" s="659"/>
      <c r="R6" s="659"/>
      <c r="S6" s="659"/>
      <c r="T6" s="659"/>
      <c r="U6" s="566"/>
      <c r="V6" s="314" t="s">
        <v>742</v>
      </c>
      <c r="W6" s="161"/>
      <c r="X6" s="289"/>
      <c r="Y6" s="147"/>
      <c r="Z6" s="147"/>
    </row>
    <row r="7" spans="1:58" s="66" customFormat="1" ht="28.5" customHeight="1">
      <c r="A7" s="604"/>
      <c r="B7" s="566"/>
      <c r="C7" s="279"/>
      <c r="D7" s="1343" t="s">
        <v>264</v>
      </c>
      <c r="E7" s="1343"/>
      <c r="F7" s="1343"/>
      <c r="G7" s="1343"/>
      <c r="H7" s="505"/>
      <c r="I7" s="1320" t="s">
        <v>283</v>
      </c>
      <c r="J7" s="1321"/>
      <c r="K7" s="1321"/>
      <c r="L7" s="1321"/>
      <c r="M7" s="1321"/>
      <c r="N7" s="1321"/>
      <c r="O7" s="1321"/>
      <c r="P7" s="1321"/>
      <c r="Q7" s="1321"/>
      <c r="R7" s="1322"/>
      <c r="S7" s="505"/>
      <c r="T7" s="310"/>
      <c r="U7" s="566"/>
      <c r="V7" s="314" t="s">
        <v>742</v>
      </c>
      <c r="W7" s="270"/>
      <c r="X7" s="1006">
        <f>VLOOKUP(I7,C.VL_SeverityRating,2,FALSE)</f>
        <v>3</v>
      </c>
      <c r="Y7" s="993" t="str">
        <f>I7</f>
        <v>low to medium</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4"/>
      <c r="B8" s="566"/>
      <c r="C8" s="279"/>
      <c r="D8" s="569"/>
      <c r="E8" s="569"/>
      <c r="F8" s="569"/>
      <c r="G8" s="1315" t="s">
        <v>280</v>
      </c>
      <c r="H8" s="1316"/>
      <c r="I8" s="199">
        <v>1</v>
      </c>
      <c r="J8" s="184">
        <v>2</v>
      </c>
      <c r="K8" s="185">
        <v>3</v>
      </c>
      <c r="L8" s="186">
        <v>4</v>
      </c>
      <c r="M8" s="187">
        <v>5</v>
      </c>
      <c r="N8" s="188">
        <v>6</v>
      </c>
      <c r="O8" s="189">
        <v>7</v>
      </c>
      <c r="P8" s="190">
        <v>8</v>
      </c>
      <c r="Q8" s="191">
        <v>9</v>
      </c>
      <c r="R8" s="192">
        <v>10</v>
      </c>
      <c r="S8" s="505"/>
      <c r="T8" s="310"/>
      <c r="U8" s="566"/>
      <c r="V8" s="577"/>
      <c r="W8" s="428"/>
      <c r="X8" s="306"/>
      <c r="Y8" s="147"/>
      <c r="Z8" s="147"/>
      <c r="AA8" s="161"/>
      <c r="AB8" s="161"/>
      <c r="AC8" s="161"/>
      <c r="AD8" s="380"/>
      <c r="AE8" s="380"/>
      <c r="AF8" s="380"/>
      <c r="AG8" s="380"/>
      <c r="AH8" s="380"/>
      <c r="AI8" s="380"/>
      <c r="AJ8" s="380"/>
      <c r="AK8" s="380"/>
      <c r="AL8" s="380"/>
      <c r="AM8" s="380"/>
      <c r="AN8" s="380"/>
      <c r="AO8" s="380"/>
      <c r="AP8" s="380"/>
      <c r="AQ8" s="380"/>
      <c r="AR8" s="380"/>
      <c r="AS8" s="380"/>
      <c r="AT8" s="380"/>
      <c r="AU8" s="380"/>
      <c r="AV8" s="380"/>
      <c r="AW8" s="380"/>
      <c r="AX8" s="380"/>
      <c r="AY8" s="380"/>
      <c r="AZ8" s="380"/>
      <c r="BA8" s="380"/>
      <c r="BB8" s="380"/>
      <c r="BC8" s="380"/>
      <c r="BD8" s="380"/>
      <c r="BE8" s="380"/>
      <c r="BF8" s="380"/>
    </row>
    <row r="9" spans="1:58" s="66" customFormat="1" ht="21" customHeight="1">
      <c r="A9" s="604"/>
      <c r="B9" s="566"/>
      <c r="C9" s="202"/>
      <c r="D9" s="1337" t="s">
        <v>136</v>
      </c>
      <c r="E9" s="1337"/>
      <c r="F9" s="1337"/>
      <c r="G9" s="1337"/>
      <c r="H9" s="981" t="s">
        <v>0</v>
      </c>
      <c r="I9" s="981"/>
      <c r="J9" s="120"/>
      <c r="K9" s="120"/>
      <c r="L9" s="120"/>
      <c r="M9" s="120"/>
      <c r="N9" s="120"/>
      <c r="O9" s="120"/>
      <c r="P9" s="120"/>
      <c r="Q9" s="120"/>
      <c r="R9" s="120"/>
      <c r="S9" s="114"/>
      <c r="T9" s="206"/>
      <c r="U9" s="566"/>
      <c r="V9" s="578" t="s">
        <v>0</v>
      </c>
      <c r="W9" s="273"/>
      <c r="X9" s="284" t="b">
        <v>0</v>
      </c>
      <c r="Y9" s="1008" t="str">
        <f>IF($X9=FALSE,"",IF(COUNTIF($X10:$X$16,TRUE)=0,LOWER($D9),IF(COUNTIF($X10:$X$16,TRUE)=1,LOWER($D9)&amp;" and ",LOWER($D9)&amp;", ")))</f>
        <v/>
      </c>
      <c r="Z9" s="1009">
        <f>IF(X9=TRUE,7,0)</f>
        <v>0</v>
      </c>
      <c r="AB9" s="273"/>
      <c r="AC9" s="273"/>
    </row>
    <row r="10" spans="1:58" s="66" customFormat="1" ht="21" customHeight="1">
      <c r="A10" s="604"/>
      <c r="B10" s="566"/>
      <c r="C10" s="202"/>
      <c r="D10" s="1337" t="s">
        <v>137</v>
      </c>
      <c r="E10" s="1337"/>
      <c r="F10" s="1337"/>
      <c r="G10" s="1338"/>
      <c r="H10" s="114"/>
      <c r="I10" s="120"/>
      <c r="J10" s="120"/>
      <c r="K10" s="120"/>
      <c r="L10" s="120"/>
      <c r="M10" s="120"/>
      <c r="N10" s="120"/>
      <c r="O10" s="120"/>
      <c r="P10" s="120"/>
      <c r="Q10" s="120"/>
      <c r="R10" s="120"/>
      <c r="S10" s="114"/>
      <c r="T10" s="206"/>
      <c r="U10" s="566"/>
      <c r="V10" s="578" t="s">
        <v>0</v>
      </c>
      <c r="W10" s="273"/>
      <c r="X10" s="284" t="b">
        <v>1</v>
      </c>
      <c r="Y10" s="1008">
        <v>0</v>
      </c>
      <c r="Z10" s="1009">
        <f t="shared" ref="Z10:Z16" si="0">IF(X10=TRUE,7,0)</f>
        <v>7</v>
      </c>
      <c r="AB10" s="273"/>
      <c r="AC10" s="273"/>
    </row>
    <row r="11" spans="1:58" s="66" customFormat="1" ht="21" customHeight="1">
      <c r="A11" s="604"/>
      <c r="B11" s="566"/>
      <c r="C11" s="202"/>
      <c r="D11" s="1340" t="s">
        <v>190</v>
      </c>
      <c r="E11" s="1340"/>
      <c r="F11" s="1340"/>
      <c r="G11" s="1341"/>
      <c r="H11" s="114"/>
      <c r="I11" s="114"/>
      <c r="J11" s="114"/>
      <c r="K11" s="114"/>
      <c r="L11" s="114"/>
      <c r="M11" s="114"/>
      <c r="N11" s="114"/>
      <c r="O11" s="114"/>
      <c r="P11" s="114"/>
      <c r="Q11" s="114"/>
      <c r="R11" s="114"/>
      <c r="S11" s="114"/>
      <c r="T11" s="206"/>
      <c r="U11" s="566"/>
      <c r="V11" s="578"/>
      <c r="W11" s="273"/>
      <c r="X11" s="284" t="b">
        <v>0</v>
      </c>
      <c r="Y11" s="1008" t="str">
        <f>IF($X11=FALSE,"",IF(COUNTIF($X12:$X$16,TRUE)=0,LOWER($D11),IF(COUNTIF($X12:$X$16,TRUE)=1,LOWER($D11)&amp;" and ",LOWER($D11)&amp;", ")))</f>
        <v/>
      </c>
      <c r="Z11" s="1009">
        <f t="shared" si="0"/>
        <v>0</v>
      </c>
      <c r="AB11" s="273"/>
      <c r="AC11" s="273"/>
    </row>
    <row r="12" spans="1:58" s="66" customFormat="1" ht="21" customHeight="1">
      <c r="A12" s="604"/>
      <c r="B12" s="566"/>
      <c r="C12" s="202"/>
      <c r="D12" s="1340" t="s">
        <v>140</v>
      </c>
      <c r="E12" s="1340"/>
      <c r="F12" s="1340"/>
      <c r="G12" s="1341"/>
      <c r="H12" s="114"/>
      <c r="I12" s="114"/>
      <c r="J12" s="114"/>
      <c r="K12" s="114"/>
      <c r="L12" s="114"/>
      <c r="M12" s="114"/>
      <c r="N12" s="114"/>
      <c r="O12" s="114"/>
      <c r="P12" s="114"/>
      <c r="Q12" s="114"/>
      <c r="R12" s="114"/>
      <c r="S12" s="114"/>
      <c r="T12" s="206"/>
      <c r="U12" s="566"/>
      <c r="V12" s="578"/>
      <c r="W12" s="273"/>
      <c r="X12" s="284" t="b">
        <v>1</v>
      </c>
      <c r="Y12" s="1008" t="str">
        <f>IF($X12=FALSE,"",IF(COUNTIF($X13:$X$16,TRUE)=0,LOWER($D12),IF(COUNTIF($X13:$X$16,TRUE)=1,LOWER($D12)&amp;" and ",LOWER($D12)&amp;", ")))</f>
        <v>increased difficulty doing business</v>
      </c>
      <c r="Z12" s="1009">
        <f t="shared" si="0"/>
        <v>7</v>
      </c>
      <c r="AB12" s="273"/>
      <c r="AC12" s="273"/>
    </row>
    <row r="13" spans="1:58" s="66" customFormat="1" ht="21" customHeight="1">
      <c r="A13" s="604"/>
      <c r="B13" s="566"/>
      <c r="C13" s="202"/>
      <c r="D13" s="1340" t="s">
        <v>265</v>
      </c>
      <c r="E13" s="1340"/>
      <c r="F13" s="1340"/>
      <c r="G13" s="1341"/>
      <c r="H13" s="114"/>
      <c r="I13" s="114"/>
      <c r="J13" s="114"/>
      <c r="K13" s="114"/>
      <c r="L13" s="114"/>
      <c r="M13" s="114"/>
      <c r="N13" s="114"/>
      <c r="O13" s="114"/>
      <c r="P13" s="114"/>
      <c r="Q13" s="114"/>
      <c r="R13" s="114"/>
      <c r="S13" s="114"/>
      <c r="T13" s="206"/>
      <c r="U13" s="566"/>
      <c r="V13" s="578"/>
      <c r="W13" s="273"/>
      <c r="X13" s="284" t="b">
        <v>0</v>
      </c>
      <c r="Y13" s="1008" t="str">
        <f>IF($X13=FALSE,"",IF(COUNTIF($X14:$X$16,TRUE)=0,LOWER($D13),IF(COUNTIF($X14:$X$16,TRUE)=1,LOWER($D13)&amp;" and ",LOWER($D13)&amp;", ")))</f>
        <v/>
      </c>
      <c r="Z13" s="1009">
        <f t="shared" si="0"/>
        <v>0</v>
      </c>
      <c r="AB13" s="273"/>
      <c r="AC13" s="273"/>
    </row>
    <row r="14" spans="1:58" s="66" customFormat="1" ht="21" customHeight="1">
      <c r="A14" s="604"/>
      <c r="B14" s="566"/>
      <c r="C14" s="202"/>
      <c r="D14" s="1340" t="s">
        <v>143</v>
      </c>
      <c r="E14" s="1340"/>
      <c r="F14" s="1340"/>
      <c r="G14" s="1341"/>
      <c r="H14" s="114"/>
      <c r="I14" s="114"/>
      <c r="J14" s="114"/>
      <c r="K14" s="114"/>
      <c r="L14" s="114"/>
      <c r="M14" s="114"/>
      <c r="N14" s="114"/>
      <c r="O14" s="114"/>
      <c r="P14" s="114"/>
      <c r="Q14" s="114"/>
      <c r="R14" s="114"/>
      <c r="S14" s="114"/>
      <c r="T14" s="206"/>
      <c r="U14" s="566"/>
      <c r="V14" s="578"/>
      <c r="W14" s="273"/>
      <c r="X14" s="284" t="b">
        <v>0</v>
      </c>
      <c r="Y14" s="1008" t="str">
        <f>IF($X14=FALSE,"",IF(COUNTIF($X15:$X$16,TRUE)=0,LOWER($D14),IF(COUNTIF($X15:$X$16,TRUE)=1,LOWER($D14)&amp;" and ",LOWER($D14)&amp;", ")))</f>
        <v/>
      </c>
      <c r="Z14" s="1009">
        <f t="shared" si="0"/>
        <v>0</v>
      </c>
      <c r="AB14" s="273"/>
      <c r="AC14" s="273"/>
    </row>
    <row r="15" spans="1:58" s="66" customFormat="1" ht="21" customHeight="1">
      <c r="A15" s="604"/>
      <c r="B15" s="566"/>
      <c r="C15" s="202"/>
      <c r="D15" s="1351" t="s">
        <v>371</v>
      </c>
      <c r="E15" s="1351"/>
      <c r="F15" s="1351"/>
      <c r="G15" s="1351"/>
      <c r="H15" s="1351"/>
      <c r="I15" s="1351"/>
      <c r="J15" s="1351"/>
      <c r="K15" s="1351"/>
      <c r="L15" s="1351"/>
      <c r="M15" s="1351"/>
      <c r="N15" s="1351"/>
      <c r="O15" s="1351"/>
      <c r="P15" s="1351"/>
      <c r="Q15" s="1351"/>
      <c r="R15" s="1351"/>
      <c r="S15" s="1351"/>
      <c r="T15" s="206"/>
      <c r="U15" s="566"/>
      <c r="V15" s="578"/>
      <c r="W15" s="273"/>
      <c r="X15" s="284" t="b">
        <v>0</v>
      </c>
      <c r="Y15" s="1008" t="str">
        <f>IF($X15=FALSE,"",IF(X$16=FALSE,LOWER($D15),LOWER($D15)&amp;" and "))</f>
        <v/>
      </c>
      <c r="Z15" s="1009">
        <f t="shared" si="0"/>
        <v>0</v>
      </c>
      <c r="AB15" s="273"/>
      <c r="AC15" s="273"/>
    </row>
    <row r="16" spans="1:58" s="66" customFormat="1" ht="21" customHeight="1">
      <c r="A16" s="604"/>
      <c r="B16" s="566"/>
      <c r="C16" s="202"/>
      <c r="D16" s="1352" t="s">
        <v>371</v>
      </c>
      <c r="E16" s="1352"/>
      <c r="F16" s="1352"/>
      <c r="G16" s="1352"/>
      <c r="H16" s="682"/>
      <c r="I16" s="682"/>
      <c r="J16" s="682"/>
      <c r="K16" s="682"/>
      <c r="L16" s="682"/>
      <c r="M16" s="682"/>
      <c r="N16" s="682"/>
      <c r="O16" s="682"/>
      <c r="P16" s="682"/>
      <c r="Q16" s="682"/>
      <c r="R16" s="682"/>
      <c r="S16" s="682"/>
      <c r="T16" s="206"/>
      <c r="U16" s="566"/>
      <c r="V16" s="578"/>
      <c r="W16" s="273"/>
      <c r="X16" s="284" t="b">
        <v>0</v>
      </c>
      <c r="Y16" s="1008" t="str">
        <f>IF($X16=FALSE,"",LOWER($D16))</f>
        <v/>
      </c>
      <c r="Z16" s="1009">
        <f t="shared" si="0"/>
        <v>0</v>
      </c>
      <c r="AA16"/>
      <c r="AB16" s="273"/>
      <c r="AC16" s="273"/>
    </row>
    <row r="17" spans="1:27" s="66" customFormat="1" ht="27" customHeight="1">
      <c r="A17" s="604"/>
      <c r="B17" s="566"/>
      <c r="C17" s="202"/>
      <c r="D17" s="1339" t="s">
        <v>400</v>
      </c>
      <c r="E17" s="1339"/>
      <c r="F17" s="1339"/>
      <c r="G17" s="1339"/>
      <c r="H17" s="302"/>
      <c r="I17" s="302"/>
      <c r="J17" s="302"/>
      <c r="K17" s="302"/>
      <c r="L17" s="302"/>
      <c r="M17" s="302"/>
      <c r="N17" s="302"/>
      <c r="O17" s="302"/>
      <c r="P17" s="302"/>
      <c r="Q17" s="302"/>
      <c r="R17" s="302"/>
      <c r="S17" s="303"/>
      <c r="T17" s="206"/>
      <c r="U17" s="566"/>
      <c r="V17" s="579" t="s">
        <v>0</v>
      </c>
      <c r="W17" s="161"/>
      <c r="X17" s="1313" t="str">
        <f>IF(COUNTIF(X9:X16,TRUE),"If DEQ does not address this in rules, the program risks "&amp;Y9&amp;Y10&amp;Y11&amp;Y12&amp;Y13&amp;Y14&amp;Y15&amp;Y16&amp;".","")</f>
        <v>If DEQ does not address this in rules, the program risks 0increased difficulty doing business.</v>
      </c>
      <c r="Y17" s="1313"/>
      <c r="Z17" s="1314"/>
      <c r="AA17"/>
    </row>
    <row r="18" spans="1:27" s="6" customFormat="1" ht="15.75" customHeight="1">
      <c r="A18" s="604"/>
      <c r="B18" s="566"/>
      <c r="C18" s="202"/>
      <c r="D18" s="1235" t="s">
        <v>0</v>
      </c>
      <c r="E18" s="1236"/>
      <c r="F18" s="1236"/>
      <c r="G18" s="1236"/>
      <c r="H18" s="1236"/>
      <c r="I18" s="1236"/>
      <c r="J18" s="1236"/>
      <c r="K18" s="1236"/>
      <c r="L18" s="1236"/>
      <c r="M18" s="1236"/>
      <c r="N18" s="1236"/>
      <c r="O18" s="1236"/>
      <c r="P18" s="1236"/>
      <c r="Q18" s="1236"/>
      <c r="R18" s="1236"/>
      <c r="S18" s="1237"/>
      <c r="T18" s="206"/>
      <c r="U18" s="566"/>
      <c r="V18" s="579"/>
      <c r="W18" s="161"/>
      <c r="X18" s="1314"/>
      <c r="Y18" s="1314"/>
      <c r="Z18" s="1314"/>
    </row>
    <row r="19" spans="1:27" s="66" customFormat="1" ht="21.75" customHeight="1">
      <c r="A19" s="604"/>
      <c r="B19" s="566"/>
      <c r="C19" s="202"/>
      <c r="D19" s="1327" t="s">
        <v>401</v>
      </c>
      <c r="E19" s="1327"/>
      <c r="F19" s="1327"/>
      <c r="G19" s="1327"/>
      <c r="H19" s="302"/>
      <c r="I19" s="302"/>
      <c r="J19" s="302"/>
      <c r="K19" s="302"/>
      <c r="L19" s="302"/>
      <c r="M19" s="302"/>
      <c r="N19" s="302"/>
      <c r="O19" s="302"/>
      <c r="P19" s="302"/>
      <c r="Q19" s="302"/>
      <c r="R19" s="302"/>
      <c r="S19" s="303"/>
      <c r="T19" s="304"/>
      <c r="U19" s="566"/>
      <c r="V19" s="579"/>
      <c r="W19" s="161"/>
      <c r="X19" s="69"/>
      <c r="Y19" s="69"/>
      <c r="Z19" s="69"/>
    </row>
    <row r="20" spans="1:27" s="6" customFormat="1" ht="15.75" customHeight="1">
      <c r="A20" s="604"/>
      <c r="B20" s="566"/>
      <c r="C20" s="202"/>
      <c r="D20" s="1235" t="s">
        <v>0</v>
      </c>
      <c r="E20" s="1236"/>
      <c r="F20" s="1236"/>
      <c r="G20" s="1236"/>
      <c r="H20" s="1236"/>
      <c r="I20" s="1236"/>
      <c r="J20" s="1236"/>
      <c r="K20" s="1236"/>
      <c r="L20" s="1236"/>
      <c r="M20" s="1236"/>
      <c r="N20" s="1236"/>
      <c r="O20" s="1236"/>
      <c r="P20" s="1236"/>
      <c r="Q20" s="1236"/>
      <c r="R20" s="1236"/>
      <c r="S20" s="1237"/>
      <c r="T20" s="207"/>
      <c r="U20" s="566"/>
      <c r="V20" s="575" t="s">
        <v>0</v>
      </c>
      <c r="W20" s="161"/>
      <c r="X20" s="38"/>
      <c r="Y20" s="38"/>
      <c r="Z20" s="35"/>
    </row>
    <row r="21" spans="1:27" s="2" customFormat="1" ht="27" customHeight="1">
      <c r="A21" s="604"/>
      <c r="B21" s="566" t="s">
        <v>0</v>
      </c>
      <c r="C21" s="208"/>
      <c r="D21" s="1343" t="s">
        <v>192</v>
      </c>
      <c r="E21" s="1343"/>
      <c r="F21" s="1343"/>
      <c r="G21" s="183"/>
      <c r="H21" s="183"/>
      <c r="I21" s="183"/>
      <c r="J21" s="183"/>
      <c r="K21" s="198"/>
      <c r="L21" s="194"/>
      <c r="M21" s="194"/>
      <c r="N21" s="194"/>
      <c r="O21" s="194"/>
      <c r="P21" s="194"/>
      <c r="Q21" s="194"/>
      <c r="R21" s="194"/>
      <c r="S21" s="194"/>
      <c r="T21" s="209"/>
      <c r="U21" s="566"/>
      <c r="V21" s="580" t="s">
        <v>0</v>
      </c>
      <c r="W21" s="159"/>
      <c r="X21" s="1011"/>
      <c r="Y21" s="75"/>
      <c r="Z21" s="75"/>
    </row>
    <row r="22" spans="1:27" s="2" customFormat="1" ht="72.75" customHeight="1">
      <c r="A22" s="604"/>
      <c r="B22" s="566"/>
      <c r="C22" s="208"/>
      <c r="D22" s="195"/>
      <c r="E22" s="195"/>
      <c r="F22" s="129"/>
      <c r="G22" s="570"/>
      <c r="H22" s="198"/>
      <c r="I22" s="210"/>
      <c r="J22" s="1350"/>
      <c r="K22" s="1350"/>
      <c r="L22" s="1350"/>
      <c r="M22" s="1350"/>
      <c r="N22" s="1350"/>
      <c r="O22" s="1350"/>
      <c r="P22" s="1350"/>
      <c r="Q22" s="1350"/>
      <c r="R22" s="1350"/>
      <c r="S22" s="1350"/>
      <c r="T22" s="209"/>
      <c r="U22" s="566"/>
      <c r="V22" s="580" t="s">
        <v>0</v>
      </c>
      <c r="W22" s="174"/>
      <c r="X22" s="115" t="s">
        <v>0</v>
      </c>
      <c r="Y22" s="115"/>
      <c r="Z22" s="115" t="s">
        <v>0</v>
      </c>
    </row>
    <row r="23" spans="1:27" s="2" customFormat="1" ht="29.25" customHeight="1">
      <c r="A23" s="604"/>
      <c r="B23" s="566"/>
      <c r="C23" s="211"/>
      <c r="D23" s="1344" t="s">
        <v>217</v>
      </c>
      <c r="E23" s="1345"/>
      <c r="F23" s="1345"/>
      <c r="G23" s="1346"/>
      <c r="H23" s="1346"/>
      <c r="I23" s="1346"/>
      <c r="J23" s="1347"/>
      <c r="K23" s="1347"/>
      <c r="L23" s="1347"/>
      <c r="M23" s="1347"/>
      <c r="N23" s="1347"/>
      <c r="O23" s="1347"/>
      <c r="P23" s="1347"/>
      <c r="Q23" s="1347"/>
      <c r="R23" s="1347"/>
      <c r="S23" s="1347"/>
      <c r="T23" s="212"/>
      <c r="U23" s="566"/>
      <c r="V23" s="581"/>
      <c r="W23" s="159"/>
      <c r="X23" s="144">
        <v>1</v>
      </c>
      <c r="Y23" s="75" t="s">
        <v>230</v>
      </c>
      <c r="Z23" s="75"/>
    </row>
    <row r="24" spans="1:27" s="849" customFormat="1" ht="17.25" customHeight="1">
      <c r="A24" s="858"/>
      <c r="B24" s="857"/>
      <c r="C24" s="980"/>
      <c r="D24" s="1331" t="s">
        <v>494</v>
      </c>
      <c r="E24" s="1331"/>
      <c r="F24" s="1331"/>
      <c r="G24" s="1331"/>
      <c r="H24" s="979"/>
      <c r="I24" s="979"/>
      <c r="J24" s="683"/>
      <c r="K24" s="684"/>
      <c r="L24" s="684"/>
      <c r="M24" s="684"/>
      <c r="N24" s="684"/>
      <c r="O24" s="684"/>
      <c r="P24" s="684"/>
      <c r="Q24" s="684"/>
      <c r="R24" s="684"/>
      <c r="S24" s="684"/>
      <c r="T24" s="295"/>
      <c r="U24" s="857"/>
      <c r="V24" s="575"/>
      <c r="W24" s="852"/>
      <c r="X24" s="1012">
        <f>IF(X23=1,0,IF(X23=2,3,IF(X23=3,5,IF(X23=4,8,10))))</f>
        <v>0</v>
      </c>
      <c r="Y24" s="970" t="str">
        <f>IF(X23=1,"none",IF(X23=2,"low/medium",IF(X23=3,"medium",IF(X23=4,"medium/high dependencies","fully dependent"))))</f>
        <v>none</v>
      </c>
      <c r="Z24" s="850"/>
    </row>
    <row r="25" spans="1:27" s="849" customFormat="1" ht="15.75" customHeight="1">
      <c r="A25" s="858"/>
      <c r="B25" s="857"/>
      <c r="C25" s="980"/>
      <c r="D25" s="1328" t="s">
        <v>0</v>
      </c>
      <c r="E25" s="1329"/>
      <c r="F25" s="1329"/>
      <c r="G25" s="1329"/>
      <c r="H25" s="1329"/>
      <c r="I25" s="1329"/>
      <c r="J25" s="1329"/>
      <c r="K25" s="1329"/>
      <c r="L25" s="1329"/>
      <c r="M25" s="1329"/>
      <c r="N25" s="1329"/>
      <c r="O25" s="1329"/>
      <c r="P25" s="1329"/>
      <c r="Q25" s="1329"/>
      <c r="R25" s="1329"/>
      <c r="S25" s="1330"/>
      <c r="T25" s="295"/>
      <c r="U25" s="857"/>
      <c r="V25" s="575"/>
      <c r="W25" s="852"/>
      <c r="X25" s="1010"/>
      <c r="Y25" s="850"/>
      <c r="Z25" s="850"/>
    </row>
    <row r="26" spans="1:27" s="849" customFormat="1" ht="9" customHeight="1">
      <c r="A26" s="858"/>
      <c r="B26" s="857"/>
      <c r="C26" s="1096"/>
      <c r="D26" s="1122"/>
      <c r="E26" s="1122"/>
      <c r="F26" s="1122"/>
      <c r="G26" s="1122"/>
      <c r="H26" s="1122"/>
      <c r="I26" s="1122"/>
      <c r="J26" s="1123"/>
      <c r="K26" s="1123"/>
      <c r="L26" s="1123"/>
      <c r="M26" s="1123"/>
      <c r="N26" s="1123"/>
      <c r="O26" s="1123"/>
      <c r="P26" s="1123"/>
      <c r="Q26" s="1123"/>
      <c r="R26" s="1123"/>
      <c r="S26" s="1123"/>
      <c r="T26" s="295"/>
      <c r="U26" s="857"/>
      <c r="V26" s="575"/>
      <c r="W26" s="852"/>
      <c r="X26" s="1010"/>
      <c r="Y26" s="850"/>
      <c r="Z26" s="850"/>
    </row>
    <row r="27" spans="1:27" s="66" customFormat="1" ht="39" customHeight="1">
      <c r="A27" s="604"/>
      <c r="B27" s="566"/>
      <c r="C27" s="571"/>
      <c r="D27" s="1326" t="s">
        <v>402</v>
      </c>
      <c r="E27" s="1326"/>
      <c r="F27" s="1326"/>
      <c r="G27" s="1323" t="s">
        <v>0</v>
      </c>
      <c r="H27" s="1323"/>
      <c r="I27" s="1323"/>
      <c r="J27" s="1320" t="s">
        <v>5</v>
      </c>
      <c r="K27" s="1321"/>
      <c r="L27" s="1321"/>
      <c r="M27" s="1321"/>
      <c r="N27" s="1321"/>
      <c r="O27" s="1321"/>
      <c r="P27" s="1321"/>
      <c r="Q27" s="1321"/>
      <c r="R27" s="1321"/>
      <c r="S27" s="1322"/>
      <c r="T27" s="201"/>
      <c r="U27" s="566"/>
      <c r="V27" s="314" t="s">
        <v>761</v>
      </c>
      <c r="W27" s="161"/>
      <c r="X27" s="1010"/>
      <c r="Y27" s="147"/>
      <c r="Z27" s="147"/>
    </row>
    <row r="28" spans="1:27" s="66" customFormat="1" ht="15.75" customHeight="1">
      <c r="A28" s="604"/>
      <c r="B28" s="566"/>
      <c r="C28" s="202"/>
      <c r="D28" s="1326"/>
      <c r="E28" s="1326"/>
      <c r="F28" s="1326"/>
      <c r="G28" s="1324" t="s">
        <v>247</v>
      </c>
      <c r="H28" s="1324"/>
      <c r="I28" s="1325"/>
      <c r="J28" s="199">
        <v>1</v>
      </c>
      <c r="K28" s="184">
        <v>2</v>
      </c>
      <c r="L28" s="185">
        <v>3</v>
      </c>
      <c r="M28" s="186">
        <v>4</v>
      </c>
      <c r="N28" s="187">
        <v>5</v>
      </c>
      <c r="O28" s="188">
        <v>6</v>
      </c>
      <c r="P28" s="189">
        <v>7</v>
      </c>
      <c r="Q28" s="190">
        <v>8</v>
      </c>
      <c r="R28" s="191">
        <v>9</v>
      </c>
      <c r="S28" s="192">
        <v>10</v>
      </c>
      <c r="T28" s="205"/>
      <c r="U28" s="566"/>
      <c r="V28" s="582"/>
      <c r="W28" s="167"/>
      <c r="X28" s="33">
        <f>VLOOKUP($J27,C.VL_ComplexityRating,2,FALSE)</f>
        <v>5</v>
      </c>
      <c r="Y28" s="113" t="str">
        <f>J27</f>
        <v>unknown</v>
      </c>
      <c r="Z28" s="147"/>
    </row>
    <row r="29" spans="1:27" s="9" customFormat="1" ht="15.75" customHeight="1">
      <c r="A29" s="604"/>
      <c r="B29" s="566"/>
      <c r="C29" s="203"/>
      <c r="D29" s="204" t="s">
        <v>117</v>
      </c>
      <c r="E29" s="856" t="s">
        <v>0</v>
      </c>
      <c r="F29" s="685" t="s">
        <v>0</v>
      </c>
      <c r="G29" s="686"/>
      <c r="H29" s="687"/>
      <c r="I29" s="687"/>
      <c r="J29" s="687"/>
      <c r="K29" s="687"/>
      <c r="L29" s="687"/>
      <c r="M29" s="687"/>
      <c r="N29" s="687"/>
      <c r="O29" s="687"/>
      <c r="P29" s="687"/>
      <c r="Q29" s="687"/>
      <c r="R29" s="687"/>
      <c r="S29" s="687"/>
      <c r="T29" s="688"/>
      <c r="U29" s="566"/>
      <c r="V29" s="314" t="s">
        <v>762</v>
      </c>
      <c r="X29" s="58"/>
      <c r="Y29" s="58"/>
      <c r="Z29" s="147"/>
    </row>
    <row r="30" spans="1:27" s="9" customFormat="1" ht="15.75" customHeight="1">
      <c r="A30" s="604"/>
      <c r="B30" s="566"/>
      <c r="C30" s="203"/>
      <c r="D30" s="204" t="s">
        <v>241</v>
      </c>
      <c r="E30" s="856" t="s">
        <v>0</v>
      </c>
      <c r="F30" s="686"/>
      <c r="G30" s="686"/>
      <c r="H30" s="687"/>
      <c r="I30" s="687"/>
      <c r="J30" s="687"/>
      <c r="K30" s="687"/>
      <c r="L30" s="687"/>
      <c r="M30" s="687"/>
      <c r="N30" s="687"/>
      <c r="O30" s="687"/>
      <c r="P30" s="687"/>
      <c r="Q30" s="687"/>
      <c r="R30" s="687"/>
      <c r="S30" s="687"/>
      <c r="T30" s="688"/>
      <c r="U30" s="566"/>
      <c r="V30" s="584"/>
      <c r="X30" s="58"/>
      <c r="Y30" s="58"/>
      <c r="Z30" s="147"/>
    </row>
    <row r="31" spans="1:27" s="9" customFormat="1" ht="15.75" customHeight="1">
      <c r="A31" s="604"/>
      <c r="B31" s="566"/>
      <c r="C31" s="203"/>
      <c r="D31" s="204" t="s">
        <v>99</v>
      </c>
      <c r="E31" s="856" t="s">
        <v>0</v>
      </c>
      <c r="F31" s="686"/>
      <c r="G31" s="686"/>
      <c r="H31" s="686"/>
      <c r="I31" s="687"/>
      <c r="J31" s="689" t="s">
        <v>0</v>
      </c>
      <c r="K31" s="689"/>
      <c r="L31" s="689"/>
      <c r="M31" s="689"/>
      <c r="N31" s="689"/>
      <c r="O31" s="689"/>
      <c r="P31" s="689"/>
      <c r="Q31" s="689"/>
      <c r="R31" s="689"/>
      <c r="S31" s="689"/>
      <c r="T31" s="690"/>
      <c r="U31" s="566"/>
      <c r="V31" s="582"/>
      <c r="W31" s="167"/>
      <c r="X31" s="147"/>
      <c r="Y31" s="147"/>
      <c r="Z31" s="147"/>
    </row>
    <row r="32" spans="1:27" s="6" customFormat="1" ht="21" customHeight="1">
      <c r="A32" s="604"/>
      <c r="B32" s="566"/>
      <c r="C32" s="202"/>
      <c r="D32" s="217" t="s">
        <v>198</v>
      </c>
      <c r="E32" s="196"/>
      <c r="F32" s="691"/>
      <c r="G32" s="691"/>
      <c r="H32" s="691"/>
      <c r="I32" s="691"/>
      <c r="J32" s="691"/>
      <c r="K32" s="691"/>
      <c r="L32" s="691"/>
      <c r="M32" s="691"/>
      <c r="N32" s="691"/>
      <c r="O32" s="691"/>
      <c r="P32" s="691"/>
      <c r="Q32" s="691"/>
      <c r="R32" s="691"/>
      <c r="S32" s="691"/>
      <c r="T32" s="295"/>
      <c r="U32" s="566"/>
      <c r="V32" s="579"/>
      <c r="W32" s="161"/>
      <c r="X32" s="32"/>
      <c r="Y32" s="32"/>
      <c r="Z32" s="49"/>
    </row>
    <row r="33" spans="1:26" s="6" customFormat="1" ht="15.75" customHeight="1">
      <c r="A33" s="604"/>
      <c r="B33" s="566"/>
      <c r="C33" s="202"/>
      <c r="D33" s="1235" t="s">
        <v>0</v>
      </c>
      <c r="E33" s="1236"/>
      <c r="F33" s="1236"/>
      <c r="G33" s="1236"/>
      <c r="H33" s="1236"/>
      <c r="I33" s="1236"/>
      <c r="J33" s="1236"/>
      <c r="K33" s="1236"/>
      <c r="L33" s="1236"/>
      <c r="M33" s="1236"/>
      <c r="N33" s="1236"/>
      <c r="O33" s="1236"/>
      <c r="P33" s="1236"/>
      <c r="Q33" s="1236"/>
      <c r="R33" s="1236"/>
      <c r="S33" s="1237"/>
      <c r="T33" s="201"/>
      <c r="U33" s="566"/>
      <c r="V33" s="585"/>
      <c r="W33" s="161"/>
      <c r="X33" s="122"/>
      <c r="Y33" s="75"/>
      <c r="Z33" s="65"/>
    </row>
    <row r="34" spans="1:26" s="66" customFormat="1" ht="21" customHeight="1">
      <c r="A34" s="604"/>
      <c r="B34" s="566"/>
      <c r="C34" s="202"/>
      <c r="D34" s="217" t="s">
        <v>266</v>
      </c>
      <c r="E34" s="196"/>
      <c r="F34" s="196"/>
      <c r="G34" s="196"/>
      <c r="H34" s="196"/>
      <c r="I34" s="196"/>
      <c r="J34" s="196"/>
      <c r="K34" s="196"/>
      <c r="L34" s="196"/>
      <c r="M34" s="196"/>
      <c r="N34" s="196"/>
      <c r="O34" s="196"/>
      <c r="P34" s="196"/>
      <c r="Q34" s="196"/>
      <c r="R34" s="196"/>
      <c r="S34" s="196"/>
      <c r="T34" s="201"/>
      <c r="U34" s="566"/>
      <c r="V34" s="579"/>
      <c r="W34" s="161"/>
      <c r="X34" s="32"/>
      <c r="Y34" s="32"/>
      <c r="Z34" s="146"/>
    </row>
    <row r="35" spans="1:26" s="66" customFormat="1" ht="15.75" customHeight="1">
      <c r="A35" s="1088" t="s">
        <v>403</v>
      </c>
      <c r="B35" s="566"/>
      <c r="C35" s="202"/>
      <c r="D35" s="1317" t="s">
        <v>0</v>
      </c>
      <c r="E35" s="1318"/>
      <c r="F35" s="1318"/>
      <c r="G35" s="1318"/>
      <c r="H35" s="1318"/>
      <c r="I35" s="1318"/>
      <c r="J35" s="1318"/>
      <c r="K35" s="1318"/>
      <c r="L35" s="1318"/>
      <c r="M35" s="1318"/>
      <c r="N35" s="1318"/>
      <c r="O35" s="1318"/>
      <c r="P35" s="1318"/>
      <c r="Q35" s="1318"/>
      <c r="R35" s="1318"/>
      <c r="S35" s="1319"/>
      <c r="T35" s="201"/>
      <c r="U35" s="566"/>
      <c r="V35" s="585"/>
      <c r="W35" s="161"/>
      <c r="X35" s="122"/>
      <c r="Y35" s="147"/>
      <c r="Z35" s="147"/>
    </row>
    <row r="36" spans="1:26">
      <c r="B36" s="566"/>
      <c r="C36" s="293"/>
      <c r="D36" s="294"/>
      <c r="E36" s="294"/>
      <c r="F36" s="294"/>
      <c r="G36" s="1209">
        <f ca="1">TODAY()</f>
        <v>41163</v>
      </c>
      <c r="H36" s="1209"/>
      <c r="I36" s="1209"/>
      <c r="J36" s="1209"/>
      <c r="K36" s="1209"/>
      <c r="L36" s="1209"/>
      <c r="M36" s="1209"/>
      <c r="N36" s="1209"/>
      <c r="O36" s="1209"/>
      <c r="P36" s="1209"/>
      <c r="Q36" s="1209"/>
      <c r="R36" s="1209"/>
      <c r="S36" s="1209"/>
      <c r="T36" s="1210"/>
      <c r="U36" s="566"/>
    </row>
    <row r="37" spans="1:26">
      <c r="B37" s="566"/>
      <c r="C37" s="566"/>
      <c r="D37" s="566"/>
      <c r="E37" s="566"/>
      <c r="F37" s="566"/>
      <c r="G37" s="566"/>
      <c r="H37" s="566"/>
      <c r="I37" s="566"/>
      <c r="J37" s="566"/>
      <c r="K37" s="566"/>
      <c r="L37" s="566"/>
      <c r="M37" s="566"/>
      <c r="N37" s="566"/>
      <c r="O37" s="566"/>
      <c r="P37" s="566"/>
      <c r="Q37" s="566"/>
      <c r="R37" s="566"/>
      <c r="S37" s="566"/>
      <c r="T37" s="566"/>
      <c r="U37" s="566"/>
    </row>
  </sheetData>
  <sheetProtection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workbookViewId="0">
      <selection activeCell="V35" sqref="V35"/>
    </sheetView>
  </sheetViews>
  <sheetFormatPr defaultRowHeight="15.75" outlineLevelCol="1"/>
  <cols>
    <col min="1" max="1" width="14" style="605"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30.7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88" t="s">
        <v>420</v>
      </c>
      <c r="B1" s="566"/>
      <c r="C1" s="566"/>
      <c r="D1" s="566"/>
      <c r="E1" s="566"/>
      <c r="F1" s="566"/>
      <c r="G1" s="566"/>
      <c r="H1" s="566"/>
      <c r="I1" s="566"/>
      <c r="J1" s="566"/>
      <c r="K1" s="566"/>
      <c r="L1" s="566"/>
      <c r="M1" s="566"/>
      <c r="N1" s="566"/>
      <c r="O1" s="566"/>
      <c r="P1" s="566"/>
      <c r="Q1" s="566"/>
      <c r="R1" s="566"/>
      <c r="S1" s="566"/>
      <c r="T1" s="566"/>
      <c r="U1" s="566"/>
      <c r="X1" s="147"/>
      <c r="Y1" s="147"/>
      <c r="Z1" s="147"/>
    </row>
    <row r="2" spans="1:58" s="74" customFormat="1" ht="30" customHeight="1" thickBot="1">
      <c r="A2" s="605"/>
      <c r="B2" s="566"/>
      <c r="C2" s="1112">
        <v>5</v>
      </c>
      <c r="D2" s="1379" t="s">
        <v>100</v>
      </c>
      <c r="E2" s="1379"/>
      <c r="F2" s="1379"/>
      <c r="G2" s="1365" t="str">
        <f>C.2Name</f>
        <v>Address federal air quality regulations in Oregon rules</v>
      </c>
      <c r="H2" s="1365"/>
      <c r="I2" s="1365"/>
      <c r="J2" s="1365"/>
      <c r="K2" s="1365"/>
      <c r="L2" s="1365"/>
      <c r="M2" s="1365"/>
      <c r="N2" s="1365"/>
      <c r="O2" s="1365"/>
      <c r="P2" s="1365"/>
      <c r="Q2" s="1365"/>
      <c r="R2" s="1365"/>
      <c r="S2" s="1365"/>
      <c r="T2" s="1113"/>
      <c r="U2" s="566" t="s">
        <v>0</v>
      </c>
      <c r="V2" s="180" t="s">
        <v>0</v>
      </c>
      <c r="W2" s="159"/>
      <c r="X2" s="68"/>
      <c r="Y2" s="147"/>
      <c r="Z2" s="67"/>
    </row>
    <row r="3" spans="1:58" s="66" customFormat="1" ht="12.75" customHeight="1" thickTop="1">
      <c r="A3" s="605"/>
      <c r="B3" s="566"/>
      <c r="C3" s="1366"/>
      <c r="D3" s="1367"/>
      <c r="E3" s="1367"/>
      <c r="F3" s="1367"/>
      <c r="G3" s="183"/>
      <c r="H3" s="183"/>
      <c r="I3" s="183"/>
      <c r="J3" s="222"/>
      <c r="K3" s="222"/>
      <c r="L3" s="222"/>
      <c r="M3" s="222"/>
      <c r="N3" s="222"/>
      <c r="O3" s="222"/>
      <c r="P3" s="222"/>
      <c r="Q3" s="222"/>
      <c r="R3" s="222"/>
      <c r="S3" s="222"/>
      <c r="T3" s="201"/>
      <c r="U3" s="566"/>
      <c r="V3" s="180"/>
      <c r="W3" s="161"/>
      <c r="X3" s="179"/>
      <c r="Y3" s="147"/>
      <c r="Z3" s="55"/>
    </row>
    <row r="4" spans="1:58" s="9" customFormat="1" ht="21" customHeight="1">
      <c r="A4" s="604"/>
      <c r="B4" s="566"/>
      <c r="C4" s="203"/>
      <c r="D4" s="332" t="s">
        <v>441</v>
      </c>
      <c r="E4" s="1380" t="s">
        <v>427</v>
      </c>
      <c r="F4" s="1381"/>
      <c r="G4" s="1381"/>
      <c r="H4" s="1382"/>
      <c r="I4" s="1377" t="s">
        <v>0</v>
      </c>
      <c r="J4" s="1378"/>
      <c r="K4" s="1378"/>
      <c r="L4" s="1378"/>
      <c r="M4" s="1378"/>
      <c r="N4" s="1378"/>
      <c r="O4" s="114"/>
      <c r="P4" s="114"/>
      <c r="Q4" s="114"/>
      <c r="R4" s="114"/>
      <c r="S4" s="221"/>
      <c r="T4" s="154"/>
      <c r="U4" s="566"/>
      <c r="V4" s="314" t="s">
        <v>767</v>
      </c>
      <c r="X4" s="1004" t="str">
        <f>IF(E4="have no direct correlation to the environment.","The proposed rules have no direct correlation to the environment.","The proposed rules "&amp;E4&amp;" "&amp;C.5EnvReach&amp;C.5epaDialog&amp;" "&amp;C.5NaturalStepDialog&amp;C.5DoNothing&amp;".")</f>
        <v>The proposed rules address an environmental problem directly. The environmental reach of the proposal is statewide The proposal aligns with 2 actions identified in the 2011-2015 EPA Strategic Plan  and with 3 actions identified in the Natural Step.The environmental consequence of doing nothing is: delay in public health protection..</v>
      </c>
      <c r="Y4" s="1002" t="str">
        <f>IF(C.5EnvironmentalCorrelation="have no direct correlation to the environment.","no direct correlation",IF(C.5EnvironmentalCorrelation="address an environmental problem directly.","addresses problem directly.",IF(C.5EnvironmentalCorrelation="address an environmental problem indirectly.","addresses problem indirectly",IF(C.5EnvironmentalCorrelation="prevent a known problem.","prevents known problem",IF(C.5EnvironmentalCorrelation="solve a known problem.","solves known problem",IF(C.5EnvironmentalCorrelation="prevent a suspected problem.","prevents suspected problem","solves suspected problem"))))))</f>
        <v>addresses problem directly.</v>
      </c>
      <c r="Z4" s="55"/>
    </row>
    <row r="5" spans="1:58" s="9" customFormat="1" ht="28.5" customHeight="1">
      <c r="A5" s="604"/>
      <c r="B5" s="566"/>
      <c r="C5" s="389"/>
      <c r="D5" s="1355" t="str">
        <f>X5</f>
        <v/>
      </c>
      <c r="E5" s="1355"/>
      <c r="F5" s="1355"/>
      <c r="G5" s="1355"/>
      <c r="H5" s="1355"/>
      <c r="I5" s="1355"/>
      <c r="J5" s="1355"/>
      <c r="K5" s="1355"/>
      <c r="L5" s="1355"/>
      <c r="M5" s="1355"/>
      <c r="N5" s="1355"/>
      <c r="O5" s="1355"/>
      <c r="P5" s="1355"/>
      <c r="Q5" s="1355"/>
      <c r="R5" s="1355"/>
      <c r="S5" s="1355"/>
      <c r="T5" s="634"/>
      <c r="U5" s="566"/>
      <c r="V5" s="248"/>
      <c r="W5" s="248"/>
      <c r="X5" s="1353" t="str">
        <f>IF(E4="have no direct correlation to the environment.","The team does not need to complete this worksheet.","")</f>
        <v/>
      </c>
      <c r="Y5" s="1354"/>
      <c r="Z5" s="58"/>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5"/>
      <c r="B6" s="566"/>
      <c r="C6" s="571"/>
      <c r="D6" s="568" t="s">
        <v>260</v>
      </c>
      <c r="E6" s="572"/>
      <c r="F6" s="572"/>
      <c r="G6" s="183"/>
      <c r="H6" s="315" t="s">
        <v>0</v>
      </c>
      <c r="I6" s="1370" t="s">
        <v>284</v>
      </c>
      <c r="J6" s="1371"/>
      <c r="K6" s="1371"/>
      <c r="L6" s="1371"/>
      <c r="M6" s="1371"/>
      <c r="N6" s="1371"/>
      <c r="O6" s="1371"/>
      <c r="P6" s="1371"/>
      <c r="Q6" s="1371"/>
      <c r="R6" s="1372"/>
      <c r="S6" s="183"/>
      <c r="T6" s="201"/>
      <c r="U6" s="566"/>
      <c r="V6" s="287"/>
      <c r="W6" s="161"/>
      <c r="X6" s="644">
        <f>VLOOKUP(I6,C.VL_SeverityRating,2,FALSE)</f>
        <v>5</v>
      </c>
      <c r="Y6" s="878" t="str">
        <f>I6</f>
        <v>medium</v>
      </c>
      <c r="Z6" s="55"/>
    </row>
    <row r="7" spans="1:58" s="66" customFormat="1" ht="15.75" customHeight="1">
      <c r="A7" s="605"/>
      <c r="B7" s="566"/>
      <c r="C7" s="279"/>
      <c r="D7" s="120"/>
      <c r="E7" s="505"/>
      <c r="F7" s="505"/>
      <c r="G7" s="1324" t="s">
        <v>280</v>
      </c>
      <c r="H7" s="1325"/>
      <c r="I7" s="199">
        <v>1</v>
      </c>
      <c r="J7" s="184">
        <v>2</v>
      </c>
      <c r="K7" s="185">
        <v>3</v>
      </c>
      <c r="L7" s="186">
        <v>4</v>
      </c>
      <c r="M7" s="187">
        <v>5</v>
      </c>
      <c r="N7" s="188">
        <v>6</v>
      </c>
      <c r="O7" s="189">
        <v>7</v>
      </c>
      <c r="P7" s="190">
        <v>8</v>
      </c>
      <c r="Q7" s="191">
        <v>9</v>
      </c>
      <c r="R7" s="192">
        <v>10</v>
      </c>
      <c r="S7" s="120"/>
      <c r="T7" s="310"/>
      <c r="U7" s="566"/>
      <c r="V7" s="386" t="s">
        <v>768</v>
      </c>
      <c r="W7" s="288"/>
      <c r="X7" s="1357" t="str">
        <f>IF(COUNTIF(X8:X13,TRUE)=1,"The environmental consequence of doing nothing is: "&amp;Y8&amp;Y9&amp;Y10&amp;Y11&amp;Y12&amp;Y13&amp;".",IF(COUNTIF(X8:X13,TRUE),"and the consequences of doing nothing are: "&amp;Y8&amp;Y9&amp;Y10&amp;Y11&amp;Y12&amp;Y13&amp;".",""))</f>
        <v>The environmental consequence of doing nothing is: delay in public health protection.</v>
      </c>
      <c r="Y7" s="1358"/>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5"/>
      <c r="B8" s="566"/>
      <c r="C8" s="202"/>
      <c r="D8" s="1337" t="s">
        <v>138</v>
      </c>
      <c r="E8" s="1337"/>
      <c r="F8" s="1337"/>
      <c r="G8" s="1337"/>
      <c r="H8" s="682"/>
      <c r="I8" s="682"/>
      <c r="J8" s="682"/>
      <c r="K8" s="682"/>
      <c r="L8" s="682"/>
      <c r="M8" s="682"/>
      <c r="N8" s="682"/>
      <c r="O8" s="682"/>
      <c r="P8" s="682"/>
      <c r="Q8" s="682"/>
      <c r="R8" s="682"/>
      <c r="S8" s="682"/>
      <c r="T8" s="206"/>
      <c r="U8" s="566"/>
      <c r="V8" s="285"/>
      <c r="W8" s="285"/>
      <c r="X8" s="284" t="b">
        <v>0</v>
      </c>
      <c r="Y8" s="430" t="str">
        <f>IF($X8=FALSE,"",IF(COUNTIF($X9:$X$13,TRUE)=0,LOWER($D8),IF(COUNTIF($X9:$X$13,TRUE)=1,LOWER($D8)&amp;" and ",LOWER($D8)&amp;", ")))</f>
        <v/>
      </c>
      <c r="Z8" s="498">
        <f>IF(X8=TRUE,7,0)</f>
        <v>0</v>
      </c>
      <c r="AA8" s="285"/>
      <c r="AB8" s="285"/>
    </row>
    <row r="9" spans="1:58" s="66" customFormat="1" ht="21" customHeight="1">
      <c r="A9" s="605"/>
      <c r="B9" s="566"/>
      <c r="C9" s="202"/>
      <c r="D9" s="1337" t="s">
        <v>139</v>
      </c>
      <c r="E9" s="1337"/>
      <c r="F9" s="1337"/>
      <c r="G9" s="1337"/>
      <c r="H9" s="682"/>
      <c r="I9" s="682"/>
      <c r="J9" s="682"/>
      <c r="K9" s="682"/>
      <c r="L9" s="682"/>
      <c r="M9" s="682"/>
      <c r="N9" s="682"/>
      <c r="O9" s="682"/>
      <c r="P9" s="682"/>
      <c r="Q9" s="682"/>
      <c r="R9" s="682"/>
      <c r="S9" s="682"/>
      <c r="T9" s="206"/>
      <c r="U9" s="566"/>
      <c r="V9" s="487" t="s">
        <v>0</v>
      </c>
      <c r="W9" s="285"/>
      <c r="X9" s="284" t="b">
        <v>1</v>
      </c>
      <c r="Y9" s="430" t="str">
        <f>IF($X9=FALSE,"",IF(COUNTIF($X10:$X$13,TRUE)=0,LOWER($D9),IF(COUNTIF($X10:$X$13,TRUE)=1,LOWER($D9)&amp;" and ",LOWER($D9)&amp;", ")))</f>
        <v>delay in public health protection</v>
      </c>
      <c r="Z9" s="498">
        <f t="shared" ref="Z9:Z13" si="0">IF(X9=TRUE,7,0)</f>
        <v>7</v>
      </c>
      <c r="AA9" s="285"/>
      <c r="AB9" s="285"/>
    </row>
    <row r="10" spans="1:58" s="66" customFormat="1" ht="21" customHeight="1">
      <c r="A10" s="605"/>
      <c r="B10" s="566"/>
      <c r="C10" s="202"/>
      <c r="D10" s="1340" t="s">
        <v>262</v>
      </c>
      <c r="E10" s="1340"/>
      <c r="F10" s="1340"/>
      <c r="G10" s="1340"/>
      <c r="H10" s="484"/>
      <c r="I10" s="484"/>
      <c r="J10" s="484"/>
      <c r="K10" s="484"/>
      <c r="L10" s="484"/>
      <c r="M10" s="484"/>
      <c r="N10" s="484"/>
      <c r="O10" s="484"/>
      <c r="P10" s="484"/>
      <c r="Q10" s="484"/>
      <c r="R10" s="692"/>
      <c r="S10" s="692"/>
      <c r="T10" s="206"/>
      <c r="U10" s="566"/>
      <c r="V10" s="1383" t="s">
        <v>0</v>
      </c>
      <c r="W10" s="285"/>
      <c r="X10" s="284" t="b">
        <v>0</v>
      </c>
      <c r="Y10" s="430" t="str">
        <f>IF($X10=FALSE,"",IF(COUNTIF($X11:$X$13,TRUE)=0,LOWER($D10),IF(COUNTIF($X11:$X$13,TRUE)=1,LOWER($D10)&amp;" and ",LOWER($D10)&amp;", ")))</f>
        <v/>
      </c>
      <c r="Z10" s="498">
        <f t="shared" si="0"/>
        <v>0</v>
      </c>
      <c r="AA10" s="285"/>
      <c r="AB10" s="285"/>
    </row>
    <row r="11" spans="1:58" s="66" customFormat="1" ht="21" customHeight="1">
      <c r="A11" s="1088" t="s">
        <v>392</v>
      </c>
      <c r="B11" s="566"/>
      <c r="C11" s="202"/>
      <c r="D11" s="1340" t="s">
        <v>261</v>
      </c>
      <c r="E11" s="1340"/>
      <c r="F11" s="1340"/>
      <c r="G11" s="1340"/>
      <c r="H11" s="1340"/>
      <c r="I11" s="484"/>
      <c r="J11" s="683"/>
      <c r="K11" s="556"/>
      <c r="L11" s="556"/>
      <c r="M11" s="556"/>
      <c r="N11" s="556"/>
      <c r="O11" s="556"/>
      <c r="P11" s="484"/>
      <c r="Q11" s="484"/>
      <c r="R11" s="484"/>
      <c r="S11" s="484"/>
      <c r="T11" s="206"/>
      <c r="U11" s="566"/>
      <c r="V11" s="1383"/>
      <c r="W11" s="285"/>
      <c r="X11" s="284" t="b">
        <v>0</v>
      </c>
      <c r="Y11" s="430" t="str">
        <f>IF($X11=FALSE,"",IF(COUNTIF($X12:$X$13,TRUE)=0,LOWER($D11),IF(COUNTIF($X12:$X$13,TRUE)=1,LOWER($D11)&amp;" and ",LOWER($D11)&amp;", ")))</f>
        <v/>
      </c>
      <c r="Z11" s="498">
        <f t="shared" si="0"/>
        <v>0</v>
      </c>
      <c r="AA11" s="285"/>
      <c r="AB11" s="285"/>
    </row>
    <row r="12" spans="1:58" s="66" customFormat="1" ht="21" customHeight="1">
      <c r="A12" s="605"/>
      <c r="B12" s="566"/>
      <c r="C12" s="202"/>
      <c r="D12" s="1352" t="s">
        <v>289</v>
      </c>
      <c r="E12" s="1352"/>
      <c r="F12" s="1352"/>
      <c r="G12" s="1352"/>
      <c r="H12" s="682"/>
      <c r="I12" s="682"/>
      <c r="J12" s="682"/>
      <c r="K12" s="682"/>
      <c r="L12" s="682"/>
      <c r="M12" s="682"/>
      <c r="N12" s="682"/>
      <c r="O12" s="682"/>
      <c r="P12" s="682"/>
      <c r="Q12" s="682"/>
      <c r="R12" s="682"/>
      <c r="S12" s="682"/>
      <c r="T12" s="206"/>
      <c r="U12" s="566"/>
      <c r="V12" s="1383"/>
      <c r="W12" s="285"/>
      <c r="X12" s="284" t="b">
        <v>0</v>
      </c>
      <c r="Y12" s="1032" t="str">
        <f>IF($X12=FALSE,"",IF($X$13=FALSE,LOWER($D12),LOWER($D12)&amp;" and "))</f>
        <v/>
      </c>
      <c r="Z12" s="498">
        <f t="shared" si="0"/>
        <v>0</v>
      </c>
      <c r="AA12" s="285" t="s">
        <v>0</v>
      </c>
      <c r="AB12" s="285"/>
    </row>
    <row r="13" spans="1:58" s="66" customFormat="1" ht="21" customHeight="1">
      <c r="A13" s="605"/>
      <c r="B13" s="566"/>
      <c r="C13" s="202"/>
      <c r="D13" s="1352" t="s">
        <v>289</v>
      </c>
      <c r="E13" s="1352"/>
      <c r="F13" s="1352"/>
      <c r="G13" s="1352"/>
      <c r="H13" s="682"/>
      <c r="I13" s="682"/>
      <c r="J13" s="682"/>
      <c r="K13" s="682"/>
      <c r="L13" s="682"/>
      <c r="M13" s="682"/>
      <c r="N13" s="682"/>
      <c r="O13" s="682"/>
      <c r="P13" s="682"/>
      <c r="Q13" s="682"/>
      <c r="R13" s="682"/>
      <c r="S13" s="682"/>
      <c r="T13" s="206"/>
      <c r="U13" s="566"/>
      <c r="V13" s="1383"/>
      <c r="W13" s="285"/>
      <c r="X13" s="284" t="b">
        <v>0</v>
      </c>
      <c r="Y13" s="1034" t="str">
        <f>IF($X13=FALSE,"",LOWER($D13))</f>
        <v/>
      </c>
      <c r="Z13" s="498">
        <f t="shared" si="0"/>
        <v>0</v>
      </c>
      <c r="AA13" s="285" t="s">
        <v>0</v>
      </c>
      <c r="AB13" s="285"/>
    </row>
    <row r="14" spans="1:58" s="66" customFormat="1" ht="30" customHeight="1">
      <c r="A14" s="605"/>
      <c r="B14" s="566"/>
      <c r="C14" s="593"/>
      <c r="D14" s="1373" t="s">
        <v>290</v>
      </c>
      <c r="E14" s="1373"/>
      <c r="F14" s="1373"/>
      <c r="G14" s="1373"/>
      <c r="H14" s="1373"/>
      <c r="I14" s="302"/>
      <c r="J14" s="302"/>
      <c r="K14" s="302"/>
      <c r="L14" s="302"/>
      <c r="M14" s="302"/>
      <c r="N14" s="302"/>
      <c r="O14" s="302"/>
      <c r="P14" s="302"/>
      <c r="Q14" s="302"/>
      <c r="R14" s="302"/>
      <c r="S14" s="303"/>
      <c r="T14" s="304"/>
      <c r="U14" s="566"/>
      <c r="V14" s="1383"/>
      <c r="W14" s="161"/>
      <c r="X14" s="55"/>
      <c r="Y14" s="803" t="str">
        <f>Y8&amp;Y9&amp;Y10&amp;Y11&amp;Y12&amp;Y13</f>
        <v>delay in public health protection</v>
      </c>
      <c r="Z14" s="1016"/>
    </row>
    <row r="15" spans="1:58" s="66" customFormat="1" ht="88.5" customHeight="1">
      <c r="A15" s="605"/>
      <c r="B15" s="566"/>
      <c r="C15" s="202"/>
      <c r="D15" s="1223" t="s">
        <v>1033</v>
      </c>
      <c r="E15" s="1224"/>
      <c r="F15" s="1224"/>
      <c r="G15" s="1224"/>
      <c r="H15" s="1224"/>
      <c r="I15" s="1224"/>
      <c r="J15" s="1224"/>
      <c r="K15" s="1224"/>
      <c r="L15" s="1224"/>
      <c r="M15" s="1224"/>
      <c r="N15" s="1224"/>
      <c r="O15" s="1224"/>
      <c r="P15" s="1224"/>
      <c r="Q15" s="1224"/>
      <c r="R15" s="1224"/>
      <c r="S15" s="1225"/>
      <c r="T15" s="207"/>
      <c r="U15" s="566"/>
      <c r="V15" s="507" t="s">
        <v>0</v>
      </c>
      <c r="W15" s="161"/>
      <c r="X15" s="38" t="s">
        <v>0</v>
      </c>
      <c r="Y15" s="38"/>
      <c r="Z15" s="55"/>
      <c r="AA15" s="283"/>
    </row>
    <row r="16" spans="1:58" s="380" customFormat="1" ht="30" customHeight="1">
      <c r="A16" s="605"/>
      <c r="B16" s="566"/>
      <c r="C16" s="399"/>
      <c r="D16" s="567" t="s">
        <v>253</v>
      </c>
      <c r="E16" s="114"/>
      <c r="F16" s="664"/>
      <c r="G16" s="664"/>
      <c r="H16" s="664"/>
      <c r="I16" s="114"/>
      <c r="J16" s="114"/>
      <c r="K16" s="114"/>
      <c r="L16" s="114"/>
      <c r="M16" s="114"/>
      <c r="N16" s="114"/>
      <c r="O16" s="114"/>
      <c r="P16" s="114"/>
      <c r="Q16" s="114"/>
      <c r="R16" s="114"/>
      <c r="S16" s="114"/>
      <c r="T16" s="292"/>
      <c r="U16" s="566"/>
      <c r="V16" s="507"/>
      <c r="W16" s="160"/>
      <c r="X16" s="631" t="str">
        <f>"The environmental reach of the proposal is "&amp;Z18</f>
        <v>The environmental reach of the proposal is statewide</v>
      </c>
      <c r="Y16" s="630"/>
      <c r="Z16" s="630"/>
    </row>
    <row r="17" spans="1:66" s="9" customFormat="1" ht="24.75" customHeight="1">
      <c r="A17" s="604"/>
      <c r="B17" s="566"/>
      <c r="C17" s="203"/>
      <c r="D17" s="1385" t="s">
        <v>252</v>
      </c>
      <c r="E17" s="1385"/>
      <c r="F17" s="1385"/>
      <c r="G17" s="1385"/>
      <c r="H17" s="1385"/>
      <c r="I17" s="506"/>
      <c r="J17" s="506"/>
      <c r="K17" s="506"/>
      <c r="L17" s="506"/>
      <c r="M17" s="506"/>
      <c r="N17" s="506"/>
      <c r="O17" s="506"/>
      <c r="P17" s="506"/>
      <c r="Q17" s="506"/>
      <c r="R17" s="506"/>
      <c r="S17" s="506"/>
      <c r="T17" s="154"/>
      <c r="U17" s="566"/>
      <c r="X17" s="630"/>
      <c r="Y17" s="630"/>
      <c r="Z17" s="630"/>
      <c r="AA17" s="167"/>
      <c r="AB17" s="167"/>
    </row>
    <row r="18" spans="1:66" s="339" customFormat="1" ht="28.5" customHeight="1">
      <c r="A18" s="605"/>
      <c r="B18" s="566"/>
      <c r="C18" s="334"/>
      <c r="D18" s="340"/>
      <c r="E18" s="1384" t="s">
        <v>0</v>
      </c>
      <c r="F18" s="1384"/>
      <c r="G18" s="573" t="s">
        <v>0</v>
      </c>
      <c r="H18" s="335" t="s">
        <v>0</v>
      </c>
      <c r="I18" s="1374" t="s">
        <v>0</v>
      </c>
      <c r="J18" s="1374"/>
      <c r="K18" s="1374"/>
      <c r="L18" s="1374"/>
      <c r="M18" s="1374"/>
      <c r="N18" s="1374"/>
      <c r="O18" s="1374"/>
      <c r="P18" s="336" t="s">
        <v>0</v>
      </c>
      <c r="Q18" s="336"/>
      <c r="R18" s="336"/>
      <c r="S18" s="337"/>
      <c r="T18" s="282"/>
      <c r="U18" s="566"/>
      <c r="V18" s="333"/>
      <c r="W18" s="333"/>
      <c r="X18" s="633">
        <v>3</v>
      </c>
      <c r="Y18" s="632" t="s">
        <v>416</v>
      </c>
      <c r="Z18" s="415" t="str">
        <f>IF(X18=1,"local",IF(X18=2,"regional Oregon",IF(X18=3,"statewide",IF(X18=4,"regional US",IF(X18=5,"national","beyond U.S.")))))</f>
        <v>statewide</v>
      </c>
      <c r="AA18" s="414"/>
      <c r="AB18" s="414"/>
      <c r="AC18" s="46"/>
      <c r="AD18" s="46"/>
      <c r="AE18" s="46"/>
      <c r="AF18" s="46"/>
      <c r="AG18" s="46"/>
      <c r="AH18" s="338"/>
      <c r="AI18" s="338"/>
      <c r="AJ18" s="338"/>
      <c r="AK18" s="338"/>
      <c r="AL18" s="338"/>
      <c r="AM18" s="338"/>
      <c r="AN18" s="338"/>
      <c r="AO18" s="338"/>
      <c r="AP18" s="338"/>
      <c r="AQ18" s="338"/>
      <c r="AR18" s="338"/>
      <c r="AS18" s="338"/>
      <c r="AT18" s="338"/>
      <c r="AU18" s="338"/>
      <c r="AV18" s="338"/>
      <c r="AW18" s="338"/>
      <c r="AX18" s="338"/>
      <c r="AY18" s="333"/>
      <c r="AZ18" s="333"/>
      <c r="BA18" s="333"/>
      <c r="BB18" s="333"/>
      <c r="BC18" s="333"/>
      <c r="BD18" s="333"/>
      <c r="BE18" s="333"/>
      <c r="BF18" s="333"/>
      <c r="BG18" s="333"/>
      <c r="BH18" s="333"/>
      <c r="BI18" s="333"/>
      <c r="BJ18" s="333"/>
      <c r="BK18" s="333"/>
      <c r="BL18" s="333"/>
      <c r="BM18" s="333"/>
      <c r="BN18" s="333"/>
    </row>
    <row r="19" spans="1:66" s="12" customFormat="1" ht="47.25" customHeight="1">
      <c r="A19" s="605"/>
      <c r="B19" s="566"/>
      <c r="C19" s="279"/>
      <c r="D19" s="280"/>
      <c r="E19" s="280"/>
      <c r="F19" s="280"/>
      <c r="G19" s="280"/>
      <c r="H19" s="281"/>
      <c r="I19" s="281"/>
      <c r="J19" s="281"/>
      <c r="K19" s="281"/>
      <c r="L19" s="281"/>
      <c r="M19" s="572"/>
      <c r="N19" s="572"/>
      <c r="O19" s="572"/>
      <c r="P19" s="572"/>
      <c r="Q19" s="572"/>
      <c r="R19" s="572"/>
      <c r="S19" s="572"/>
      <c r="T19" s="282"/>
      <c r="U19" s="566"/>
      <c r="V19" s="170"/>
      <c r="W19" s="170"/>
      <c r="X19" s="1022">
        <f>IF(X18=1,1,IF(X18=2,3,IF(X18=3,5,IF(X18=4,7,IF(X18=5,9,10)))))</f>
        <v>5</v>
      </c>
      <c r="Y19" s="413"/>
      <c r="Z19" s="147"/>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5"/>
      <c r="B20" s="566"/>
      <c r="C20" s="279"/>
      <c r="D20" s="706" t="s">
        <v>255</v>
      </c>
      <c r="E20" s="707"/>
      <c r="F20" s="707"/>
      <c r="G20" s="707"/>
      <c r="H20" s="708"/>
      <c r="I20" s="708"/>
      <c r="J20" s="708"/>
      <c r="K20" s="708"/>
      <c r="L20" s="708"/>
      <c r="M20" s="303"/>
      <c r="N20" s="303"/>
      <c r="O20" s="303"/>
      <c r="P20" s="303"/>
      <c r="Q20" s="303"/>
      <c r="R20" s="303"/>
      <c r="S20" s="303"/>
      <c r="T20" s="709"/>
      <c r="U20" s="566"/>
      <c r="V20" s="170"/>
      <c r="W20" s="170"/>
      <c r="X20" s="128"/>
      <c r="Y20" s="128"/>
      <c r="Z20" s="147"/>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5"/>
      <c r="B21" s="566"/>
      <c r="C21" s="202"/>
      <c r="D21" s="1375" t="s">
        <v>256</v>
      </c>
      <c r="E21" s="1375"/>
      <c r="F21" s="1375"/>
      <c r="G21" s="1375"/>
      <c r="H21" s="710"/>
      <c r="I21" s="710"/>
      <c r="J21" s="710"/>
      <c r="K21" s="710"/>
      <c r="L21" s="710"/>
      <c r="M21" s="710"/>
      <c r="N21" s="710"/>
      <c r="O21" s="710"/>
      <c r="P21" s="710"/>
      <c r="Q21" s="710"/>
      <c r="R21" s="710"/>
      <c r="S21" s="710"/>
      <c r="T21" s="304"/>
      <c r="U21" s="566" t="s">
        <v>0</v>
      </c>
      <c r="V21" s="180"/>
      <c r="W21" s="161"/>
      <c r="X21" s="38"/>
      <c r="Y21" s="38"/>
      <c r="Z21" s="55"/>
      <c r="AA21"/>
    </row>
    <row r="22" spans="1:66" s="66" customFormat="1" ht="27.75" customHeight="1">
      <c r="A22" s="605"/>
      <c r="B22" s="566"/>
      <c r="C22" s="202"/>
      <c r="D22" s="1376" t="s">
        <v>258</v>
      </c>
      <c r="E22" s="1376"/>
      <c r="F22" s="1376"/>
      <c r="G22" s="1376"/>
      <c r="H22" s="1376"/>
      <c r="I22" s="1376"/>
      <c r="J22" s="1376"/>
      <c r="K22" s="1376"/>
      <c r="L22" s="1376"/>
      <c r="M22" s="1376"/>
      <c r="N22" s="1376"/>
      <c r="O22" s="1376"/>
      <c r="P22" s="1376"/>
      <c r="Q22" s="1376"/>
      <c r="R22" s="1376"/>
      <c r="S22" s="1376"/>
      <c r="T22" s="304"/>
      <c r="U22" s="566"/>
      <c r="V22" s="180"/>
      <c r="W22" s="161"/>
      <c r="X22" s="416" t="str">
        <f>IF(X28=0,"No","Yes")</f>
        <v>Yes</v>
      </c>
      <c r="Y22" s="55"/>
      <c r="Z22" s="55"/>
      <c r="AA22"/>
    </row>
    <row r="23" spans="1:66" s="66" customFormat="1" ht="21" customHeight="1">
      <c r="A23" s="605"/>
      <c r="B23" s="566"/>
      <c r="C23" s="202"/>
      <c r="D23" s="1340" t="s">
        <v>223</v>
      </c>
      <c r="E23" s="1340"/>
      <c r="F23" s="1340"/>
      <c r="G23" s="1340"/>
      <c r="H23" s="1340"/>
      <c r="I23" s="1340"/>
      <c r="J23" s="1340"/>
      <c r="K23" s="1340"/>
      <c r="L23" s="1340"/>
      <c r="M23" s="1340"/>
      <c r="N23" s="1340"/>
      <c r="O23" s="1340"/>
      <c r="P23" s="1340"/>
      <c r="Q23" s="1340"/>
      <c r="R23" s="692"/>
      <c r="S23" s="692"/>
      <c r="T23" s="304"/>
      <c r="U23" s="566"/>
      <c r="V23" s="180"/>
      <c r="W23" s="161"/>
      <c r="X23" s="284" t="b">
        <v>1</v>
      </c>
      <c r="Y23" s="55"/>
      <c r="Z23" s="55"/>
      <c r="AA23"/>
      <c r="AB23"/>
    </row>
    <row r="24" spans="1:66" s="66" customFormat="1" ht="21" customHeight="1">
      <c r="A24" s="605"/>
      <c r="B24" s="566"/>
      <c r="C24" s="202"/>
      <c r="D24" s="1340" t="s">
        <v>221</v>
      </c>
      <c r="E24" s="1340"/>
      <c r="F24" s="1340"/>
      <c r="G24" s="1340"/>
      <c r="H24" s="1340"/>
      <c r="I24" s="1340"/>
      <c r="J24" s="1340"/>
      <c r="K24" s="1340"/>
      <c r="L24" s="1340"/>
      <c r="M24" s="1340"/>
      <c r="N24" s="1340"/>
      <c r="O24" s="1340"/>
      <c r="P24" s="1340"/>
      <c r="Q24" s="1340"/>
      <c r="R24" s="1340"/>
      <c r="S24" s="1340"/>
      <c r="T24" s="304"/>
      <c r="U24" s="566"/>
      <c r="V24" s="180"/>
      <c r="W24" s="161"/>
      <c r="X24" s="284" t="b">
        <v>0</v>
      </c>
      <c r="Y24" s="55"/>
      <c r="Z24" s="55"/>
      <c r="AA24"/>
      <c r="AB24"/>
    </row>
    <row r="25" spans="1:66" s="66" customFormat="1" ht="21" customHeight="1">
      <c r="A25" s="605"/>
      <c r="B25" s="566"/>
      <c r="C25" s="202"/>
      <c r="D25" s="1337" t="s">
        <v>224</v>
      </c>
      <c r="E25" s="1337"/>
      <c r="F25" s="1337"/>
      <c r="G25" s="1337"/>
      <c r="H25" s="1337"/>
      <c r="I25" s="1337"/>
      <c r="J25" s="1337"/>
      <c r="K25" s="1337"/>
      <c r="L25" s="1337"/>
      <c r="M25" s="1337"/>
      <c r="N25" s="1337"/>
      <c r="O25" s="1337"/>
      <c r="P25" s="1337"/>
      <c r="Q25" s="1337"/>
      <c r="R25" s="1337"/>
      <c r="S25" s="1337"/>
      <c r="T25" s="304"/>
      <c r="U25" s="566"/>
      <c r="V25" s="180"/>
      <c r="W25" s="161"/>
      <c r="X25" s="284" t="b">
        <v>0</v>
      </c>
      <c r="Y25" s="38"/>
      <c r="Z25" s="55"/>
      <c r="AA25"/>
      <c r="AB25"/>
    </row>
    <row r="26" spans="1:66" s="66" customFormat="1" ht="21" customHeight="1">
      <c r="A26" s="605"/>
      <c r="B26" s="566"/>
      <c r="C26" s="202"/>
      <c r="D26" s="1337" t="s">
        <v>222</v>
      </c>
      <c r="E26" s="1337"/>
      <c r="F26" s="1337"/>
      <c r="G26" s="1337"/>
      <c r="H26" s="1337"/>
      <c r="I26" s="1337"/>
      <c r="J26" s="1337"/>
      <c r="K26" s="1337"/>
      <c r="L26" s="1337"/>
      <c r="M26" s="1337"/>
      <c r="N26" s="1337"/>
      <c r="O26" s="1337"/>
      <c r="P26" s="1337"/>
      <c r="Q26" s="1337"/>
      <c r="R26" s="1337"/>
      <c r="S26" s="1337"/>
      <c r="T26" s="304"/>
      <c r="U26" s="566"/>
      <c r="V26" s="180"/>
      <c r="W26" s="161"/>
      <c r="X26" s="284" t="b">
        <v>1</v>
      </c>
      <c r="Y26" s="325"/>
      <c r="Z26" s="55"/>
      <c r="AA26"/>
      <c r="AB26"/>
    </row>
    <row r="27" spans="1:66" s="66" customFormat="1" ht="21" customHeight="1">
      <c r="A27" s="605"/>
      <c r="B27" s="566"/>
      <c r="C27" s="202"/>
      <c r="D27" s="1337" t="s">
        <v>225</v>
      </c>
      <c r="E27" s="1337"/>
      <c r="F27" s="1337"/>
      <c r="G27" s="1337"/>
      <c r="H27" s="1337"/>
      <c r="I27" s="1337"/>
      <c r="J27" s="1337"/>
      <c r="K27" s="1337"/>
      <c r="L27" s="1337"/>
      <c r="M27" s="1337"/>
      <c r="N27" s="1337"/>
      <c r="O27" s="1337"/>
      <c r="P27" s="1337"/>
      <c r="Q27" s="1337"/>
      <c r="R27" s="1337"/>
      <c r="S27" s="1337"/>
      <c r="T27" s="304"/>
      <c r="U27" s="566"/>
      <c r="V27" s="180"/>
      <c r="W27" s="161"/>
      <c r="X27" s="284" t="b">
        <v>0</v>
      </c>
      <c r="Y27" s="55"/>
      <c r="Z27" s="55"/>
      <c r="AA27"/>
      <c r="AB27"/>
    </row>
    <row r="28" spans="1:66" s="66" customFormat="1" ht="15.75" customHeight="1">
      <c r="A28" s="605"/>
      <c r="B28" s="566"/>
      <c r="C28" s="202"/>
      <c r="D28" s="219"/>
      <c r="E28" s="710"/>
      <c r="F28" s="711"/>
      <c r="G28" s="711"/>
      <c r="H28" s="711"/>
      <c r="I28" s="711"/>
      <c r="J28" s="711"/>
      <c r="K28" s="711"/>
      <c r="L28" s="711"/>
      <c r="M28" s="711"/>
      <c r="N28" s="710"/>
      <c r="O28" s="710"/>
      <c r="P28" s="710"/>
      <c r="Q28" s="710"/>
      <c r="R28" s="710"/>
      <c r="S28" s="710"/>
      <c r="T28" s="304"/>
      <c r="U28" s="566"/>
      <c r="V28" s="180"/>
      <c r="W28" s="161"/>
      <c r="X28" s="305">
        <f>COUNTIF(X23:X27,TRUE)</f>
        <v>2</v>
      </c>
      <c r="Y28" s="1364" t="str">
        <f>IF(X28=0,"",IF(X28=1," The proposal aligns with "&amp;X28&amp;" action identified in the "&amp;D21," The proposal aligns with "&amp;X28&amp;" actions identified in the "&amp;D21))</f>
        <v xml:space="preserve"> The proposal aligns with 2 actions identified in the 2011-2015 EPA Strategic Plan</v>
      </c>
      <c r="Z28" s="1364"/>
      <c r="AA28"/>
      <c r="AB28"/>
    </row>
    <row r="29" spans="1:66" s="66" customFormat="1" ht="24.75" customHeight="1">
      <c r="A29" s="605"/>
      <c r="B29" s="566"/>
      <c r="C29" s="202"/>
      <c r="D29" s="1375" t="s">
        <v>295</v>
      </c>
      <c r="E29" s="1375"/>
      <c r="F29" s="1375"/>
      <c r="G29" s="1375"/>
      <c r="H29" s="683"/>
      <c r="I29" s="683"/>
      <c r="J29" s="683"/>
      <c r="K29" s="683"/>
      <c r="L29" s="683"/>
      <c r="M29" s="683"/>
      <c r="N29" s="683"/>
      <c r="O29" s="710"/>
      <c r="P29" s="710"/>
      <c r="Q29" s="710"/>
      <c r="R29" s="710"/>
      <c r="S29" s="710"/>
      <c r="T29" s="304"/>
      <c r="U29" s="566"/>
      <c r="V29" s="233"/>
      <c r="W29" s="161"/>
      <c r="X29" s="38"/>
      <c r="Y29" s="147"/>
      <c r="Z29" s="55"/>
      <c r="AA29"/>
      <c r="AB29"/>
    </row>
    <row r="30" spans="1:66" s="66" customFormat="1" ht="27.75" customHeight="1">
      <c r="A30" s="605"/>
      <c r="B30" s="566"/>
      <c r="C30" s="202"/>
      <c r="D30" s="1376" t="s">
        <v>257</v>
      </c>
      <c r="E30" s="1376"/>
      <c r="F30" s="1376"/>
      <c r="G30" s="1376"/>
      <c r="H30" s="1376"/>
      <c r="I30" s="1376"/>
      <c r="J30" s="1376"/>
      <c r="K30" s="712"/>
      <c r="L30" s="712"/>
      <c r="M30" s="713"/>
      <c r="N30" s="713"/>
      <c r="O30" s="713"/>
      <c r="P30" s="713"/>
      <c r="Q30" s="713"/>
      <c r="R30" s="713"/>
      <c r="S30" s="713"/>
      <c r="T30" s="304"/>
      <c r="U30" s="566"/>
      <c r="V30" s="233"/>
      <c r="W30" s="161"/>
      <c r="X30" s="416" t="str">
        <f>IF(X35=0,"No","Yes")</f>
        <v>Yes</v>
      </c>
      <c r="Y30" s="55"/>
      <c r="Z30" s="55"/>
      <c r="AA30"/>
      <c r="AB30"/>
    </row>
    <row r="31" spans="1:66" s="321" customFormat="1" ht="35.1" customHeight="1">
      <c r="A31" s="603"/>
      <c r="B31" s="566"/>
      <c r="C31" s="317"/>
      <c r="D31" s="1386" t="s">
        <v>292</v>
      </c>
      <c r="E31" s="1386"/>
      <c r="F31" s="1386"/>
      <c r="G31" s="1386"/>
      <c r="H31" s="1386"/>
      <c r="I31" s="1386"/>
      <c r="J31" s="1386"/>
      <c r="K31" s="1386"/>
      <c r="L31" s="1386"/>
      <c r="M31" s="1386"/>
      <c r="N31" s="1386"/>
      <c r="O31" s="1386"/>
      <c r="P31" s="1386"/>
      <c r="Q31" s="1386"/>
      <c r="R31" s="1386"/>
      <c r="S31" s="1386"/>
      <c r="T31" s="714"/>
      <c r="U31" s="566"/>
      <c r="V31" s="318"/>
      <c r="W31" s="316"/>
      <c r="X31" s="323" t="b">
        <v>1</v>
      </c>
      <c r="Y31" s="319"/>
      <c r="Z31" s="319"/>
      <c r="AA31" s="320"/>
      <c r="AB31" s="320"/>
    </row>
    <row r="32" spans="1:66" s="66" customFormat="1" ht="35.1" customHeight="1">
      <c r="A32" s="605"/>
      <c r="B32" s="566"/>
      <c r="C32" s="202"/>
      <c r="D32" s="1386" t="s">
        <v>293</v>
      </c>
      <c r="E32" s="1386"/>
      <c r="F32" s="1386"/>
      <c r="G32" s="1386"/>
      <c r="H32" s="1386"/>
      <c r="I32" s="1386"/>
      <c r="J32" s="1386"/>
      <c r="K32" s="1386"/>
      <c r="L32" s="1386"/>
      <c r="M32" s="1386"/>
      <c r="N32" s="1386"/>
      <c r="O32" s="1386"/>
      <c r="P32" s="1386"/>
      <c r="Q32" s="1386"/>
      <c r="R32" s="1386"/>
      <c r="S32" s="1386"/>
      <c r="T32" s="304"/>
      <c r="U32" s="566"/>
      <c r="V32" s="233"/>
      <c r="W32" s="161"/>
      <c r="X32" s="324" t="b">
        <v>1</v>
      </c>
      <c r="Y32" s="55"/>
      <c r="Z32" s="55"/>
      <c r="AA32"/>
    </row>
    <row r="33" spans="1:27" s="66" customFormat="1" ht="38.25" customHeight="1">
      <c r="A33" s="605"/>
      <c r="B33" s="566"/>
      <c r="C33" s="202"/>
      <c r="D33" s="1387" t="s">
        <v>294</v>
      </c>
      <c r="E33" s="1387"/>
      <c r="F33" s="1387"/>
      <c r="G33" s="1387"/>
      <c r="H33" s="1387"/>
      <c r="I33" s="1387"/>
      <c r="J33" s="1387"/>
      <c r="K33" s="1387"/>
      <c r="L33" s="1387"/>
      <c r="M33" s="1387"/>
      <c r="N33" s="1387"/>
      <c r="O33" s="1387"/>
      <c r="P33" s="1387"/>
      <c r="Q33" s="1387"/>
      <c r="R33" s="1387"/>
      <c r="S33" s="1387"/>
      <c r="T33" s="304"/>
      <c r="U33" s="566"/>
      <c r="V33" s="233"/>
      <c r="W33" s="161"/>
      <c r="X33" s="324" t="b">
        <v>1</v>
      </c>
      <c r="Y33" s="38"/>
      <c r="Z33" s="55"/>
      <c r="AA33"/>
    </row>
    <row r="34" spans="1:27" s="66" customFormat="1" ht="39.75" customHeight="1">
      <c r="A34" s="605"/>
      <c r="B34" s="566"/>
      <c r="C34" s="202"/>
      <c r="D34" s="1387" t="s">
        <v>291</v>
      </c>
      <c r="E34" s="1387"/>
      <c r="F34" s="1387"/>
      <c r="G34" s="1387"/>
      <c r="H34" s="1387"/>
      <c r="I34" s="1387"/>
      <c r="J34" s="1387"/>
      <c r="K34" s="1387"/>
      <c r="L34" s="1387"/>
      <c r="M34" s="1387"/>
      <c r="N34" s="1387"/>
      <c r="O34" s="1387"/>
      <c r="P34" s="1387"/>
      <c r="Q34" s="1387"/>
      <c r="R34" s="1387"/>
      <c r="S34" s="1387"/>
      <c r="T34" s="304"/>
      <c r="U34" s="566"/>
      <c r="V34" s="233"/>
      <c r="W34" s="161"/>
      <c r="X34" s="324" t="b">
        <v>0</v>
      </c>
      <c r="Y34" s="38"/>
      <c r="Z34" s="147"/>
    </row>
    <row r="35" spans="1:27" s="2" customFormat="1" ht="30" customHeight="1">
      <c r="A35" s="603"/>
      <c r="B35" s="566" t="s">
        <v>0</v>
      </c>
      <c r="C35" s="211"/>
      <c r="D35" s="1369" t="s">
        <v>259</v>
      </c>
      <c r="E35" s="1369"/>
      <c r="F35" s="1369"/>
      <c r="G35" s="296"/>
      <c r="H35" s="296"/>
      <c r="I35" s="296"/>
      <c r="J35" s="296"/>
      <c r="K35" s="297"/>
      <c r="L35" s="298"/>
      <c r="M35" s="298"/>
      <c r="N35" s="298"/>
      <c r="O35" s="298"/>
      <c r="P35" s="298"/>
      <c r="Q35" s="298"/>
      <c r="R35" s="298"/>
      <c r="S35" s="298"/>
      <c r="T35" s="212"/>
      <c r="U35" s="566"/>
      <c r="V35"/>
      <c r="W35"/>
      <c r="X35" s="305">
        <f>COUNTIF(X31:X34,TRUE)</f>
        <v>3</v>
      </c>
      <c r="Y35" s="1364" t="str">
        <f>IF(X35=0,"",IF(X35=1," and with "&amp;X35&amp;" action identified in "&amp;D29&amp;"."," and with "&amp;X35&amp;" actions identified in "&amp;D29&amp;"."))</f>
        <v xml:space="preserve"> and with 3 actions identified in the Natural Step.</v>
      </c>
      <c r="Z35" s="1364"/>
    </row>
    <row r="36" spans="1:27" s="2" customFormat="1" ht="110.25" customHeight="1">
      <c r="A36" s="603"/>
      <c r="B36" s="566"/>
      <c r="C36" s="211"/>
      <c r="D36" s="299" t="s">
        <v>0</v>
      </c>
      <c r="E36" s="299"/>
      <c r="F36" s="1363" t="s">
        <v>0</v>
      </c>
      <c r="G36" s="1363"/>
      <c r="H36" s="300"/>
      <c r="I36" s="301"/>
      <c r="J36" s="1359" t="s">
        <v>0</v>
      </c>
      <c r="K36" s="1359"/>
      <c r="L36" s="1359"/>
      <c r="M36" s="1359"/>
      <c r="N36" s="1359"/>
      <c r="O36" s="1359"/>
      <c r="P36" s="1359"/>
      <c r="Q36" s="1359"/>
      <c r="R36" s="1359"/>
      <c r="S36" s="1359"/>
      <c r="T36" s="212"/>
      <c r="U36" s="566"/>
      <c r="V36" s="1362" t="s">
        <v>0</v>
      </c>
      <c r="W36" s="174"/>
      <c r="X36" s="485"/>
      <c r="Y36" s="486"/>
      <c r="Z36" s="147"/>
    </row>
    <row r="37" spans="1:27" s="2" customFormat="1" ht="29.25" customHeight="1">
      <c r="A37" s="603"/>
      <c r="B37" s="566"/>
      <c r="C37" s="211"/>
      <c r="D37" s="1360" t="s">
        <v>217</v>
      </c>
      <c r="E37" s="1361"/>
      <c r="F37" s="1361"/>
      <c r="G37" s="1346"/>
      <c r="H37" s="1346"/>
      <c r="I37" s="1346"/>
      <c r="J37" s="1347"/>
      <c r="K37" s="1347"/>
      <c r="L37" s="1347"/>
      <c r="M37" s="1347"/>
      <c r="N37" s="1347"/>
      <c r="O37" s="1347"/>
      <c r="P37" s="1347"/>
      <c r="Q37" s="1347"/>
      <c r="R37" s="1347"/>
      <c r="S37" s="1347"/>
      <c r="T37" s="212"/>
      <c r="U37" s="566"/>
      <c r="V37" s="1362"/>
      <c r="W37" s="159"/>
      <c r="X37" s="418">
        <v>1</v>
      </c>
      <c r="Y37" s="147" t="s">
        <v>230</v>
      </c>
      <c r="Z37" s="1020" t="str">
        <f>IF(X37=1,"no data uncertainties",IF(X37=2,"low/medium data uncertainties",IF(X37=3,"medium data uncertainties",IF(X37=4,"medium/high data uncertainties","high data uncertainties"))))</f>
        <v>no data uncertainties</v>
      </c>
    </row>
    <row r="38" spans="1:27" s="2" customFormat="1" ht="9" customHeight="1">
      <c r="A38" s="603"/>
      <c r="B38" s="857"/>
      <c r="C38" s="211"/>
      <c r="D38" s="1109"/>
      <c r="E38" s="1109"/>
      <c r="F38" s="1109"/>
      <c r="G38" s="1110"/>
      <c r="H38" s="1110"/>
      <c r="I38" s="1110"/>
      <c r="J38" s="1111"/>
      <c r="K38" s="1111"/>
      <c r="L38" s="1111"/>
      <c r="M38" s="1111"/>
      <c r="N38" s="1111"/>
      <c r="O38" s="1111"/>
      <c r="P38" s="1111"/>
      <c r="Q38" s="1111"/>
      <c r="R38" s="1111"/>
      <c r="S38" s="1111"/>
      <c r="T38" s="212"/>
      <c r="U38" s="857"/>
      <c r="V38" s="1095"/>
      <c r="W38" s="159"/>
      <c r="X38" s="1107"/>
      <c r="Y38" s="850"/>
      <c r="Z38" s="1108"/>
    </row>
    <row r="39" spans="1:27" s="66" customFormat="1" ht="44.25" customHeight="1">
      <c r="A39" s="605"/>
      <c r="B39" s="566"/>
      <c r="C39" s="571"/>
      <c r="D39" s="1356" t="s">
        <v>417</v>
      </c>
      <c r="E39" s="1356"/>
      <c r="F39" s="1356"/>
      <c r="G39" s="120"/>
      <c r="H39" s="1323" t="s">
        <v>0</v>
      </c>
      <c r="I39" s="1368"/>
      <c r="J39" s="1320" t="s">
        <v>5</v>
      </c>
      <c r="K39" s="1321"/>
      <c r="L39" s="1321"/>
      <c r="M39" s="1321"/>
      <c r="N39" s="1321"/>
      <c r="O39" s="1321"/>
      <c r="P39" s="1321"/>
      <c r="Q39" s="1321"/>
      <c r="R39" s="1321"/>
      <c r="S39" s="1322"/>
      <c r="T39" s="201"/>
      <c r="U39" s="566"/>
      <c r="V39" s="314" t="s">
        <v>761</v>
      </c>
      <c r="W39" s="161"/>
      <c r="X39" s="55"/>
      <c r="Y39" s="147"/>
      <c r="Z39" s="55"/>
    </row>
    <row r="40" spans="1:27" s="66" customFormat="1" ht="15.75" customHeight="1">
      <c r="A40" s="605"/>
      <c r="B40" s="566"/>
      <c r="C40" s="202"/>
      <c r="D40" s="1021" t="s">
        <v>117</v>
      </c>
      <c r="E40" s="220" t="s">
        <v>0</v>
      </c>
      <c r="F40" s="685" t="s">
        <v>0</v>
      </c>
      <c r="G40" s="693"/>
      <c r="H40" s="694" t="s">
        <v>247</v>
      </c>
      <c r="I40" s="693"/>
      <c r="J40" s="696">
        <v>1</v>
      </c>
      <c r="K40" s="697">
        <v>2</v>
      </c>
      <c r="L40" s="698">
        <v>3</v>
      </c>
      <c r="M40" s="699">
        <v>4</v>
      </c>
      <c r="N40" s="700">
        <v>5</v>
      </c>
      <c r="O40" s="701">
        <v>6</v>
      </c>
      <c r="P40" s="702">
        <v>7</v>
      </c>
      <c r="Q40" s="703">
        <v>8</v>
      </c>
      <c r="R40" s="704">
        <v>9</v>
      </c>
      <c r="S40" s="705">
        <v>10</v>
      </c>
      <c r="T40" s="205"/>
      <c r="U40" s="566"/>
      <c r="V40" s="314" t="s">
        <v>762</v>
      </c>
      <c r="W40" s="167"/>
      <c r="X40" s="417">
        <f>VLOOKUP($J39,C.VL_ComplexityRating,2,FALSE)</f>
        <v>5</v>
      </c>
      <c r="Y40" s="889" t="str">
        <f>J39</f>
        <v>unknown</v>
      </c>
      <c r="Z40" s="55"/>
    </row>
    <row r="41" spans="1:27" s="9" customFormat="1" ht="15.75" customHeight="1">
      <c r="A41" s="604"/>
      <c r="B41" s="566"/>
      <c r="C41" s="203"/>
      <c r="D41" s="1021" t="s">
        <v>241</v>
      </c>
      <c r="E41" s="220" t="s">
        <v>0</v>
      </c>
      <c r="F41" s="686"/>
      <c r="G41" s="686"/>
      <c r="H41" s="695"/>
      <c r="I41" s="695"/>
      <c r="J41" s="695"/>
      <c r="K41" s="695"/>
      <c r="L41" s="695"/>
      <c r="M41" s="695"/>
      <c r="N41" s="695"/>
      <c r="O41" s="695"/>
      <c r="P41" s="695"/>
      <c r="Q41" s="695"/>
      <c r="R41" s="695"/>
      <c r="S41" s="695"/>
      <c r="T41" s="154"/>
      <c r="U41" s="566"/>
      <c r="X41" s="58"/>
      <c r="Y41" s="58"/>
      <c r="Z41" s="58"/>
    </row>
    <row r="42" spans="1:27" s="9" customFormat="1" ht="15.75" customHeight="1">
      <c r="A42" s="604"/>
      <c r="B42" s="566"/>
      <c r="C42" s="203"/>
      <c r="D42" s="1021" t="s">
        <v>99</v>
      </c>
      <c r="E42" s="220" t="s">
        <v>0</v>
      </c>
      <c r="F42" s="664"/>
      <c r="G42" s="687"/>
      <c r="H42" s="687"/>
      <c r="I42" s="182"/>
      <c r="J42" s="182"/>
      <c r="K42" s="182"/>
      <c r="L42" s="182"/>
      <c r="M42" s="182"/>
      <c r="N42" s="182"/>
      <c r="O42" s="182"/>
      <c r="P42" s="182"/>
      <c r="Q42" s="182"/>
      <c r="R42" s="182"/>
      <c r="S42" s="182"/>
      <c r="T42" s="154"/>
      <c r="U42" s="566"/>
      <c r="X42" s="58"/>
      <c r="Y42" s="147"/>
      <c r="Z42" s="58"/>
    </row>
    <row r="43" spans="1:27" s="66" customFormat="1" ht="30" customHeight="1">
      <c r="A43" s="605"/>
      <c r="B43" s="566"/>
      <c r="C43" s="202"/>
      <c r="D43" s="626" t="s">
        <v>198</v>
      </c>
      <c r="E43" s="196"/>
      <c r="F43" s="196"/>
      <c r="G43" s="196"/>
      <c r="H43" s="196"/>
      <c r="I43" s="196"/>
      <c r="J43" s="196"/>
      <c r="K43" s="196"/>
      <c r="L43" s="196"/>
      <c r="M43" s="196"/>
      <c r="N43" s="196"/>
      <c r="O43" s="196"/>
      <c r="P43" s="196"/>
      <c r="Q43" s="196"/>
      <c r="R43" s="196"/>
      <c r="S43" s="196"/>
      <c r="T43" s="201"/>
      <c r="U43" s="566"/>
      <c r="V43" s="161"/>
      <c r="W43" s="161"/>
      <c r="X43" s="32"/>
      <c r="Y43" s="32"/>
      <c r="Z43" s="55"/>
    </row>
    <row r="44" spans="1:27" s="66" customFormat="1" ht="15.75" customHeight="1">
      <c r="A44" s="605"/>
      <c r="B44" s="566"/>
      <c r="C44" s="202"/>
      <c r="D44" s="1235" t="s">
        <v>0</v>
      </c>
      <c r="E44" s="1236"/>
      <c r="F44" s="1236"/>
      <c r="G44" s="1236"/>
      <c r="H44" s="1236"/>
      <c r="I44" s="1236"/>
      <c r="J44" s="1236"/>
      <c r="K44" s="1236"/>
      <c r="L44" s="1236"/>
      <c r="M44" s="1236"/>
      <c r="N44" s="1236"/>
      <c r="O44" s="1236"/>
      <c r="P44" s="1236"/>
      <c r="Q44" s="1236"/>
      <c r="R44" s="1236"/>
      <c r="S44" s="1237"/>
      <c r="T44" s="201"/>
      <c r="U44" s="566"/>
      <c r="W44" s="161"/>
      <c r="X44" s="122"/>
      <c r="Y44" s="147"/>
      <c r="Z44" s="55"/>
    </row>
    <row r="45" spans="1:27" s="66" customFormat="1" ht="25.5" customHeight="1">
      <c r="A45" s="1089"/>
      <c r="B45" s="566"/>
      <c r="C45" s="202"/>
      <c r="D45" s="626" t="s">
        <v>266</v>
      </c>
      <c r="E45" s="196"/>
      <c r="F45" s="196"/>
      <c r="G45" s="196"/>
      <c r="H45" s="196"/>
      <c r="I45" s="196"/>
      <c r="J45" s="196"/>
      <c r="K45" s="196"/>
      <c r="L45" s="196"/>
      <c r="M45" s="196"/>
      <c r="N45" s="196"/>
      <c r="O45" s="196"/>
      <c r="P45" s="196"/>
      <c r="Q45" s="196"/>
      <c r="R45" s="196"/>
      <c r="S45" s="196"/>
      <c r="T45" s="201"/>
      <c r="U45" s="566"/>
      <c r="W45" s="161"/>
      <c r="X45" s="122"/>
      <c r="Y45" s="147"/>
      <c r="Z45" s="55"/>
    </row>
    <row r="46" spans="1:27" s="66" customFormat="1" ht="15.75" customHeight="1">
      <c r="A46" s="1089" t="s">
        <v>403</v>
      </c>
      <c r="B46" s="566"/>
      <c r="C46" s="202"/>
      <c r="D46" s="1317" t="s">
        <v>0</v>
      </c>
      <c r="E46" s="1318"/>
      <c r="F46" s="1318"/>
      <c r="G46" s="1318"/>
      <c r="H46" s="1318"/>
      <c r="I46" s="1318"/>
      <c r="J46" s="1318"/>
      <c r="K46" s="1318"/>
      <c r="L46" s="1318"/>
      <c r="M46" s="1318"/>
      <c r="N46" s="1318"/>
      <c r="O46" s="1318"/>
      <c r="P46" s="1318"/>
      <c r="Q46" s="1318"/>
      <c r="R46" s="1318"/>
      <c r="S46" s="1319"/>
      <c r="T46" s="201"/>
      <c r="U46" s="566"/>
      <c r="W46" s="161"/>
      <c r="X46" s="122"/>
      <c r="Y46" s="147"/>
      <c r="Z46" s="55"/>
    </row>
    <row r="47" spans="1:27">
      <c r="B47" s="566"/>
      <c r="C47" s="293"/>
      <c r="D47" s="294"/>
      <c r="E47" s="294"/>
      <c r="F47" s="294"/>
      <c r="G47" s="1209">
        <f ca="1">TODAY()</f>
        <v>41163</v>
      </c>
      <c r="H47" s="1209"/>
      <c r="I47" s="1209"/>
      <c r="J47" s="1209"/>
      <c r="K47" s="1209"/>
      <c r="L47" s="1209"/>
      <c r="M47" s="1209"/>
      <c r="N47" s="1209"/>
      <c r="O47" s="1209"/>
      <c r="P47" s="1209"/>
      <c r="Q47" s="1209"/>
      <c r="R47" s="1209"/>
      <c r="S47" s="1209"/>
      <c r="T47" s="1210"/>
      <c r="U47" s="566"/>
      <c r="X47" s="147"/>
      <c r="Y47" s="147"/>
      <c r="Z47" s="147"/>
    </row>
    <row r="48" spans="1:27">
      <c r="B48" s="566"/>
      <c r="C48" s="566"/>
      <c r="D48" s="566"/>
      <c r="E48" s="566"/>
      <c r="F48" s="566"/>
      <c r="G48" s="566"/>
      <c r="H48" s="566"/>
      <c r="I48" s="566"/>
      <c r="J48" s="566"/>
      <c r="K48" s="566"/>
      <c r="L48" s="566"/>
      <c r="M48" s="566"/>
      <c r="N48" s="566"/>
      <c r="O48" s="566"/>
      <c r="P48" s="566"/>
      <c r="Q48" s="566"/>
      <c r="R48" s="566"/>
      <c r="S48" s="566"/>
      <c r="T48" s="566"/>
      <c r="U48" s="566"/>
      <c r="X48" s="147"/>
      <c r="Y48" s="147"/>
      <c r="Z48" s="147"/>
    </row>
  </sheetData>
  <sheetProtection formatCells="0" formatRows="0" insertRows="0" insertHyperlinks="0"/>
  <mergeCells count="50">
    <mergeCell ref="Y35:Z35"/>
    <mergeCell ref="D23:Q23"/>
    <mergeCell ref="D24:S24"/>
    <mergeCell ref="D25:S25"/>
    <mergeCell ref="D31:S31"/>
    <mergeCell ref="D32:S32"/>
    <mergeCell ref="D33:S33"/>
    <mergeCell ref="D34:S34"/>
    <mergeCell ref="D30:J30"/>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J2:S2">
    <cfRule type="colorScale" priority="2">
      <colorScale>
        <cfvo type="num" val="0"/>
        <cfvo type="num" val="5"/>
        <cfvo type="num" val="10"/>
        <color rgb="FF00B050"/>
        <color rgb="FFFFFF00"/>
        <color rgb="FFFF0000"/>
      </colorScale>
    </cfRule>
  </conditionalFormatting>
  <conditionalFormatting sqref="L2">
    <cfRule type="expression" dxfId="212" priority="1" stopIfTrue="1">
      <formula>IF(AND(#REF!="H",$X2&lt;3),TRUE,)</formula>
    </cfRule>
  </conditionalFormatting>
  <dataValidations xWindow="888" yWindow="663"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93F90747F7BB478340E12CFEAC47B4" ma:contentTypeVersion="1" ma:contentTypeDescription="Create a new document." ma:contentTypeScope="" ma:versionID="30d740b73adb1d70e1821c552b52b3ce">
  <xsd:schema xmlns:xsd="http://www.w3.org/2001/XMLSchema" xmlns:xs="http://www.w3.org/2001/XMLSchema" xmlns:p="http://schemas.microsoft.com/office/2006/metadata/properties" xmlns:ns2="22801467-b7cf-474b-b3fc-89dd1358d1c1" targetNamespace="http://schemas.microsoft.com/office/2006/metadata/properties" ma:root="true" ma:fieldsID="2b546f727641aee67ffda00d041318ee" ns2:_="">
    <xsd:import namespace="22801467-b7cf-474b-b3fc-89dd1358d1c1"/>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801467-b7cf-474b-b3fc-89dd1358d1c1" elementFormDefault="qualified">
    <xsd:import namespace="http://schemas.microsoft.com/office/2006/documentManagement/types"/>
    <xsd:import namespace="http://schemas.microsoft.com/office/infopath/2007/PartnerControls"/>
    <xsd:element name="Topic" ma:index="8" nillable="true" ma:displayName="Topic" ma:format="RadioButtons" ma:internalName="Topic">
      <xsd:simpleType>
        <xsd:restriction base="dms:Choice">
          <xsd:enumeration value="Forms"/>
          <xsd:enumeration value="Gener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opic xmlns="22801467-b7cf-474b-b3fc-89dd1358d1c1">General</Topic>
  </documentManagement>
</p:properties>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A138E6CF-EEFA-4846-BFA4-48D5197C47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801467-b7cf-474b-b3fc-89dd1358d1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22801467-b7cf-474b-b3fc-89dd1358d1c1"/>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C.5Summary</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VANDEHEY Maggie</dc:creator>
  <cp:lastModifiedBy>GEberso</cp:lastModifiedBy>
  <cp:lastPrinted>2012-08-29T15:19:55Z</cp:lastPrinted>
  <dcterms:created xsi:type="dcterms:W3CDTF">2012-04-11T21:44:01Z</dcterms:created>
  <dcterms:modified xsi:type="dcterms:W3CDTF">2012-09-11T16:20:08Z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0x010100FE93F90747F7BB478340E12CFEAC47B4</vt:lpwstr>
  </property>
</Properties>
</file>