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ScheduleTasks!$B$2:$H$471</definedName>
    <definedName name="S.2ndHearingCity">ScheduleTasks!$D$256</definedName>
    <definedName name="S.2ndHearingDate">ScheduleTasks!$G$256</definedName>
    <definedName name="S.3rdHearingCity">ScheduleTasks!$D$257</definedName>
    <definedName name="S.3rdHearingDate">ScheduleTasks!$G$257</definedName>
    <definedName name="S.4thHearingCity">ScheduleTasks!$D$258</definedName>
    <definedName name="S.4thHearingDate">ScheduleTasks!$G$258</definedName>
    <definedName name="S.5thHearingCity">ScheduleTasks!$D$259</definedName>
    <definedName name="S.5thHearingDate">ScheduleTasks!$G$259</definedName>
    <definedName name="S.6thHearingCity">ScheduleTasks!$D$260</definedName>
    <definedName name="S.6thHearingDate">ScheduleTasks!$G$260</definedName>
    <definedName name="S.7thHearingCity">ScheduleTasks!$D$261</definedName>
    <definedName name="S.7thHearingDate">ScheduleTasks!$G$261</definedName>
    <definedName name="S.BANNER.AdvisoryCommitteeEnd">ScheduleTasks!$H$19</definedName>
    <definedName name="S.BANNER.AdvisoryCommitteeStart">ScheduleTasks!$G$19</definedName>
    <definedName name="S.BANNER.EQCEnd">ScheduleTasks!$H$394</definedName>
    <definedName name="S.BANNER.EQCStart">ScheduleTasks!$G$394</definedName>
    <definedName name="S.BANNER.FeeEnd">ScheduleTasks!$H$212</definedName>
    <definedName name="S.BANNER.FeeStart">ScheduleTasks!$G$212</definedName>
    <definedName name="S.BANNER.HearingEnd">ScheduleTasks!$H$343</definedName>
    <definedName name="S.BANNER.HearingStart">ScheduleTasks!$G$343</definedName>
    <definedName name="S.BANNER.NoticeEnd">ScheduleTasks!$H$252</definedName>
    <definedName name="S.BANNER.NoticeStart">ScheduleTasks!$G$252</definedName>
    <definedName name="S.BANNER.OverviewEnd">ScheduleTasks!$H$6</definedName>
    <definedName name="S.BANNER.OverviewStart">ScheduleTasks!$G$6</definedName>
    <definedName name="S.BANNER.PlanningEnd">ScheduleTasks!$H$45</definedName>
    <definedName name="S.BANNER.PlanningStart">ScheduleTasks!$G$45</definedName>
    <definedName name="S.BANNER.PostEQCEnd">ScheduleTasks!$H$441</definedName>
    <definedName name="S.BANNER.PostEQCStart">ScheduleTasks!$H$441</definedName>
    <definedName name="S.CloseComment">ScheduleTasks!$H$33</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ScheduleTasks!$H$248</definedName>
    <definedName name="S.FileRuleWithSOS">ScheduleTasks!$H$38</definedName>
    <definedName name="S.FirstHearingCity">ScheduleTasks!$D$255</definedName>
    <definedName name="S.FirstHearingDate">ScheduleTasks!$H$32</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ScheduleTasks!$AAJ$32</definedName>
    <definedName name="S.InvolveNotice">ScheduleTasks!$AAJ$30</definedName>
    <definedName name="S.InvolveSIP">ScheduleTasks!$AAJ$17</definedName>
    <definedName name="S.LastCellGantt">ScheduleTasks!#REF!</definedName>
    <definedName name="S.LastCellSchedule">ScheduleTasks!$H$471</definedName>
    <definedName name="S.LastHearingCity">ScheduleTasks!$D$262</definedName>
    <definedName name="S.LastHearingDate">ScheduleTasks!$G$262</definedName>
    <definedName name="S.MgrNoticeApproval">ScheduleTasks!$H$310</definedName>
    <definedName name="S.Pace">ScheduleTasks!$G$9</definedName>
    <definedName name="S.PostNoticeToRegistry">ScheduleTasks!$G$324</definedName>
    <definedName name="S.PublicNoticeInBulletin">ScheduleTasks!$H$30</definedName>
    <definedName name="S.RuleEffective">ScheduleTasks!$H$41</definedName>
    <definedName name="S.RuleType">ScheduleTasks!$AAJ$6</definedName>
    <definedName name="S.SipEnd">ScheduleTasks!$H$17</definedName>
    <definedName name="S.SIPStart">ScheduleTasks!$G$17</definedName>
    <definedName name="S.SubmitDASPart2">ScheduleTasks!$H$40</definedName>
    <definedName name="S.SubmitFeeToDAS">ScheduleTasks!$H$27</definedName>
    <definedName name="S.SubmitNoticeToEPA">ScheduleTasks!$H$26</definedName>
    <definedName name="S.SubmitNoticeToSOS">ScheduleTasks!$H$28</definedName>
    <definedName name="S.SubmitSIPToEPA.PostEQC">ScheduleTasks!$H$39</definedName>
    <definedName name="S.SubmitStaffRpt">ScheduleTasks!$H$35</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29" i="94"/>
  <c r="AAH29"/>
  <c r="AAE29"/>
  <c r="G29"/>
  <c r="F29"/>
  <c r="AAJ399" l="1"/>
  <c r="AAJ397"/>
  <c r="B397" s="1"/>
  <c r="AAL351"/>
  <c r="AAL350"/>
  <c r="AAL274"/>
  <c r="AAL216"/>
  <c r="AAL224"/>
  <c r="AAL223"/>
  <c r="AAL221"/>
  <c r="AAH40"/>
  <c r="AAH39"/>
  <c r="AAE401"/>
  <c r="AAL373"/>
  <c r="AAL290"/>
  <c r="G4"/>
  <c r="AAE419"/>
  <c r="AAJ418"/>
  <c r="AAJ416"/>
  <c r="B417" s="1"/>
  <c r="AAJ408"/>
  <c r="B408" s="1"/>
  <c r="AAL372"/>
  <c r="AAL380"/>
  <c r="AAL376"/>
  <c r="AAL445"/>
  <c r="AAL468"/>
  <c r="AAL467"/>
  <c r="AAL466"/>
  <c r="AAL464"/>
  <c r="AAL463"/>
  <c r="AAL459"/>
  <c r="AAL458"/>
  <c r="AAL457"/>
  <c r="AAL456"/>
  <c r="AAL455"/>
  <c r="AAL446"/>
  <c r="B445"/>
  <c r="AAL309"/>
  <c r="AAL454"/>
  <c r="AAL453"/>
  <c r="AAL452"/>
  <c r="AAL448"/>
  <c r="AAL447"/>
  <c r="AAL450"/>
  <c r="AAL283"/>
  <c r="AAL21" l="1"/>
  <c r="AAJ420"/>
  <c r="AAJ417"/>
  <c r="AAL378"/>
  <c r="AAL349"/>
  <c r="AAL339"/>
  <c r="AAL337"/>
  <c r="AAL335"/>
  <c r="AAL334"/>
  <c r="AAL332"/>
  <c r="AAL331"/>
  <c r="AAL323"/>
  <c r="AAL322"/>
  <c r="AAL321"/>
  <c r="AAL320"/>
  <c r="AAL319"/>
  <c r="AAL318"/>
  <c r="AAL317"/>
  <c r="AAL316"/>
  <c r="AAL287"/>
  <c r="AAL286"/>
  <c r="AAL285"/>
  <c r="AAL275"/>
  <c r="AAL451"/>
  <c r="AAL238"/>
  <c r="AAL222"/>
  <c r="AAL217"/>
  <c r="AAL66"/>
  <c r="AAL65"/>
  <c r="AAE85"/>
  <c r="AAE61"/>
  <c r="AAL293"/>
  <c r="AAL292"/>
  <c r="AAL308"/>
  <c r="AAL26" l="1"/>
  <c r="AAL27"/>
  <c r="AAL28"/>
  <c r="AAL32"/>
  <c r="G45"/>
  <c r="AAG45"/>
  <c r="J6"/>
  <c r="J5" s="1"/>
  <c r="J4" s="1"/>
  <c r="AAG21"/>
  <c r="AAK32"/>
  <c r="AAK6"/>
  <c r="AAK30"/>
  <c r="AAL15"/>
  <c r="B15" s="1"/>
  <c r="AAL30"/>
  <c r="AAG19"/>
  <c r="AAL17"/>
  <c r="AAL19"/>
  <c r="AAH262"/>
  <c r="AAH261"/>
  <c r="H261" s="1"/>
  <c r="AAH260"/>
  <c r="H260" s="1"/>
  <c r="AAH259"/>
  <c r="H259" s="1"/>
  <c r="AAH258"/>
  <c r="H258" s="1"/>
  <c r="AAH257"/>
  <c r="H257" s="1"/>
  <c r="AAH256"/>
  <c r="H256" s="1"/>
  <c r="AAE299"/>
  <c r="AAE63"/>
  <c r="AAE312"/>
  <c r="AAE457"/>
  <c r="AAE456"/>
  <c r="AAE413"/>
  <c r="AAE414"/>
  <c r="AAE406"/>
  <c r="AAE405"/>
  <c r="AAE404"/>
  <c r="AAE403"/>
  <c r="AAE402"/>
  <c r="AAE399"/>
  <c r="AAE388"/>
  <c r="AAE389"/>
  <c r="AAE390"/>
  <c r="AAE380"/>
  <c r="AAE381"/>
  <c r="AAE382"/>
  <c r="AAE383"/>
  <c r="AAE384"/>
  <c r="AAE385"/>
  <c r="AAE386"/>
  <c r="AAE387"/>
  <c r="AAE375"/>
  <c r="AAE376"/>
  <c r="AAE377"/>
  <c r="AAE378"/>
  <c r="AAE379"/>
  <c r="AAE374"/>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39"/>
  <c r="AAE338"/>
  <c r="AAE337"/>
  <c r="AAE336"/>
  <c r="AAE335"/>
  <c r="AAE334"/>
  <c r="AAE333"/>
  <c r="AAE332"/>
  <c r="AAE331"/>
  <c r="AAE330"/>
  <c r="AAE329"/>
  <c r="AAE328"/>
  <c r="AAE327"/>
  <c r="AAE325"/>
  <c r="AAE326"/>
  <c r="AAE324"/>
  <c r="AAE320"/>
  <c r="AAE319"/>
  <c r="AAE318"/>
  <c r="AAE317"/>
  <c r="AAE316"/>
  <c r="AAE315"/>
  <c r="AAE314"/>
  <c r="AAE313"/>
  <c r="AAE311"/>
  <c r="AAE310"/>
  <c r="AAE309"/>
  <c r="AAE308"/>
  <c r="AAE307"/>
  <c r="AAE306"/>
  <c r="AAE305"/>
  <c r="AAE304"/>
  <c r="AAE303"/>
  <c r="AAE302"/>
  <c r="AAE301"/>
  <c r="AAE300"/>
  <c r="AAE292"/>
  <c r="AAE290"/>
  <c r="AAE298"/>
  <c r="AAE297"/>
  <c r="AAE296"/>
  <c r="AAE295"/>
  <c r="AAE294"/>
  <c r="AAE293"/>
  <c r="AAE291"/>
  <c r="AAE289"/>
  <c r="AAE288"/>
  <c r="AAE287"/>
  <c r="AAE286"/>
  <c r="AAE283"/>
  <c r="AAE272"/>
  <c r="AAE273"/>
  <c r="AAE274"/>
  <c r="AAE275"/>
  <c r="AAE276"/>
  <c r="AAE277"/>
  <c r="AAE278"/>
  <c r="AAE279"/>
  <c r="AAE280"/>
  <c r="AAE281"/>
  <c r="AAE282"/>
  <c r="AAE284"/>
  <c r="AAE285"/>
  <c r="AAE265"/>
  <c r="AAE266"/>
  <c r="AAE267"/>
  <c r="AAE268"/>
  <c r="AAE269"/>
  <c r="AAE270"/>
  <c r="AAE271"/>
  <c r="AAE264"/>
  <c r="AAE263"/>
  <c r="AAE255"/>
  <c r="AAE256"/>
  <c r="AAE257"/>
  <c r="AAE258"/>
  <c r="AAE259"/>
  <c r="AAE260"/>
  <c r="AAE261"/>
  <c r="AAE262"/>
  <c r="AAE254"/>
  <c r="AAE86"/>
  <c r="AAE91"/>
  <c r="AAE92"/>
  <c r="AAE93"/>
  <c r="AAE94"/>
  <c r="AAE95"/>
  <c r="AAE96"/>
  <c r="AAE97"/>
  <c r="AAE98"/>
  <c r="AAE99"/>
  <c r="AAE100"/>
  <c r="AAE101"/>
  <c r="AAE102"/>
  <c r="AAE103"/>
  <c r="AAE104"/>
  <c r="AAE88"/>
  <c r="AAE89"/>
  <c r="AAE106"/>
  <c r="AAE107"/>
  <c r="AAE105"/>
  <c r="AAE90"/>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207"/>
  <c r="AAE39"/>
  <c r="AAE27"/>
  <c r="AAE25"/>
  <c r="AAE26"/>
  <c r="AAE31"/>
  <c r="AAE32"/>
  <c r="AAE33"/>
  <c r="AAE30"/>
  <c r="AAE28"/>
  <c r="AAE214"/>
  <c r="AAE62"/>
  <c r="AAE40"/>
  <c r="AAE23"/>
  <c r="AAE22"/>
  <c r="AAE455"/>
  <c r="AAE79"/>
  <c r="AAE78"/>
  <c r="AAE77"/>
  <c r="AAE76"/>
  <c r="AAE75"/>
  <c r="AAE74"/>
  <c r="AAE73"/>
  <c r="AAE72"/>
  <c r="AAE17"/>
  <c r="AAE19"/>
  <c r="AAE21"/>
  <c r="AAE15"/>
  <c r="AAE14"/>
  <c r="AAE13"/>
  <c r="AAJ12"/>
  <c r="AAL12" s="1"/>
  <c r="AAG6"/>
  <c r="K6" l="1"/>
  <c r="AAE12"/>
  <c r="H262"/>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10" s="1"/>
  <c r="B210"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1" i="94"/>
  <c r="B341" s="1"/>
  <c r="AAL33"/>
  <c r="B33" s="1"/>
  <c r="B40"/>
  <c r="AAL40"/>
  <c r="B30"/>
  <c r="AAL39"/>
  <c r="AAL25"/>
  <c r="B250" s="1"/>
  <c r="AAL22"/>
  <c r="B66"/>
  <c r="B65"/>
  <c r="H471"/>
  <c r="K5" l="1"/>
  <c r="K4"/>
  <c r="AAE217"/>
  <c r="AAE219"/>
  <c r="AAE216"/>
  <c r="AAE218"/>
  <c r="AAE215"/>
  <c r="L6"/>
  <c r="AAK27"/>
  <c r="AAK37" s="1"/>
  <c r="AAH11" s="1"/>
  <c r="AAL465"/>
  <c r="B465" s="1"/>
  <c r="AAL449"/>
  <c r="B449" s="1"/>
  <c r="AAL324"/>
  <c r="B321" s="1"/>
  <c r="AAL215"/>
  <c r="B215" s="1"/>
  <c r="AAL220"/>
  <c r="B220" s="1"/>
  <c r="AAE242"/>
  <c r="AAE244"/>
  <c r="AAE246"/>
  <c r="AAE248"/>
  <c r="AAE232"/>
  <c r="AAE234"/>
  <c r="AAE236"/>
  <c r="AAE238"/>
  <c r="AAE240"/>
  <c r="AAE222"/>
  <c r="AAE224"/>
  <c r="AAE226"/>
  <c r="AAE228"/>
  <c r="AAE230"/>
  <c r="AAE241"/>
  <c r="AAE243"/>
  <c r="AAE245"/>
  <c r="AAE247"/>
  <c r="AAE231"/>
  <c r="AAE233"/>
  <c r="AAE235"/>
  <c r="AAE237"/>
  <c r="AAE239"/>
  <c r="AAE221"/>
  <c r="AAE223"/>
  <c r="AAE225"/>
  <c r="AAE227"/>
  <c r="AAE229"/>
  <c r="AAE220"/>
  <c r="AAE323"/>
  <c r="AAE466"/>
  <c r="AAE468"/>
  <c r="AAE451"/>
  <c r="AAE449"/>
  <c r="AAE322"/>
  <c r="AAE321"/>
  <c r="AAE467"/>
  <c r="AAE465"/>
  <c r="AAE450"/>
  <c r="AAE452"/>
  <c r="AAP17"/>
  <c r="AAP20" s="1"/>
  <c r="AAQ17"/>
  <c r="AAQ20" s="1"/>
  <c r="AAR17"/>
  <c r="AAR20" s="1"/>
  <c r="AAS17"/>
  <c r="AAS20" s="1"/>
  <c r="AAS11" s="1"/>
  <c r="AAL5"/>
  <c r="D20" i="84"/>
  <c r="B12" i="94"/>
  <c r="B28"/>
  <c r="B39"/>
  <c r="AAL23"/>
  <c r="B23" s="1"/>
  <c r="B22"/>
  <c r="B27"/>
  <c r="B26"/>
  <c r="B25"/>
  <c r="AAL363"/>
  <c r="AAL254"/>
  <c r="B254" s="1"/>
  <c r="B32"/>
  <c r="H40" l="1"/>
  <c r="L4"/>
  <c r="L5"/>
  <c r="M6"/>
  <c r="F11"/>
  <c r="AAP11"/>
  <c r="AAR11"/>
  <c r="AAQ11"/>
  <c r="B373"/>
  <c r="B371"/>
  <c r="B370"/>
  <c r="B369"/>
  <c r="B368"/>
  <c r="B367"/>
  <c r="B366"/>
  <c r="B365"/>
  <c r="B364"/>
  <c r="B376"/>
  <c r="AAL206"/>
  <c r="AAL202"/>
  <c r="AAL191"/>
  <c r="G188"/>
  <c r="B206" s="1"/>
  <c r="AAL186"/>
  <c r="AAL182"/>
  <c r="AAL171"/>
  <c r="G168"/>
  <c r="B197" s="1"/>
  <c r="AAL166"/>
  <c r="AAL162"/>
  <c r="AAL151"/>
  <c r="G148"/>
  <c r="AAL146"/>
  <c r="AAL142"/>
  <c r="AAL131"/>
  <c r="G128"/>
  <c r="G108"/>
  <c r="B468"/>
  <c r="B467"/>
  <c r="B466"/>
  <c r="B451"/>
  <c r="B450"/>
  <c r="B418"/>
  <c r="B320"/>
  <c r="C75" i="84"/>
  <c r="B351" i="94"/>
  <c r="AAL122"/>
  <c r="AAL315"/>
  <c r="B19"/>
  <c r="B191" l="1"/>
  <c r="B202"/>
  <c r="B182"/>
  <c r="B186"/>
  <c r="B171"/>
  <c r="B177"/>
  <c r="B162"/>
  <c r="B166"/>
  <c r="B151"/>
  <c r="B157"/>
  <c r="B142"/>
  <c r="B146"/>
  <c r="B131"/>
  <c r="B137"/>
  <c r="B122"/>
  <c r="B126"/>
  <c r="B111"/>
  <c r="B117"/>
  <c r="G11"/>
  <c r="AAH35"/>
  <c r="H39"/>
  <c r="AAH38"/>
  <c r="H38" s="1"/>
  <c r="G38" s="1"/>
  <c r="AAI41"/>
  <c r="M5"/>
  <c r="N6"/>
  <c r="M4"/>
  <c r="G40"/>
  <c r="B21"/>
  <c r="B238"/>
  <c r="B225"/>
  <c r="B224"/>
  <c r="B223"/>
  <c r="B222"/>
  <c r="B218"/>
  <c r="B217"/>
  <c r="AAL291"/>
  <c r="B420"/>
  <c r="B419"/>
  <c r="AAJ400"/>
  <c r="B380"/>
  <c r="AAL288"/>
  <c r="AAL126"/>
  <c r="AAL111"/>
  <c r="G39" l="1"/>
  <c r="AAH17"/>
  <c r="N5"/>
  <c r="O6"/>
  <c r="N4"/>
  <c r="B378"/>
  <c r="B372"/>
  <c r="B363"/>
  <c r="B352"/>
  <c r="B350"/>
  <c r="B339"/>
  <c r="B337"/>
  <c r="B322"/>
  <c r="B319"/>
  <c r="B335"/>
  <c r="B334"/>
  <c r="B332"/>
  <c r="B331"/>
  <c r="B330"/>
  <c r="B323"/>
  <c r="B318"/>
  <c r="B317"/>
  <c r="B316"/>
  <c r="B287"/>
  <c r="B286"/>
  <c r="B285"/>
  <c r="B275"/>
  <c r="B274"/>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2"/>
  <c r="G252" s="1"/>
  <c r="AAG272" s="1"/>
  <c r="G272" s="1"/>
  <c r="ABB5"/>
  <c r="AAO9"/>
  <c r="AAW15"/>
  <c r="AAW17"/>
  <c r="AAW19"/>
  <c r="AAW18"/>
  <c r="Q5" l="1"/>
  <c r="R6"/>
  <c r="Q4"/>
  <c r="AAG263"/>
  <c r="AAG48"/>
  <c r="G48" s="1"/>
  <c r="G263" l="1"/>
  <c r="AAH263" s="1"/>
  <c r="H263" s="1"/>
  <c r="R5"/>
  <c r="S6"/>
  <c r="R4"/>
  <c r="AAH48"/>
  <c r="E263" l="1"/>
  <c r="AAG265"/>
  <c r="G265" s="1"/>
  <c r="F263"/>
  <c r="S5"/>
  <c r="T6"/>
  <c r="S4"/>
  <c r="H48"/>
  <c r="AAG49" s="1"/>
  <c r="G49" s="1"/>
  <c r="AAH49" s="1"/>
  <c r="AAH265"/>
  <c r="H265" s="1"/>
  <c r="E265" s="1"/>
  <c r="E48" l="1"/>
  <c r="T5"/>
  <c r="U6"/>
  <c r="T4"/>
  <c r="F48"/>
  <c r="H49"/>
  <c r="E49" s="1"/>
  <c r="F265"/>
  <c r="AAG266"/>
  <c r="G266" s="1"/>
  <c r="U5" l="1"/>
  <c r="V6"/>
  <c r="U4"/>
  <c r="F49"/>
  <c r="AAG50"/>
  <c r="G50" s="1"/>
  <c r="AAH50" s="1"/>
  <c r="AAH266"/>
  <c r="H266" s="1"/>
  <c r="E266" s="1"/>
  <c r="V5" l="1"/>
  <c r="W6"/>
  <c r="V4"/>
  <c r="H50"/>
  <c r="E50" s="1"/>
  <c r="F266"/>
  <c r="AAG267"/>
  <c r="G267" s="1"/>
  <c r="W5" l="1"/>
  <c r="X6"/>
  <c r="W4"/>
  <c r="AAG51"/>
  <c r="G51" s="1"/>
  <c r="AAH51" s="1"/>
  <c r="H51" s="1"/>
  <c r="E51" s="1"/>
  <c r="F50"/>
  <c r="AAH267"/>
  <c r="H267" s="1"/>
  <c r="E267" s="1"/>
  <c r="X5" l="1"/>
  <c r="Y6"/>
  <c r="X4"/>
  <c r="F51"/>
  <c r="AAG68"/>
  <c r="G68" s="1"/>
  <c r="F267"/>
  <c r="AAG268"/>
  <c r="G268" s="1"/>
  <c r="Y5" l="1"/>
  <c r="Z6"/>
  <c r="Y4"/>
  <c r="AAH68"/>
  <c r="AAH268"/>
  <c r="H268" s="1"/>
  <c r="E268" s="1"/>
  <c r="Z5" l="1"/>
  <c r="AA6"/>
  <c r="Z4"/>
  <c r="H68"/>
  <c r="E68" s="1"/>
  <c r="F268"/>
  <c r="AAG269"/>
  <c r="G269" s="1"/>
  <c r="F68" l="1"/>
  <c r="AAG69"/>
  <c r="G69" s="1"/>
  <c r="AAH69" s="1"/>
  <c r="H69" s="1"/>
  <c r="AA5"/>
  <c r="AB6"/>
  <c r="AA4"/>
  <c r="AAH269"/>
  <c r="H269" s="1"/>
  <c r="E269" s="1"/>
  <c r="AB5" l="1"/>
  <c r="AC6"/>
  <c r="AB4"/>
  <c r="AAG70"/>
  <c r="G70" s="1"/>
  <c r="AAH70" s="1"/>
  <c r="F69"/>
  <c r="E69"/>
  <c r="F269"/>
  <c r="AAG270"/>
  <c r="G270" s="1"/>
  <c r="AC5" l="1"/>
  <c r="AD6"/>
  <c r="AC4"/>
  <c r="H70"/>
  <c r="E70" s="1"/>
  <c r="AAH270"/>
  <c r="H270" s="1"/>
  <c r="E270" s="1"/>
  <c r="AD5" l="1"/>
  <c r="AE6"/>
  <c r="AD4"/>
  <c r="AAG71"/>
  <c r="G71" s="1"/>
  <c r="AAH71" s="1"/>
  <c r="F70"/>
  <c r="F270"/>
  <c r="AE5" l="1"/>
  <c r="AF6"/>
  <c r="AE4"/>
  <c r="H71"/>
  <c r="E71" s="1"/>
  <c r="AAG289"/>
  <c r="G289" s="1"/>
  <c r="AAG287"/>
  <c r="G287" s="1"/>
  <c r="AAG277"/>
  <c r="AAG275"/>
  <c r="G275" s="1"/>
  <c r="AAG288"/>
  <c r="G288" s="1"/>
  <c r="AAG286"/>
  <c r="G286" s="1"/>
  <c r="AAG285"/>
  <c r="G285" s="1"/>
  <c r="AAG276"/>
  <c r="G276" s="1"/>
  <c r="AAG274"/>
  <c r="F71"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AAG437"/>
  <c r="B446"/>
  <c r="AAG461"/>
  <c r="G461" s="1"/>
  <c r="AAH36"/>
  <c r="H36" s="1"/>
  <c r="AAH30"/>
  <c r="AAH32" s="1"/>
  <c r="AAH394"/>
  <c r="H394" s="1"/>
  <c r="AAH431"/>
  <c r="H431" s="1"/>
  <c r="AAH437"/>
  <c r="H437" s="1"/>
  <c r="AAG444"/>
  <c r="G444" s="1"/>
  <c r="H35"/>
  <c r="AAH19"/>
  <c r="H19" s="1"/>
  <c r="AAG13"/>
  <c r="G13" s="1"/>
  <c r="AAG15"/>
  <c r="G15" s="1"/>
  <c r="ABB19"/>
  <c r="ABD19" s="1"/>
  <c r="AAG14"/>
  <c r="G14" s="1"/>
  <c r="F40"/>
  <c r="AAH441"/>
  <c r="H441" s="1"/>
  <c r="AAH424" l="1"/>
  <c r="AAH422"/>
  <c r="AAH425"/>
  <c r="AAH423"/>
  <c r="AAH428"/>
  <c r="G35"/>
  <c r="AAH387"/>
  <c r="H387" s="1"/>
  <c r="AAH386"/>
  <c r="H386" s="1"/>
  <c r="AAH385"/>
  <c r="H385" s="1"/>
  <c r="AAH384"/>
  <c r="H384" s="1"/>
  <c r="AAH383"/>
  <c r="H383" s="1"/>
  <c r="AAH382"/>
  <c r="H382" s="1"/>
  <c r="AAH381"/>
  <c r="H381" s="1"/>
  <c r="BU6"/>
  <c r="BU5" s="1"/>
  <c r="BT4"/>
  <c r="F36"/>
  <c r="G36"/>
  <c r="AAH83"/>
  <c r="H83"/>
  <c r="AAH14"/>
  <c r="AAH15"/>
  <c r="H15" s="1"/>
  <c r="AAH13"/>
  <c r="H13" s="1"/>
  <c r="AAH454"/>
  <c r="H454" s="1"/>
  <c r="F454" s="1"/>
  <c r="AAH6"/>
  <c r="F431"/>
  <c r="AAG433"/>
  <c r="G433" s="1"/>
  <c r="AAH41"/>
  <c r="H41" s="1"/>
  <c r="G41" s="1"/>
  <c r="AAH461"/>
  <c r="H461" s="1"/>
  <c r="F461" s="1"/>
  <c r="F38"/>
  <c r="AAH462"/>
  <c r="H462" s="1"/>
  <c r="F462" s="1"/>
  <c r="F39"/>
  <c r="H17"/>
  <c r="E17" s="1"/>
  <c r="F441"/>
  <c r="AAH377"/>
  <c r="H377" s="1"/>
  <c r="AAG456"/>
  <c r="G456" s="1"/>
  <c r="AAH378"/>
  <c r="H378" s="1"/>
  <c r="AAG453"/>
  <c r="G453" s="1"/>
  <c r="AAG441"/>
  <c r="G441" s="1"/>
  <c r="AAH430"/>
  <c r="H430" s="1"/>
  <c r="F430" s="1"/>
  <c r="AAG458"/>
  <c r="G458" s="1"/>
  <c r="AAG454"/>
  <c r="G454" s="1"/>
  <c r="F35"/>
  <c r="AAH465"/>
  <c r="H465" s="1"/>
  <c r="AAH396"/>
  <c r="H396" s="1"/>
  <c r="AAH343"/>
  <c r="H343" s="1"/>
  <c r="AAH407"/>
  <c r="H407" s="1"/>
  <c r="AAG457"/>
  <c r="G457" s="1"/>
  <c r="AAH416"/>
  <c r="H416" s="1"/>
  <c r="AAH429"/>
  <c r="H429" s="1"/>
  <c r="AAG470"/>
  <c r="G470" s="1"/>
  <c r="AAG455"/>
  <c r="G455" s="1"/>
  <c r="AAG459"/>
  <c r="G459" s="1"/>
  <c r="AAH444"/>
  <c r="H444" s="1"/>
  <c r="F444" s="1"/>
  <c r="ABB18"/>
  <c r="AAH455"/>
  <c r="H455" s="1"/>
  <c r="F455" s="1"/>
  <c r="AAH470"/>
  <c r="H470" s="1"/>
  <c r="F470" s="1"/>
  <c r="AAH457"/>
  <c r="H457" s="1"/>
  <c r="F457" s="1"/>
  <c r="ABC19"/>
  <c r="AAH453"/>
  <c r="H453" s="1"/>
  <c r="F453" s="1"/>
  <c r="AAH459"/>
  <c r="H459" s="1"/>
  <c r="F459" s="1"/>
  <c r="AAZ19"/>
  <c r="AAH456"/>
  <c r="H456" s="1"/>
  <c r="F456" s="1"/>
  <c r="AAH458"/>
  <c r="H458" s="1"/>
  <c r="F458" s="1"/>
  <c r="AAG387" l="1"/>
  <c r="G387" s="1"/>
  <c r="AAG386"/>
  <c r="G386" s="1"/>
  <c r="AAG385"/>
  <c r="G385" s="1"/>
  <c r="AAG384"/>
  <c r="G384" s="1"/>
  <c r="AAG383"/>
  <c r="G383" s="1"/>
  <c r="AAG382"/>
  <c r="G382" s="1"/>
  <c r="E382" s="1"/>
  <c r="AAG381"/>
  <c r="G381" s="1"/>
  <c r="E381" s="1"/>
  <c r="AAH315"/>
  <c r="BV6"/>
  <c r="BV5" s="1"/>
  <c r="BU4"/>
  <c r="AAH45"/>
  <c r="H45" s="1"/>
  <c r="F45" s="1"/>
  <c r="F15"/>
  <c r="AAI13"/>
  <c r="D13" s="1"/>
  <c r="F14"/>
  <c r="AAI15"/>
  <c r="D15" s="1"/>
  <c r="AAI14"/>
  <c r="D14" s="1"/>
  <c r="AAI30"/>
  <c r="D30" s="1"/>
  <c r="E454"/>
  <c r="E444"/>
  <c r="E455"/>
  <c r="E457"/>
  <c r="AAG378"/>
  <c r="AAH28"/>
  <c r="H315"/>
  <c r="F315" s="1"/>
  <c r="F30"/>
  <c r="E453"/>
  <c r="AAZ18"/>
  <c r="ABD18"/>
  <c r="ABB17" s="1"/>
  <c r="F429"/>
  <c r="AAG429"/>
  <c r="G429" s="1"/>
  <c r="E429" s="1"/>
  <c r="AAG430"/>
  <c r="G430" s="1"/>
  <c r="E430" s="1"/>
  <c r="F378"/>
  <c r="F377"/>
  <c r="F17"/>
  <c r="F41"/>
  <c r="AAG462"/>
  <c r="G462" s="1"/>
  <c r="E462" s="1"/>
  <c r="AAH4"/>
  <c r="F465"/>
  <c r="AAY19"/>
  <c r="AAX19" s="1"/>
  <c r="ABA19"/>
  <c r="AAV19" s="1"/>
  <c r="F382"/>
  <c r="F416"/>
  <c r="F407"/>
  <c r="F396"/>
  <c r="F381"/>
  <c r="AAH433"/>
  <c r="H433" s="1"/>
  <c r="E433" s="1"/>
  <c r="E459"/>
  <c r="E470"/>
  <c r="E458"/>
  <c r="E456"/>
  <c r="E461"/>
  <c r="G378" l="1"/>
  <c r="E378" s="1"/>
  <c r="BW6"/>
  <c r="BW5" s="1"/>
  <c r="BV4"/>
  <c r="AAH345"/>
  <c r="H345" s="1"/>
  <c r="F345" s="1"/>
  <c r="G32"/>
  <c r="AAG333"/>
  <c r="G333" s="1"/>
  <c r="F13"/>
  <c r="AAG255"/>
  <c r="G255" s="1"/>
  <c r="AAG257" s="1"/>
  <c r="G257" s="1"/>
  <c r="F32"/>
  <c r="AAH348"/>
  <c r="H348" s="1"/>
  <c r="F348" s="1"/>
  <c r="G364"/>
  <c r="AAH26"/>
  <c r="G26" s="1"/>
  <c r="H364"/>
  <c r="F364" s="1"/>
  <c r="G19"/>
  <c r="ABD17"/>
  <c r="ABC17" s="1"/>
  <c r="AAZ17"/>
  <c r="F433"/>
  <c r="AAG434"/>
  <c r="G434" s="1"/>
  <c r="H422"/>
  <c r="ABA18"/>
  <c r="AAV18" s="1"/>
  <c r="AAY18"/>
  <c r="AAX18" s="1"/>
  <c r="ABC18"/>
  <c r="AAG423" l="1"/>
  <c r="G423" s="1"/>
  <c r="AAH449"/>
  <c r="H449" s="1"/>
  <c r="F449" s="1"/>
  <c r="AAG324"/>
  <c r="G324" s="1"/>
  <c r="AAG377" s="1"/>
  <c r="G377" s="1"/>
  <c r="E377" s="1"/>
  <c r="AAH215"/>
  <c r="H215" s="1"/>
  <c r="F215" s="1"/>
  <c r="AAG315"/>
  <c r="G315" s="1"/>
  <c r="E315" s="1"/>
  <c r="AAG302"/>
  <c r="G302" s="1"/>
  <c r="AAG301" s="1"/>
  <c r="G301" s="1"/>
  <c r="AAH313"/>
  <c r="AAG311"/>
  <c r="AAG260"/>
  <c r="G260" s="1"/>
  <c r="H369" s="1"/>
  <c r="F369" s="1"/>
  <c r="AAG256"/>
  <c r="G256" s="1"/>
  <c r="G365" s="1"/>
  <c r="F26"/>
  <c r="AAG262"/>
  <c r="G262" s="1"/>
  <c r="AAH33" s="1"/>
  <c r="G33" s="1"/>
  <c r="AAG259"/>
  <c r="G259" s="1"/>
  <c r="H368" s="1"/>
  <c r="F368" s="1"/>
  <c r="AAG394"/>
  <c r="G394" s="1"/>
  <c r="F28"/>
  <c r="AAG261"/>
  <c r="G261" s="1"/>
  <c r="H370" s="1"/>
  <c r="F370" s="1"/>
  <c r="AAG258"/>
  <c r="G258" s="1"/>
  <c r="H367" s="1"/>
  <c r="F367" s="1"/>
  <c r="AAG343"/>
  <c r="G343" s="1"/>
  <c r="F343" s="1"/>
  <c r="AAH220"/>
  <c r="H220" s="1"/>
  <c r="F220" s="1"/>
  <c r="AAH212"/>
  <c r="H212" s="1"/>
  <c r="AAH21" s="1"/>
  <c r="H21" s="1"/>
  <c r="BX6"/>
  <c r="BX5" s="1"/>
  <c r="BW4"/>
  <c r="AAH27"/>
  <c r="H27" s="1"/>
  <c r="AAH238" s="1"/>
  <c r="H238" s="1"/>
  <c r="G28"/>
  <c r="E19"/>
  <c r="AAG83"/>
  <c r="AAG86" s="1"/>
  <c r="AAG79"/>
  <c r="G79" s="1"/>
  <c r="AAH72"/>
  <c r="H72" s="1"/>
  <c r="AAH79"/>
  <c r="H79" s="1"/>
  <c r="F79" s="1"/>
  <c r="E364"/>
  <c r="H366"/>
  <c r="F366" s="1"/>
  <c r="G366"/>
  <c r="AAG431"/>
  <c r="G431" s="1"/>
  <c r="E431" s="1"/>
  <c r="G83"/>
  <c r="F83" s="1"/>
  <c r="F19"/>
  <c r="AAH333"/>
  <c r="H333" s="1"/>
  <c r="F333" s="1"/>
  <c r="G21"/>
  <c r="AAG212" s="1"/>
  <c r="ABB15"/>
  <c r="AAZ15" s="1"/>
  <c r="F383"/>
  <c r="F422"/>
  <c r="AAH434"/>
  <c r="H434" s="1"/>
  <c r="F434" s="1"/>
  <c r="AAY17"/>
  <c r="AAX17" s="1"/>
  <c r="ABA17"/>
  <c r="AAV17" s="1"/>
  <c r="E383"/>
  <c r="H371" l="1"/>
  <c r="F371" s="1"/>
  <c r="G371"/>
  <c r="E371" s="1"/>
  <c r="F27"/>
  <c r="F394"/>
  <c r="AAG416"/>
  <c r="G416" s="1"/>
  <c r="E416" s="1"/>
  <c r="AAG396"/>
  <c r="G396" s="1"/>
  <c r="AAG407"/>
  <c r="G407" s="1"/>
  <c r="E407" s="1"/>
  <c r="AAH324"/>
  <c r="H324" s="1"/>
  <c r="F324" s="1"/>
  <c r="G368"/>
  <c r="G369"/>
  <c r="E369" s="1"/>
  <c r="G370"/>
  <c r="H365"/>
  <c r="F365" s="1"/>
  <c r="G367"/>
  <c r="E367" s="1"/>
  <c r="AAG373"/>
  <c r="G373" s="1"/>
  <c r="AAG372"/>
  <c r="G372" s="1"/>
  <c r="AAG310"/>
  <c r="G311"/>
  <c r="AAG226"/>
  <c r="G226" s="1"/>
  <c r="AAH226" s="1"/>
  <c r="H226" s="1"/>
  <c r="AAG227" s="1"/>
  <c r="G227" s="1"/>
  <c r="AAH227" s="1"/>
  <c r="H227" s="1"/>
  <c r="AAG345"/>
  <c r="G345" s="1"/>
  <c r="E345" s="1"/>
  <c r="AAG348"/>
  <c r="G348" s="1"/>
  <c r="E348" s="1"/>
  <c r="G27"/>
  <c r="AAG238"/>
  <c r="G238" s="1"/>
  <c r="E238" s="1"/>
  <c r="BY6"/>
  <c r="BY5" s="1"/>
  <c r="BX4"/>
  <c r="E79"/>
  <c r="F72"/>
  <c r="E72"/>
  <c r="E365"/>
  <c r="E366"/>
  <c r="AAG374"/>
  <c r="AAH252"/>
  <c r="H252" s="1"/>
  <c r="F252" s="1"/>
  <c r="H374"/>
  <c r="AAH372"/>
  <c r="H372" s="1"/>
  <c r="F372" s="1"/>
  <c r="AAH373"/>
  <c r="H373" s="1"/>
  <c r="F373" s="1"/>
  <c r="F33"/>
  <c r="E370"/>
  <c r="E368"/>
  <c r="ABD15"/>
  <c r="ABC15" s="1"/>
  <c r="E21"/>
  <c r="F21"/>
  <c r="F226"/>
  <c r="E434"/>
  <c r="E324"/>
  <c r="E333"/>
  <c r="H423"/>
  <c r="ABA15"/>
  <c r="AAV15" s="1"/>
  <c r="AAY15"/>
  <c r="AAX15" s="1"/>
  <c r="G310" l="1"/>
  <c r="AAH307" s="1"/>
  <c r="AAG354"/>
  <c r="G354" s="1"/>
  <c r="AAH354" s="1"/>
  <c r="H354" s="1"/>
  <c r="F354" s="1"/>
  <c r="E226"/>
  <c r="E396"/>
  <c r="AAG422"/>
  <c r="G422" s="1"/>
  <c r="E422" s="1"/>
  <c r="E423"/>
  <c r="AAG424"/>
  <c r="AAH310"/>
  <c r="AAG313"/>
  <c r="G313" s="1"/>
  <c r="AAG239"/>
  <c r="G239" s="1"/>
  <c r="AAH239" s="1"/>
  <c r="H239" s="1"/>
  <c r="E239" s="1"/>
  <c r="F238"/>
  <c r="BZ6"/>
  <c r="BZ5" s="1"/>
  <c r="BY4"/>
  <c r="E372"/>
  <c r="E373"/>
  <c r="E227"/>
  <c r="AAG228"/>
  <c r="G228" s="1"/>
  <c r="AAH228" s="1"/>
  <c r="H228" s="1"/>
  <c r="F227"/>
  <c r="AAG355"/>
  <c r="G355" s="1"/>
  <c r="AAH355" s="1"/>
  <c r="H355" s="1"/>
  <c r="G86"/>
  <c r="F384"/>
  <c r="F423"/>
  <c r="G424"/>
  <c r="E384"/>
  <c r="E354" l="1"/>
  <c r="F239"/>
  <c r="AAG240"/>
  <c r="G240" s="1"/>
  <c r="AAH240" s="1"/>
  <c r="H240" s="1"/>
  <c r="AAG242" s="1"/>
  <c r="G242" s="1"/>
  <c r="AAH242" s="1"/>
  <c r="H242" s="1"/>
  <c r="CA6"/>
  <c r="CA5" s="1"/>
  <c r="BZ4"/>
  <c r="AAH86"/>
  <c r="H86" s="1"/>
  <c r="E86" s="1"/>
  <c r="E355"/>
  <c r="AAG356"/>
  <c r="G356" s="1"/>
  <c r="AAH356" s="1"/>
  <c r="H356" s="1"/>
  <c r="F355"/>
  <c r="E228"/>
  <c r="AAG229"/>
  <c r="G229" s="1"/>
  <c r="F228"/>
  <c r="H424"/>
  <c r="E385"/>
  <c r="E424" l="1"/>
  <c r="AAG425"/>
  <c r="E240"/>
  <c r="F240"/>
  <c r="CB6"/>
  <c r="CB5" s="1"/>
  <c r="CA4"/>
  <c r="AAH229"/>
  <c r="H229" s="1"/>
  <c r="E229" s="1"/>
  <c r="F86"/>
  <c r="AAG91"/>
  <c r="G91" s="1"/>
  <c r="E242"/>
  <c r="AAG243"/>
  <c r="G243" s="1"/>
  <c r="AAH243" s="1"/>
  <c r="H243" s="1"/>
  <c r="F242"/>
  <c r="E356"/>
  <c r="AAG357"/>
  <c r="G357" s="1"/>
  <c r="AAH357" s="1"/>
  <c r="H357" s="1"/>
  <c r="F356"/>
  <c r="F385"/>
  <c r="F424"/>
  <c r="G425"/>
  <c r="CC6" l="1"/>
  <c r="CC5" s="1"/>
  <c r="CB4"/>
  <c r="E357"/>
  <c r="AAG358"/>
  <c r="G358" s="1"/>
  <c r="AAH358" s="1"/>
  <c r="H358" s="1"/>
  <c r="F357"/>
  <c r="AAG230"/>
  <c r="G230" s="1"/>
  <c r="AAH230" s="1"/>
  <c r="H230" s="1"/>
  <c r="F229"/>
  <c r="E243"/>
  <c r="F243"/>
  <c r="AAG244"/>
  <c r="G244" s="1"/>
  <c r="AAH244" s="1"/>
  <c r="H244" s="1"/>
  <c r="AAH91"/>
  <c r="H91" s="1"/>
  <c r="E386"/>
  <c r="H425"/>
  <c r="AAG428" s="1"/>
  <c r="CD6" l="1"/>
  <c r="CD5" s="1"/>
  <c r="CC4"/>
  <c r="AAG92"/>
  <c r="G92" s="1"/>
  <c r="F91"/>
  <c r="E244"/>
  <c r="F244"/>
  <c r="AAG245"/>
  <c r="G245" s="1"/>
  <c r="AAH245" s="1"/>
  <c r="H245" s="1"/>
  <c r="AAH272"/>
  <c r="H272" s="1"/>
  <c r="E230"/>
  <c r="AAG234"/>
  <c r="G234" s="1"/>
  <c r="AAH234" s="1"/>
  <c r="H234" s="1"/>
  <c r="F230"/>
  <c r="E358"/>
  <c r="F358"/>
  <c r="AAG361"/>
  <c r="G361" s="1"/>
  <c r="E91"/>
  <c r="F425"/>
  <c r="F386"/>
  <c r="E425"/>
  <c r="AAH288" l="1"/>
  <c r="H288" s="1"/>
  <c r="AAH276"/>
  <c r="H276" s="1"/>
  <c r="F272"/>
  <c r="AAH275"/>
  <c r="AAH286"/>
  <c r="AAH274"/>
  <c r="AAH277"/>
  <c r="H277" s="1"/>
  <c r="AAH287"/>
  <c r="AAH285"/>
  <c r="AAH289"/>
  <c r="E272"/>
  <c r="CE6"/>
  <c r="CE5" s="1"/>
  <c r="CD4"/>
  <c r="AAH301"/>
  <c r="H301" s="1"/>
  <c r="E301" s="1"/>
  <c r="E245"/>
  <c r="AAG248"/>
  <c r="G248" s="1"/>
  <c r="F245"/>
  <c r="AAH92"/>
  <c r="H92" s="1"/>
  <c r="E92" s="1"/>
  <c r="AAH361"/>
  <c r="H361" s="1"/>
  <c r="F361" s="1"/>
  <c r="E234"/>
  <c r="AAG235"/>
  <c r="G235" s="1"/>
  <c r="F234"/>
  <c r="E387"/>
  <c r="H285" l="1"/>
  <c r="F285" s="1"/>
  <c r="F288"/>
  <c r="E288"/>
  <c r="H289"/>
  <c r="E289" s="1"/>
  <c r="E276"/>
  <c r="F276"/>
  <c r="H275"/>
  <c r="F275" s="1"/>
  <c r="H286"/>
  <c r="E286" s="1"/>
  <c r="F274"/>
  <c r="E274"/>
  <c r="E277"/>
  <c r="F277"/>
  <c r="H287"/>
  <c r="E287" s="1"/>
  <c r="CF6"/>
  <c r="CF5" s="1"/>
  <c r="CE4"/>
  <c r="E361"/>
  <c r="F301"/>
  <c r="AAH235"/>
  <c r="H235" s="1"/>
  <c r="F235" s="1"/>
  <c r="F92"/>
  <c r="AAG93"/>
  <c r="G93" s="1"/>
  <c r="AAH248"/>
  <c r="H248" s="1"/>
  <c r="F248" s="1"/>
  <c r="F387"/>
  <c r="AAG390"/>
  <c r="G390" s="1"/>
  <c r="E285" l="1"/>
  <c r="E275"/>
  <c r="F287"/>
  <c r="F286"/>
  <c r="AAG295"/>
  <c r="G295" s="1"/>
  <c r="F289"/>
  <c r="CG6"/>
  <c r="CG5" s="1"/>
  <c r="CF4"/>
  <c r="AAH93"/>
  <c r="H93" s="1"/>
  <c r="E93" s="1"/>
  <c r="E248"/>
  <c r="E235"/>
  <c r="AAH390"/>
  <c r="H390" s="1"/>
  <c r="F390" s="1"/>
  <c r="AAH295" l="1"/>
  <c r="H295" s="1"/>
  <c r="CH6"/>
  <c r="CH5" s="1"/>
  <c r="CG4"/>
  <c r="AAG95"/>
  <c r="G95" s="1"/>
  <c r="F93"/>
  <c r="E390"/>
  <c r="AAG296" l="1"/>
  <c r="G296" s="1"/>
  <c r="F295"/>
  <c r="E295"/>
  <c r="CI6"/>
  <c r="CI5" s="1"/>
  <c r="CH4"/>
  <c r="AAH95"/>
  <c r="H95" s="1"/>
  <c r="E95" s="1"/>
  <c r="G428"/>
  <c r="AAH296" l="1"/>
  <c r="H296" s="1"/>
  <c r="E296" s="1"/>
  <c r="CJ6"/>
  <c r="CJ5" s="1"/>
  <c r="CI4"/>
  <c r="AAG96"/>
  <c r="G96" s="1"/>
  <c r="F95"/>
  <c r="H428"/>
  <c r="F428" s="1"/>
  <c r="F296" l="1"/>
  <c r="AAG297"/>
  <c r="G297" s="1"/>
  <c r="CK6"/>
  <c r="CK5" s="1"/>
  <c r="CJ4"/>
  <c r="AAH96"/>
  <c r="H96" s="1"/>
  <c r="E96" s="1"/>
  <c r="E428"/>
  <c r="AAH297" l="1"/>
  <c r="H297" s="1"/>
  <c r="E297" s="1"/>
  <c r="CL6"/>
  <c r="CL5" s="1"/>
  <c r="CK4"/>
  <c r="F96"/>
  <c r="AAG97"/>
  <c r="G97" s="1"/>
  <c r="F297" l="1"/>
  <c r="AAG298"/>
  <c r="G298" s="1"/>
  <c r="H310"/>
  <c r="CM6"/>
  <c r="CM5" s="1"/>
  <c r="CL4"/>
  <c r="AAH97"/>
  <c r="H97" s="1"/>
  <c r="E97" s="1"/>
  <c r="AAH298" l="1"/>
  <c r="H298" s="1"/>
  <c r="F298" s="1"/>
  <c r="AAG308"/>
  <c r="AAH308"/>
  <c r="H308" s="1"/>
  <c r="F308" s="1"/>
  <c r="E310"/>
  <c r="F310"/>
  <c r="AAH311"/>
  <c r="H311" s="1"/>
  <c r="CN6"/>
  <c r="CN5" s="1"/>
  <c r="CM4"/>
  <c r="F97"/>
  <c r="AAG98"/>
  <c r="G98" s="1"/>
  <c r="E298" l="1"/>
  <c r="G308"/>
  <c r="E308" s="1"/>
  <c r="AAG309"/>
  <c r="G309" s="1"/>
  <c r="E311"/>
  <c r="F311"/>
  <c r="AAG312"/>
  <c r="G312" s="1"/>
  <c r="AAH312" s="1"/>
  <c r="H312" s="1"/>
  <c r="CO6"/>
  <c r="CO5" s="1"/>
  <c r="CN4"/>
  <c r="AAH98"/>
  <c r="H98" s="1"/>
  <c r="E98" s="1"/>
  <c r="AAH309" l="1"/>
  <c r="H309" s="1"/>
  <c r="F309" s="1"/>
  <c r="AAH306"/>
  <c r="H306" s="1"/>
  <c r="F306" s="1"/>
  <c r="E312"/>
  <c r="F312"/>
  <c r="CP6"/>
  <c r="CP5" s="1"/>
  <c r="CO4"/>
  <c r="F98"/>
  <c r="AAG101"/>
  <c r="G101" s="1"/>
  <c r="E309" l="1"/>
  <c r="H313"/>
  <c r="F313" s="1"/>
  <c r="CQ6"/>
  <c r="CQ5" s="1"/>
  <c r="CP4"/>
  <c r="AAH101"/>
  <c r="H101" s="1"/>
  <c r="E101" s="1"/>
  <c r="E313" l="1"/>
  <c r="CR6"/>
  <c r="CR5" s="1"/>
  <c r="CQ4"/>
  <c r="AAG102"/>
  <c r="G102" s="1"/>
  <c r="F101"/>
  <c r="CS6" l="1"/>
  <c r="CS5" s="1"/>
  <c r="CR4"/>
  <c r="AAH102"/>
  <c r="H102" s="1"/>
  <c r="E102" s="1"/>
  <c r="CT6" l="1"/>
  <c r="CT5" s="1"/>
  <c r="CS4"/>
  <c r="AAG103"/>
  <c r="G103" s="1"/>
  <c r="AAH103" s="1"/>
  <c r="H103" s="1"/>
  <c r="F102"/>
  <c r="CU6" l="1"/>
  <c r="CU5" s="1"/>
  <c r="CT4"/>
  <c r="F103"/>
  <c r="AAG104"/>
  <c r="G104" s="1"/>
  <c r="CV6" l="1"/>
  <c r="CV5" s="1"/>
  <c r="CU4"/>
  <c r="AAH104"/>
  <c r="H104" s="1"/>
  <c r="E104" s="1"/>
  <c r="CW6" l="1"/>
  <c r="CW5" s="1"/>
  <c r="CV4"/>
  <c r="AAG88"/>
  <c r="G88" s="1"/>
  <c r="AAH88" s="1"/>
  <c r="H88" s="1"/>
  <c r="F104"/>
  <c r="CX6" l="1"/>
  <c r="CX5" s="1"/>
  <c r="CW4"/>
  <c r="F88"/>
  <c r="AAG89"/>
  <c r="G89" s="1"/>
  <c r="CY6" l="1"/>
  <c r="CY5" s="1"/>
  <c r="CX4"/>
  <c r="AAH89"/>
  <c r="H89" s="1"/>
  <c r="E89" l="1"/>
  <c r="CZ6"/>
  <c r="CZ5" s="1"/>
  <c r="CY4"/>
  <c r="AAG106"/>
  <c r="G106" s="1"/>
  <c r="F89"/>
  <c r="DA6" l="1"/>
  <c r="DA5" s="1"/>
  <c r="CZ4"/>
  <c r="AAH106"/>
  <c r="H106" s="1"/>
  <c r="E106" s="1"/>
  <c r="DB6" l="1"/>
  <c r="DB5" s="1"/>
  <c r="DA4"/>
  <c r="AAG107"/>
  <c r="G107" s="1"/>
  <c r="F106"/>
  <c r="DC6" l="1"/>
  <c r="DC5" s="1"/>
  <c r="DB4"/>
  <c r="AAH107"/>
  <c r="H107" s="1"/>
  <c r="E107" s="1"/>
  <c r="DD6" l="1"/>
  <c r="DD5" s="1"/>
  <c r="DC4"/>
  <c r="AAG105"/>
  <c r="G105" s="1"/>
  <c r="F107"/>
  <c r="DE6" l="1"/>
  <c r="DE5" s="1"/>
  <c r="DD4"/>
  <c r="AAH105"/>
  <c r="H105" s="1"/>
  <c r="E105" s="1"/>
  <c r="DF6" l="1"/>
  <c r="DF5" s="1"/>
  <c r="DE4"/>
  <c r="AAG109"/>
  <c r="G109" s="1"/>
  <c r="AAG90"/>
  <c r="G90" s="1"/>
  <c r="F105"/>
  <c r="DG6" l="1"/>
  <c r="DG5" s="1"/>
  <c r="DF4"/>
  <c r="AAH109"/>
  <c r="H109" s="1"/>
  <c r="E109" s="1"/>
  <c r="AAH90"/>
  <c r="H90" s="1"/>
  <c r="F90" s="1"/>
  <c r="DH6" l="1"/>
  <c r="DH5" s="1"/>
  <c r="DG4"/>
  <c r="E90"/>
  <c r="AAG111"/>
  <c r="G111" s="1"/>
  <c r="F109"/>
  <c r="DI6" l="1"/>
  <c r="DI5" s="1"/>
  <c r="DH4"/>
  <c r="AAH111"/>
  <c r="H111" s="1"/>
  <c r="E111" s="1"/>
  <c r="DJ6" l="1"/>
  <c r="DJ5" s="1"/>
  <c r="DI4"/>
  <c r="AAG112"/>
  <c r="G112" s="1"/>
  <c r="F111"/>
  <c r="DK6" l="1"/>
  <c r="DK5" s="1"/>
  <c r="DJ4"/>
  <c r="AAH112"/>
  <c r="H112" s="1"/>
  <c r="E112" s="1"/>
  <c r="DL6" l="1"/>
  <c r="DL5" s="1"/>
  <c r="DK4"/>
  <c r="AAG113"/>
  <c r="G113" s="1"/>
  <c r="F112"/>
  <c r="DM6" l="1"/>
  <c r="DM5" s="1"/>
  <c r="DL4"/>
  <c r="AAH113"/>
  <c r="H113" s="1"/>
  <c r="E113" s="1"/>
  <c r="DN6" l="1"/>
  <c r="DN5" s="1"/>
  <c r="DM4"/>
  <c r="AAG114"/>
  <c r="G114" s="1"/>
  <c r="F113"/>
  <c r="DO6" l="1"/>
  <c r="DO5" s="1"/>
  <c r="DN4"/>
  <c r="AAH114"/>
  <c r="H114" s="1"/>
  <c r="E114" s="1"/>
  <c r="DP6" l="1"/>
  <c r="DP5" s="1"/>
  <c r="DO4"/>
  <c r="AAG115"/>
  <c r="G115" s="1"/>
  <c r="F114"/>
  <c r="DQ6" l="1"/>
  <c r="DQ5" s="1"/>
  <c r="DP4"/>
  <c r="AAH115"/>
  <c r="H115" s="1"/>
  <c r="E115" s="1"/>
  <c r="DR6" l="1"/>
  <c r="DR5" s="1"/>
  <c r="DQ4"/>
  <c r="AAG117"/>
  <c r="G117" s="1"/>
  <c r="F115"/>
  <c r="DS6" l="1"/>
  <c r="DS5" s="1"/>
  <c r="DR4"/>
  <c r="AAH117"/>
  <c r="H117" s="1"/>
  <c r="E117" s="1"/>
  <c r="DT6" l="1"/>
  <c r="DT5" s="1"/>
  <c r="DS4"/>
  <c r="AAG118"/>
  <c r="G118" s="1"/>
  <c r="F117"/>
  <c r="DU6" l="1"/>
  <c r="DU5" s="1"/>
  <c r="DT4"/>
  <c r="AAH118"/>
  <c r="H118" s="1"/>
  <c r="E118" s="1"/>
  <c r="DV6" l="1"/>
  <c r="DV5" s="1"/>
  <c r="DU4"/>
  <c r="AAG119"/>
  <c r="G119" s="1"/>
  <c r="F118"/>
  <c r="DW6" l="1"/>
  <c r="DW5" s="1"/>
  <c r="DV4"/>
  <c r="AAH119"/>
  <c r="H119" s="1"/>
  <c r="E119" s="1"/>
  <c r="DX6" l="1"/>
  <c r="DX5" s="1"/>
  <c r="DW4"/>
  <c r="AAG120"/>
  <c r="G120" s="1"/>
  <c r="F119"/>
  <c r="DY6" l="1"/>
  <c r="DY5" s="1"/>
  <c r="DX4"/>
  <c r="AAH120"/>
  <c r="H120" s="1"/>
  <c r="E120" s="1"/>
  <c r="DZ6" l="1"/>
  <c r="DZ5" s="1"/>
  <c r="DY4"/>
  <c r="AAG122"/>
  <c r="G122" s="1"/>
  <c r="F120"/>
  <c r="EA6" l="1"/>
  <c r="EA5" s="1"/>
  <c r="DZ4"/>
  <c r="AAH122"/>
  <c r="H122" s="1"/>
  <c r="E122" s="1"/>
  <c r="EB6" l="1"/>
  <c r="EB5" s="1"/>
  <c r="EA4"/>
  <c r="AAG124"/>
  <c r="G124" s="1"/>
  <c r="F122"/>
  <c r="EC6" l="1"/>
  <c r="EC5" s="1"/>
  <c r="EB4"/>
  <c r="AAH124"/>
  <c r="H124" s="1"/>
  <c r="E124" s="1"/>
  <c r="ED6" l="1"/>
  <c r="ED5" s="1"/>
  <c r="EC4"/>
  <c r="AAG125"/>
  <c r="G125" s="1"/>
  <c r="F124"/>
  <c r="EE6" l="1"/>
  <c r="EE5" s="1"/>
  <c r="ED4"/>
  <c r="AAH125"/>
  <c r="H125" s="1"/>
  <c r="E125" s="1"/>
  <c r="EF6" l="1"/>
  <c r="EF5" s="1"/>
  <c r="EE4"/>
  <c r="AAG126"/>
  <c r="G126" s="1"/>
  <c r="F125"/>
  <c r="EG6" l="1"/>
  <c r="EG5" s="1"/>
  <c r="EF4"/>
  <c r="AAH126"/>
  <c r="H126" s="1"/>
  <c r="E126" s="1"/>
  <c r="EH6" l="1"/>
  <c r="EH5" s="1"/>
  <c r="EG4"/>
  <c r="AAG129"/>
  <c r="G129" s="1"/>
  <c r="AAG127"/>
  <c r="G127" s="1"/>
  <c r="F126"/>
  <c r="EI6" l="1"/>
  <c r="EI5" s="1"/>
  <c r="EH4"/>
  <c r="AAH129"/>
  <c r="H129" s="1"/>
  <c r="E129" s="1"/>
  <c r="AAH127"/>
  <c r="H127" s="1"/>
  <c r="F127" s="1"/>
  <c r="EJ6" l="1"/>
  <c r="EJ5" s="1"/>
  <c r="EI4"/>
  <c r="E127"/>
  <c r="AAG131"/>
  <c r="G131" s="1"/>
  <c r="F129"/>
  <c r="EK6" l="1"/>
  <c r="EK5" s="1"/>
  <c r="EJ4"/>
  <c r="AAH131"/>
  <c r="H131" s="1"/>
  <c r="E131" s="1"/>
  <c r="EL6" l="1"/>
  <c r="EL5" s="1"/>
  <c r="EK4"/>
  <c r="F131"/>
  <c r="AAG132"/>
  <c r="G132" s="1"/>
  <c r="EM6" l="1"/>
  <c r="EM5" s="1"/>
  <c r="EL4"/>
  <c r="AAH132"/>
  <c r="H132" s="1"/>
  <c r="E132" s="1"/>
  <c r="EN6" l="1"/>
  <c r="EN5" s="1"/>
  <c r="EM4"/>
  <c r="AAG133"/>
  <c r="G133" s="1"/>
  <c r="F132"/>
  <c r="EO6" l="1"/>
  <c r="EO5" s="1"/>
  <c r="EN4"/>
  <c r="AAH133"/>
  <c r="H133" s="1"/>
  <c r="E133" s="1"/>
  <c r="EP6" l="1"/>
  <c r="EP5" s="1"/>
  <c r="EO4"/>
  <c r="AAG134"/>
  <c r="G134" s="1"/>
  <c r="F133"/>
  <c r="EQ6" l="1"/>
  <c r="EQ5" s="1"/>
  <c r="EP4"/>
  <c r="AAH134"/>
  <c r="H134" s="1"/>
  <c r="E134" s="1"/>
  <c r="ER6" l="1"/>
  <c r="ER5" s="1"/>
  <c r="EQ4"/>
  <c r="AAG135"/>
  <c r="G135" s="1"/>
  <c r="F134"/>
  <c r="ES6" l="1"/>
  <c r="ES5" s="1"/>
  <c r="ER4"/>
  <c r="AAH135"/>
  <c r="H135" s="1"/>
  <c r="E135" s="1"/>
  <c r="ET6" l="1"/>
  <c r="ET5" s="1"/>
  <c r="ES4"/>
  <c r="AAG137"/>
  <c r="G137" s="1"/>
  <c r="F135"/>
  <c r="EU6" l="1"/>
  <c r="EU5" s="1"/>
  <c r="ET4"/>
  <c r="AAH137"/>
  <c r="H137" s="1"/>
  <c r="E137" s="1"/>
  <c r="EV6" l="1"/>
  <c r="EV5" s="1"/>
  <c r="EU4"/>
  <c r="AAG138"/>
  <c r="G138" s="1"/>
  <c r="F137"/>
  <c r="EW6" l="1"/>
  <c r="EW5" s="1"/>
  <c r="EV4"/>
  <c r="AAH138"/>
  <c r="H138" s="1"/>
  <c r="E138" s="1"/>
  <c r="EX6" l="1"/>
  <c r="EX5" s="1"/>
  <c r="EW4"/>
  <c r="AAG139"/>
  <c r="G139" s="1"/>
  <c r="F138"/>
  <c r="EY6" l="1"/>
  <c r="EY5" s="1"/>
  <c r="EX4"/>
  <c r="AAH139"/>
  <c r="H139" s="1"/>
  <c r="E139" s="1"/>
  <c r="EZ6" l="1"/>
  <c r="EZ5" s="1"/>
  <c r="EY4"/>
  <c r="AAG140"/>
  <c r="G140" s="1"/>
  <c r="F139"/>
  <c r="FA6" l="1"/>
  <c r="FA5" s="1"/>
  <c r="EZ4"/>
  <c r="AAH140"/>
  <c r="H140" s="1"/>
  <c r="E140" s="1"/>
  <c r="FB6" l="1"/>
  <c r="FB5" s="1"/>
  <c r="FA4"/>
  <c r="AAG142"/>
  <c r="G142" s="1"/>
  <c r="F140"/>
  <c r="FC6" l="1"/>
  <c r="FC5" s="1"/>
  <c r="FB4"/>
  <c r="AAH142"/>
  <c r="H142" s="1"/>
  <c r="E142" s="1"/>
  <c r="FD6" l="1"/>
  <c r="FD5" s="1"/>
  <c r="FC4"/>
  <c r="AAG144"/>
  <c r="G144" s="1"/>
  <c r="F142"/>
  <c r="FE6" l="1"/>
  <c r="FE5" s="1"/>
  <c r="FD4"/>
  <c r="AAH144"/>
  <c r="H144" s="1"/>
  <c r="E144" s="1"/>
  <c r="FF6" l="1"/>
  <c r="FF5" s="1"/>
  <c r="FE4"/>
  <c r="AAG145"/>
  <c r="G145" s="1"/>
  <c r="F144"/>
  <c r="FG6" l="1"/>
  <c r="FG5" s="1"/>
  <c r="FF4"/>
  <c r="AAH145"/>
  <c r="H145" s="1"/>
  <c r="E145" s="1"/>
  <c r="FH6" l="1"/>
  <c r="FH5" s="1"/>
  <c r="FG4"/>
  <c r="AAG146"/>
  <c r="G146" s="1"/>
  <c r="F145"/>
  <c r="FI6" l="1"/>
  <c r="FI5" s="1"/>
  <c r="FH4"/>
  <c r="AAH146"/>
  <c r="H146" s="1"/>
  <c r="E146" s="1"/>
  <c r="FJ6" l="1"/>
  <c r="FJ5" s="1"/>
  <c r="FI4"/>
  <c r="AAG149"/>
  <c r="G149" s="1"/>
  <c r="F146"/>
  <c r="AAG147"/>
  <c r="G147" s="1"/>
  <c r="FK6" l="1"/>
  <c r="FK5" s="1"/>
  <c r="FJ4"/>
  <c r="AAH147"/>
  <c r="H147" s="1"/>
  <c r="F147" s="1"/>
  <c r="AAH149"/>
  <c r="H149" s="1"/>
  <c r="E149" s="1"/>
  <c r="FL6" l="1"/>
  <c r="FL5" s="1"/>
  <c r="FK4"/>
  <c r="E147"/>
  <c r="AAG151"/>
  <c r="G151" s="1"/>
  <c r="F149"/>
  <c r="FM6" l="1"/>
  <c r="FM5" s="1"/>
  <c r="FL4"/>
  <c r="AAH151"/>
  <c r="H151" s="1"/>
  <c r="E151" s="1"/>
  <c r="FN6" l="1"/>
  <c r="FN5" s="1"/>
  <c r="FM4"/>
  <c r="F151"/>
  <c r="AAG152"/>
  <c r="G152" s="1"/>
  <c r="FO6" l="1"/>
  <c r="FO5" s="1"/>
  <c r="FN4"/>
  <c r="AAH152"/>
  <c r="H152" s="1"/>
  <c r="E152" s="1"/>
  <c r="FP6" l="1"/>
  <c r="FP5" s="1"/>
  <c r="FO4"/>
  <c r="AAG153"/>
  <c r="G153" s="1"/>
  <c r="F152"/>
  <c r="FQ6" l="1"/>
  <c r="FQ5" s="1"/>
  <c r="FP4"/>
  <c r="AAH153"/>
  <c r="H153" s="1"/>
  <c r="E153" s="1"/>
  <c r="FR6" l="1"/>
  <c r="FR5" s="1"/>
  <c r="FQ4"/>
  <c r="AAG154"/>
  <c r="G154" s="1"/>
  <c r="F153"/>
  <c r="FS6" l="1"/>
  <c r="FS5" s="1"/>
  <c r="FR4"/>
  <c r="AAH154"/>
  <c r="H154" s="1"/>
  <c r="E154" s="1"/>
  <c r="FT6" l="1"/>
  <c r="FT5" s="1"/>
  <c r="FS4"/>
  <c r="AAG155"/>
  <c r="G155" s="1"/>
  <c r="F154"/>
  <c r="FU6" l="1"/>
  <c r="FU5" s="1"/>
  <c r="FT4"/>
  <c r="AAH155"/>
  <c r="H155" s="1"/>
  <c r="E155" s="1"/>
  <c r="FV6" l="1"/>
  <c r="FV5" s="1"/>
  <c r="FU4"/>
  <c r="AAG157"/>
  <c r="G157" s="1"/>
  <c r="F155"/>
  <c r="FW6" l="1"/>
  <c r="FW5" s="1"/>
  <c r="FV4"/>
  <c r="AAH157"/>
  <c r="H157" s="1"/>
  <c r="E157" s="1"/>
  <c r="FX6" l="1"/>
  <c r="FX5" s="1"/>
  <c r="FW4"/>
  <c r="AAG158"/>
  <c r="G158" s="1"/>
  <c r="F157"/>
  <c r="FY6" l="1"/>
  <c r="FY5" s="1"/>
  <c r="FX4"/>
  <c r="AAH158"/>
  <c r="H158" s="1"/>
  <c r="E158" s="1"/>
  <c r="FZ6" l="1"/>
  <c r="FZ5" s="1"/>
  <c r="FY4"/>
  <c r="AAG159"/>
  <c r="G159" s="1"/>
  <c r="F158"/>
  <c r="GA6" l="1"/>
  <c r="GA5" s="1"/>
  <c r="FZ4"/>
  <c r="AAH159"/>
  <c r="H159" s="1"/>
  <c r="E159" s="1"/>
  <c r="GB6" l="1"/>
  <c r="GB5" s="1"/>
  <c r="GA4"/>
  <c r="AAG160"/>
  <c r="G160" s="1"/>
  <c r="F159"/>
  <c r="GC6" l="1"/>
  <c r="GC5" s="1"/>
  <c r="GB4"/>
  <c r="AAH160"/>
  <c r="H160" s="1"/>
  <c r="E160" s="1"/>
  <c r="GD6" l="1"/>
  <c r="GD5" s="1"/>
  <c r="GC4"/>
  <c r="AAG162"/>
  <c r="G162" s="1"/>
  <c r="F160"/>
  <c r="GE6" l="1"/>
  <c r="GE5" s="1"/>
  <c r="GD4"/>
  <c r="AAH162"/>
  <c r="H162" s="1"/>
  <c r="E162" s="1"/>
  <c r="GF6" l="1"/>
  <c r="GF5" s="1"/>
  <c r="GE4"/>
  <c r="AAG164"/>
  <c r="G164" s="1"/>
  <c r="F162"/>
  <c r="GG6" l="1"/>
  <c r="GG5" s="1"/>
  <c r="GF4"/>
  <c r="AAH164"/>
  <c r="H164" s="1"/>
  <c r="E164" s="1"/>
  <c r="GH6" l="1"/>
  <c r="GH5" s="1"/>
  <c r="GG4"/>
  <c r="AAG165"/>
  <c r="G165" s="1"/>
  <c r="F164"/>
  <c r="GI6" l="1"/>
  <c r="GI5" s="1"/>
  <c r="GH4"/>
  <c r="AAH165"/>
  <c r="H165" s="1"/>
  <c r="E165" s="1"/>
  <c r="GJ6" l="1"/>
  <c r="GJ5" s="1"/>
  <c r="GI4"/>
  <c r="AAG166"/>
  <c r="G166" s="1"/>
  <c r="F165"/>
  <c r="GK6" l="1"/>
  <c r="GK5" s="1"/>
  <c r="GJ4"/>
  <c r="AAH166"/>
  <c r="H166" s="1"/>
  <c r="E166" s="1"/>
  <c r="GL6" l="1"/>
  <c r="GL5" s="1"/>
  <c r="GK4"/>
  <c r="AAG169"/>
  <c r="G169" s="1"/>
  <c r="AAG167"/>
  <c r="G167" s="1"/>
  <c r="F166"/>
  <c r="GM6" l="1"/>
  <c r="GM5" s="1"/>
  <c r="GL4"/>
  <c r="AAH169"/>
  <c r="H169" s="1"/>
  <c r="E169" s="1"/>
  <c r="AAH167"/>
  <c r="H167" s="1"/>
  <c r="F167" s="1"/>
  <c r="GN6" l="1"/>
  <c r="GN5" s="1"/>
  <c r="GM4"/>
  <c r="E167"/>
  <c r="AAG171"/>
  <c r="G171" s="1"/>
  <c r="F169"/>
  <c r="GO6" l="1"/>
  <c r="GO5" s="1"/>
  <c r="GN4"/>
  <c r="AAH171"/>
  <c r="H171" s="1"/>
  <c r="E171" s="1"/>
  <c r="GP6" l="1"/>
  <c r="GP5" s="1"/>
  <c r="GO4"/>
  <c r="F171"/>
  <c r="AAG172"/>
  <c r="G172" s="1"/>
  <c r="GQ6" l="1"/>
  <c r="GQ5" s="1"/>
  <c r="GP4"/>
  <c r="AAH172"/>
  <c r="H172" s="1"/>
  <c r="E172" s="1"/>
  <c r="GR6" l="1"/>
  <c r="GR5" s="1"/>
  <c r="GQ4"/>
  <c r="AAG173"/>
  <c r="G173" s="1"/>
  <c r="F172"/>
  <c r="GS6" l="1"/>
  <c r="GS5" s="1"/>
  <c r="GR4"/>
  <c r="AAH173"/>
  <c r="H173" s="1"/>
  <c r="E173" s="1"/>
  <c r="GT6" l="1"/>
  <c r="GT5" s="1"/>
  <c r="GS4"/>
  <c r="AAG174"/>
  <c r="G174" s="1"/>
  <c r="F173"/>
  <c r="GU6" l="1"/>
  <c r="GU5" s="1"/>
  <c r="GT4"/>
  <c r="AAH174"/>
  <c r="H174" s="1"/>
  <c r="E174" s="1"/>
  <c r="GV6" l="1"/>
  <c r="GV5" s="1"/>
  <c r="GU4"/>
  <c r="AAG175"/>
  <c r="G175" s="1"/>
  <c r="F174"/>
  <c r="GW6" l="1"/>
  <c r="GW5" s="1"/>
  <c r="GV4"/>
  <c r="AAH175"/>
  <c r="H175" s="1"/>
  <c r="E175" s="1"/>
  <c r="GX6" l="1"/>
  <c r="GX5" s="1"/>
  <c r="GW4"/>
  <c r="AAG177"/>
  <c r="G177" s="1"/>
  <c r="F175"/>
  <c r="GY6" l="1"/>
  <c r="GY5" s="1"/>
  <c r="GX4"/>
  <c r="AAH177"/>
  <c r="H177" s="1"/>
  <c r="E177" s="1"/>
  <c r="GZ6" l="1"/>
  <c r="GZ5" s="1"/>
  <c r="GY4"/>
  <c r="AAG178"/>
  <c r="G178" s="1"/>
  <c r="F177"/>
  <c r="HA6" l="1"/>
  <c r="HA5" s="1"/>
  <c r="GZ4"/>
  <c r="AAH178"/>
  <c r="H178" s="1"/>
  <c r="E178" s="1"/>
  <c r="HB6" l="1"/>
  <c r="HB5" s="1"/>
  <c r="HA4"/>
  <c r="AAG179"/>
  <c r="G179" s="1"/>
  <c r="F178"/>
  <c r="HC6" l="1"/>
  <c r="HC5" s="1"/>
  <c r="HB4"/>
  <c r="AAH179"/>
  <c r="H179" s="1"/>
  <c r="E179" s="1"/>
  <c r="HD6" l="1"/>
  <c r="HD5" s="1"/>
  <c r="HC4"/>
  <c r="AAG180"/>
  <c r="G180" s="1"/>
  <c r="F179"/>
  <c r="HE6" l="1"/>
  <c r="HE5" s="1"/>
  <c r="HD4"/>
  <c r="AAH180"/>
  <c r="H180" s="1"/>
  <c r="E180" s="1"/>
  <c r="HF6" l="1"/>
  <c r="HF5" s="1"/>
  <c r="HE4"/>
  <c r="AAG182"/>
  <c r="G182" s="1"/>
  <c r="F180"/>
  <c r="HG6" l="1"/>
  <c r="HG5" s="1"/>
  <c r="HF4"/>
  <c r="AAH182"/>
  <c r="H182" s="1"/>
  <c r="E182" s="1"/>
  <c r="HH6" l="1"/>
  <c r="HH5" s="1"/>
  <c r="HG4"/>
  <c r="AAG184"/>
  <c r="G184" s="1"/>
  <c r="F182"/>
  <c r="HI6" l="1"/>
  <c r="HI5" s="1"/>
  <c r="HH4"/>
  <c r="AAH184"/>
  <c r="H184" s="1"/>
  <c r="E184" s="1"/>
  <c r="HJ6" l="1"/>
  <c r="HJ5" s="1"/>
  <c r="HI4"/>
  <c r="AAG185"/>
  <c r="G185" s="1"/>
  <c r="F184"/>
  <c r="HK6" l="1"/>
  <c r="HK5" s="1"/>
  <c r="HJ4"/>
  <c r="AAH185"/>
  <c r="H185" s="1"/>
  <c r="E185" s="1"/>
  <c r="HL6" l="1"/>
  <c r="HL5" s="1"/>
  <c r="HK4"/>
  <c r="AAG186"/>
  <c r="G186" s="1"/>
  <c r="F185"/>
  <c r="HM6" l="1"/>
  <c r="HM5" s="1"/>
  <c r="HL4"/>
  <c r="AAH186"/>
  <c r="H186" s="1"/>
  <c r="E186" s="1"/>
  <c r="HN6" l="1"/>
  <c r="HN5" s="1"/>
  <c r="HM4"/>
  <c r="AAG189"/>
  <c r="G189" s="1"/>
  <c r="F186"/>
  <c r="AAG187"/>
  <c r="G187" s="1"/>
  <c r="HO6" l="1"/>
  <c r="HO5" s="1"/>
  <c r="HN4"/>
  <c r="AAH187"/>
  <c r="H187" s="1"/>
  <c r="F187" s="1"/>
  <c r="AAH189"/>
  <c r="H189" s="1"/>
  <c r="E189" s="1"/>
  <c r="HP6" l="1"/>
  <c r="HP5" s="1"/>
  <c r="HO4"/>
  <c r="E187"/>
  <c r="AAG191"/>
  <c r="G191" s="1"/>
  <c r="F189"/>
  <c r="HQ6" l="1"/>
  <c r="HQ5" s="1"/>
  <c r="HP4"/>
  <c r="AAH191"/>
  <c r="H191" s="1"/>
  <c r="E191" s="1"/>
  <c r="HR6" l="1"/>
  <c r="HR5" s="1"/>
  <c r="HQ4"/>
  <c r="F191"/>
  <c r="AAG192"/>
  <c r="G192" s="1"/>
  <c r="HS6" l="1"/>
  <c r="HS5" s="1"/>
  <c r="HR4"/>
  <c r="AAH192"/>
  <c r="H192" s="1"/>
  <c r="E192" s="1"/>
  <c r="HT6" l="1"/>
  <c r="HT5" s="1"/>
  <c r="HS4"/>
  <c r="AAG193"/>
  <c r="G193" s="1"/>
  <c r="F192"/>
  <c r="HU6" l="1"/>
  <c r="HU5" s="1"/>
  <c r="HT4"/>
  <c r="AAH193"/>
  <c r="H193" s="1"/>
  <c r="E193" s="1"/>
  <c r="HV6" l="1"/>
  <c r="HV5" s="1"/>
  <c r="HU4"/>
  <c r="AAG194"/>
  <c r="G194" s="1"/>
  <c r="F193"/>
  <c r="HW6" l="1"/>
  <c r="HW5" s="1"/>
  <c r="HV4"/>
  <c r="AAH194"/>
  <c r="H194" s="1"/>
  <c r="E194" s="1"/>
  <c r="HX6" l="1"/>
  <c r="HX5" s="1"/>
  <c r="HW4"/>
  <c r="AAG195"/>
  <c r="G195" s="1"/>
  <c r="F194"/>
  <c r="HY6" l="1"/>
  <c r="HY5" s="1"/>
  <c r="HX4"/>
  <c r="AAH195"/>
  <c r="H195" s="1"/>
  <c r="E195" s="1"/>
  <c r="HZ6" l="1"/>
  <c r="HZ5" s="1"/>
  <c r="HY4"/>
  <c r="AAG197"/>
  <c r="G197" s="1"/>
  <c r="F195"/>
  <c r="IA6" l="1"/>
  <c r="IA5" s="1"/>
  <c r="HZ4"/>
  <c r="AAH197"/>
  <c r="H197" s="1"/>
  <c r="E197" s="1"/>
  <c r="IB6" l="1"/>
  <c r="IB5" s="1"/>
  <c r="IA4"/>
  <c r="AAG198"/>
  <c r="G198" s="1"/>
  <c r="F197"/>
  <c r="IC6" l="1"/>
  <c r="IC5" s="1"/>
  <c r="IB4"/>
  <c r="AAH198"/>
  <c r="H198" s="1"/>
  <c r="E198" s="1"/>
  <c r="ID6" l="1"/>
  <c r="ID5" s="1"/>
  <c r="IC4"/>
  <c r="AAG199"/>
  <c r="G199" s="1"/>
  <c r="F198"/>
  <c r="IE6" l="1"/>
  <c r="IE5" s="1"/>
  <c r="ID4"/>
  <c r="AAH199"/>
  <c r="H199" s="1"/>
  <c r="E199" s="1"/>
  <c r="IF6" l="1"/>
  <c r="IF5" s="1"/>
  <c r="IE4"/>
  <c r="AAG200"/>
  <c r="G200" s="1"/>
  <c r="F199"/>
  <c r="IG6" l="1"/>
  <c r="IG5" s="1"/>
  <c r="IF4"/>
  <c r="AAH200"/>
  <c r="H200" s="1"/>
  <c r="E200" s="1"/>
  <c r="IH6" l="1"/>
  <c r="IH5" s="1"/>
  <c r="IG4"/>
  <c r="AAG202"/>
  <c r="G202" s="1"/>
  <c r="F200"/>
  <c r="II6" l="1"/>
  <c r="II5" s="1"/>
  <c r="IH4"/>
  <c r="AAH202"/>
  <c r="H202" s="1"/>
  <c r="E202" s="1"/>
  <c r="IJ6" l="1"/>
  <c r="IJ5" s="1"/>
  <c r="II4"/>
  <c r="AAG204"/>
  <c r="G204" s="1"/>
  <c r="F202"/>
  <c r="IK6" l="1"/>
  <c r="IK5" s="1"/>
  <c r="IJ4"/>
  <c r="AAH204"/>
  <c r="H204" s="1"/>
  <c r="E204" s="1"/>
  <c r="IL6" l="1"/>
  <c r="IL5" s="1"/>
  <c r="IK4"/>
  <c r="AAG205"/>
  <c r="G205" s="1"/>
  <c r="F204"/>
  <c r="IM6" l="1"/>
  <c r="IM5" s="1"/>
  <c r="IL4"/>
  <c r="AAH205"/>
  <c r="H205" s="1"/>
  <c r="E205" s="1"/>
  <c r="IN6" l="1"/>
  <c r="IN5" s="1"/>
  <c r="IM4"/>
  <c r="AAG206"/>
  <c r="G206" s="1"/>
  <c r="F205"/>
  <c r="IO6" l="1"/>
  <c r="IO5" s="1"/>
  <c r="IN4"/>
  <c r="AAH206"/>
  <c r="H206" s="1"/>
  <c r="E206" s="1"/>
  <c r="IP6" l="1"/>
  <c r="IP5" s="1"/>
  <c r="IO4"/>
  <c r="AAG207"/>
  <c r="G207" s="1"/>
  <c r="F206"/>
  <c r="IQ6" l="1"/>
  <c r="IQ5" s="1"/>
  <c r="IP4"/>
  <c r="AAH207"/>
  <c r="H207" s="1"/>
  <c r="F207" s="1"/>
  <c r="H6"/>
  <c r="IR6" l="1"/>
  <c r="IR5" s="1"/>
  <c r="IQ4"/>
  <c r="E207"/>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2"/>
  <c r="F212" s="1"/>
  <c r="AAG214" l="1"/>
  <c r="G214" s="1"/>
  <c r="AAG465"/>
  <c r="G465" s="1"/>
  <c r="E465" s="1"/>
  <c r="AAG215"/>
  <c r="G215" s="1"/>
  <c r="E215" s="1"/>
  <c r="AAG449"/>
  <c r="G449" s="1"/>
  <c r="E449" s="1"/>
  <c r="AAG220"/>
  <c r="G220" s="1"/>
  <c r="E220" s="1"/>
  <c r="AAH214" l="1"/>
  <c r="H214" s="1"/>
  <c r="F214" s="1"/>
  <c r="H307"/>
  <c r="F307" s="1"/>
  <c r="AAH302"/>
  <c r="H302" s="1"/>
  <c r="AAH305"/>
  <c r="H305" s="1"/>
  <c r="E214" l="1"/>
  <c r="F302"/>
  <c r="E302"/>
  <c r="F305"/>
  <c r="AAG307"/>
  <c r="G307" s="1"/>
  <c r="E307" s="1"/>
  <c r="AAG305"/>
  <c r="G305" s="1"/>
  <c r="E305" s="1"/>
  <c r="AAG306"/>
  <c r="G306" s="1"/>
  <c r="E306" s="1"/>
</calcChain>
</file>

<file path=xl/sharedStrings.xml><?xml version="1.0" encoding="utf-8"?>
<sst xmlns="http://schemas.openxmlformats.org/spreadsheetml/2006/main" count="1352" uniqueCount="398">
  <si>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</si>
  <si>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</si>
  <si>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</si>
  <si>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</si>
  <si>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</si>
  <si>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</si>
  <si>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</si>
  <si>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</si>
  <si>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</si>
  <si>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</si>
  <si>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</si>
  <si>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</si>
  <si>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</si>
  <si>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</si>
  <si>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</si>
  <si>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</si>
  <si>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</si>
  <si>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</si>
  <si>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</si>
  <si>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</si>
  <si>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</si>
  <si>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</si>
  <si>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</si>
  <si>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</si>
  <si>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</si>
  <si>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</si>
  <si>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</si>
  <si>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</si>
  <si>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</si>
  <si>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</si>
  <si>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</si>
  <si>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</si>
  <si>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</si>
  <si>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</si>
  <si>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</si>
  <si>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</si>
  <si>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</si>
  <si>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</si>
  <si>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</si>
  <si>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</si>
  <si>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</si>
  <si>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</si>
  <si>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</si>
  <si>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</si>
  <si>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</si>
  <si>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</si>
  <si>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</si>
  <si>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</si>
  <si>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</si>
  <si>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</si>
  <si>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</si>
  <si>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</si>
  <si>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</si>
  <si>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</si>
  <si>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</si>
  <si>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</si>
  <si>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</si>
  <si>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</si>
  <si>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</si>
  <si>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</si>
  <si>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</si>
  <si>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</si>
  <si>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</si>
  <si>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</si>
  <si>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</si>
  <si>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</si>
  <si>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</si>
  <si>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</si>
  <si>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</si>
  <si>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</si>
  <si>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</si>
  <si>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</si>
  <si>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</si>
  <si>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</si>
  <si>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</si>
  <si>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</si>
  <si>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</si>
  <si>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</si>
  <si>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</si>
  <si>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</si>
  <si>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</si>
  <si>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</si>
  <si>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</si>
  <si>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</si>
  <si>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</si>
  <si>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</si>
  <si>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</si>
  <si>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</si>
  <si>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</si>
  <si>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</si>
  <si>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</si>
  <si>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</si>
  <si>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</si>
  <si>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</si>
  <si>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</si>
  <si>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</si>
  <si>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</si>
  <si>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</si>
  <si>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</si>
  <si>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</si>
  <si>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</si>
  <si>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</si>
  <si>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</si>
  <si>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</si>
  <si>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</si>
  <si>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</si>
  <si>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</si>
  <si>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</si>
  <si>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</si>
  <si>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</si>
  <si>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</si>
  <si>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</si>
  <si>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</si>
  <si>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</si>
  <si>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</si>
  <si>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</si>
  <si>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</si>
  <si>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</si>
  <si>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</si>
  <si>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</si>
  <si>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</si>
  <si>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</si>
  <si>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</si>
  <si>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</si>
  <si>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</si>
  <si>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</si>
  <si>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</si>
  <si>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</si>
  <si>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</si>
  <si>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</si>
  <si>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</si>
  <si>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</si>
  <si>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</si>
  <si>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</si>
  <si>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</si>
  <si>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</si>
  <si>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</si>
  <si>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</si>
  <si>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</si>
  <si>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</si>
  <si>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</si>
  <si>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</si>
  <si>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</si>
  <si>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</si>
  <si>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</si>
  <si>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</si>
  <si>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</si>
  <si>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</si>
  <si>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</si>
  <si>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</si>
  <si>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</si>
  <si>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</si>
  <si>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</si>
  <si>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</si>
  <si>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</si>
  <si>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Expert (DE) Responsibility</t>
  </si>
  <si>
    <t>Design Team (DT) Responsibility</t>
  </si>
  <si>
    <t>DS</t>
  </si>
  <si>
    <t>DE, DS</t>
  </si>
  <si>
    <t>DS, webrep</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</si>
  <si>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</si>
  <si>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</si>
  <si>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</si>
  <si>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</si>
  <si>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</si>
  <si>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</si>
  <si>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</si>
  <si>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</si>
  <si>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</si>
  <si>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</si>
  <si>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</si>
  <si>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</si>
  <si>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</si>
  <si>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</si>
  <si>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</si>
  <si>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</si>
  <si>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</si>
  <si>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</si>
  <si>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</si>
  <si>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</si>
  <si>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</si>
  <si>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</si>
  <si>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</si>
  <si>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</si>
  <si>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</si>
  <si>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</si>
  <si>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</si>
  <si>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</si>
  <si>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</si>
  <si>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</si>
  <si>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</si>
  <si>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</si>
  <si>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</si>
  <si>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</si>
  <si>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</si>
  <si>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</si>
  <si>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</si>
  <si>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</si>
  <si>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</si>
  <si>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</si>
  <si>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</si>
  <si>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</si>
  <si>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</si>
  <si>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</si>
  <si>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</si>
  <si>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</si>
  <si>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</si>
  <si>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</si>
  <si>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</si>
  <si>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</si>
  <si>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</si>
  <si>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</si>
  <si>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</si>
  <si>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</si>
  <si>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</si>
  <si>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</si>
  <si>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</si>
  <si>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</si>
  <si>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</si>
  <si>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</si>
  <si>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</si>
  <si>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</si>
  <si>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</si>
  <si>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</si>
  <si>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</si>
  <si>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</si>
  <si>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</si>
  <si>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</si>
  <si>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</si>
  <si>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</si>
  <si>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</si>
  <si>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</si>
  <si>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</si>
  <si>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</si>
  <si>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</si>
  <si>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</si>
  <si>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</si>
  <si>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</si>
  <si>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</si>
  <si>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</si>
  <si>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</si>
  <si>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</si>
  <si>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</si>
  <si>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</si>
  <si>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</si>
  <si>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</si>
  <si>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</si>
  <si>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</si>
  <si>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</si>
  <si>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</si>
  <si>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</si>
  <si>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</si>
  <si>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</si>
  <si>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</si>
  <si>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</si>
  <si>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</si>
  <si>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</si>
  <si>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</si>
  <si>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</si>
  <si>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</si>
  <si>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</si>
  <si>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</si>
  <si>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</si>
  <si>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</si>
  <si>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</si>
  <si>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</si>
  <si>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</si>
  <si>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</si>
  <si>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</si>
  <si>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</si>
  <si>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</si>
  <si>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</si>
  <si>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</si>
  <si>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</si>
  <si>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</si>
  <si>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</si>
  <si>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</si>
  <si>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</si>
  <si>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</si>
  <si>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</si>
  <si>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</si>
  <si>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</si>
  <si>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</si>
  <si>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</si>
  <si>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</si>
  <si>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</si>
  <si>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</si>
  <si>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</si>
  <si>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</si>
  <si>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</si>
  <si>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</si>
  <si>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</si>
  <si>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</si>
  <si>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</si>
  <si>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</si>
  <si>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</si>
  <si>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</si>
  <si>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</si>
  <si>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</si>
  <si>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</si>
  <si>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</si>
  <si>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</si>
  <si>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</si>
  <si>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</si>
  <si>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</si>
  <si>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</si>
  <si>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</si>
  <si>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</si>
  <si>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</si>
  <si>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</si>
  <si>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</si>
  <si>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</si>
  <si>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</si>
  <si>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</si>
  <si>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</si>
  <si>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</si>
  <si>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</si>
  <si>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</si>
  <si>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</si>
  <si>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</si>
  <si>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</si>
  <si>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</si>
  <si>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</si>
  <si>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</si>
  <si>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</si>
  <si>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</si>
  <si>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</si>
  <si>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</si>
  <si>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</si>
  <si>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</si>
  <si>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</si>
  <si>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</si>
  <si>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</si>
  <si>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</si>
  <si>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</si>
  <si>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</si>
  <si>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</si>
  <si>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</si>
  <si>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</si>
  <si>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</si>
  <si>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</si>
  <si>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</si>
  <si>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</si>
  <si>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</si>
  <si>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</si>
  <si>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</si>
  <si>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</si>
  <si>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</si>
  <si>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</si>
  <si>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</si>
  <si>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</si>
  <si>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</si>
  <si>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</si>
  <si>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</si>
  <si>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</si>
  <si>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</si>
  <si>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</si>
  <si>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</si>
  <si>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</si>
  <si>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</si>
  <si>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</si>
  <si>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</si>
  <si>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</si>
  <si>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PO</t>
  </si>
  <si>
    <t>DE, SC</t>
  </si>
  <si>
    <t>ARC/SC</t>
  </si>
  <si>
    <t>SC</t>
  </si>
  <si>
    <t>Public Meeting Laws</t>
  </si>
  <si>
    <t>EQC quorum notification requirements</t>
  </si>
  <si>
    <t>c. NOTICE (blank in folder 4)</t>
  </si>
  <si>
    <t>Select EQC recommendation in staff report</t>
  </si>
  <si>
    <t>Integrate NOTICE into staff report</t>
  </si>
  <si>
    <t>Begin Comment Period 10/1/2013</t>
  </si>
  <si>
    <t>Obtain Robin Williams and Jim Roys Approval - BUDGET.REVIEW.FISCAL</t>
  </si>
  <si>
    <t>Curtis,Papish,Ginsburg</t>
  </si>
  <si>
    <t>Papish, Mgrs</t>
  </si>
  <si>
    <t>DE, Fiscal, Papish</t>
  </si>
  <si>
    <t>Papish,DE,Fiscal</t>
  </si>
  <si>
    <t>Papish</t>
  </si>
  <si>
    <t>Team,Ginsburg</t>
  </si>
  <si>
    <t>Papish or Ginsburg</t>
  </si>
  <si>
    <t>@ Ginsburg direction</t>
  </si>
  <si>
    <t>Team, Ginsburg</t>
  </si>
  <si>
    <t>Ginsburg, DE</t>
  </si>
  <si>
    <t>Team, Papish, Ginsburg</t>
  </si>
  <si>
    <t>Ginsburg</t>
  </si>
  <si>
    <t>Papish,Inahara,DE</t>
  </si>
  <si>
    <t>DE, Inahara. MV</t>
  </si>
  <si>
    <t>Inahara,DE</t>
  </si>
  <si>
    <t>Inahara, Team, SC</t>
  </si>
  <si>
    <t>DE,Inahara</t>
  </si>
  <si>
    <t>Inahara,Curtis</t>
  </si>
  <si>
    <t>Curtis</t>
  </si>
  <si>
    <t>LA briefing meeting 9/9/2013</t>
  </si>
  <si>
    <t>CLOSE Notice Packet preview period 9/16/2013</t>
  </si>
  <si>
    <t>Final loop for LM approval of packet 9/2/13</t>
  </si>
  <si>
    <t>1st loop for LM approval of packet 8/5/13 - 8/8/13</t>
  </si>
  <si>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 8/13/13</t>
    </r>
  </si>
</sst>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theme="5" tint="0.39997558519241921"/>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3">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4"/>
    </xf>
    <xf numFmtId="167" fontId="54" fillId="2" borderId="0" xfId="0" applyNumberFormat="1" applyFont="1" applyFill="1" applyBorder="1" applyAlignment="1" applyProtection="1">
      <alignment horizontal="left" vertical="center" wrapText="1" indent="1"/>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xf numFmtId="166" fontId="54" fillId="25"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25" borderId="2" xfId="0" applyNumberFormat="1" applyFont="1" applyFill="1" applyBorder="1" applyAlignment="1" applyProtection="1">
      <alignment horizontal="right"/>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41" borderId="0" xfId="0" applyFont="1" applyFill="1" applyBorder="1"/>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255</v>
      </c>
      <c r="E3" s="342" t="s">
        <v>220</v>
      </c>
      <c r="F3" s="342" t="s">
        <v>261</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131</v>
      </c>
      <c r="K21" s="2"/>
      <c r="L21" s="9"/>
      <c r="M21" s="9"/>
      <c r="N21" s="65"/>
      <c r="O21" s="65"/>
      <c r="P21" s="70"/>
      <c r="Q21" s="70"/>
      <c r="R21" s="2"/>
      <c r="S21" s="2"/>
      <c r="T21" s="2"/>
    </row>
    <row r="22" spans="1:20">
      <c r="A22" s="10" t="s">
        <v>25</v>
      </c>
      <c r="B22" s="10"/>
      <c r="C22" s="9"/>
      <c r="D22" s="9"/>
      <c r="E22" s="72"/>
      <c r="F22" s="72"/>
      <c r="G22" s="72"/>
      <c r="H22" s="72"/>
      <c r="I22" s="2"/>
      <c r="J22" s="742" t="s">
        <v>130</v>
      </c>
      <c r="K22" s="742"/>
      <c r="L22" s="742"/>
      <c r="M22" s="742"/>
      <c r="N22" s="742"/>
      <c r="O22" s="742"/>
      <c r="P22" s="742"/>
      <c r="Q22" s="70"/>
      <c r="R22" s="2"/>
      <c r="S22" s="2"/>
      <c r="T22" s="2"/>
    </row>
    <row r="23" spans="1:20">
      <c r="A23" s="22">
        <v>41275</v>
      </c>
      <c r="B23" s="20" t="s">
        <v>7</v>
      </c>
      <c r="C23" s="33">
        <f>A23</f>
        <v>41275</v>
      </c>
      <c r="D23" s="33"/>
      <c r="E23" s="72"/>
      <c r="F23" s="72"/>
      <c r="G23" s="72"/>
      <c r="H23" s="72"/>
      <c r="I23" s="2"/>
      <c r="J23" s="742"/>
      <c r="K23" s="742"/>
      <c r="L23" s="742"/>
      <c r="M23" s="742"/>
      <c r="N23" s="742"/>
      <c r="O23" s="742"/>
      <c r="P23" s="742"/>
      <c r="Q23" s="70"/>
      <c r="R23" s="2"/>
      <c r="S23" s="2"/>
      <c r="T23" s="2"/>
    </row>
    <row r="24" spans="1:20">
      <c r="A24" s="22">
        <v>41292</v>
      </c>
      <c r="B24" s="20" t="s">
        <v>5</v>
      </c>
      <c r="C24" s="33">
        <f t="shared" ref="C24:C71" si="5">A24</f>
        <v>41292</v>
      </c>
      <c r="D24" s="33"/>
      <c r="E24" s="72"/>
      <c r="F24" s="72"/>
      <c r="G24" s="72"/>
      <c r="H24" s="72"/>
      <c r="I24" s="2"/>
      <c r="J24" s="742"/>
      <c r="K24" s="742"/>
      <c r="L24" s="742"/>
      <c r="M24" s="742"/>
      <c r="N24" s="742"/>
      <c r="O24" s="742"/>
      <c r="P24" s="742"/>
      <c r="Q24" s="70"/>
      <c r="R24" s="2"/>
      <c r="S24" s="2"/>
      <c r="T24" s="2"/>
    </row>
    <row r="25" spans="1:20">
      <c r="A25" s="22">
        <v>41295</v>
      </c>
      <c r="B25" s="20" t="s">
        <v>8</v>
      </c>
      <c r="C25" s="33">
        <f t="shared" si="5"/>
        <v>41295</v>
      </c>
      <c r="D25" s="33"/>
      <c r="E25" s="72"/>
      <c r="F25" s="72"/>
      <c r="G25" s="72"/>
      <c r="H25" s="72"/>
      <c r="I25" s="2"/>
      <c r="J25" s="742"/>
      <c r="K25" s="742"/>
      <c r="L25" s="742"/>
      <c r="M25" s="742"/>
      <c r="N25" s="742"/>
      <c r="O25" s="742"/>
      <c r="P25" s="742"/>
      <c r="Q25" s="70"/>
      <c r="R25" s="2"/>
      <c r="S25" s="2"/>
      <c r="T25" s="2"/>
    </row>
    <row r="26" spans="1:20">
      <c r="A26" s="22">
        <v>41323</v>
      </c>
      <c r="B26" s="20" t="s">
        <v>9</v>
      </c>
      <c r="C26" s="33">
        <f t="shared" si="5"/>
        <v>41323</v>
      </c>
      <c r="D26" s="33"/>
      <c r="E26" s="72"/>
      <c r="F26" s="72"/>
      <c r="G26" s="72"/>
      <c r="H26" s="72"/>
      <c r="I26" s="2"/>
      <c r="J26" s="742"/>
      <c r="K26" s="742"/>
      <c r="L26" s="742"/>
      <c r="M26" s="742"/>
      <c r="N26" s="742"/>
      <c r="O26" s="742"/>
      <c r="P26" s="742"/>
      <c r="Q26" s="70"/>
      <c r="R26" s="2"/>
      <c r="S26" s="2"/>
      <c r="T26" s="2"/>
    </row>
    <row r="27" spans="1:20">
      <c r="A27" s="22">
        <v>41383</v>
      </c>
      <c r="B27" s="20" t="s">
        <v>5</v>
      </c>
      <c r="C27" s="33">
        <f t="shared" si="5"/>
        <v>41383</v>
      </c>
      <c r="D27" s="33"/>
      <c r="E27" s="72"/>
      <c r="F27" s="72"/>
      <c r="G27" s="72"/>
      <c r="H27" s="72"/>
      <c r="I27" s="2"/>
      <c r="J27" s="742"/>
      <c r="K27" s="742"/>
      <c r="L27" s="742"/>
      <c r="M27" s="742"/>
      <c r="N27" s="742"/>
      <c r="O27" s="742"/>
      <c r="P27" s="742"/>
      <c r="Q27" s="70"/>
      <c r="R27" s="2"/>
      <c r="S27" s="2"/>
      <c r="T27" s="2"/>
    </row>
    <row r="28" spans="1:20">
      <c r="A28" s="22">
        <v>41418</v>
      </c>
      <c r="B28" s="20" t="s">
        <v>5</v>
      </c>
      <c r="C28" s="33">
        <f t="shared" si="5"/>
        <v>41418</v>
      </c>
      <c r="D28" s="33"/>
      <c r="E28" s="72"/>
      <c r="F28" s="72"/>
      <c r="G28" s="72"/>
      <c r="H28" s="72"/>
      <c r="I28" s="2"/>
      <c r="J28" s="742"/>
      <c r="K28" s="742"/>
      <c r="L28" s="742"/>
      <c r="M28" s="742"/>
      <c r="N28" s="742"/>
      <c r="O28" s="742"/>
      <c r="P28" s="742"/>
      <c r="Q28" s="70"/>
      <c r="R28" s="2"/>
      <c r="S28" s="2"/>
      <c r="T28" s="2"/>
    </row>
    <row r="29" spans="1:20">
      <c r="A29" s="22">
        <v>41421</v>
      </c>
      <c r="B29" s="20" t="s">
        <v>10</v>
      </c>
      <c r="C29" s="33">
        <f t="shared" si="5"/>
        <v>41421</v>
      </c>
      <c r="D29" s="33"/>
      <c r="E29" s="72"/>
      <c r="F29" s="72"/>
      <c r="G29" s="72"/>
      <c r="H29" s="72"/>
      <c r="I29" s="2"/>
      <c r="J29" s="742"/>
      <c r="K29" s="742"/>
      <c r="L29" s="742"/>
      <c r="M29" s="742"/>
      <c r="N29" s="742"/>
      <c r="O29" s="742"/>
      <c r="P29" s="742"/>
      <c r="Q29" s="70"/>
      <c r="R29" s="2"/>
      <c r="S29" s="2"/>
      <c r="T29" s="2"/>
    </row>
    <row r="30" spans="1:20">
      <c r="A30" s="22">
        <v>41459</v>
      </c>
      <c r="B30" s="20" t="s">
        <v>11</v>
      </c>
      <c r="C30" s="33">
        <f t="shared" si="5"/>
        <v>41459</v>
      </c>
      <c r="D30" s="33"/>
      <c r="E30" s="72"/>
      <c r="F30" s="72"/>
      <c r="G30" s="72"/>
      <c r="H30" s="72"/>
      <c r="I30" s="2"/>
      <c r="J30" s="742"/>
      <c r="K30" s="742"/>
      <c r="L30" s="742"/>
      <c r="M30" s="742"/>
      <c r="N30" s="742"/>
      <c r="O30" s="742"/>
      <c r="P30" s="742"/>
      <c r="Q30" s="70"/>
      <c r="R30" s="2"/>
      <c r="S30" s="2"/>
      <c r="T30" s="2"/>
    </row>
    <row r="31" spans="1:20">
      <c r="A31" s="22">
        <v>41519</v>
      </c>
      <c r="B31" s="20" t="s">
        <v>12</v>
      </c>
      <c r="C31" s="33">
        <f t="shared" si="5"/>
        <v>41519</v>
      </c>
      <c r="D31" s="33"/>
      <c r="E31" s="72"/>
      <c r="F31" s="72"/>
      <c r="G31" s="72"/>
      <c r="H31" s="72"/>
      <c r="I31" s="2"/>
      <c r="J31" s="742"/>
      <c r="K31" s="742"/>
      <c r="L31" s="742"/>
      <c r="M31" s="742"/>
      <c r="N31" s="742"/>
      <c r="O31" s="742"/>
      <c r="P31" s="742"/>
      <c r="Q31" s="70"/>
      <c r="R31" s="2"/>
      <c r="S31" s="2"/>
      <c r="T31" s="2"/>
    </row>
    <row r="32" spans="1:20">
      <c r="A32" s="22">
        <v>41589</v>
      </c>
      <c r="B32" s="20" t="s">
        <v>3</v>
      </c>
      <c r="C32" s="33">
        <f t="shared" si="5"/>
        <v>41589</v>
      </c>
      <c r="D32" s="33"/>
      <c r="E32" s="72"/>
      <c r="F32" s="72"/>
      <c r="G32" s="72"/>
      <c r="H32" s="72"/>
      <c r="I32" s="2"/>
      <c r="J32" s="742"/>
      <c r="K32" s="742"/>
      <c r="L32" s="742"/>
      <c r="M32" s="742"/>
      <c r="N32" s="742"/>
      <c r="O32" s="742"/>
      <c r="P32" s="742"/>
      <c r="Q32" s="70"/>
      <c r="R32" s="2"/>
      <c r="S32" s="2"/>
      <c r="T32" s="2"/>
    </row>
    <row r="33" spans="1:20">
      <c r="A33" s="22">
        <v>41606</v>
      </c>
      <c r="B33" s="20" t="s">
        <v>4</v>
      </c>
      <c r="C33" s="33">
        <f t="shared" si="5"/>
        <v>41606</v>
      </c>
      <c r="D33" s="33"/>
      <c r="E33" s="72"/>
      <c r="F33" s="72"/>
      <c r="G33" s="72"/>
      <c r="H33" s="72"/>
      <c r="I33" s="2"/>
      <c r="J33" s="742"/>
      <c r="K33" s="742"/>
      <c r="L33" s="742"/>
      <c r="M33" s="742"/>
      <c r="N33" s="742"/>
      <c r="O33" s="742"/>
      <c r="P33" s="742"/>
      <c r="Q33" s="70"/>
      <c r="R33" s="2"/>
      <c r="S33" s="2"/>
      <c r="T33" s="2"/>
    </row>
    <row r="34" spans="1:20">
      <c r="A34" s="22">
        <v>41633</v>
      </c>
      <c r="B34" s="20" t="s">
        <v>6</v>
      </c>
      <c r="C34" s="33">
        <f t="shared" si="5"/>
        <v>41633</v>
      </c>
      <c r="D34" s="33"/>
      <c r="E34" s="72"/>
      <c r="F34" s="72"/>
      <c r="G34" s="72"/>
      <c r="H34" s="72"/>
      <c r="I34" s="2"/>
      <c r="J34" s="742"/>
      <c r="K34" s="742"/>
      <c r="L34" s="742"/>
      <c r="M34" s="742"/>
      <c r="N34" s="742"/>
      <c r="O34" s="742"/>
      <c r="P34" s="742"/>
      <c r="Q34" s="70"/>
      <c r="R34" s="2"/>
      <c r="S34" s="2"/>
      <c r="T34" s="2"/>
    </row>
    <row r="35" spans="1:20">
      <c r="A35" s="22">
        <v>41640</v>
      </c>
      <c r="B35" s="20" t="s">
        <v>7</v>
      </c>
      <c r="C35" s="33">
        <f t="shared" si="5"/>
        <v>41640</v>
      </c>
      <c r="D35" s="33"/>
      <c r="E35" s="72"/>
      <c r="F35" s="72"/>
      <c r="G35" s="72"/>
      <c r="H35" s="72"/>
      <c r="I35" s="2"/>
      <c r="J35" s="742"/>
      <c r="K35" s="742"/>
      <c r="L35" s="742"/>
      <c r="M35" s="742"/>
      <c r="N35" s="742"/>
      <c r="O35" s="742"/>
      <c r="P35" s="742"/>
      <c r="Q35" s="70"/>
      <c r="R35" s="2"/>
      <c r="S35" s="2"/>
      <c r="T35" s="2"/>
    </row>
    <row r="36" spans="1:20">
      <c r="A36" s="22">
        <v>41659</v>
      </c>
      <c r="B36" s="20" t="s">
        <v>8</v>
      </c>
      <c r="C36" s="33">
        <f t="shared" si="5"/>
        <v>41659</v>
      </c>
      <c r="D36" s="33"/>
      <c r="E36" s="72"/>
      <c r="F36" s="72"/>
      <c r="G36" s="72"/>
      <c r="H36" s="72"/>
      <c r="I36" s="2"/>
      <c r="J36" s="742"/>
      <c r="K36" s="742"/>
      <c r="L36" s="742"/>
      <c r="M36" s="742"/>
      <c r="N36" s="742"/>
      <c r="O36" s="742"/>
      <c r="P36" s="742"/>
      <c r="Q36" s="70"/>
      <c r="R36" s="2"/>
      <c r="S36" s="2"/>
      <c r="T36" s="2"/>
    </row>
    <row r="37" spans="1:20">
      <c r="A37" s="22">
        <v>41687</v>
      </c>
      <c r="B37" s="20" t="s">
        <v>9</v>
      </c>
      <c r="C37" s="33">
        <f t="shared" si="5"/>
        <v>41687</v>
      </c>
      <c r="D37" s="33"/>
      <c r="E37" s="72"/>
      <c r="F37" s="72"/>
      <c r="G37" s="72"/>
      <c r="H37" s="72"/>
      <c r="I37" s="2"/>
      <c r="J37" s="742"/>
      <c r="K37" s="742"/>
      <c r="L37" s="742"/>
      <c r="M37" s="742"/>
      <c r="N37" s="742"/>
      <c r="O37" s="742"/>
      <c r="P37" s="742"/>
      <c r="Q37" s="70"/>
      <c r="R37" s="2"/>
      <c r="S37" s="2"/>
      <c r="T37" s="2"/>
    </row>
    <row r="38" spans="1:20">
      <c r="A38" s="22">
        <v>41785</v>
      </c>
      <c r="B38" s="20" t="s">
        <v>10</v>
      </c>
      <c r="C38" s="33">
        <f t="shared" si="5"/>
        <v>41785</v>
      </c>
      <c r="D38" s="33"/>
      <c r="E38" s="72"/>
      <c r="F38" s="72"/>
      <c r="G38" s="72"/>
      <c r="H38" s="72"/>
      <c r="I38" s="2"/>
      <c r="J38" s="742"/>
      <c r="K38" s="742"/>
      <c r="L38" s="742"/>
      <c r="M38" s="742"/>
      <c r="N38" s="742"/>
      <c r="O38" s="742"/>
      <c r="P38" s="742"/>
      <c r="Q38" s="70"/>
      <c r="R38" s="2"/>
      <c r="S38" s="2"/>
      <c r="T38" s="2"/>
    </row>
    <row r="39" spans="1:20">
      <c r="A39" s="22">
        <v>41824</v>
      </c>
      <c r="B39" s="20" t="s">
        <v>11</v>
      </c>
      <c r="C39" s="33">
        <f t="shared" si="5"/>
        <v>41824</v>
      </c>
      <c r="D39" s="33"/>
      <c r="E39" s="72"/>
      <c r="F39" s="72"/>
      <c r="G39" s="72"/>
      <c r="H39" s="72"/>
      <c r="I39" s="2"/>
      <c r="J39" s="742"/>
      <c r="K39" s="742"/>
      <c r="L39" s="742"/>
      <c r="M39" s="742"/>
      <c r="N39" s="742"/>
      <c r="O39" s="742"/>
      <c r="P39" s="742"/>
      <c r="Q39" s="70"/>
      <c r="R39" s="2"/>
      <c r="S39" s="2"/>
      <c r="T39" s="2"/>
    </row>
    <row r="40" spans="1:20">
      <c r="A40" s="22">
        <v>41884</v>
      </c>
      <c r="B40" s="20" t="s">
        <v>12</v>
      </c>
      <c r="C40" s="33">
        <f t="shared" si="5"/>
        <v>41884</v>
      </c>
      <c r="D40" s="33"/>
      <c r="E40" s="72"/>
      <c r="F40" s="72"/>
      <c r="G40" s="72"/>
      <c r="H40" s="72"/>
      <c r="I40" s="2"/>
      <c r="J40" s="742"/>
      <c r="K40" s="742"/>
      <c r="L40" s="742"/>
      <c r="M40" s="742"/>
      <c r="N40" s="742"/>
      <c r="O40" s="742"/>
      <c r="P40" s="742"/>
      <c r="Q40" s="70"/>
      <c r="R40" s="2"/>
      <c r="S40" s="2"/>
      <c r="T40" s="2"/>
    </row>
    <row r="41" spans="1:20">
      <c r="A41" s="22">
        <v>41954</v>
      </c>
      <c r="B41" s="20" t="s">
        <v>3</v>
      </c>
      <c r="C41" s="33">
        <f t="shared" si="5"/>
        <v>41954</v>
      </c>
      <c r="D41" s="33"/>
      <c r="E41" s="72"/>
      <c r="F41" s="72"/>
      <c r="G41" s="72"/>
      <c r="H41" s="72"/>
      <c r="I41" s="2"/>
      <c r="J41" s="742"/>
      <c r="K41" s="742"/>
      <c r="L41" s="742"/>
      <c r="M41" s="742"/>
      <c r="N41" s="742"/>
      <c r="O41" s="742"/>
      <c r="P41" s="742"/>
      <c r="Q41" s="70"/>
      <c r="R41" s="2"/>
      <c r="S41" s="2"/>
      <c r="T41" s="2"/>
    </row>
    <row r="42" spans="1:20">
      <c r="A42" s="22">
        <v>41970</v>
      </c>
      <c r="B42" s="20" t="s">
        <v>4</v>
      </c>
      <c r="C42" s="33">
        <f t="shared" si="5"/>
        <v>41970</v>
      </c>
      <c r="D42" s="33"/>
      <c r="E42" s="72"/>
      <c r="F42" s="72"/>
      <c r="G42" s="72"/>
      <c r="H42" s="72"/>
      <c r="I42" s="2"/>
      <c r="J42" s="742"/>
      <c r="K42" s="742"/>
      <c r="L42" s="742"/>
      <c r="M42" s="742"/>
      <c r="N42" s="742"/>
      <c r="O42" s="742"/>
      <c r="P42" s="742"/>
      <c r="Q42" s="70"/>
      <c r="R42" s="2"/>
      <c r="S42" s="2"/>
      <c r="T42" s="2"/>
    </row>
    <row r="43" spans="1:20">
      <c r="A43" s="22">
        <v>41998</v>
      </c>
      <c r="B43" s="20" t="s">
        <v>6</v>
      </c>
      <c r="C43" s="33">
        <f t="shared" si="5"/>
        <v>41998</v>
      </c>
      <c r="D43" s="33"/>
      <c r="E43" s="72"/>
      <c r="F43" s="72"/>
      <c r="G43" s="72"/>
      <c r="H43" s="72"/>
      <c r="I43" s="2"/>
      <c r="J43" s="742"/>
      <c r="K43" s="742"/>
      <c r="L43" s="742"/>
      <c r="M43" s="742"/>
      <c r="N43" s="742"/>
      <c r="O43" s="742"/>
      <c r="P43" s="742"/>
      <c r="Q43" s="70"/>
      <c r="R43" s="2"/>
      <c r="S43" s="2"/>
      <c r="T43" s="2"/>
    </row>
    <row r="44" spans="1:20">
      <c r="A44" s="22">
        <v>42005</v>
      </c>
      <c r="B44" s="20" t="s">
        <v>7</v>
      </c>
      <c r="C44" s="33">
        <f t="shared" si="5"/>
        <v>42005</v>
      </c>
      <c r="D44" s="33"/>
      <c r="E44" s="72"/>
      <c r="F44" s="72"/>
      <c r="G44" s="72"/>
      <c r="H44" s="72"/>
      <c r="I44" s="2"/>
      <c r="J44" s="742"/>
      <c r="K44" s="742"/>
      <c r="L44" s="742"/>
      <c r="M44" s="742"/>
      <c r="N44" s="742"/>
      <c r="O44" s="742"/>
      <c r="P44" s="742"/>
      <c r="Q44" s="70"/>
      <c r="R44" s="2"/>
      <c r="S44" s="2"/>
      <c r="T44" s="2"/>
    </row>
    <row r="45" spans="1:20">
      <c r="A45" s="22">
        <v>42023</v>
      </c>
      <c r="B45" s="20" t="s">
        <v>8</v>
      </c>
      <c r="C45" s="33">
        <f t="shared" si="5"/>
        <v>42023</v>
      </c>
      <c r="D45" s="33"/>
      <c r="E45" s="72"/>
      <c r="F45" s="72"/>
      <c r="G45" s="72"/>
      <c r="H45" s="72"/>
      <c r="I45" s="2"/>
      <c r="J45" s="742"/>
      <c r="K45" s="742"/>
      <c r="L45" s="742"/>
      <c r="M45" s="742"/>
      <c r="N45" s="742"/>
      <c r="O45" s="742"/>
      <c r="P45" s="742"/>
      <c r="Q45" s="70"/>
      <c r="R45" s="2"/>
      <c r="S45" s="2"/>
      <c r="T45" s="2"/>
    </row>
    <row r="46" spans="1:20">
      <c r="A46" s="22">
        <v>42051</v>
      </c>
      <c r="B46" s="20" t="s">
        <v>9</v>
      </c>
      <c r="C46" s="33">
        <f t="shared" si="5"/>
        <v>42051</v>
      </c>
      <c r="D46" s="33"/>
      <c r="E46" s="72"/>
      <c r="F46" s="72"/>
      <c r="G46" s="72"/>
      <c r="H46" s="72"/>
      <c r="I46" s="2"/>
      <c r="J46" s="742"/>
      <c r="K46" s="742"/>
      <c r="L46" s="742"/>
      <c r="M46" s="742"/>
      <c r="N46" s="742"/>
      <c r="O46" s="742"/>
      <c r="P46" s="742"/>
      <c r="Q46" s="70"/>
      <c r="R46" s="2"/>
      <c r="S46" s="2"/>
      <c r="T46" s="2"/>
    </row>
    <row r="47" spans="1:20">
      <c r="A47" s="22">
        <v>42149</v>
      </c>
      <c r="B47" s="20" t="s">
        <v>10</v>
      </c>
      <c r="C47" s="33">
        <f t="shared" si="5"/>
        <v>42149</v>
      </c>
      <c r="D47" s="33"/>
      <c r="E47" s="72"/>
      <c r="F47" s="72"/>
      <c r="G47" s="72"/>
      <c r="H47" s="72"/>
      <c r="I47" s="2"/>
      <c r="J47" s="742"/>
      <c r="K47" s="742"/>
      <c r="L47" s="742"/>
      <c r="M47" s="742"/>
      <c r="N47" s="742"/>
      <c r="O47" s="742"/>
      <c r="P47" s="742"/>
      <c r="Q47" s="70"/>
      <c r="R47" s="2"/>
      <c r="S47" s="2"/>
      <c r="T47" s="2"/>
    </row>
    <row r="48" spans="1:20">
      <c r="A48" s="22">
        <v>42188</v>
      </c>
      <c r="B48" s="20" t="s">
        <v>11</v>
      </c>
      <c r="C48" s="33">
        <f t="shared" si="5"/>
        <v>42188</v>
      </c>
      <c r="D48" s="33"/>
      <c r="E48" s="72"/>
      <c r="F48" s="72"/>
      <c r="G48" s="72"/>
      <c r="H48" s="72"/>
      <c r="I48" s="2"/>
      <c r="J48" s="742"/>
      <c r="K48" s="742"/>
      <c r="L48" s="742"/>
      <c r="M48" s="742"/>
      <c r="N48" s="742"/>
      <c r="O48" s="742"/>
      <c r="P48" s="742"/>
      <c r="Q48" s="70"/>
      <c r="R48" s="2"/>
      <c r="S48" s="2"/>
      <c r="T48" s="2"/>
    </row>
    <row r="49" spans="1:20">
      <c r="A49" s="22">
        <v>42254</v>
      </c>
      <c r="B49" s="20" t="s">
        <v>12</v>
      </c>
      <c r="C49" s="33">
        <f t="shared" si="5"/>
        <v>42254</v>
      </c>
      <c r="D49" s="33"/>
      <c r="E49" s="72"/>
      <c r="F49" s="72"/>
      <c r="G49" s="72"/>
      <c r="H49" s="72"/>
      <c r="I49" s="2"/>
      <c r="J49" s="742"/>
      <c r="K49" s="742"/>
      <c r="L49" s="742"/>
      <c r="M49" s="742"/>
      <c r="N49" s="742"/>
      <c r="O49" s="742"/>
      <c r="P49" s="742"/>
      <c r="Q49" s="70"/>
      <c r="R49" s="2"/>
      <c r="S49" s="2"/>
      <c r="T49" s="2"/>
    </row>
    <row r="50" spans="1:20">
      <c r="A50" s="22">
        <v>42319</v>
      </c>
      <c r="B50" s="20" t="s">
        <v>3</v>
      </c>
      <c r="C50" s="33">
        <f t="shared" si="5"/>
        <v>42319</v>
      </c>
      <c r="D50" s="33"/>
      <c r="E50" s="72"/>
      <c r="F50" s="72"/>
      <c r="G50" s="72"/>
      <c r="H50" s="72"/>
      <c r="I50" s="2"/>
      <c r="J50" s="742"/>
      <c r="K50" s="742"/>
      <c r="L50" s="742"/>
      <c r="M50" s="742"/>
      <c r="N50" s="742"/>
      <c r="O50" s="742"/>
      <c r="P50" s="742"/>
      <c r="Q50" s="70"/>
      <c r="R50" s="2"/>
      <c r="S50" s="2"/>
      <c r="T50" s="2"/>
    </row>
    <row r="51" spans="1:20">
      <c r="A51" s="22">
        <v>42334</v>
      </c>
      <c r="B51" s="20" t="s">
        <v>4</v>
      </c>
      <c r="C51" s="33">
        <f t="shared" si="5"/>
        <v>42334</v>
      </c>
      <c r="D51" s="33"/>
      <c r="E51" s="72"/>
      <c r="F51" s="72"/>
      <c r="G51" s="72"/>
      <c r="H51" s="72"/>
      <c r="I51" s="2"/>
      <c r="J51" s="742"/>
      <c r="K51" s="742"/>
      <c r="L51" s="742"/>
      <c r="M51" s="742"/>
      <c r="N51" s="742"/>
      <c r="O51" s="742"/>
      <c r="P51" s="742"/>
      <c r="Q51" s="70"/>
      <c r="R51" s="2"/>
      <c r="S51" s="2"/>
      <c r="T51" s="2"/>
    </row>
    <row r="52" spans="1:20">
      <c r="A52" s="22">
        <v>42363</v>
      </c>
      <c r="B52" s="20" t="s">
        <v>6</v>
      </c>
      <c r="C52" s="33">
        <f t="shared" si="5"/>
        <v>42363</v>
      </c>
      <c r="D52" s="33"/>
      <c r="E52" s="72"/>
      <c r="F52" s="72"/>
      <c r="G52" s="72"/>
      <c r="H52" s="72"/>
      <c r="I52" s="2"/>
      <c r="J52" s="742"/>
      <c r="K52" s="742"/>
      <c r="L52" s="742"/>
      <c r="M52" s="742"/>
      <c r="N52" s="742"/>
      <c r="O52" s="742"/>
      <c r="P52" s="742"/>
      <c r="Q52" s="70"/>
      <c r="R52" s="2"/>
      <c r="S52" s="2"/>
      <c r="T52" s="2"/>
    </row>
    <row r="53" spans="1:20">
      <c r="A53" s="22">
        <v>42370</v>
      </c>
      <c r="B53" s="20" t="s">
        <v>7</v>
      </c>
      <c r="C53" s="33">
        <f t="shared" ref="C53:C61" si="6">A53</f>
        <v>42370</v>
      </c>
      <c r="D53" s="33"/>
      <c r="E53" s="72"/>
      <c r="F53" s="72"/>
      <c r="G53" s="72"/>
      <c r="H53" s="72"/>
      <c r="I53" s="2"/>
      <c r="J53" s="742"/>
      <c r="K53" s="742"/>
      <c r="L53" s="742"/>
      <c r="M53" s="742"/>
      <c r="N53" s="742"/>
      <c r="O53" s="742"/>
      <c r="P53" s="742"/>
      <c r="Q53" s="70"/>
      <c r="R53" s="2"/>
      <c r="S53" s="2"/>
      <c r="T53" s="2"/>
    </row>
    <row r="54" spans="1:20">
      <c r="A54" s="22">
        <v>42387</v>
      </c>
      <c r="B54" s="20" t="s">
        <v>8</v>
      </c>
      <c r="C54" s="33">
        <f t="shared" si="6"/>
        <v>42387</v>
      </c>
      <c r="D54" s="33"/>
      <c r="E54" s="72"/>
      <c r="F54" s="72"/>
      <c r="G54" s="72"/>
      <c r="H54" s="72"/>
      <c r="I54" s="2"/>
      <c r="J54" s="742"/>
      <c r="K54" s="742"/>
      <c r="L54" s="742"/>
      <c r="M54" s="742"/>
      <c r="N54" s="742"/>
      <c r="O54" s="742"/>
      <c r="P54" s="742"/>
      <c r="Q54" s="70"/>
      <c r="R54" s="2"/>
      <c r="S54" s="2"/>
      <c r="T54" s="2"/>
    </row>
    <row r="55" spans="1:20">
      <c r="A55" s="22">
        <v>42415</v>
      </c>
      <c r="B55" s="20" t="s">
        <v>9</v>
      </c>
      <c r="C55" s="33">
        <f t="shared" si="6"/>
        <v>42415</v>
      </c>
      <c r="D55" s="33"/>
      <c r="E55" s="72"/>
      <c r="F55" s="72"/>
      <c r="G55" s="72"/>
      <c r="H55" s="72"/>
      <c r="I55" s="2"/>
      <c r="J55" s="742"/>
      <c r="K55" s="742"/>
      <c r="L55" s="742"/>
      <c r="M55" s="742"/>
      <c r="N55" s="742"/>
      <c r="O55" s="742"/>
      <c r="P55" s="742"/>
      <c r="Q55" s="70"/>
      <c r="R55" s="2"/>
      <c r="S55" s="2"/>
      <c r="T55" s="2"/>
    </row>
    <row r="56" spans="1:20">
      <c r="A56" s="22">
        <v>42520</v>
      </c>
      <c r="B56" s="20" t="s">
        <v>10</v>
      </c>
      <c r="C56" s="33">
        <f t="shared" si="6"/>
        <v>42520</v>
      </c>
      <c r="D56" s="33"/>
      <c r="E56" s="72"/>
      <c r="F56" s="72"/>
      <c r="G56" s="72"/>
      <c r="H56" s="72"/>
      <c r="I56" s="2"/>
      <c r="J56" s="742"/>
      <c r="K56" s="742"/>
      <c r="L56" s="742"/>
      <c r="M56" s="742"/>
      <c r="N56" s="742"/>
      <c r="O56" s="742"/>
      <c r="P56" s="742"/>
      <c r="Q56" s="70"/>
      <c r="R56" s="2"/>
      <c r="S56" s="2"/>
      <c r="T56" s="2"/>
    </row>
    <row r="57" spans="1:20">
      <c r="A57" s="22">
        <v>42555</v>
      </c>
      <c r="B57" s="20" t="s">
        <v>11</v>
      </c>
      <c r="C57" s="33">
        <f t="shared" si="6"/>
        <v>42555</v>
      </c>
      <c r="D57" s="33"/>
      <c r="E57" s="72"/>
      <c r="F57" s="72"/>
      <c r="G57" s="72"/>
      <c r="H57" s="72"/>
      <c r="I57" s="2"/>
      <c r="J57" s="742"/>
      <c r="K57" s="742"/>
      <c r="L57" s="742"/>
      <c r="M57" s="742"/>
      <c r="N57" s="742"/>
      <c r="O57" s="742"/>
      <c r="P57" s="742"/>
      <c r="Q57" s="70"/>
      <c r="R57" s="2"/>
      <c r="S57" s="2"/>
      <c r="T57" s="2"/>
    </row>
    <row r="58" spans="1:20">
      <c r="A58" s="22">
        <v>42618</v>
      </c>
      <c r="B58" s="20" t="s">
        <v>12</v>
      </c>
      <c r="C58" s="33">
        <f t="shared" si="6"/>
        <v>42618</v>
      </c>
      <c r="D58" s="33"/>
      <c r="E58" s="72"/>
      <c r="F58" s="72"/>
      <c r="G58" s="72"/>
      <c r="H58" s="72"/>
      <c r="I58" s="2"/>
      <c r="J58" s="742"/>
      <c r="K58" s="742"/>
      <c r="L58" s="742"/>
      <c r="M58" s="742"/>
      <c r="N58" s="742"/>
      <c r="O58" s="742"/>
      <c r="P58" s="742"/>
      <c r="Q58" s="70"/>
      <c r="R58" s="2"/>
      <c r="S58" s="2"/>
      <c r="T58" s="2"/>
    </row>
    <row r="59" spans="1:20">
      <c r="A59" s="22">
        <v>42685</v>
      </c>
      <c r="B59" s="20" t="s">
        <v>3</v>
      </c>
      <c r="C59" s="33">
        <f t="shared" si="6"/>
        <v>42685</v>
      </c>
      <c r="D59" s="33"/>
      <c r="E59" s="72"/>
      <c r="F59" s="72"/>
      <c r="G59" s="72"/>
      <c r="H59" s="72"/>
      <c r="I59" s="2"/>
      <c r="J59" s="742"/>
      <c r="K59" s="742"/>
      <c r="L59" s="742"/>
      <c r="M59" s="742"/>
      <c r="N59" s="742"/>
      <c r="O59" s="742"/>
      <c r="P59" s="742"/>
      <c r="Q59" s="70"/>
      <c r="R59" s="2"/>
      <c r="S59" s="2"/>
      <c r="T59" s="2"/>
    </row>
    <row r="60" spans="1:20">
      <c r="A60" s="22">
        <v>42698</v>
      </c>
      <c r="B60" s="20" t="s">
        <v>4</v>
      </c>
      <c r="C60" s="33">
        <f t="shared" si="6"/>
        <v>42698</v>
      </c>
      <c r="D60" s="33"/>
      <c r="E60" s="72"/>
      <c r="F60" s="72"/>
      <c r="G60" s="72"/>
      <c r="H60" s="72"/>
      <c r="I60" s="2"/>
      <c r="J60" s="742"/>
      <c r="K60" s="742"/>
      <c r="L60" s="742"/>
      <c r="M60" s="742"/>
      <c r="N60" s="742"/>
      <c r="O60" s="742"/>
      <c r="P60" s="742"/>
      <c r="Q60" s="70"/>
      <c r="R60" s="2"/>
      <c r="S60" s="2"/>
      <c r="T60" s="2"/>
    </row>
    <row r="61" spans="1:20">
      <c r="A61" s="22">
        <v>42730</v>
      </c>
      <c r="B61" s="20" t="s">
        <v>6</v>
      </c>
      <c r="C61" s="33">
        <f t="shared" si="6"/>
        <v>42730</v>
      </c>
      <c r="D61" s="33"/>
      <c r="E61" s="72"/>
      <c r="F61" s="72"/>
      <c r="G61" s="72"/>
      <c r="H61" s="72"/>
      <c r="I61" s="2"/>
      <c r="J61" s="742"/>
      <c r="K61" s="742"/>
      <c r="L61" s="742"/>
      <c r="M61" s="742"/>
      <c r="N61" s="742"/>
      <c r="O61" s="742"/>
      <c r="P61" s="742"/>
      <c r="Q61" s="70"/>
      <c r="R61" s="2"/>
      <c r="S61" s="2"/>
      <c r="T61" s="2"/>
    </row>
    <row r="62" spans="1:20">
      <c r="A62" s="22">
        <v>42737</v>
      </c>
      <c r="B62" s="20" t="s">
        <v>7</v>
      </c>
      <c r="C62" s="33">
        <f t="shared" ref="C62:C70" si="7">A62</f>
        <v>42737</v>
      </c>
      <c r="D62" s="33"/>
      <c r="E62" s="72"/>
      <c r="F62" s="72"/>
      <c r="G62" s="72"/>
      <c r="H62" s="72"/>
      <c r="I62" s="2"/>
      <c r="J62" s="742"/>
      <c r="K62" s="742"/>
      <c r="L62" s="742"/>
      <c r="M62" s="742"/>
      <c r="N62" s="742"/>
      <c r="O62" s="742"/>
      <c r="P62" s="742"/>
      <c r="Q62" s="70"/>
      <c r="R62" s="2"/>
      <c r="S62" s="2"/>
      <c r="T62" s="2"/>
    </row>
    <row r="63" spans="1:20">
      <c r="A63" s="22">
        <v>42751</v>
      </c>
      <c r="B63" s="20" t="s">
        <v>8</v>
      </c>
      <c r="C63" s="33">
        <f t="shared" si="7"/>
        <v>42751</v>
      </c>
      <c r="D63" s="33"/>
      <c r="E63" s="72"/>
      <c r="F63" s="72"/>
      <c r="G63" s="72"/>
      <c r="H63" s="72"/>
      <c r="I63" s="2"/>
      <c r="J63" s="742"/>
      <c r="K63" s="742"/>
      <c r="L63" s="742"/>
      <c r="M63" s="742"/>
      <c r="N63" s="742"/>
      <c r="O63" s="742"/>
      <c r="P63" s="742"/>
      <c r="Q63" s="70"/>
      <c r="R63" s="2"/>
      <c r="S63" s="2"/>
      <c r="T63" s="2"/>
    </row>
    <row r="64" spans="1:20">
      <c r="A64" s="22">
        <v>42786</v>
      </c>
      <c r="B64" s="20" t="s">
        <v>9</v>
      </c>
      <c r="C64" s="33">
        <f t="shared" si="7"/>
        <v>42786</v>
      </c>
      <c r="D64" s="33"/>
      <c r="E64" s="72"/>
      <c r="F64" s="72"/>
      <c r="G64" s="72"/>
      <c r="H64" s="72"/>
      <c r="I64" s="2"/>
      <c r="J64" s="742"/>
      <c r="K64" s="742"/>
      <c r="L64" s="742"/>
      <c r="M64" s="742"/>
      <c r="N64" s="742"/>
      <c r="O64" s="742"/>
      <c r="P64" s="742"/>
      <c r="Q64" s="70"/>
      <c r="R64" s="2"/>
      <c r="S64" s="2"/>
      <c r="T64" s="2"/>
    </row>
    <row r="65" spans="1:20">
      <c r="A65" s="22">
        <v>42884</v>
      </c>
      <c r="B65" s="20" t="s">
        <v>10</v>
      </c>
      <c r="C65" s="33">
        <f t="shared" si="7"/>
        <v>42884</v>
      </c>
      <c r="D65" s="33"/>
      <c r="E65" s="72"/>
      <c r="F65" s="72"/>
      <c r="G65" s="72"/>
      <c r="H65" s="72"/>
      <c r="I65" s="2"/>
      <c r="J65" s="742"/>
      <c r="K65" s="742"/>
      <c r="L65" s="742"/>
      <c r="M65" s="742"/>
      <c r="N65" s="742"/>
      <c r="O65" s="742"/>
      <c r="P65" s="742"/>
      <c r="Q65" s="70"/>
      <c r="R65" s="2"/>
      <c r="S65" s="2"/>
      <c r="T65" s="2"/>
    </row>
    <row r="66" spans="1:20">
      <c r="A66" s="22">
        <v>42920</v>
      </c>
      <c r="B66" s="20" t="s">
        <v>11</v>
      </c>
      <c r="C66" s="33">
        <f t="shared" si="7"/>
        <v>42920</v>
      </c>
      <c r="D66" s="33"/>
      <c r="E66" s="72"/>
      <c r="F66" s="72"/>
      <c r="G66" s="72"/>
      <c r="H66" s="72"/>
      <c r="I66" s="2"/>
      <c r="J66" s="742"/>
      <c r="K66" s="742"/>
      <c r="L66" s="742"/>
      <c r="M66" s="742"/>
      <c r="N66" s="742"/>
      <c r="O66" s="742"/>
      <c r="P66" s="742"/>
      <c r="Q66" s="70"/>
      <c r="R66" s="2"/>
      <c r="S66" s="2"/>
      <c r="T66" s="2"/>
    </row>
    <row r="67" spans="1:20">
      <c r="A67" s="22">
        <v>42982</v>
      </c>
      <c r="B67" s="20" t="s">
        <v>12</v>
      </c>
      <c r="C67" s="33">
        <f t="shared" si="7"/>
        <v>42982</v>
      </c>
      <c r="D67" s="33"/>
      <c r="E67" s="72"/>
      <c r="F67" s="72"/>
      <c r="G67" s="72"/>
      <c r="H67" s="72"/>
      <c r="I67" s="2"/>
      <c r="J67" s="742"/>
      <c r="K67" s="742"/>
      <c r="L67" s="742"/>
      <c r="M67" s="742"/>
      <c r="N67" s="742"/>
      <c r="O67" s="742"/>
      <c r="P67" s="742"/>
      <c r="Q67" s="70"/>
      <c r="R67" s="2"/>
      <c r="S67" s="2"/>
      <c r="T67" s="2"/>
    </row>
    <row r="68" spans="1:20">
      <c r="A68" s="22">
        <v>43049</v>
      </c>
      <c r="B68" s="20" t="s">
        <v>3</v>
      </c>
      <c r="C68" s="33">
        <f t="shared" si="7"/>
        <v>43049</v>
      </c>
      <c r="D68" s="33"/>
      <c r="E68" s="72"/>
      <c r="F68" s="72"/>
      <c r="G68" s="72"/>
      <c r="H68" s="72"/>
      <c r="I68" s="2"/>
      <c r="J68" s="742"/>
      <c r="K68" s="742"/>
      <c r="L68" s="742"/>
      <c r="M68" s="742"/>
      <c r="N68" s="742"/>
      <c r="O68" s="742"/>
      <c r="P68" s="742"/>
      <c r="Q68" s="70"/>
      <c r="R68" s="2"/>
      <c r="S68" s="2"/>
      <c r="T68" s="2"/>
    </row>
    <row r="69" spans="1:20">
      <c r="A69" s="22">
        <v>43062</v>
      </c>
      <c r="B69" s="20" t="s">
        <v>4</v>
      </c>
      <c r="C69" s="33">
        <f t="shared" si="7"/>
        <v>43062</v>
      </c>
      <c r="D69" s="33"/>
      <c r="E69" s="72"/>
      <c r="F69" s="72"/>
      <c r="G69" s="72"/>
      <c r="H69" s="72"/>
      <c r="I69" s="2"/>
      <c r="J69" s="742"/>
      <c r="K69" s="742"/>
      <c r="L69" s="742"/>
      <c r="M69" s="742"/>
      <c r="N69" s="742"/>
      <c r="O69" s="742"/>
      <c r="P69" s="742"/>
      <c r="Q69" s="70"/>
      <c r="R69" s="2"/>
      <c r="S69" s="2"/>
      <c r="T69" s="2"/>
    </row>
    <row r="70" spans="1:20">
      <c r="A70" s="22">
        <v>43094</v>
      </c>
      <c r="B70" s="20" t="s">
        <v>6</v>
      </c>
      <c r="C70" s="33">
        <f t="shared" si="7"/>
        <v>43094</v>
      </c>
      <c r="D70" s="33"/>
      <c r="E70" s="72"/>
      <c r="F70" s="72"/>
      <c r="G70" s="72"/>
      <c r="H70" s="72"/>
      <c r="I70" s="2"/>
      <c r="J70" s="742"/>
      <c r="K70" s="742"/>
      <c r="L70" s="742"/>
      <c r="M70" s="742"/>
      <c r="N70" s="742"/>
      <c r="O70" s="742"/>
      <c r="P70" s="742"/>
      <c r="Q70" s="70"/>
      <c r="R70" s="2"/>
      <c r="S70" s="2"/>
      <c r="T70" s="2"/>
    </row>
    <row r="71" spans="1:20">
      <c r="A71" s="22">
        <v>43101</v>
      </c>
      <c r="B71" s="20" t="s">
        <v>7</v>
      </c>
      <c r="C71" s="33">
        <f t="shared" si="5"/>
        <v>43101</v>
      </c>
      <c r="D71" s="33"/>
      <c r="E71" s="72"/>
      <c r="F71" s="72"/>
      <c r="G71" s="72"/>
      <c r="H71" s="72"/>
      <c r="I71" s="2"/>
      <c r="J71" s="742"/>
      <c r="K71" s="742"/>
      <c r="L71" s="742"/>
      <c r="M71" s="742"/>
      <c r="N71" s="742"/>
      <c r="O71" s="742"/>
      <c r="P71" s="742"/>
      <c r="Q71" s="70"/>
      <c r="R71" s="2"/>
      <c r="S71" s="2"/>
      <c r="T71" s="2"/>
    </row>
    <row r="72" spans="1:20">
      <c r="A72" s="18" t="s">
        <v>23</v>
      </c>
      <c r="B72" s="19"/>
      <c r="C72" s="7"/>
      <c r="D72" s="7"/>
      <c r="E72" s="73"/>
      <c r="F72" s="73"/>
      <c r="G72" s="73"/>
      <c r="H72" s="73"/>
      <c r="I72" s="2"/>
      <c r="J72" s="742"/>
      <c r="K72" s="742"/>
      <c r="L72" s="742"/>
      <c r="M72" s="742"/>
      <c r="N72" s="742"/>
      <c r="O72" s="742"/>
      <c r="P72" s="742"/>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2"/>
  <sheetViews>
    <sheetView showGridLines="0" tabSelected="1" topLeftCell="A339" zoomScaleNormal="100" workbookViewId="0">
      <selection activeCell="D373" sqref="D373"/>
    </sheetView>
  </sheetViews>
  <sheetFormatPr defaultRowHeight="14.25" outlineLevelRow="2" outlineLevelCol="1"/>
  <cols>
    <col min="1" max="1" width="1.5" customWidth="1"/>
    <col min="2" max="2" width="43.625" customWidth="1"/>
    <col min="3" max="3" width="2.5" style="711" customWidth="1"/>
    <col min="4" max="4" width="10.3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43" t="s">
        <v>285</v>
      </c>
      <c r="AAF1" s="743"/>
      <c r="AAG1" s="743"/>
      <c r="AAH1" s="743"/>
      <c r="AAI1" s="743"/>
      <c r="AAJ1" s="743"/>
      <c r="AAK1" s="743"/>
      <c r="AAL1" s="331"/>
      <c r="AAM1" s="112"/>
      <c r="AAN1"/>
      <c r="AAT1" s="23"/>
      <c r="AAU1" s="44"/>
    </row>
    <row r="2" spans="1:745" ht="17.25" customHeight="1">
      <c r="A2" s="771"/>
      <c r="B2" s="776" t="s">
        <v>117</v>
      </c>
      <c r="C2" s="757" t="s">
        <v>307</v>
      </c>
      <c r="D2" s="757"/>
      <c r="E2" s="757"/>
      <c r="F2" s="757"/>
      <c r="G2" s="757"/>
      <c r="H2" s="757"/>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43"/>
      <c r="AAF2" s="743"/>
      <c r="AAG2" s="743"/>
      <c r="AAH2" s="743"/>
      <c r="AAI2" s="743"/>
      <c r="AAJ2" s="743"/>
      <c r="AAK2" s="743"/>
      <c r="AAL2" s="332">
        <f>ROW(S.LastCellSchedule)</f>
        <v>471</v>
      </c>
      <c r="AAM2" s="112"/>
      <c r="AAN2"/>
      <c r="AAO2" s="754" t="s">
        <v>284</v>
      </c>
      <c r="AAP2" s="754"/>
      <c r="AAQ2" s="754"/>
      <c r="AAR2" s="754"/>
      <c r="AAS2" s="754"/>
      <c r="AAT2" s="754"/>
      <c r="AAU2" s="44"/>
    </row>
    <row r="3" spans="1:745" ht="18" customHeight="1">
      <c r="A3" s="771"/>
      <c r="B3" s="776"/>
      <c r="C3" s="757"/>
      <c r="D3" s="757"/>
      <c r="E3" s="757"/>
      <c r="F3" s="757"/>
      <c r="G3" s="757"/>
      <c r="H3" s="757"/>
      <c r="I3" s="588"/>
      <c r="J3" s="676">
        <v>0</v>
      </c>
      <c r="K3" s="35"/>
      <c r="N3" s="53"/>
      <c r="O3" s="758" t="s">
        <v>64</v>
      </c>
      <c r="P3" s="759"/>
      <c r="Q3" s="53"/>
      <c r="R3" s="760" t="s">
        <v>63</v>
      </c>
      <c r="S3" s="761"/>
      <c r="T3" s="589"/>
      <c r="U3" s="762" t="s">
        <v>62</v>
      </c>
      <c r="V3" s="763"/>
      <c r="W3" s="589"/>
      <c r="X3" s="589"/>
      <c r="AM3" s="758" t="s">
        <v>64</v>
      </c>
      <c r="AN3" s="759"/>
      <c r="AO3" s="53"/>
      <c r="AP3" s="760" t="s">
        <v>63</v>
      </c>
      <c r="AQ3" s="761"/>
      <c r="AR3" s="53"/>
      <c r="AS3" s="762" t="s">
        <v>62</v>
      </c>
      <c r="AT3" s="763"/>
      <c r="BO3" s="758" t="s">
        <v>64</v>
      </c>
      <c r="BP3" s="759"/>
      <c r="BQ3" s="53"/>
      <c r="BR3" s="760" t="s">
        <v>63</v>
      </c>
      <c r="BS3" s="761"/>
      <c r="BT3" s="53"/>
      <c r="BU3" s="762" t="s">
        <v>62</v>
      </c>
      <c r="BV3" s="763"/>
      <c r="CP3" s="758" t="s">
        <v>64</v>
      </c>
      <c r="CQ3" s="759"/>
      <c r="CR3" s="53"/>
      <c r="CS3" s="760" t="s">
        <v>63</v>
      </c>
      <c r="CT3" s="761"/>
      <c r="CU3" s="53"/>
      <c r="CV3" s="762" t="s">
        <v>62</v>
      </c>
      <c r="CW3" s="763"/>
      <c r="DQ3" s="758" t="s">
        <v>64</v>
      </c>
      <c r="DR3" s="759"/>
      <c r="DS3" s="53"/>
      <c r="DT3" s="760" t="s">
        <v>63</v>
      </c>
      <c r="DU3" s="761"/>
      <c r="DV3" s="53"/>
      <c r="DW3" s="762" t="s">
        <v>62</v>
      </c>
      <c r="DX3" s="763"/>
      <c r="ER3" s="758" t="s">
        <v>64</v>
      </c>
      <c r="ES3" s="759"/>
      <c r="ET3" s="53"/>
      <c r="EU3" s="760" t="s">
        <v>63</v>
      </c>
      <c r="EV3" s="761"/>
      <c r="EW3" s="53"/>
      <c r="EX3" s="762" t="s">
        <v>62</v>
      </c>
      <c r="EY3" s="763"/>
      <c r="FS3" s="758" t="s">
        <v>64</v>
      </c>
      <c r="FT3" s="759"/>
      <c r="FU3" s="53"/>
      <c r="FV3" s="760" t="s">
        <v>63</v>
      </c>
      <c r="FW3" s="761"/>
      <c r="FX3" s="53"/>
      <c r="FY3" s="762" t="s">
        <v>62</v>
      </c>
      <c r="FZ3" s="763"/>
      <c r="GT3" s="758" t="s">
        <v>64</v>
      </c>
      <c r="GU3" s="759"/>
      <c r="GV3" s="53"/>
      <c r="GW3" s="760" t="s">
        <v>63</v>
      </c>
      <c r="GX3" s="761"/>
      <c r="GY3" s="53"/>
      <c r="GZ3" s="762" t="s">
        <v>62</v>
      </c>
      <c r="HA3" s="763"/>
      <c r="HU3" s="758" t="s">
        <v>64</v>
      </c>
      <c r="HV3" s="759"/>
      <c r="HW3" s="53"/>
      <c r="HX3" s="760" t="s">
        <v>63</v>
      </c>
      <c r="HY3" s="761"/>
      <c r="HZ3" s="53"/>
      <c r="IA3" s="762" t="s">
        <v>62</v>
      </c>
      <c r="IB3" s="763"/>
      <c r="IW3" s="758" t="s">
        <v>64</v>
      </c>
      <c r="IX3" s="759"/>
      <c r="IY3" s="53"/>
      <c r="IZ3" s="760" t="s">
        <v>63</v>
      </c>
      <c r="JA3" s="761"/>
      <c r="JB3" s="53"/>
      <c r="JC3" s="762" t="s">
        <v>62</v>
      </c>
      <c r="JD3" s="763"/>
      <c r="JY3" s="758" t="s">
        <v>64</v>
      </c>
      <c r="JZ3" s="759"/>
      <c r="KA3" s="53"/>
      <c r="KB3" s="760" t="s">
        <v>63</v>
      </c>
      <c r="KC3" s="761"/>
      <c r="KD3" s="53"/>
      <c r="KE3" s="762" t="s">
        <v>62</v>
      </c>
      <c r="KF3" s="763"/>
      <c r="LA3" s="758" t="s">
        <v>64</v>
      </c>
      <c r="LB3" s="759"/>
      <c r="LC3" s="53"/>
      <c r="LD3" s="760" t="s">
        <v>63</v>
      </c>
      <c r="LE3" s="761"/>
      <c r="LF3" s="53"/>
      <c r="LG3" s="762" t="s">
        <v>62</v>
      </c>
      <c r="LH3" s="763"/>
      <c r="MB3" s="758" t="s">
        <v>64</v>
      </c>
      <c r="MC3" s="759"/>
      <c r="MD3" s="53"/>
      <c r="ME3" s="760" t="s">
        <v>63</v>
      </c>
      <c r="MF3" s="761"/>
      <c r="MG3" s="53"/>
      <c r="MH3" s="762" t="s">
        <v>62</v>
      </c>
      <c r="MI3" s="763"/>
      <c r="ND3" s="758" t="s">
        <v>64</v>
      </c>
      <c r="NE3" s="759"/>
      <c r="NF3" s="53"/>
      <c r="NG3" s="760" t="s">
        <v>63</v>
      </c>
      <c r="NH3" s="761"/>
      <c r="NI3" s="53"/>
      <c r="NJ3" s="762" t="s">
        <v>62</v>
      </c>
      <c r="NK3" s="763"/>
      <c r="OE3" s="758" t="s">
        <v>64</v>
      </c>
      <c r="OF3" s="759"/>
      <c r="OG3" s="53"/>
      <c r="OH3" s="760" t="s">
        <v>63</v>
      </c>
      <c r="OI3" s="761"/>
      <c r="OJ3" s="53"/>
      <c r="OK3" s="762" t="s">
        <v>62</v>
      </c>
      <c r="OL3" s="763"/>
      <c r="PG3" s="758" t="s">
        <v>64</v>
      </c>
      <c r="PH3" s="759"/>
      <c r="PI3" s="53"/>
      <c r="PJ3" s="760" t="s">
        <v>63</v>
      </c>
      <c r="PK3" s="761"/>
      <c r="PL3" s="53"/>
      <c r="PM3" s="762" t="s">
        <v>62</v>
      </c>
      <c r="PN3" s="763"/>
      <c r="QH3" s="758" t="s">
        <v>64</v>
      </c>
      <c r="QI3" s="759"/>
      <c r="QJ3" s="53"/>
      <c r="QK3" s="760" t="s">
        <v>63</v>
      </c>
      <c r="QL3" s="761"/>
      <c r="QM3" s="53"/>
      <c r="QN3" s="762" t="s">
        <v>62</v>
      </c>
      <c r="QO3" s="763"/>
      <c r="RI3" s="758" t="s">
        <v>64</v>
      </c>
      <c r="RJ3" s="759"/>
      <c r="RK3" s="53"/>
      <c r="RL3" s="760" t="s">
        <v>63</v>
      </c>
      <c r="RM3" s="761"/>
      <c r="RN3" s="53"/>
      <c r="RO3" s="762" t="s">
        <v>62</v>
      </c>
      <c r="RP3" s="763"/>
      <c r="SK3" s="758" t="s">
        <v>64</v>
      </c>
      <c r="SL3" s="759"/>
      <c r="SM3" s="53"/>
      <c r="SN3" s="760" t="s">
        <v>63</v>
      </c>
      <c r="SO3" s="761"/>
      <c r="SP3" s="53"/>
      <c r="SQ3" s="762" t="s">
        <v>62</v>
      </c>
      <c r="SR3" s="763"/>
      <c r="TM3" s="758" t="s">
        <v>64</v>
      </c>
      <c r="TN3" s="759"/>
      <c r="TO3" s="53"/>
      <c r="TP3" s="760" t="s">
        <v>63</v>
      </c>
      <c r="TQ3" s="761"/>
      <c r="TR3" s="53"/>
      <c r="TS3" s="762" t="s">
        <v>62</v>
      </c>
      <c r="TT3" s="763"/>
      <c r="UP3" s="758" t="s">
        <v>64</v>
      </c>
      <c r="UQ3" s="759"/>
      <c r="UR3" s="53"/>
      <c r="US3" s="760" t="s">
        <v>63</v>
      </c>
      <c r="UT3" s="761"/>
      <c r="UU3" s="53"/>
      <c r="UV3" s="762" t="s">
        <v>62</v>
      </c>
      <c r="UW3" s="763"/>
      <c r="VQ3" s="758" t="s">
        <v>64</v>
      </c>
      <c r="VR3" s="759"/>
      <c r="VS3" s="53"/>
      <c r="VT3" s="760" t="s">
        <v>63</v>
      </c>
      <c r="VU3" s="761"/>
      <c r="VV3" s="53"/>
      <c r="VW3" s="762" t="s">
        <v>62</v>
      </c>
      <c r="VX3" s="763"/>
      <c r="WR3" s="758" t="s">
        <v>64</v>
      </c>
      <c r="WS3" s="759"/>
      <c r="WT3" s="53"/>
      <c r="WU3" s="760" t="s">
        <v>63</v>
      </c>
      <c r="WV3" s="761"/>
      <c r="WW3" s="53"/>
      <c r="WX3" s="762" t="s">
        <v>62</v>
      </c>
      <c r="WY3" s="763"/>
      <c r="XT3" s="758" t="s">
        <v>64</v>
      </c>
      <c r="XU3" s="759"/>
      <c r="XV3" s="53"/>
      <c r="XW3" s="760" t="s">
        <v>63</v>
      </c>
      <c r="XX3" s="761"/>
      <c r="XY3" s="53"/>
      <c r="XZ3" s="762" t="s">
        <v>62</v>
      </c>
      <c r="YA3" s="763"/>
      <c r="YU3" s="758" t="s">
        <v>64</v>
      </c>
      <c r="YV3" s="759"/>
      <c r="YW3" s="53"/>
      <c r="YX3" s="760" t="s">
        <v>63</v>
      </c>
      <c r="YY3" s="761"/>
      <c r="YZ3" s="53"/>
      <c r="ZA3" s="762" t="s">
        <v>62</v>
      </c>
      <c r="ZB3" s="763"/>
      <c r="ZY3"/>
      <c r="AAA3" s="588"/>
      <c r="AAD3" s="112"/>
      <c r="AAE3" s="550"/>
      <c r="AAF3" s="582" t="s">
        <v>211</v>
      </c>
      <c r="AAG3" s="61"/>
      <c r="AAH3" s="61"/>
      <c r="AAI3" s="61"/>
      <c r="AAJ3" s="111"/>
      <c r="AAK3" s="111"/>
      <c r="AAL3" s="62"/>
      <c r="AAM3" s="112"/>
      <c r="AAN3"/>
      <c r="AAT3" s="23"/>
      <c r="AAU3" s="44"/>
    </row>
    <row r="4" spans="1:745" ht="25.5" customHeight="1">
      <c r="A4" s="558" t="s">
        <v>0</v>
      </c>
      <c r="B4" s="204" t="s">
        <v>79</v>
      </c>
      <c r="C4" s="687" t="s">
        <v>0</v>
      </c>
      <c r="D4" s="516"/>
      <c r="E4" s="775" t="s">
        <v>2</v>
      </c>
      <c r="F4" s="775"/>
      <c r="G4" s="781" t="str">
        <f ca="1">"Today "&amp;TEXT(TODAY(),"mm/dd/yy")</f>
        <v>Today 08/08/13</v>
      </c>
      <c r="H4" s="781"/>
      <c r="I4" s="598"/>
      <c r="J4" s="729">
        <f ca="1">J5</f>
        <v>41494</v>
      </c>
      <c r="K4" s="729" t="str">
        <f ca="1">IF(WEEKDAY(K$6)=2,K6,"")</f>
        <v/>
      </c>
      <c r="L4" s="729" t="str">
        <f t="shared" ref="L4:BW4" ca="1" si="0">IF(WEEKDAY(L$6)=2,L6,"")</f>
        <v/>
      </c>
      <c r="M4" s="729" t="str">
        <f t="shared" ca="1" si="0"/>
        <v/>
      </c>
      <c r="N4" s="729">
        <f t="shared" ca="1" si="0"/>
        <v>41498</v>
      </c>
      <c r="O4" s="729" t="str">
        <f t="shared" ca="1" si="0"/>
        <v/>
      </c>
      <c r="P4" s="729" t="str">
        <f t="shared" ca="1" si="0"/>
        <v/>
      </c>
      <c r="Q4" s="729" t="str">
        <f t="shared" ca="1" si="0"/>
        <v/>
      </c>
      <c r="R4" s="729" t="str">
        <f t="shared" ca="1" si="0"/>
        <v/>
      </c>
      <c r="S4" s="729" t="str">
        <f t="shared" ca="1" si="0"/>
        <v/>
      </c>
      <c r="T4" s="729" t="str">
        <f t="shared" ca="1" si="0"/>
        <v/>
      </c>
      <c r="U4" s="729">
        <f t="shared" ca="1" si="0"/>
        <v>41505</v>
      </c>
      <c r="V4" s="729" t="str">
        <f t="shared" ca="1" si="0"/>
        <v/>
      </c>
      <c r="W4" s="729" t="str">
        <f t="shared" ca="1" si="0"/>
        <v/>
      </c>
      <c r="X4" s="729" t="str">
        <f t="shared" ca="1" si="0"/>
        <v/>
      </c>
      <c r="Y4" s="729" t="str">
        <f t="shared" ca="1" si="0"/>
        <v/>
      </c>
      <c r="Z4" s="729" t="str">
        <f t="shared" ca="1" si="0"/>
        <v/>
      </c>
      <c r="AA4" s="729" t="str">
        <f t="shared" ca="1" si="0"/>
        <v/>
      </c>
      <c r="AB4" s="729">
        <f t="shared" ca="1" si="0"/>
        <v>41512</v>
      </c>
      <c r="AC4" s="729" t="str">
        <f t="shared" ca="1" si="0"/>
        <v/>
      </c>
      <c r="AD4" s="729" t="str">
        <f t="shared" ca="1" si="0"/>
        <v/>
      </c>
      <c r="AE4" s="729" t="str">
        <f t="shared" ca="1" si="0"/>
        <v/>
      </c>
      <c r="AF4" s="729" t="str">
        <f t="shared" ca="1" si="0"/>
        <v/>
      </c>
      <c r="AG4" s="729" t="str">
        <f t="shared" ca="1" si="0"/>
        <v/>
      </c>
      <c r="AH4" s="729" t="str">
        <f t="shared" ca="1" si="0"/>
        <v/>
      </c>
      <c r="AI4" s="729">
        <f t="shared" ca="1" si="0"/>
        <v>41519</v>
      </c>
      <c r="AJ4" s="729" t="str">
        <f t="shared" ca="1" si="0"/>
        <v/>
      </c>
      <c r="AK4" s="729" t="str">
        <f t="shared" ca="1" si="0"/>
        <v/>
      </c>
      <c r="AL4" s="729" t="str">
        <f t="shared" ca="1" si="0"/>
        <v/>
      </c>
      <c r="AM4" s="729" t="str">
        <f t="shared" ca="1" si="0"/>
        <v/>
      </c>
      <c r="AN4" s="729" t="str">
        <f t="shared" ca="1" si="0"/>
        <v/>
      </c>
      <c r="AO4" s="729" t="str">
        <f t="shared" ca="1" si="0"/>
        <v/>
      </c>
      <c r="AP4" s="729">
        <f t="shared" ca="1" si="0"/>
        <v>41526</v>
      </c>
      <c r="AQ4" s="729" t="str">
        <f t="shared" ca="1" si="0"/>
        <v/>
      </c>
      <c r="AR4" s="729" t="str">
        <f t="shared" ca="1" si="0"/>
        <v/>
      </c>
      <c r="AS4" s="729" t="str">
        <f t="shared" ca="1" si="0"/>
        <v/>
      </c>
      <c r="AT4" s="729" t="str">
        <f t="shared" ca="1" si="0"/>
        <v/>
      </c>
      <c r="AU4" s="729" t="str">
        <f t="shared" ca="1" si="0"/>
        <v/>
      </c>
      <c r="AV4" s="729" t="str">
        <f t="shared" ca="1" si="0"/>
        <v/>
      </c>
      <c r="AW4" s="729">
        <f t="shared" ca="1" si="0"/>
        <v>41533</v>
      </c>
      <c r="AX4" s="729" t="str">
        <f t="shared" ca="1" si="0"/>
        <v/>
      </c>
      <c r="AY4" s="729" t="str">
        <f t="shared" ca="1" si="0"/>
        <v/>
      </c>
      <c r="AZ4" s="729" t="str">
        <f t="shared" ca="1" si="0"/>
        <v/>
      </c>
      <c r="BA4" s="729" t="str">
        <f t="shared" ca="1" si="0"/>
        <v/>
      </c>
      <c r="BB4" s="729" t="str">
        <f t="shared" ca="1" si="0"/>
        <v/>
      </c>
      <c r="BC4" s="729" t="str">
        <f t="shared" ca="1" si="0"/>
        <v/>
      </c>
      <c r="BD4" s="729">
        <f t="shared" ca="1" si="0"/>
        <v>41540</v>
      </c>
      <c r="BE4" s="729" t="str">
        <f t="shared" ca="1" si="0"/>
        <v/>
      </c>
      <c r="BF4" s="729" t="str">
        <f t="shared" ca="1" si="0"/>
        <v/>
      </c>
      <c r="BG4" s="729" t="str">
        <f t="shared" ca="1" si="0"/>
        <v/>
      </c>
      <c r="BH4" s="729" t="str">
        <f t="shared" ca="1" si="0"/>
        <v/>
      </c>
      <c r="BI4" s="729" t="str">
        <f t="shared" ca="1" si="0"/>
        <v/>
      </c>
      <c r="BJ4" s="729" t="str">
        <f t="shared" ca="1" si="0"/>
        <v/>
      </c>
      <c r="BK4" s="729">
        <f t="shared" ca="1" si="0"/>
        <v>41547</v>
      </c>
      <c r="BL4" s="729" t="str">
        <f t="shared" ca="1" si="0"/>
        <v/>
      </c>
      <c r="BM4" s="729" t="str">
        <f t="shared" ca="1" si="0"/>
        <v/>
      </c>
      <c r="BN4" s="729" t="str">
        <f t="shared" ca="1" si="0"/>
        <v/>
      </c>
      <c r="BO4" s="729" t="str">
        <f t="shared" ca="1" si="0"/>
        <v/>
      </c>
      <c r="BP4" s="729" t="str">
        <f t="shared" ca="1" si="0"/>
        <v/>
      </c>
      <c r="BQ4" s="729" t="str">
        <f t="shared" ca="1" si="0"/>
        <v/>
      </c>
      <c r="BR4" s="729">
        <f t="shared" ca="1" si="0"/>
        <v>41554</v>
      </c>
      <c r="BS4" s="729" t="str">
        <f t="shared" ca="1" si="0"/>
        <v/>
      </c>
      <c r="BT4" s="729" t="str">
        <f t="shared" ca="1" si="0"/>
        <v/>
      </c>
      <c r="BU4" s="729" t="str">
        <f t="shared" ca="1" si="0"/>
        <v/>
      </c>
      <c r="BV4" s="729" t="str">
        <f t="shared" ca="1" si="0"/>
        <v/>
      </c>
      <c r="BW4" s="729" t="str">
        <f t="shared" ca="1" si="0"/>
        <v/>
      </c>
      <c r="BX4" s="729" t="str">
        <f t="shared" ref="BX4:EI4" ca="1" si="1">IF(WEEKDAY(BX$6)=2,BX6,"")</f>
        <v/>
      </c>
      <c r="BY4" s="729">
        <f t="shared" ca="1" si="1"/>
        <v>41561</v>
      </c>
      <c r="BZ4" s="729" t="str">
        <f t="shared" ca="1" si="1"/>
        <v/>
      </c>
      <c r="CA4" s="729" t="str">
        <f t="shared" ca="1" si="1"/>
        <v/>
      </c>
      <c r="CB4" s="729" t="str">
        <f t="shared" ca="1" si="1"/>
        <v/>
      </c>
      <c r="CC4" s="729" t="str">
        <f t="shared" ca="1" si="1"/>
        <v/>
      </c>
      <c r="CD4" s="729" t="str">
        <f t="shared" ca="1" si="1"/>
        <v/>
      </c>
      <c r="CE4" s="729" t="str">
        <f t="shared" ca="1" si="1"/>
        <v/>
      </c>
      <c r="CF4" s="729">
        <f t="shared" ca="1" si="1"/>
        <v>41568</v>
      </c>
      <c r="CG4" s="729" t="str">
        <f t="shared" ca="1" si="1"/>
        <v/>
      </c>
      <c r="CH4" s="729" t="str">
        <f t="shared" ca="1" si="1"/>
        <v/>
      </c>
      <c r="CI4" s="729" t="str">
        <f t="shared" ca="1" si="1"/>
        <v/>
      </c>
      <c r="CJ4" s="729" t="str">
        <f t="shared" ca="1" si="1"/>
        <v/>
      </c>
      <c r="CK4" s="729" t="str">
        <f t="shared" ca="1" si="1"/>
        <v/>
      </c>
      <c r="CL4" s="729" t="str">
        <f t="shared" ca="1" si="1"/>
        <v/>
      </c>
      <c r="CM4" s="729">
        <f t="shared" ca="1" si="1"/>
        <v>41575</v>
      </c>
      <c r="CN4" s="729" t="str">
        <f t="shared" ca="1" si="1"/>
        <v/>
      </c>
      <c r="CO4" s="729" t="str">
        <f t="shared" ca="1" si="1"/>
        <v/>
      </c>
      <c r="CP4" s="729" t="str">
        <f t="shared" ca="1" si="1"/>
        <v/>
      </c>
      <c r="CQ4" s="729" t="str">
        <f t="shared" ca="1" si="1"/>
        <v/>
      </c>
      <c r="CR4" s="729" t="str">
        <f t="shared" ca="1" si="1"/>
        <v/>
      </c>
      <c r="CS4" s="729" t="str">
        <f t="shared" ca="1" si="1"/>
        <v/>
      </c>
      <c r="CT4" s="729">
        <f t="shared" ca="1" si="1"/>
        <v>41582</v>
      </c>
      <c r="CU4" s="729" t="str">
        <f t="shared" ca="1" si="1"/>
        <v/>
      </c>
      <c r="CV4" s="729" t="str">
        <f t="shared" ca="1" si="1"/>
        <v/>
      </c>
      <c r="CW4" s="729" t="str">
        <f t="shared" ca="1" si="1"/>
        <v/>
      </c>
      <c r="CX4" s="729" t="str">
        <f t="shared" ca="1" si="1"/>
        <v/>
      </c>
      <c r="CY4" s="729" t="str">
        <f t="shared" ca="1" si="1"/>
        <v/>
      </c>
      <c r="CZ4" s="729" t="str">
        <f t="shared" ca="1" si="1"/>
        <v/>
      </c>
      <c r="DA4" s="729">
        <f t="shared" ca="1" si="1"/>
        <v>41589</v>
      </c>
      <c r="DB4" s="729" t="str">
        <f t="shared" ca="1" si="1"/>
        <v/>
      </c>
      <c r="DC4" s="729" t="str">
        <f t="shared" ca="1" si="1"/>
        <v/>
      </c>
      <c r="DD4" s="729" t="str">
        <f t="shared" ca="1" si="1"/>
        <v/>
      </c>
      <c r="DE4" s="729" t="str">
        <f t="shared" ca="1" si="1"/>
        <v/>
      </c>
      <c r="DF4" s="729" t="str">
        <f t="shared" ca="1" si="1"/>
        <v/>
      </c>
      <c r="DG4" s="729" t="str">
        <f t="shared" ca="1" si="1"/>
        <v/>
      </c>
      <c r="DH4" s="729">
        <f t="shared" ca="1" si="1"/>
        <v>41596</v>
      </c>
      <c r="DI4" s="729" t="str">
        <f t="shared" ca="1" si="1"/>
        <v/>
      </c>
      <c r="DJ4" s="729" t="str">
        <f t="shared" ca="1" si="1"/>
        <v/>
      </c>
      <c r="DK4" s="729" t="str">
        <f t="shared" ca="1" si="1"/>
        <v/>
      </c>
      <c r="DL4" s="729" t="str">
        <f t="shared" ca="1" si="1"/>
        <v/>
      </c>
      <c r="DM4" s="729" t="str">
        <f t="shared" ca="1" si="1"/>
        <v/>
      </c>
      <c r="DN4" s="729" t="str">
        <f t="shared" ca="1" si="1"/>
        <v/>
      </c>
      <c r="DO4" s="729">
        <f t="shared" ca="1" si="1"/>
        <v>41603</v>
      </c>
      <c r="DP4" s="729" t="str">
        <f t="shared" ca="1" si="1"/>
        <v/>
      </c>
      <c r="DQ4" s="729" t="str">
        <f t="shared" ca="1" si="1"/>
        <v/>
      </c>
      <c r="DR4" s="729" t="str">
        <f t="shared" ca="1" si="1"/>
        <v/>
      </c>
      <c r="DS4" s="729" t="str">
        <f t="shared" ca="1" si="1"/>
        <v/>
      </c>
      <c r="DT4" s="729" t="str">
        <f t="shared" ca="1" si="1"/>
        <v/>
      </c>
      <c r="DU4" s="729" t="str">
        <f t="shared" ca="1" si="1"/>
        <v/>
      </c>
      <c r="DV4" s="729">
        <f t="shared" ca="1" si="1"/>
        <v>41610</v>
      </c>
      <c r="DW4" s="729" t="str">
        <f t="shared" ca="1" si="1"/>
        <v/>
      </c>
      <c r="DX4" s="729" t="str">
        <f t="shared" ca="1" si="1"/>
        <v/>
      </c>
      <c r="DY4" s="729" t="str">
        <f t="shared" ca="1" si="1"/>
        <v/>
      </c>
      <c r="DZ4" s="729" t="str">
        <f t="shared" ca="1" si="1"/>
        <v/>
      </c>
      <c r="EA4" s="729" t="str">
        <f t="shared" ca="1" si="1"/>
        <v/>
      </c>
      <c r="EB4" s="729" t="str">
        <f t="shared" ca="1" si="1"/>
        <v/>
      </c>
      <c r="EC4" s="729">
        <f t="shared" ca="1" si="1"/>
        <v>41617</v>
      </c>
      <c r="ED4" s="729" t="str">
        <f t="shared" ca="1" si="1"/>
        <v/>
      </c>
      <c r="EE4" s="729" t="str">
        <f t="shared" ca="1" si="1"/>
        <v/>
      </c>
      <c r="EF4" s="729" t="str">
        <f t="shared" ca="1" si="1"/>
        <v/>
      </c>
      <c r="EG4" s="729" t="str">
        <f t="shared" ca="1" si="1"/>
        <v/>
      </c>
      <c r="EH4" s="729" t="str">
        <f t="shared" ca="1" si="1"/>
        <v/>
      </c>
      <c r="EI4" s="729" t="str">
        <f t="shared" ca="1" si="1"/>
        <v/>
      </c>
      <c r="EJ4" s="729">
        <f t="shared" ref="EJ4:GU4" ca="1" si="2">IF(WEEKDAY(EJ$6)=2,EJ6,"")</f>
        <v>41624</v>
      </c>
      <c r="EK4" s="729" t="str">
        <f t="shared" ca="1" si="2"/>
        <v/>
      </c>
      <c r="EL4" s="729" t="str">
        <f t="shared" ca="1" si="2"/>
        <v/>
      </c>
      <c r="EM4" s="729" t="str">
        <f t="shared" ca="1" si="2"/>
        <v/>
      </c>
      <c r="EN4" s="729" t="str">
        <f t="shared" ca="1" si="2"/>
        <v/>
      </c>
      <c r="EO4" s="729" t="str">
        <f t="shared" ca="1" si="2"/>
        <v/>
      </c>
      <c r="EP4" s="729" t="str">
        <f t="shared" ca="1" si="2"/>
        <v/>
      </c>
      <c r="EQ4" s="729">
        <f t="shared" ca="1" si="2"/>
        <v>41631</v>
      </c>
      <c r="ER4" s="729" t="str">
        <f t="shared" ca="1" si="2"/>
        <v/>
      </c>
      <c r="ES4" s="729" t="str">
        <f t="shared" ca="1" si="2"/>
        <v/>
      </c>
      <c r="ET4" s="729" t="str">
        <f t="shared" ca="1" si="2"/>
        <v/>
      </c>
      <c r="EU4" s="729" t="str">
        <f t="shared" ca="1" si="2"/>
        <v/>
      </c>
      <c r="EV4" s="729" t="str">
        <f t="shared" ca="1" si="2"/>
        <v/>
      </c>
      <c r="EW4" s="729" t="str">
        <f t="shared" ca="1" si="2"/>
        <v/>
      </c>
      <c r="EX4" s="729">
        <f t="shared" ca="1" si="2"/>
        <v>41638</v>
      </c>
      <c r="EY4" s="729" t="str">
        <f t="shared" ca="1" si="2"/>
        <v/>
      </c>
      <c r="EZ4" s="729" t="str">
        <f t="shared" ca="1" si="2"/>
        <v/>
      </c>
      <c r="FA4" s="729" t="str">
        <f t="shared" ca="1" si="2"/>
        <v/>
      </c>
      <c r="FB4" s="729" t="str">
        <f t="shared" ca="1" si="2"/>
        <v/>
      </c>
      <c r="FC4" s="729" t="str">
        <f t="shared" ca="1" si="2"/>
        <v/>
      </c>
      <c r="FD4" s="729" t="str">
        <f t="shared" ca="1" si="2"/>
        <v/>
      </c>
      <c r="FE4" s="729">
        <f t="shared" ca="1" si="2"/>
        <v>41645</v>
      </c>
      <c r="FF4" s="729" t="str">
        <f t="shared" ca="1" si="2"/>
        <v/>
      </c>
      <c r="FG4" s="729" t="str">
        <f t="shared" ca="1" si="2"/>
        <v/>
      </c>
      <c r="FH4" s="729" t="str">
        <f t="shared" ca="1" si="2"/>
        <v/>
      </c>
      <c r="FI4" s="729" t="str">
        <f t="shared" ca="1" si="2"/>
        <v/>
      </c>
      <c r="FJ4" s="729" t="str">
        <f t="shared" ca="1" si="2"/>
        <v/>
      </c>
      <c r="FK4" s="729" t="str">
        <f t="shared" ca="1" si="2"/>
        <v/>
      </c>
      <c r="FL4" s="729">
        <f t="shared" ca="1" si="2"/>
        <v>41652</v>
      </c>
      <c r="FM4" s="729" t="str">
        <f t="shared" ca="1" si="2"/>
        <v/>
      </c>
      <c r="FN4" s="729" t="str">
        <f t="shared" ca="1" si="2"/>
        <v/>
      </c>
      <c r="FO4" s="729" t="str">
        <f t="shared" ca="1" si="2"/>
        <v/>
      </c>
      <c r="FP4" s="729" t="str">
        <f t="shared" ca="1" si="2"/>
        <v/>
      </c>
      <c r="FQ4" s="729" t="str">
        <f t="shared" ca="1" si="2"/>
        <v/>
      </c>
      <c r="FR4" s="729" t="str">
        <f t="shared" ca="1" si="2"/>
        <v/>
      </c>
      <c r="FS4" s="729">
        <f t="shared" ca="1" si="2"/>
        <v>41659</v>
      </c>
      <c r="FT4" s="729" t="str">
        <f t="shared" ca="1" si="2"/>
        <v/>
      </c>
      <c r="FU4" s="729" t="str">
        <f t="shared" ca="1" si="2"/>
        <v/>
      </c>
      <c r="FV4" s="729" t="str">
        <f t="shared" ca="1" si="2"/>
        <v/>
      </c>
      <c r="FW4" s="729" t="str">
        <f t="shared" ca="1" si="2"/>
        <v/>
      </c>
      <c r="FX4" s="729" t="str">
        <f t="shared" ca="1" si="2"/>
        <v/>
      </c>
      <c r="FY4" s="729" t="str">
        <f t="shared" ca="1" si="2"/>
        <v/>
      </c>
      <c r="FZ4" s="729">
        <f t="shared" ca="1" si="2"/>
        <v>41666</v>
      </c>
      <c r="GA4" s="729" t="str">
        <f t="shared" ca="1" si="2"/>
        <v/>
      </c>
      <c r="GB4" s="729" t="str">
        <f t="shared" ca="1" si="2"/>
        <v/>
      </c>
      <c r="GC4" s="729" t="str">
        <f t="shared" ca="1" si="2"/>
        <v/>
      </c>
      <c r="GD4" s="729" t="str">
        <f t="shared" ca="1" si="2"/>
        <v/>
      </c>
      <c r="GE4" s="729" t="str">
        <f t="shared" ca="1" si="2"/>
        <v/>
      </c>
      <c r="GF4" s="729" t="str">
        <f t="shared" ca="1" si="2"/>
        <v/>
      </c>
      <c r="GG4" s="729">
        <f t="shared" ca="1" si="2"/>
        <v>41673</v>
      </c>
      <c r="GH4" s="729" t="str">
        <f t="shared" ca="1" si="2"/>
        <v/>
      </c>
      <c r="GI4" s="729" t="str">
        <f t="shared" ca="1" si="2"/>
        <v/>
      </c>
      <c r="GJ4" s="729" t="str">
        <f t="shared" ca="1" si="2"/>
        <v/>
      </c>
      <c r="GK4" s="729" t="str">
        <f t="shared" ca="1" si="2"/>
        <v/>
      </c>
      <c r="GL4" s="729" t="str">
        <f t="shared" ca="1" si="2"/>
        <v/>
      </c>
      <c r="GM4" s="729" t="str">
        <f t="shared" ca="1" si="2"/>
        <v/>
      </c>
      <c r="GN4" s="729">
        <f t="shared" ca="1" si="2"/>
        <v>41680</v>
      </c>
      <c r="GO4" s="729" t="str">
        <f t="shared" ca="1" si="2"/>
        <v/>
      </c>
      <c r="GP4" s="729" t="str">
        <f t="shared" ca="1" si="2"/>
        <v/>
      </c>
      <c r="GQ4" s="729" t="str">
        <f t="shared" ca="1" si="2"/>
        <v/>
      </c>
      <c r="GR4" s="729" t="str">
        <f t="shared" ca="1" si="2"/>
        <v/>
      </c>
      <c r="GS4" s="729" t="str">
        <f t="shared" ca="1" si="2"/>
        <v/>
      </c>
      <c r="GT4" s="729" t="str">
        <f t="shared" ca="1" si="2"/>
        <v/>
      </c>
      <c r="GU4" s="729">
        <f t="shared" ca="1" si="2"/>
        <v>41687</v>
      </c>
      <c r="GV4" s="729" t="str">
        <f t="shared" ref="GV4:JG4" ca="1" si="3">IF(WEEKDAY(GV$6)=2,GV6,"")</f>
        <v/>
      </c>
      <c r="GW4" s="729" t="str">
        <f t="shared" ca="1" si="3"/>
        <v/>
      </c>
      <c r="GX4" s="729" t="str">
        <f t="shared" ca="1" si="3"/>
        <v/>
      </c>
      <c r="GY4" s="729" t="str">
        <f t="shared" ca="1" si="3"/>
        <v/>
      </c>
      <c r="GZ4" s="729" t="str">
        <f t="shared" ca="1" si="3"/>
        <v/>
      </c>
      <c r="HA4" s="729" t="str">
        <f t="shared" ca="1" si="3"/>
        <v/>
      </c>
      <c r="HB4" s="729">
        <f t="shared" ca="1" si="3"/>
        <v>41694</v>
      </c>
      <c r="HC4" s="729" t="str">
        <f t="shared" ca="1" si="3"/>
        <v/>
      </c>
      <c r="HD4" s="729" t="str">
        <f t="shared" ca="1" si="3"/>
        <v/>
      </c>
      <c r="HE4" s="729" t="str">
        <f t="shared" ca="1" si="3"/>
        <v/>
      </c>
      <c r="HF4" s="729" t="str">
        <f t="shared" ca="1" si="3"/>
        <v/>
      </c>
      <c r="HG4" s="729" t="str">
        <f t="shared" ca="1" si="3"/>
        <v/>
      </c>
      <c r="HH4" s="729" t="str">
        <f t="shared" ca="1" si="3"/>
        <v/>
      </c>
      <c r="HI4" s="729">
        <f t="shared" ca="1" si="3"/>
        <v>41701</v>
      </c>
      <c r="HJ4" s="729" t="str">
        <f t="shared" ca="1" si="3"/>
        <v/>
      </c>
      <c r="HK4" s="729" t="str">
        <f t="shared" ca="1" si="3"/>
        <v/>
      </c>
      <c r="HL4" s="729" t="str">
        <f t="shared" ca="1" si="3"/>
        <v/>
      </c>
      <c r="HM4" s="729" t="str">
        <f t="shared" ca="1" si="3"/>
        <v/>
      </c>
      <c r="HN4" s="729" t="str">
        <f t="shared" ca="1" si="3"/>
        <v/>
      </c>
      <c r="HO4" s="729" t="str">
        <f t="shared" ca="1" si="3"/>
        <v/>
      </c>
      <c r="HP4" s="729">
        <f t="shared" ca="1" si="3"/>
        <v>41708</v>
      </c>
      <c r="HQ4" s="729" t="str">
        <f t="shared" ca="1" si="3"/>
        <v/>
      </c>
      <c r="HR4" s="729" t="str">
        <f t="shared" ca="1" si="3"/>
        <v/>
      </c>
      <c r="HS4" s="729" t="str">
        <f t="shared" ca="1" si="3"/>
        <v/>
      </c>
      <c r="HT4" s="729" t="str">
        <f t="shared" ca="1" si="3"/>
        <v/>
      </c>
      <c r="HU4" s="729" t="str">
        <f t="shared" ca="1" si="3"/>
        <v/>
      </c>
      <c r="HV4" s="729" t="str">
        <f t="shared" ca="1" si="3"/>
        <v/>
      </c>
      <c r="HW4" s="729">
        <f t="shared" ca="1" si="3"/>
        <v>41715</v>
      </c>
      <c r="HX4" s="729" t="str">
        <f t="shared" ca="1" si="3"/>
        <v/>
      </c>
      <c r="HY4" s="729" t="str">
        <f t="shared" ca="1" si="3"/>
        <v/>
      </c>
      <c r="HZ4" s="729" t="str">
        <f t="shared" ca="1" si="3"/>
        <v/>
      </c>
      <c r="IA4" s="729" t="str">
        <f t="shared" ca="1" si="3"/>
        <v/>
      </c>
      <c r="IB4" s="729" t="str">
        <f t="shared" ca="1" si="3"/>
        <v/>
      </c>
      <c r="IC4" s="729" t="str">
        <f t="shared" ca="1" si="3"/>
        <v/>
      </c>
      <c r="ID4" s="729">
        <f t="shared" ca="1" si="3"/>
        <v>41722</v>
      </c>
      <c r="IE4" s="729" t="str">
        <f t="shared" ca="1" si="3"/>
        <v/>
      </c>
      <c r="IF4" s="729" t="str">
        <f t="shared" ca="1" si="3"/>
        <v/>
      </c>
      <c r="IG4" s="729" t="str">
        <f t="shared" ca="1" si="3"/>
        <v/>
      </c>
      <c r="IH4" s="729" t="str">
        <f t="shared" ca="1" si="3"/>
        <v/>
      </c>
      <c r="II4" s="729" t="str">
        <f t="shared" ca="1" si="3"/>
        <v/>
      </c>
      <c r="IJ4" s="729" t="str">
        <f t="shared" ca="1" si="3"/>
        <v/>
      </c>
      <c r="IK4" s="729">
        <f t="shared" ca="1" si="3"/>
        <v>41729</v>
      </c>
      <c r="IL4" s="729" t="str">
        <f t="shared" ca="1" si="3"/>
        <v/>
      </c>
      <c r="IM4" s="729" t="str">
        <f t="shared" ca="1" si="3"/>
        <v/>
      </c>
      <c r="IN4" s="729" t="str">
        <f t="shared" ca="1" si="3"/>
        <v/>
      </c>
      <c r="IO4" s="729" t="str">
        <f t="shared" ca="1" si="3"/>
        <v/>
      </c>
      <c r="IP4" s="729" t="str">
        <f t="shared" ca="1" si="3"/>
        <v/>
      </c>
      <c r="IQ4" s="729" t="str">
        <f t="shared" ca="1" si="3"/>
        <v/>
      </c>
      <c r="IR4" s="729">
        <f t="shared" ca="1" si="3"/>
        <v>41736</v>
      </c>
      <c r="IS4" s="729" t="str">
        <f t="shared" ca="1" si="3"/>
        <v/>
      </c>
      <c r="IT4" s="729" t="str">
        <f t="shared" ca="1" si="3"/>
        <v/>
      </c>
      <c r="IU4" s="729" t="str">
        <f t="shared" ca="1" si="3"/>
        <v/>
      </c>
      <c r="IV4" s="729" t="str">
        <f t="shared" ca="1" si="3"/>
        <v/>
      </c>
      <c r="IW4" s="729" t="str">
        <f t="shared" ca="1" si="3"/>
        <v/>
      </c>
      <c r="IX4" s="729" t="str">
        <f t="shared" ca="1" si="3"/>
        <v/>
      </c>
      <c r="IY4" s="729">
        <f t="shared" ca="1" si="3"/>
        <v>41743</v>
      </c>
      <c r="IZ4" s="729" t="str">
        <f t="shared" ca="1" si="3"/>
        <v/>
      </c>
      <c r="JA4" s="729" t="str">
        <f t="shared" ca="1" si="3"/>
        <v/>
      </c>
      <c r="JB4" s="729" t="str">
        <f t="shared" ca="1" si="3"/>
        <v/>
      </c>
      <c r="JC4" s="729" t="str">
        <f t="shared" ca="1" si="3"/>
        <v/>
      </c>
      <c r="JD4" s="729" t="str">
        <f t="shared" ca="1" si="3"/>
        <v/>
      </c>
      <c r="JE4" s="729" t="str">
        <f t="shared" ca="1" si="3"/>
        <v/>
      </c>
      <c r="JF4" s="729">
        <f t="shared" ca="1" si="3"/>
        <v>41750</v>
      </c>
      <c r="JG4" s="729" t="str">
        <f t="shared" ca="1" si="3"/>
        <v/>
      </c>
      <c r="JH4" s="729" t="str">
        <f t="shared" ref="JH4:LS4" ca="1" si="4">IF(WEEKDAY(JH$6)=2,JH6,"")</f>
        <v/>
      </c>
      <c r="JI4" s="729" t="str">
        <f t="shared" ca="1" si="4"/>
        <v/>
      </c>
      <c r="JJ4" s="729" t="str">
        <f t="shared" ca="1" si="4"/>
        <v/>
      </c>
      <c r="JK4" s="729" t="str">
        <f t="shared" ca="1" si="4"/>
        <v/>
      </c>
      <c r="JL4" s="729" t="str">
        <f t="shared" ca="1" si="4"/>
        <v/>
      </c>
      <c r="JM4" s="729">
        <f t="shared" ca="1" si="4"/>
        <v>41757</v>
      </c>
      <c r="JN4" s="729" t="str">
        <f t="shared" ca="1" si="4"/>
        <v/>
      </c>
      <c r="JO4" s="729" t="str">
        <f t="shared" ca="1" si="4"/>
        <v/>
      </c>
      <c r="JP4" s="729" t="str">
        <f t="shared" ca="1" si="4"/>
        <v/>
      </c>
      <c r="JQ4" s="729" t="str">
        <f t="shared" ca="1" si="4"/>
        <v/>
      </c>
      <c r="JR4" s="729" t="str">
        <f t="shared" ca="1" si="4"/>
        <v/>
      </c>
      <c r="JS4" s="729" t="str">
        <f t="shared" ca="1" si="4"/>
        <v/>
      </c>
      <c r="JT4" s="729">
        <f t="shared" ca="1" si="4"/>
        <v>41764</v>
      </c>
      <c r="JU4" s="729" t="str">
        <f t="shared" ca="1" si="4"/>
        <v/>
      </c>
      <c r="JV4" s="729" t="str">
        <f t="shared" ca="1" si="4"/>
        <v/>
      </c>
      <c r="JW4" s="729" t="str">
        <f t="shared" ca="1" si="4"/>
        <v/>
      </c>
      <c r="JX4" s="729" t="str">
        <f t="shared" ca="1" si="4"/>
        <v/>
      </c>
      <c r="JY4" s="729" t="str">
        <f t="shared" ca="1" si="4"/>
        <v/>
      </c>
      <c r="JZ4" s="729" t="str">
        <f t="shared" ca="1" si="4"/>
        <v/>
      </c>
      <c r="KA4" s="729">
        <f t="shared" ca="1" si="4"/>
        <v>41771</v>
      </c>
      <c r="KB4" s="729" t="str">
        <f t="shared" ca="1" si="4"/>
        <v/>
      </c>
      <c r="KC4" s="729" t="str">
        <f t="shared" ca="1" si="4"/>
        <v/>
      </c>
      <c r="KD4" s="729" t="str">
        <f t="shared" ca="1" si="4"/>
        <v/>
      </c>
      <c r="KE4" s="729" t="str">
        <f t="shared" ca="1" si="4"/>
        <v/>
      </c>
      <c r="KF4" s="729" t="str">
        <f t="shared" ca="1" si="4"/>
        <v/>
      </c>
      <c r="KG4" s="729" t="str">
        <f t="shared" ca="1" si="4"/>
        <v/>
      </c>
      <c r="KH4" s="729">
        <f t="shared" ca="1" si="4"/>
        <v>41778</v>
      </c>
      <c r="KI4" s="729" t="str">
        <f t="shared" ca="1" si="4"/>
        <v/>
      </c>
      <c r="KJ4" s="729" t="str">
        <f t="shared" ca="1" si="4"/>
        <v/>
      </c>
      <c r="KK4" s="729" t="str">
        <f t="shared" ca="1" si="4"/>
        <v/>
      </c>
      <c r="KL4" s="729" t="str">
        <f t="shared" ca="1" si="4"/>
        <v/>
      </c>
      <c r="KM4" s="729" t="str">
        <f t="shared" ca="1" si="4"/>
        <v/>
      </c>
      <c r="KN4" s="729" t="str">
        <f t="shared" ca="1" si="4"/>
        <v/>
      </c>
      <c r="KO4" s="729">
        <f t="shared" ca="1" si="4"/>
        <v>41785</v>
      </c>
      <c r="KP4" s="729" t="str">
        <f t="shared" ca="1" si="4"/>
        <v/>
      </c>
      <c r="KQ4" s="729" t="str">
        <f t="shared" ca="1" si="4"/>
        <v/>
      </c>
      <c r="KR4" s="729" t="str">
        <f t="shared" ca="1" si="4"/>
        <v/>
      </c>
      <c r="KS4" s="729" t="str">
        <f t="shared" ca="1" si="4"/>
        <v/>
      </c>
      <c r="KT4" s="729" t="str">
        <f t="shared" ca="1" si="4"/>
        <v/>
      </c>
      <c r="KU4" s="729" t="str">
        <f t="shared" ca="1" si="4"/>
        <v/>
      </c>
      <c r="KV4" s="729">
        <f t="shared" ca="1" si="4"/>
        <v>41792</v>
      </c>
      <c r="KW4" s="729" t="str">
        <f t="shared" ca="1" si="4"/>
        <v/>
      </c>
      <c r="KX4" s="729" t="str">
        <f t="shared" ca="1" si="4"/>
        <v/>
      </c>
      <c r="KY4" s="729" t="str">
        <f t="shared" ca="1" si="4"/>
        <v/>
      </c>
      <c r="KZ4" s="729" t="str">
        <f t="shared" ca="1" si="4"/>
        <v/>
      </c>
      <c r="LA4" s="729" t="str">
        <f t="shared" ca="1" si="4"/>
        <v/>
      </c>
      <c r="LB4" s="729" t="str">
        <f t="shared" ca="1" si="4"/>
        <v/>
      </c>
      <c r="LC4" s="729">
        <f t="shared" ca="1" si="4"/>
        <v>41799</v>
      </c>
      <c r="LD4" s="729" t="str">
        <f t="shared" ca="1" si="4"/>
        <v/>
      </c>
      <c r="LE4" s="729" t="str">
        <f t="shared" ca="1" si="4"/>
        <v/>
      </c>
      <c r="LF4" s="729" t="str">
        <f t="shared" ca="1" si="4"/>
        <v/>
      </c>
      <c r="LG4" s="729" t="str">
        <f t="shared" ca="1" si="4"/>
        <v/>
      </c>
      <c r="LH4" s="729" t="str">
        <f t="shared" ca="1" si="4"/>
        <v/>
      </c>
      <c r="LI4" s="729" t="str">
        <f t="shared" ca="1" si="4"/>
        <v/>
      </c>
      <c r="LJ4" s="729">
        <f t="shared" ca="1" si="4"/>
        <v>41806</v>
      </c>
      <c r="LK4" s="729" t="str">
        <f t="shared" ca="1" si="4"/>
        <v/>
      </c>
      <c r="LL4" s="729" t="str">
        <f t="shared" ca="1" si="4"/>
        <v/>
      </c>
      <c r="LM4" s="729" t="str">
        <f t="shared" ca="1" si="4"/>
        <v/>
      </c>
      <c r="LN4" s="729" t="str">
        <f t="shared" ca="1" si="4"/>
        <v/>
      </c>
      <c r="LO4" s="729" t="str">
        <f t="shared" ca="1" si="4"/>
        <v/>
      </c>
      <c r="LP4" s="729" t="str">
        <f t="shared" ca="1" si="4"/>
        <v/>
      </c>
      <c r="LQ4" s="729">
        <f t="shared" ca="1" si="4"/>
        <v>41813</v>
      </c>
      <c r="LR4" s="729" t="str">
        <f t="shared" ca="1" si="4"/>
        <v/>
      </c>
      <c r="LS4" s="729" t="str">
        <f t="shared" ca="1" si="4"/>
        <v/>
      </c>
      <c r="LT4" s="729" t="str">
        <f t="shared" ref="LT4:OE4" ca="1" si="5">IF(WEEKDAY(LT$6)=2,LT6,"")</f>
        <v/>
      </c>
      <c r="LU4" s="729" t="str">
        <f t="shared" ca="1" si="5"/>
        <v/>
      </c>
      <c r="LV4" s="729" t="str">
        <f t="shared" ca="1" si="5"/>
        <v/>
      </c>
      <c r="LW4" s="729" t="str">
        <f t="shared" ca="1" si="5"/>
        <v/>
      </c>
      <c r="LX4" s="729">
        <f t="shared" ca="1" si="5"/>
        <v>41820</v>
      </c>
      <c r="LY4" s="729" t="str">
        <f t="shared" ca="1" si="5"/>
        <v/>
      </c>
      <c r="LZ4" s="729" t="str">
        <f t="shared" ca="1" si="5"/>
        <v/>
      </c>
      <c r="MA4" s="729" t="str">
        <f t="shared" ca="1" si="5"/>
        <v/>
      </c>
      <c r="MB4" s="729" t="str">
        <f t="shared" ca="1" si="5"/>
        <v/>
      </c>
      <c r="MC4" s="729" t="str">
        <f t="shared" ca="1" si="5"/>
        <v/>
      </c>
      <c r="MD4" s="729" t="str">
        <f t="shared" ca="1" si="5"/>
        <v/>
      </c>
      <c r="ME4" s="729">
        <f t="shared" ca="1" si="5"/>
        <v>41827</v>
      </c>
      <c r="MF4" s="729" t="str">
        <f t="shared" ca="1" si="5"/>
        <v/>
      </c>
      <c r="MG4" s="729" t="str">
        <f t="shared" ca="1" si="5"/>
        <v/>
      </c>
      <c r="MH4" s="729" t="str">
        <f t="shared" ca="1" si="5"/>
        <v/>
      </c>
      <c r="MI4" s="729" t="str">
        <f t="shared" ca="1" si="5"/>
        <v/>
      </c>
      <c r="MJ4" s="729" t="str">
        <f t="shared" ca="1" si="5"/>
        <v/>
      </c>
      <c r="MK4" s="729" t="str">
        <f t="shared" ca="1" si="5"/>
        <v/>
      </c>
      <c r="ML4" s="729">
        <f t="shared" ca="1" si="5"/>
        <v>41834</v>
      </c>
      <c r="MM4" s="729" t="str">
        <f t="shared" ca="1" si="5"/>
        <v/>
      </c>
      <c r="MN4" s="729" t="str">
        <f t="shared" ca="1" si="5"/>
        <v/>
      </c>
      <c r="MO4" s="729" t="str">
        <f t="shared" ca="1" si="5"/>
        <v/>
      </c>
      <c r="MP4" s="729" t="str">
        <f t="shared" ca="1" si="5"/>
        <v/>
      </c>
      <c r="MQ4" s="729" t="str">
        <f t="shared" ca="1" si="5"/>
        <v/>
      </c>
      <c r="MR4" s="729" t="str">
        <f t="shared" ca="1" si="5"/>
        <v/>
      </c>
      <c r="MS4" s="729">
        <f t="shared" ca="1" si="5"/>
        <v>41841</v>
      </c>
      <c r="MT4" s="729" t="str">
        <f t="shared" ca="1" si="5"/>
        <v/>
      </c>
      <c r="MU4" s="729" t="str">
        <f t="shared" ca="1" si="5"/>
        <v/>
      </c>
      <c r="MV4" s="729" t="str">
        <f t="shared" ca="1" si="5"/>
        <v/>
      </c>
      <c r="MW4" s="729" t="str">
        <f t="shared" ca="1" si="5"/>
        <v/>
      </c>
      <c r="MX4" s="729" t="str">
        <f t="shared" ca="1" si="5"/>
        <v/>
      </c>
      <c r="MY4" s="729" t="str">
        <f t="shared" ca="1" si="5"/>
        <v/>
      </c>
      <c r="MZ4" s="729">
        <f t="shared" ca="1" si="5"/>
        <v>41848</v>
      </c>
      <c r="NA4" s="729" t="str">
        <f t="shared" ca="1" si="5"/>
        <v/>
      </c>
      <c r="NB4" s="729" t="str">
        <f t="shared" ca="1" si="5"/>
        <v/>
      </c>
      <c r="NC4" s="729" t="str">
        <f t="shared" ca="1" si="5"/>
        <v/>
      </c>
      <c r="ND4" s="729" t="str">
        <f t="shared" ca="1" si="5"/>
        <v/>
      </c>
      <c r="NE4" s="729" t="str">
        <f t="shared" ca="1" si="5"/>
        <v/>
      </c>
      <c r="NF4" s="729" t="str">
        <f t="shared" ca="1" si="5"/>
        <v/>
      </c>
      <c r="NG4" s="729">
        <f t="shared" ca="1" si="5"/>
        <v>41855</v>
      </c>
      <c r="NH4" s="729" t="str">
        <f t="shared" ca="1" si="5"/>
        <v/>
      </c>
      <c r="NI4" s="729" t="str">
        <f t="shared" ca="1" si="5"/>
        <v/>
      </c>
      <c r="NJ4" s="729" t="str">
        <f t="shared" ca="1" si="5"/>
        <v/>
      </c>
      <c r="NK4" s="729" t="str">
        <f t="shared" ca="1" si="5"/>
        <v/>
      </c>
      <c r="NL4" s="729" t="str">
        <f t="shared" ca="1" si="5"/>
        <v/>
      </c>
      <c r="NM4" s="729" t="str">
        <f t="shared" ca="1" si="5"/>
        <v/>
      </c>
      <c r="NN4" s="729">
        <f t="shared" ca="1" si="5"/>
        <v>41862</v>
      </c>
      <c r="NO4" s="729" t="str">
        <f t="shared" ca="1" si="5"/>
        <v/>
      </c>
      <c r="NP4" s="729" t="str">
        <f t="shared" ca="1" si="5"/>
        <v/>
      </c>
      <c r="NQ4" s="729" t="str">
        <f t="shared" ca="1" si="5"/>
        <v/>
      </c>
      <c r="NR4" s="729" t="str">
        <f t="shared" ca="1" si="5"/>
        <v/>
      </c>
      <c r="NS4" s="729" t="str">
        <f t="shared" ca="1" si="5"/>
        <v/>
      </c>
      <c r="NT4" s="729" t="str">
        <f t="shared" ca="1" si="5"/>
        <v/>
      </c>
      <c r="NU4" s="729">
        <f t="shared" ca="1" si="5"/>
        <v>41869</v>
      </c>
      <c r="NV4" s="729" t="str">
        <f t="shared" ca="1" si="5"/>
        <v/>
      </c>
      <c r="NW4" s="729" t="str">
        <f t="shared" ca="1" si="5"/>
        <v/>
      </c>
      <c r="NX4" s="729" t="str">
        <f t="shared" ca="1" si="5"/>
        <v/>
      </c>
      <c r="NY4" s="729" t="str">
        <f t="shared" ca="1" si="5"/>
        <v/>
      </c>
      <c r="NZ4" s="729" t="str">
        <f t="shared" ca="1" si="5"/>
        <v/>
      </c>
      <c r="OA4" s="729" t="str">
        <f t="shared" ca="1" si="5"/>
        <v/>
      </c>
      <c r="OB4" s="729">
        <f t="shared" ca="1" si="5"/>
        <v>41876</v>
      </c>
      <c r="OC4" s="729" t="str">
        <f t="shared" ca="1" si="5"/>
        <v/>
      </c>
      <c r="OD4" s="729" t="str">
        <f t="shared" ca="1" si="5"/>
        <v/>
      </c>
      <c r="OE4" s="729" t="str">
        <f t="shared" ca="1" si="5"/>
        <v/>
      </c>
      <c r="OF4" s="729" t="str">
        <f t="shared" ref="OF4:QQ4" ca="1" si="6">IF(WEEKDAY(OF$6)=2,OF6,"")</f>
        <v/>
      </c>
      <c r="OG4" s="729" t="str">
        <f t="shared" ca="1" si="6"/>
        <v/>
      </c>
      <c r="OH4" s="729" t="str">
        <f t="shared" ca="1" si="6"/>
        <v/>
      </c>
      <c r="OI4" s="729">
        <f t="shared" ca="1" si="6"/>
        <v>41883</v>
      </c>
      <c r="OJ4" s="729" t="str">
        <f t="shared" ca="1" si="6"/>
        <v/>
      </c>
      <c r="OK4" s="729" t="str">
        <f t="shared" ca="1" si="6"/>
        <v/>
      </c>
      <c r="OL4" s="729" t="str">
        <f t="shared" ca="1" si="6"/>
        <v/>
      </c>
      <c r="OM4" s="729" t="str">
        <f t="shared" ca="1" si="6"/>
        <v/>
      </c>
      <c r="ON4" s="729" t="str">
        <f t="shared" ca="1" si="6"/>
        <v/>
      </c>
      <c r="OO4" s="729" t="str">
        <f t="shared" ca="1" si="6"/>
        <v/>
      </c>
      <c r="OP4" s="729">
        <f t="shared" ca="1" si="6"/>
        <v>41890</v>
      </c>
      <c r="OQ4" s="729" t="str">
        <f t="shared" ca="1" si="6"/>
        <v/>
      </c>
      <c r="OR4" s="729" t="str">
        <f t="shared" ca="1" si="6"/>
        <v/>
      </c>
      <c r="OS4" s="729" t="str">
        <f t="shared" ca="1" si="6"/>
        <v/>
      </c>
      <c r="OT4" s="729" t="str">
        <f t="shared" ca="1" si="6"/>
        <v/>
      </c>
      <c r="OU4" s="729" t="str">
        <f t="shared" ca="1" si="6"/>
        <v/>
      </c>
      <c r="OV4" s="729" t="str">
        <f t="shared" ca="1" si="6"/>
        <v/>
      </c>
      <c r="OW4" s="729">
        <f t="shared" ca="1" si="6"/>
        <v>41897</v>
      </c>
      <c r="OX4" s="729" t="str">
        <f t="shared" ca="1" si="6"/>
        <v/>
      </c>
      <c r="OY4" s="729" t="str">
        <f t="shared" ca="1" si="6"/>
        <v/>
      </c>
      <c r="OZ4" s="729" t="str">
        <f t="shared" ca="1" si="6"/>
        <v/>
      </c>
      <c r="PA4" s="729" t="str">
        <f t="shared" ca="1" si="6"/>
        <v/>
      </c>
      <c r="PB4" s="729" t="str">
        <f t="shared" ca="1" si="6"/>
        <v/>
      </c>
      <c r="PC4" s="729" t="str">
        <f t="shared" ca="1" si="6"/>
        <v/>
      </c>
      <c r="PD4" s="729">
        <f t="shared" ca="1" si="6"/>
        <v>41904</v>
      </c>
      <c r="PE4" s="729" t="str">
        <f t="shared" ca="1" si="6"/>
        <v/>
      </c>
      <c r="PF4" s="729" t="str">
        <f t="shared" ca="1" si="6"/>
        <v/>
      </c>
      <c r="PG4" s="729" t="str">
        <f t="shared" ca="1" si="6"/>
        <v/>
      </c>
      <c r="PH4" s="729" t="str">
        <f t="shared" ca="1" si="6"/>
        <v/>
      </c>
      <c r="PI4" s="729" t="str">
        <f t="shared" ca="1" si="6"/>
        <v/>
      </c>
      <c r="PJ4" s="729" t="str">
        <f t="shared" ca="1" si="6"/>
        <v/>
      </c>
      <c r="PK4" s="729">
        <f t="shared" ca="1" si="6"/>
        <v>41911</v>
      </c>
      <c r="PL4" s="729" t="str">
        <f t="shared" ca="1" si="6"/>
        <v/>
      </c>
      <c r="PM4" s="729" t="str">
        <f t="shared" ca="1" si="6"/>
        <v/>
      </c>
      <c r="PN4" s="729" t="str">
        <f t="shared" ca="1" si="6"/>
        <v/>
      </c>
      <c r="PO4" s="729" t="str">
        <f t="shared" ca="1" si="6"/>
        <v/>
      </c>
      <c r="PP4" s="729" t="str">
        <f t="shared" ca="1" si="6"/>
        <v/>
      </c>
      <c r="PQ4" s="729" t="str">
        <f t="shared" ca="1" si="6"/>
        <v/>
      </c>
      <c r="PR4" s="729">
        <f t="shared" ca="1" si="6"/>
        <v>41918</v>
      </c>
      <c r="PS4" s="729" t="str">
        <f t="shared" ca="1" si="6"/>
        <v/>
      </c>
      <c r="PT4" s="729" t="str">
        <f t="shared" ca="1" si="6"/>
        <v/>
      </c>
      <c r="PU4" s="729" t="str">
        <f t="shared" ca="1" si="6"/>
        <v/>
      </c>
      <c r="PV4" s="729" t="str">
        <f t="shared" ca="1" si="6"/>
        <v/>
      </c>
      <c r="PW4" s="729" t="str">
        <f t="shared" ca="1" si="6"/>
        <v/>
      </c>
      <c r="PX4" s="729" t="str">
        <f t="shared" ca="1" si="6"/>
        <v/>
      </c>
      <c r="PY4" s="729">
        <f t="shared" ca="1" si="6"/>
        <v>41925</v>
      </c>
      <c r="PZ4" s="729" t="str">
        <f t="shared" ca="1" si="6"/>
        <v/>
      </c>
      <c r="QA4" s="729" t="str">
        <f t="shared" ca="1" si="6"/>
        <v/>
      </c>
      <c r="QB4" s="729" t="str">
        <f t="shared" ca="1" si="6"/>
        <v/>
      </c>
      <c r="QC4" s="729" t="str">
        <f t="shared" ca="1" si="6"/>
        <v/>
      </c>
      <c r="QD4" s="729" t="str">
        <f t="shared" ca="1" si="6"/>
        <v/>
      </c>
      <c r="QE4" s="729" t="str">
        <f t="shared" ca="1" si="6"/>
        <v/>
      </c>
      <c r="QF4" s="729">
        <f t="shared" ca="1" si="6"/>
        <v>41932</v>
      </c>
      <c r="QG4" s="729" t="str">
        <f t="shared" ca="1" si="6"/>
        <v/>
      </c>
      <c r="QH4" s="729" t="str">
        <f t="shared" ca="1" si="6"/>
        <v/>
      </c>
      <c r="QI4" s="729" t="str">
        <f t="shared" ca="1" si="6"/>
        <v/>
      </c>
      <c r="QJ4" s="729" t="str">
        <f t="shared" ca="1" si="6"/>
        <v/>
      </c>
      <c r="QK4" s="729" t="str">
        <f t="shared" ca="1" si="6"/>
        <v/>
      </c>
      <c r="QL4" s="729" t="str">
        <f t="shared" ca="1" si="6"/>
        <v/>
      </c>
      <c r="QM4" s="729">
        <f t="shared" ca="1" si="6"/>
        <v>41939</v>
      </c>
      <c r="QN4" s="729" t="str">
        <f t="shared" ca="1" si="6"/>
        <v/>
      </c>
      <c r="QO4" s="729" t="str">
        <f t="shared" ca="1" si="6"/>
        <v/>
      </c>
      <c r="QP4" s="729" t="str">
        <f t="shared" ca="1" si="6"/>
        <v/>
      </c>
      <c r="QQ4" s="729" t="str">
        <f t="shared" ca="1" si="6"/>
        <v/>
      </c>
      <c r="QR4" s="729" t="str">
        <f t="shared" ref="QR4:TC4" ca="1" si="7">IF(WEEKDAY(QR$6)=2,QR6,"")</f>
        <v/>
      </c>
      <c r="QS4" s="729" t="str">
        <f t="shared" ca="1" si="7"/>
        <v/>
      </c>
      <c r="QT4" s="729">
        <f t="shared" ca="1" si="7"/>
        <v>41946</v>
      </c>
      <c r="QU4" s="729" t="str">
        <f t="shared" ca="1" si="7"/>
        <v/>
      </c>
      <c r="QV4" s="729" t="str">
        <f t="shared" ca="1" si="7"/>
        <v/>
      </c>
      <c r="QW4" s="729" t="str">
        <f t="shared" ca="1" si="7"/>
        <v/>
      </c>
      <c r="QX4" s="729" t="str">
        <f t="shared" ca="1" si="7"/>
        <v/>
      </c>
      <c r="QY4" s="729" t="str">
        <f t="shared" ca="1" si="7"/>
        <v/>
      </c>
      <c r="QZ4" s="729" t="str">
        <f t="shared" ca="1" si="7"/>
        <v/>
      </c>
      <c r="RA4" s="729">
        <f t="shared" ca="1" si="7"/>
        <v>41953</v>
      </c>
      <c r="RB4" s="729" t="str">
        <f t="shared" ca="1" si="7"/>
        <v/>
      </c>
      <c r="RC4" s="729" t="str">
        <f t="shared" ca="1" si="7"/>
        <v/>
      </c>
      <c r="RD4" s="729" t="str">
        <f t="shared" ca="1" si="7"/>
        <v/>
      </c>
      <c r="RE4" s="729" t="str">
        <f t="shared" ca="1" si="7"/>
        <v/>
      </c>
      <c r="RF4" s="729" t="str">
        <f t="shared" ca="1" si="7"/>
        <v/>
      </c>
      <c r="RG4" s="729" t="str">
        <f t="shared" ca="1" si="7"/>
        <v/>
      </c>
      <c r="RH4" s="729">
        <f t="shared" ca="1" si="7"/>
        <v>41960</v>
      </c>
      <c r="RI4" s="729" t="str">
        <f t="shared" ca="1" si="7"/>
        <v/>
      </c>
      <c r="RJ4" s="729" t="str">
        <f t="shared" ca="1" si="7"/>
        <v/>
      </c>
      <c r="RK4" s="729" t="str">
        <f t="shared" ca="1" si="7"/>
        <v/>
      </c>
      <c r="RL4" s="729" t="str">
        <f t="shared" ca="1" si="7"/>
        <v/>
      </c>
      <c r="RM4" s="729" t="str">
        <f t="shared" ca="1" si="7"/>
        <v/>
      </c>
      <c r="RN4" s="729" t="str">
        <f t="shared" ca="1" si="7"/>
        <v/>
      </c>
      <c r="RO4" s="729">
        <f t="shared" ca="1" si="7"/>
        <v>41967</v>
      </c>
      <c r="RP4" s="729" t="str">
        <f t="shared" ca="1" si="7"/>
        <v/>
      </c>
      <c r="RQ4" s="729" t="str">
        <f t="shared" ca="1" si="7"/>
        <v/>
      </c>
      <c r="RR4" s="729" t="str">
        <f t="shared" ca="1" si="7"/>
        <v/>
      </c>
      <c r="RS4" s="729" t="str">
        <f t="shared" ca="1" si="7"/>
        <v/>
      </c>
      <c r="RT4" s="729" t="str">
        <f t="shared" ca="1" si="7"/>
        <v/>
      </c>
      <c r="RU4" s="729" t="str">
        <f t="shared" ca="1" si="7"/>
        <v/>
      </c>
      <c r="RV4" s="729">
        <f t="shared" ca="1" si="7"/>
        <v>41974</v>
      </c>
      <c r="RW4" s="729" t="str">
        <f t="shared" ca="1" si="7"/>
        <v/>
      </c>
      <c r="RX4" s="729" t="str">
        <f t="shared" ca="1" si="7"/>
        <v/>
      </c>
      <c r="RY4" s="729" t="str">
        <f t="shared" ca="1" si="7"/>
        <v/>
      </c>
      <c r="RZ4" s="729" t="str">
        <f t="shared" ca="1" si="7"/>
        <v/>
      </c>
      <c r="SA4" s="729" t="str">
        <f t="shared" ca="1" si="7"/>
        <v/>
      </c>
      <c r="SB4" s="729" t="str">
        <f t="shared" ca="1" si="7"/>
        <v/>
      </c>
      <c r="SC4" s="729">
        <f t="shared" ca="1" si="7"/>
        <v>41981</v>
      </c>
      <c r="SD4" s="729" t="str">
        <f t="shared" ca="1" si="7"/>
        <v/>
      </c>
      <c r="SE4" s="729" t="str">
        <f t="shared" ca="1" si="7"/>
        <v/>
      </c>
      <c r="SF4" s="729" t="str">
        <f t="shared" ca="1" si="7"/>
        <v/>
      </c>
      <c r="SG4" s="729" t="str">
        <f t="shared" ca="1" si="7"/>
        <v/>
      </c>
      <c r="SH4" s="729" t="str">
        <f t="shared" ca="1" si="7"/>
        <v/>
      </c>
      <c r="SI4" s="729" t="str">
        <f t="shared" ca="1" si="7"/>
        <v/>
      </c>
      <c r="SJ4" s="729">
        <f t="shared" ca="1" si="7"/>
        <v>41988</v>
      </c>
      <c r="SK4" s="729" t="str">
        <f t="shared" ca="1" si="7"/>
        <v/>
      </c>
      <c r="SL4" s="729" t="str">
        <f t="shared" ca="1" si="7"/>
        <v/>
      </c>
      <c r="SM4" s="729" t="str">
        <f t="shared" ca="1" si="7"/>
        <v/>
      </c>
      <c r="SN4" s="729" t="str">
        <f t="shared" ca="1" si="7"/>
        <v/>
      </c>
      <c r="SO4" s="729" t="str">
        <f t="shared" ca="1" si="7"/>
        <v/>
      </c>
      <c r="SP4" s="729" t="str">
        <f t="shared" ca="1" si="7"/>
        <v/>
      </c>
      <c r="SQ4" s="729">
        <f t="shared" ca="1" si="7"/>
        <v>41995</v>
      </c>
      <c r="SR4" s="729" t="str">
        <f t="shared" ca="1" si="7"/>
        <v/>
      </c>
      <c r="SS4" s="729" t="str">
        <f t="shared" ca="1" si="7"/>
        <v/>
      </c>
      <c r="ST4" s="729" t="str">
        <f t="shared" ca="1" si="7"/>
        <v/>
      </c>
      <c r="SU4" s="729" t="str">
        <f t="shared" ca="1" si="7"/>
        <v/>
      </c>
      <c r="SV4" s="729" t="str">
        <f t="shared" ca="1" si="7"/>
        <v/>
      </c>
      <c r="SW4" s="729" t="str">
        <f t="shared" ca="1" si="7"/>
        <v/>
      </c>
      <c r="SX4" s="729">
        <f t="shared" ca="1" si="7"/>
        <v>42002</v>
      </c>
      <c r="SY4" s="729" t="str">
        <f t="shared" ca="1" si="7"/>
        <v/>
      </c>
      <c r="SZ4" s="729" t="str">
        <f t="shared" ca="1" si="7"/>
        <v/>
      </c>
      <c r="TA4" s="729" t="str">
        <f t="shared" ca="1" si="7"/>
        <v/>
      </c>
      <c r="TB4" s="729" t="str">
        <f t="shared" ca="1" si="7"/>
        <v/>
      </c>
      <c r="TC4" s="729" t="str">
        <f t="shared" ca="1" si="7"/>
        <v/>
      </c>
      <c r="TD4" s="729" t="str">
        <f t="shared" ref="TD4:VO4" ca="1" si="8">IF(WEEKDAY(TD$6)=2,TD6,"")</f>
        <v/>
      </c>
      <c r="TE4" s="729">
        <f t="shared" ca="1" si="8"/>
        <v>42009</v>
      </c>
      <c r="TF4" s="729" t="str">
        <f t="shared" ca="1" si="8"/>
        <v/>
      </c>
      <c r="TG4" s="729" t="str">
        <f t="shared" ca="1" si="8"/>
        <v/>
      </c>
      <c r="TH4" s="729" t="str">
        <f t="shared" ca="1" si="8"/>
        <v/>
      </c>
      <c r="TI4" s="729" t="str">
        <f t="shared" ca="1" si="8"/>
        <v/>
      </c>
      <c r="TJ4" s="729" t="str">
        <f t="shared" ca="1" si="8"/>
        <v/>
      </c>
      <c r="TK4" s="729" t="str">
        <f t="shared" ca="1" si="8"/>
        <v/>
      </c>
      <c r="TL4" s="729">
        <f t="shared" ca="1" si="8"/>
        <v>42016</v>
      </c>
      <c r="TM4" s="729" t="str">
        <f t="shared" ca="1" si="8"/>
        <v/>
      </c>
      <c r="TN4" s="729" t="str">
        <f t="shared" ca="1" si="8"/>
        <v/>
      </c>
      <c r="TO4" s="729" t="str">
        <f t="shared" ca="1" si="8"/>
        <v/>
      </c>
      <c r="TP4" s="729" t="str">
        <f t="shared" ca="1" si="8"/>
        <v/>
      </c>
      <c r="TQ4" s="729" t="str">
        <f t="shared" ca="1" si="8"/>
        <v/>
      </c>
      <c r="TR4" s="729" t="str">
        <f t="shared" ca="1" si="8"/>
        <v/>
      </c>
      <c r="TS4" s="729">
        <f t="shared" ca="1" si="8"/>
        <v>42023</v>
      </c>
      <c r="TT4" s="729" t="str">
        <f t="shared" ca="1" si="8"/>
        <v/>
      </c>
      <c r="TU4" s="729" t="str">
        <f t="shared" ca="1" si="8"/>
        <v/>
      </c>
      <c r="TV4" s="729" t="str">
        <f t="shared" ca="1" si="8"/>
        <v/>
      </c>
      <c r="TW4" s="729" t="str">
        <f t="shared" ca="1" si="8"/>
        <v/>
      </c>
      <c r="TX4" s="729" t="str">
        <f t="shared" ca="1" si="8"/>
        <v/>
      </c>
      <c r="TY4" s="729" t="str">
        <f t="shared" ca="1" si="8"/>
        <v/>
      </c>
      <c r="TZ4" s="729">
        <f t="shared" ca="1" si="8"/>
        <v>42030</v>
      </c>
      <c r="UA4" s="729" t="str">
        <f t="shared" ca="1" si="8"/>
        <v/>
      </c>
      <c r="UB4" s="729" t="str">
        <f t="shared" ca="1" si="8"/>
        <v/>
      </c>
      <c r="UC4" s="729" t="str">
        <f t="shared" ca="1" si="8"/>
        <v/>
      </c>
      <c r="UD4" s="729" t="str">
        <f t="shared" ca="1" si="8"/>
        <v/>
      </c>
      <c r="UE4" s="729" t="str">
        <f t="shared" ca="1" si="8"/>
        <v/>
      </c>
      <c r="UF4" s="729" t="str">
        <f t="shared" ca="1" si="8"/>
        <v/>
      </c>
      <c r="UG4" s="729">
        <f t="shared" ca="1" si="8"/>
        <v>42037</v>
      </c>
      <c r="UH4" s="729" t="str">
        <f t="shared" ca="1" si="8"/>
        <v/>
      </c>
      <c r="UI4" s="729" t="str">
        <f t="shared" ca="1" si="8"/>
        <v/>
      </c>
      <c r="UJ4" s="729" t="str">
        <f t="shared" ca="1" si="8"/>
        <v/>
      </c>
      <c r="UK4" s="729" t="str">
        <f t="shared" ca="1" si="8"/>
        <v/>
      </c>
      <c r="UL4" s="729" t="str">
        <f t="shared" ca="1" si="8"/>
        <v/>
      </c>
      <c r="UM4" s="729" t="str">
        <f t="shared" ca="1" si="8"/>
        <v/>
      </c>
      <c r="UN4" s="729">
        <f t="shared" ca="1" si="8"/>
        <v>42044</v>
      </c>
      <c r="UO4" s="729" t="str">
        <f t="shared" ca="1" si="8"/>
        <v/>
      </c>
      <c r="UP4" s="729" t="str">
        <f t="shared" ca="1" si="8"/>
        <v/>
      </c>
      <c r="UQ4" s="729" t="str">
        <f t="shared" ca="1" si="8"/>
        <v/>
      </c>
      <c r="UR4" s="729" t="str">
        <f t="shared" ca="1" si="8"/>
        <v/>
      </c>
      <c r="US4" s="729" t="str">
        <f t="shared" ca="1" si="8"/>
        <v/>
      </c>
      <c r="UT4" s="729" t="str">
        <f t="shared" ca="1" si="8"/>
        <v/>
      </c>
      <c r="UU4" s="729">
        <f t="shared" ca="1" si="8"/>
        <v>42051</v>
      </c>
      <c r="UV4" s="729" t="str">
        <f t="shared" ca="1" si="8"/>
        <v/>
      </c>
      <c r="UW4" s="729" t="str">
        <f t="shared" ca="1" si="8"/>
        <v/>
      </c>
      <c r="UX4" s="729" t="str">
        <f t="shared" ca="1" si="8"/>
        <v/>
      </c>
      <c r="UY4" s="729" t="str">
        <f t="shared" ca="1" si="8"/>
        <v/>
      </c>
      <c r="UZ4" s="729" t="str">
        <f t="shared" ca="1" si="8"/>
        <v/>
      </c>
      <c r="VA4" s="729" t="str">
        <f t="shared" ca="1" si="8"/>
        <v/>
      </c>
      <c r="VB4" s="729">
        <f t="shared" ca="1" si="8"/>
        <v>42058</v>
      </c>
      <c r="VC4" s="729" t="str">
        <f t="shared" ca="1" si="8"/>
        <v/>
      </c>
      <c r="VD4" s="729" t="str">
        <f t="shared" ca="1" si="8"/>
        <v/>
      </c>
      <c r="VE4" s="729" t="str">
        <f t="shared" ca="1" si="8"/>
        <v/>
      </c>
      <c r="VF4" s="729" t="str">
        <f t="shared" ca="1" si="8"/>
        <v/>
      </c>
      <c r="VG4" s="729" t="str">
        <f t="shared" ca="1" si="8"/>
        <v/>
      </c>
      <c r="VH4" s="729" t="str">
        <f t="shared" ca="1" si="8"/>
        <v/>
      </c>
      <c r="VI4" s="729">
        <f t="shared" ca="1" si="8"/>
        <v>42065</v>
      </c>
      <c r="VJ4" s="729" t="str">
        <f t="shared" ca="1" si="8"/>
        <v/>
      </c>
      <c r="VK4" s="729" t="str">
        <f t="shared" ca="1" si="8"/>
        <v/>
      </c>
      <c r="VL4" s="729" t="str">
        <f t="shared" ca="1" si="8"/>
        <v/>
      </c>
      <c r="VM4" s="729" t="str">
        <f t="shared" ca="1" si="8"/>
        <v/>
      </c>
      <c r="VN4" s="729" t="str">
        <f t="shared" ca="1" si="8"/>
        <v/>
      </c>
      <c r="VO4" s="729" t="str">
        <f t="shared" ca="1" si="8"/>
        <v/>
      </c>
      <c r="VP4" s="729">
        <f t="shared" ref="VP4:YA4" ca="1" si="9">IF(WEEKDAY(VP$6)=2,VP6,"")</f>
        <v>42072</v>
      </c>
      <c r="VQ4" s="729" t="str">
        <f t="shared" ca="1" si="9"/>
        <v/>
      </c>
      <c r="VR4" s="729" t="str">
        <f t="shared" ca="1" si="9"/>
        <v/>
      </c>
      <c r="VS4" s="729" t="str">
        <f t="shared" ca="1" si="9"/>
        <v/>
      </c>
      <c r="VT4" s="729" t="str">
        <f t="shared" ca="1" si="9"/>
        <v/>
      </c>
      <c r="VU4" s="729" t="str">
        <f t="shared" ca="1" si="9"/>
        <v/>
      </c>
      <c r="VV4" s="729" t="str">
        <f t="shared" ca="1" si="9"/>
        <v/>
      </c>
      <c r="VW4" s="729">
        <f t="shared" ca="1" si="9"/>
        <v>42079</v>
      </c>
      <c r="VX4" s="729" t="str">
        <f t="shared" ca="1" si="9"/>
        <v/>
      </c>
      <c r="VY4" s="729" t="str">
        <f t="shared" ca="1" si="9"/>
        <v/>
      </c>
      <c r="VZ4" s="729" t="str">
        <f t="shared" ca="1" si="9"/>
        <v/>
      </c>
      <c r="WA4" s="729" t="str">
        <f t="shared" ca="1" si="9"/>
        <v/>
      </c>
      <c r="WB4" s="729" t="str">
        <f t="shared" ca="1" si="9"/>
        <v/>
      </c>
      <c r="WC4" s="729" t="str">
        <f t="shared" ca="1" si="9"/>
        <v/>
      </c>
      <c r="WD4" s="729">
        <f t="shared" ca="1" si="9"/>
        <v>42086</v>
      </c>
      <c r="WE4" s="729" t="str">
        <f t="shared" ca="1" si="9"/>
        <v/>
      </c>
      <c r="WF4" s="729" t="str">
        <f t="shared" ca="1" si="9"/>
        <v/>
      </c>
      <c r="WG4" s="729" t="str">
        <f t="shared" ca="1" si="9"/>
        <v/>
      </c>
      <c r="WH4" s="729" t="str">
        <f t="shared" ca="1" si="9"/>
        <v/>
      </c>
      <c r="WI4" s="729" t="str">
        <f t="shared" ca="1" si="9"/>
        <v/>
      </c>
      <c r="WJ4" s="729" t="str">
        <f t="shared" ca="1" si="9"/>
        <v/>
      </c>
      <c r="WK4" s="729">
        <f t="shared" ca="1" si="9"/>
        <v>42093</v>
      </c>
      <c r="WL4" s="729" t="str">
        <f t="shared" ca="1" si="9"/>
        <v/>
      </c>
      <c r="WM4" s="729" t="str">
        <f t="shared" ca="1" si="9"/>
        <v/>
      </c>
      <c r="WN4" s="729" t="str">
        <f t="shared" ca="1" si="9"/>
        <v/>
      </c>
      <c r="WO4" s="729" t="str">
        <f t="shared" ca="1" si="9"/>
        <v/>
      </c>
      <c r="WP4" s="729" t="str">
        <f t="shared" ca="1" si="9"/>
        <v/>
      </c>
      <c r="WQ4" s="729" t="str">
        <f t="shared" ca="1" si="9"/>
        <v/>
      </c>
      <c r="WR4" s="729">
        <f t="shared" ca="1" si="9"/>
        <v>42100</v>
      </c>
      <c r="WS4" s="729" t="str">
        <f t="shared" ca="1" si="9"/>
        <v/>
      </c>
      <c r="WT4" s="729" t="str">
        <f t="shared" ca="1" si="9"/>
        <v/>
      </c>
      <c r="WU4" s="729" t="str">
        <f t="shared" ca="1" si="9"/>
        <v/>
      </c>
      <c r="WV4" s="729" t="str">
        <f t="shared" ca="1" si="9"/>
        <v/>
      </c>
      <c r="WW4" s="729" t="str">
        <f t="shared" ca="1" si="9"/>
        <v/>
      </c>
      <c r="WX4" s="729" t="str">
        <f t="shared" ca="1" si="9"/>
        <v/>
      </c>
      <c r="WY4" s="729">
        <f t="shared" ca="1" si="9"/>
        <v>42107</v>
      </c>
      <c r="WZ4" s="729" t="str">
        <f t="shared" ca="1" si="9"/>
        <v/>
      </c>
      <c r="XA4" s="729" t="str">
        <f t="shared" ca="1" si="9"/>
        <v/>
      </c>
      <c r="XB4" s="729" t="str">
        <f t="shared" ca="1" si="9"/>
        <v/>
      </c>
      <c r="XC4" s="729" t="str">
        <f t="shared" ca="1" si="9"/>
        <v/>
      </c>
      <c r="XD4" s="729" t="str">
        <f t="shared" ca="1" si="9"/>
        <v/>
      </c>
      <c r="XE4" s="729" t="str">
        <f t="shared" ca="1" si="9"/>
        <v/>
      </c>
      <c r="XF4" s="729">
        <f t="shared" ca="1" si="9"/>
        <v>42114</v>
      </c>
      <c r="XG4" s="729" t="str">
        <f t="shared" ca="1" si="9"/>
        <v/>
      </c>
      <c r="XH4" s="729" t="str">
        <f t="shared" ca="1" si="9"/>
        <v/>
      </c>
      <c r="XI4" s="729" t="str">
        <f t="shared" ca="1" si="9"/>
        <v/>
      </c>
      <c r="XJ4" s="729" t="str">
        <f t="shared" ca="1" si="9"/>
        <v/>
      </c>
      <c r="XK4" s="729" t="str">
        <f t="shared" ca="1" si="9"/>
        <v/>
      </c>
      <c r="XL4" s="729" t="str">
        <f t="shared" ca="1" si="9"/>
        <v/>
      </c>
      <c r="XM4" s="729">
        <f t="shared" ca="1" si="9"/>
        <v>42121</v>
      </c>
      <c r="XN4" s="729" t="str">
        <f t="shared" ca="1" si="9"/>
        <v/>
      </c>
      <c r="XO4" s="729" t="str">
        <f t="shared" ca="1" si="9"/>
        <v/>
      </c>
      <c r="XP4" s="729" t="str">
        <f t="shared" ca="1" si="9"/>
        <v/>
      </c>
      <c r="XQ4" s="729" t="str">
        <f t="shared" ca="1" si="9"/>
        <v/>
      </c>
      <c r="XR4" s="729" t="str">
        <f t="shared" ca="1" si="9"/>
        <v/>
      </c>
      <c r="XS4" s="729" t="str">
        <f t="shared" ca="1" si="9"/>
        <v/>
      </c>
      <c r="XT4" s="729">
        <f t="shared" ca="1" si="9"/>
        <v>42128</v>
      </c>
      <c r="XU4" s="729" t="str">
        <f t="shared" ca="1" si="9"/>
        <v/>
      </c>
      <c r="XV4" s="729" t="str">
        <f t="shared" ca="1" si="9"/>
        <v/>
      </c>
      <c r="XW4" s="729" t="str">
        <f t="shared" ca="1" si="9"/>
        <v/>
      </c>
      <c r="XX4" s="729" t="str">
        <f t="shared" ca="1" si="9"/>
        <v/>
      </c>
      <c r="XY4" s="729" t="str">
        <f t="shared" ca="1" si="9"/>
        <v/>
      </c>
      <c r="XZ4" s="729" t="str">
        <f t="shared" ca="1" si="9"/>
        <v/>
      </c>
      <c r="YA4" s="729">
        <f t="shared" ca="1" si="9"/>
        <v>42135</v>
      </c>
      <c r="YB4" s="729" t="str">
        <f t="shared" ref="YB4:ZZ4" ca="1" si="10">IF(WEEKDAY(YB$6)=2,YB6,"")</f>
        <v/>
      </c>
      <c r="YC4" s="729" t="str">
        <f t="shared" ca="1" si="10"/>
        <v/>
      </c>
      <c r="YD4" s="729" t="str">
        <f t="shared" ca="1" si="10"/>
        <v/>
      </c>
      <c r="YE4" s="729" t="str">
        <f t="shared" ca="1" si="10"/>
        <v/>
      </c>
      <c r="YF4" s="729" t="str">
        <f t="shared" ca="1" si="10"/>
        <v/>
      </c>
      <c r="YG4" s="729" t="str">
        <f t="shared" ca="1" si="10"/>
        <v/>
      </c>
      <c r="YH4" s="729">
        <f t="shared" ca="1" si="10"/>
        <v>42142</v>
      </c>
      <c r="YI4" s="729" t="str">
        <f t="shared" ca="1" si="10"/>
        <v/>
      </c>
      <c r="YJ4" s="729" t="str">
        <f t="shared" ca="1" si="10"/>
        <v/>
      </c>
      <c r="YK4" s="729" t="str">
        <f t="shared" ca="1" si="10"/>
        <v/>
      </c>
      <c r="YL4" s="729" t="str">
        <f t="shared" ca="1" si="10"/>
        <v/>
      </c>
      <c r="YM4" s="729" t="str">
        <f t="shared" ca="1" si="10"/>
        <v/>
      </c>
      <c r="YN4" s="729" t="str">
        <f t="shared" ca="1" si="10"/>
        <v/>
      </c>
      <c r="YO4" s="729">
        <f t="shared" ca="1" si="10"/>
        <v>42149</v>
      </c>
      <c r="YP4" s="729" t="str">
        <f t="shared" ca="1" si="10"/>
        <v/>
      </c>
      <c r="YQ4" s="729" t="str">
        <f t="shared" ca="1" si="10"/>
        <v/>
      </c>
      <c r="YR4" s="729" t="str">
        <f t="shared" ca="1" si="10"/>
        <v/>
      </c>
      <c r="YS4" s="729" t="str">
        <f t="shared" ca="1" si="10"/>
        <v/>
      </c>
      <c r="YT4" s="729" t="str">
        <f t="shared" ca="1" si="10"/>
        <v/>
      </c>
      <c r="YU4" s="729" t="str">
        <f t="shared" ca="1" si="10"/>
        <v/>
      </c>
      <c r="YV4" s="729">
        <f t="shared" ca="1" si="10"/>
        <v>42156</v>
      </c>
      <c r="YW4" s="729" t="str">
        <f t="shared" ca="1" si="10"/>
        <v/>
      </c>
      <c r="YX4" s="729" t="str">
        <f t="shared" ca="1" si="10"/>
        <v/>
      </c>
      <c r="YY4" s="729" t="str">
        <f t="shared" ca="1" si="10"/>
        <v/>
      </c>
      <c r="YZ4" s="729" t="str">
        <f t="shared" ca="1" si="10"/>
        <v/>
      </c>
      <c r="ZA4" s="729" t="str">
        <f t="shared" ca="1" si="10"/>
        <v/>
      </c>
      <c r="ZB4" s="729" t="str">
        <f t="shared" ca="1" si="10"/>
        <v/>
      </c>
      <c r="ZC4" s="729">
        <f t="shared" ca="1" si="10"/>
        <v>42163</v>
      </c>
      <c r="ZD4" s="729" t="str">
        <f t="shared" ca="1" si="10"/>
        <v/>
      </c>
      <c r="ZE4" s="729" t="str">
        <f t="shared" ca="1" si="10"/>
        <v/>
      </c>
      <c r="ZF4" s="729" t="str">
        <f t="shared" ca="1" si="10"/>
        <v/>
      </c>
      <c r="ZG4" s="729" t="str">
        <f t="shared" ca="1" si="10"/>
        <v/>
      </c>
      <c r="ZH4" s="729" t="str">
        <f t="shared" ca="1" si="10"/>
        <v/>
      </c>
      <c r="ZI4" s="729" t="str">
        <f t="shared" ca="1" si="10"/>
        <v/>
      </c>
      <c r="ZJ4" s="729">
        <f t="shared" ca="1" si="10"/>
        <v>42170</v>
      </c>
      <c r="ZK4" s="729" t="str">
        <f t="shared" ca="1" si="10"/>
        <v/>
      </c>
      <c r="ZL4" s="729" t="str">
        <f t="shared" ca="1" si="10"/>
        <v/>
      </c>
      <c r="ZM4" s="729" t="str">
        <f t="shared" ca="1" si="10"/>
        <v/>
      </c>
      <c r="ZN4" s="729" t="str">
        <f t="shared" ca="1" si="10"/>
        <v/>
      </c>
      <c r="ZO4" s="729" t="str">
        <f t="shared" ca="1" si="10"/>
        <v/>
      </c>
      <c r="ZP4" s="729" t="str">
        <f t="shared" ca="1" si="10"/>
        <v/>
      </c>
      <c r="ZQ4" s="729">
        <f t="shared" ca="1" si="10"/>
        <v>42177</v>
      </c>
      <c r="ZR4" s="729" t="str">
        <f t="shared" ca="1" si="10"/>
        <v/>
      </c>
      <c r="ZS4" s="729" t="str">
        <f t="shared" ca="1" si="10"/>
        <v/>
      </c>
      <c r="ZT4" s="729" t="str">
        <f t="shared" ca="1" si="10"/>
        <v/>
      </c>
      <c r="ZU4" s="729" t="str">
        <f t="shared" ca="1" si="10"/>
        <v/>
      </c>
      <c r="ZV4" s="729" t="str">
        <f t="shared" ca="1" si="10"/>
        <v/>
      </c>
      <c r="ZW4" s="729" t="str">
        <f t="shared" ca="1" si="10"/>
        <v/>
      </c>
      <c r="ZX4" s="729">
        <f t="shared" ca="1" si="10"/>
        <v>42184</v>
      </c>
      <c r="ZY4" s="729" t="str">
        <f t="shared" ca="1" si="10"/>
        <v/>
      </c>
      <c r="ZZ4" s="729" t="str">
        <f t="shared" ca="1" si="10"/>
        <v/>
      </c>
      <c r="AAA4" s="588"/>
      <c r="AAD4" s="112"/>
      <c r="AAE4" s="551" t="s">
        <v>27</v>
      </c>
      <c r="AAF4" s="583" t="s">
        <v>174</v>
      </c>
      <c r="AAG4" s="77"/>
      <c r="AAH4" s="78">
        <f>WORKDAY(S.RuleEffective+44,1,S.DDL_DEQClosed)</f>
        <v>41764</v>
      </c>
      <c r="AAI4" s="63"/>
      <c r="AAJ4" s="508" t="s">
        <v>243</v>
      </c>
      <c r="AAK4" s="508"/>
      <c r="AAL4" s="65"/>
      <c r="AAM4" s="112"/>
      <c r="AAN4"/>
      <c r="AAP4" s="23" t="s">
        <v>0</v>
      </c>
      <c r="AAT4" s="23"/>
      <c r="AAU4" s="44"/>
    </row>
    <row r="5" spans="1:745" s="23" customFormat="1" ht="29.25" customHeight="1">
      <c r="A5" s="558"/>
      <c r="B5" s="317"/>
      <c r="C5" s="687"/>
      <c r="D5" s="205"/>
      <c r="E5" s="540" t="s">
        <v>180</v>
      </c>
      <c r="F5" s="235" t="s">
        <v>283</v>
      </c>
      <c r="G5" s="221" t="s">
        <v>248</v>
      </c>
      <c r="H5" s="221" t="s">
        <v>86</v>
      </c>
      <c r="I5" s="598"/>
      <c r="J5" s="609">
        <f ca="1">J6</f>
        <v>41494</v>
      </c>
      <c r="K5" s="609" t="str">
        <f ca="1">IF(WEEKDAY(K$6)=2,K6,"")</f>
        <v/>
      </c>
      <c r="L5" s="609" t="str">
        <f t="shared" ref="L5:R5" ca="1" si="11">IF(WEEKDAY(L$6)=2,L6,"")</f>
        <v/>
      </c>
      <c r="M5" s="609" t="str">
        <f t="shared" ca="1" si="11"/>
        <v/>
      </c>
      <c r="N5" s="609">
        <f t="shared" ca="1" si="11"/>
        <v>41498</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41505</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41512</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41519</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41526</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41533</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41540</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41547</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41554</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41561</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41568</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41575</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41582</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41589</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41596</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41603</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41610</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41617</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41624</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41631</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41638</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41645</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41652</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41659</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41666</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41673</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41680</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41687</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41694</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41701</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41708</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41715</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41722</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41729</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41736</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41743</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41750</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41757</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41764</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41771</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41778</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41785</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41792</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41799</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41806</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41813</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41820</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41827</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41834</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41841</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41848</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41855</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41862</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41869</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41876</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41883</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41890</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41897</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41904</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41911</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41918</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41925</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41932</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41939</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41946</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41953</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41960</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41967</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41974</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41981</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41988</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41995</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42002</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42009</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42016</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42023</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42030</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42037</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42044</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42051</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42058</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42065</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42072</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42079</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42086</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42093</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42100</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42107</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42114</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42121</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42128</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42135</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42142</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42149</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42156</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42163</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42170</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42177</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42184</v>
      </c>
      <c r="ZY5" s="609" t="str">
        <f t="shared" ref="ZY5" ca="1" si="692">IF(WEEKDAY(ZY$6)=2,ZY6,"")</f>
        <v/>
      </c>
      <c r="ZZ5" s="609" t="str">
        <f t="shared" ref="ZZ5" ca="1" si="693">IF(WEEKDAY(ZZ$6)=2,ZZ6,"")</f>
        <v/>
      </c>
      <c r="AAA5" s="588"/>
      <c r="AAB5"/>
      <c r="AAC5"/>
      <c r="AAD5" s="112"/>
      <c r="AAE5" s="551" t="s">
        <v>27</v>
      </c>
      <c r="AAF5" s="583" t="s">
        <v>174</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84" t="s">
        <v>0</v>
      </c>
      <c r="E6" s="784"/>
      <c r="F6" s="318">
        <f ca="1">NETWORKDAYS(TODAY(),H6)</f>
        <v>203</v>
      </c>
      <c r="G6" s="524">
        <v>41369</v>
      </c>
      <c r="H6" s="524">
        <f>AAH6</f>
        <v>41778</v>
      </c>
      <c r="I6" s="598"/>
      <c r="J6" s="610">
        <f ca="1">TODAY()+J3</f>
        <v>41494</v>
      </c>
      <c r="K6" s="610">
        <f ca="1">J$6+1</f>
        <v>41495</v>
      </c>
      <c r="L6" s="610">
        <f t="shared" ref="L6:BW6" ca="1" si="694">K$6+1</f>
        <v>41496</v>
      </c>
      <c r="M6" s="610">
        <f t="shared" ca="1" si="694"/>
        <v>41497</v>
      </c>
      <c r="N6" s="610">
        <f t="shared" ca="1" si="694"/>
        <v>41498</v>
      </c>
      <c r="O6" s="610">
        <f t="shared" ca="1" si="694"/>
        <v>41499</v>
      </c>
      <c r="P6" s="610">
        <f t="shared" ca="1" si="694"/>
        <v>41500</v>
      </c>
      <c r="Q6" s="610">
        <f t="shared" ca="1" si="694"/>
        <v>41501</v>
      </c>
      <c r="R6" s="610">
        <f t="shared" ca="1" si="694"/>
        <v>41502</v>
      </c>
      <c r="S6" s="610">
        <f t="shared" ca="1" si="694"/>
        <v>41503</v>
      </c>
      <c r="T6" s="610">
        <f t="shared" ca="1" si="694"/>
        <v>41504</v>
      </c>
      <c r="U6" s="610">
        <f t="shared" ca="1" si="694"/>
        <v>41505</v>
      </c>
      <c r="V6" s="610">
        <f t="shared" ca="1" si="694"/>
        <v>41506</v>
      </c>
      <c r="W6" s="610">
        <f t="shared" ca="1" si="694"/>
        <v>41507</v>
      </c>
      <c r="X6" s="610">
        <f t="shared" ca="1" si="694"/>
        <v>41508</v>
      </c>
      <c r="Y6" s="610">
        <f t="shared" ca="1" si="694"/>
        <v>41509</v>
      </c>
      <c r="Z6" s="610">
        <f t="shared" ca="1" si="694"/>
        <v>41510</v>
      </c>
      <c r="AA6" s="610">
        <f t="shared" ca="1" si="694"/>
        <v>41511</v>
      </c>
      <c r="AB6" s="610">
        <f t="shared" ca="1" si="694"/>
        <v>41512</v>
      </c>
      <c r="AC6" s="610">
        <f t="shared" ca="1" si="694"/>
        <v>41513</v>
      </c>
      <c r="AD6" s="610">
        <f t="shared" ca="1" si="694"/>
        <v>41514</v>
      </c>
      <c r="AE6" s="610">
        <f t="shared" ca="1" si="694"/>
        <v>41515</v>
      </c>
      <c r="AF6" s="610">
        <f t="shared" ca="1" si="694"/>
        <v>41516</v>
      </c>
      <c r="AG6" s="610">
        <f t="shared" ca="1" si="694"/>
        <v>41517</v>
      </c>
      <c r="AH6" s="610">
        <f t="shared" ca="1" si="694"/>
        <v>41518</v>
      </c>
      <c r="AI6" s="610">
        <f t="shared" ca="1" si="694"/>
        <v>41519</v>
      </c>
      <c r="AJ6" s="610">
        <f t="shared" ca="1" si="694"/>
        <v>41520</v>
      </c>
      <c r="AK6" s="610">
        <f t="shared" ca="1" si="694"/>
        <v>41521</v>
      </c>
      <c r="AL6" s="610">
        <f t="shared" ca="1" si="694"/>
        <v>41522</v>
      </c>
      <c r="AM6" s="610">
        <f t="shared" ca="1" si="694"/>
        <v>41523</v>
      </c>
      <c r="AN6" s="610">
        <f t="shared" ca="1" si="694"/>
        <v>41524</v>
      </c>
      <c r="AO6" s="610">
        <f t="shared" ca="1" si="694"/>
        <v>41525</v>
      </c>
      <c r="AP6" s="610">
        <f t="shared" ca="1" si="694"/>
        <v>41526</v>
      </c>
      <c r="AQ6" s="610">
        <f t="shared" ca="1" si="694"/>
        <v>41527</v>
      </c>
      <c r="AR6" s="610">
        <f t="shared" ca="1" si="694"/>
        <v>41528</v>
      </c>
      <c r="AS6" s="610">
        <f t="shared" ca="1" si="694"/>
        <v>41529</v>
      </c>
      <c r="AT6" s="610">
        <f t="shared" ca="1" si="694"/>
        <v>41530</v>
      </c>
      <c r="AU6" s="610">
        <f t="shared" ca="1" si="694"/>
        <v>41531</v>
      </c>
      <c r="AV6" s="610">
        <f t="shared" ca="1" si="694"/>
        <v>41532</v>
      </c>
      <c r="AW6" s="610">
        <f t="shared" ca="1" si="694"/>
        <v>41533</v>
      </c>
      <c r="AX6" s="610">
        <f t="shared" ca="1" si="694"/>
        <v>41534</v>
      </c>
      <c r="AY6" s="610">
        <f t="shared" ca="1" si="694"/>
        <v>41535</v>
      </c>
      <c r="AZ6" s="610">
        <f t="shared" ca="1" si="694"/>
        <v>41536</v>
      </c>
      <c r="BA6" s="610">
        <f t="shared" ca="1" si="694"/>
        <v>41537</v>
      </c>
      <c r="BB6" s="610">
        <f t="shared" ca="1" si="694"/>
        <v>41538</v>
      </c>
      <c r="BC6" s="610">
        <f t="shared" ca="1" si="694"/>
        <v>41539</v>
      </c>
      <c r="BD6" s="610">
        <f t="shared" ca="1" si="694"/>
        <v>41540</v>
      </c>
      <c r="BE6" s="610">
        <f t="shared" ca="1" si="694"/>
        <v>41541</v>
      </c>
      <c r="BF6" s="610">
        <f t="shared" ca="1" si="694"/>
        <v>41542</v>
      </c>
      <c r="BG6" s="610">
        <f t="shared" ca="1" si="694"/>
        <v>41543</v>
      </c>
      <c r="BH6" s="610">
        <f t="shared" ca="1" si="694"/>
        <v>41544</v>
      </c>
      <c r="BI6" s="610">
        <f t="shared" ca="1" si="694"/>
        <v>41545</v>
      </c>
      <c r="BJ6" s="610">
        <f t="shared" ca="1" si="694"/>
        <v>41546</v>
      </c>
      <c r="BK6" s="610">
        <f t="shared" ca="1" si="694"/>
        <v>41547</v>
      </c>
      <c r="BL6" s="610">
        <f t="shared" ca="1" si="694"/>
        <v>41548</v>
      </c>
      <c r="BM6" s="610">
        <f t="shared" ca="1" si="694"/>
        <v>41549</v>
      </c>
      <c r="BN6" s="610">
        <f t="shared" ca="1" si="694"/>
        <v>41550</v>
      </c>
      <c r="BO6" s="610">
        <f t="shared" ca="1" si="694"/>
        <v>41551</v>
      </c>
      <c r="BP6" s="610">
        <f t="shared" ca="1" si="694"/>
        <v>41552</v>
      </c>
      <c r="BQ6" s="610">
        <f t="shared" ca="1" si="694"/>
        <v>41553</v>
      </c>
      <c r="BR6" s="610">
        <f t="shared" ca="1" si="694"/>
        <v>41554</v>
      </c>
      <c r="BS6" s="610">
        <f t="shared" ca="1" si="694"/>
        <v>41555</v>
      </c>
      <c r="BT6" s="610">
        <f t="shared" ca="1" si="694"/>
        <v>41556</v>
      </c>
      <c r="BU6" s="610">
        <f t="shared" ca="1" si="694"/>
        <v>41557</v>
      </c>
      <c r="BV6" s="610">
        <f t="shared" ca="1" si="694"/>
        <v>41558</v>
      </c>
      <c r="BW6" s="610">
        <f t="shared" ca="1" si="694"/>
        <v>41559</v>
      </c>
      <c r="BX6" s="610">
        <f t="shared" ref="BX6:EI6" ca="1" si="695">BW$6+1</f>
        <v>41560</v>
      </c>
      <c r="BY6" s="610">
        <f t="shared" ca="1" si="695"/>
        <v>41561</v>
      </c>
      <c r="BZ6" s="610">
        <f t="shared" ca="1" si="695"/>
        <v>41562</v>
      </c>
      <c r="CA6" s="610">
        <f t="shared" ca="1" si="695"/>
        <v>41563</v>
      </c>
      <c r="CB6" s="610">
        <f t="shared" ca="1" si="695"/>
        <v>41564</v>
      </c>
      <c r="CC6" s="610">
        <f t="shared" ca="1" si="695"/>
        <v>41565</v>
      </c>
      <c r="CD6" s="610">
        <f t="shared" ca="1" si="695"/>
        <v>41566</v>
      </c>
      <c r="CE6" s="610">
        <f t="shared" ca="1" si="695"/>
        <v>41567</v>
      </c>
      <c r="CF6" s="610">
        <f t="shared" ca="1" si="695"/>
        <v>41568</v>
      </c>
      <c r="CG6" s="610">
        <f t="shared" ca="1" si="695"/>
        <v>41569</v>
      </c>
      <c r="CH6" s="610">
        <f t="shared" ca="1" si="695"/>
        <v>41570</v>
      </c>
      <c r="CI6" s="610">
        <f t="shared" ca="1" si="695"/>
        <v>41571</v>
      </c>
      <c r="CJ6" s="610">
        <f t="shared" ca="1" si="695"/>
        <v>41572</v>
      </c>
      <c r="CK6" s="610">
        <f t="shared" ca="1" si="695"/>
        <v>41573</v>
      </c>
      <c r="CL6" s="610">
        <f t="shared" ca="1" si="695"/>
        <v>41574</v>
      </c>
      <c r="CM6" s="610">
        <f t="shared" ca="1" si="695"/>
        <v>41575</v>
      </c>
      <c r="CN6" s="610">
        <f t="shared" ca="1" si="695"/>
        <v>41576</v>
      </c>
      <c r="CO6" s="610">
        <f t="shared" ca="1" si="695"/>
        <v>41577</v>
      </c>
      <c r="CP6" s="610">
        <f t="shared" ca="1" si="695"/>
        <v>41578</v>
      </c>
      <c r="CQ6" s="610">
        <f t="shared" ca="1" si="695"/>
        <v>41579</v>
      </c>
      <c r="CR6" s="610">
        <f t="shared" ca="1" si="695"/>
        <v>41580</v>
      </c>
      <c r="CS6" s="610">
        <f t="shared" ca="1" si="695"/>
        <v>41581</v>
      </c>
      <c r="CT6" s="610">
        <f t="shared" ca="1" si="695"/>
        <v>41582</v>
      </c>
      <c r="CU6" s="610">
        <f t="shared" ca="1" si="695"/>
        <v>41583</v>
      </c>
      <c r="CV6" s="610">
        <f t="shared" ca="1" si="695"/>
        <v>41584</v>
      </c>
      <c r="CW6" s="610">
        <f t="shared" ca="1" si="695"/>
        <v>41585</v>
      </c>
      <c r="CX6" s="610">
        <f t="shared" ca="1" si="695"/>
        <v>41586</v>
      </c>
      <c r="CY6" s="610">
        <f t="shared" ca="1" si="695"/>
        <v>41587</v>
      </c>
      <c r="CZ6" s="610">
        <f t="shared" ca="1" si="695"/>
        <v>41588</v>
      </c>
      <c r="DA6" s="610">
        <f t="shared" ca="1" si="695"/>
        <v>41589</v>
      </c>
      <c r="DB6" s="610">
        <f t="shared" ca="1" si="695"/>
        <v>41590</v>
      </c>
      <c r="DC6" s="610">
        <f t="shared" ca="1" si="695"/>
        <v>41591</v>
      </c>
      <c r="DD6" s="610">
        <f t="shared" ca="1" si="695"/>
        <v>41592</v>
      </c>
      <c r="DE6" s="610">
        <f t="shared" ca="1" si="695"/>
        <v>41593</v>
      </c>
      <c r="DF6" s="610">
        <f t="shared" ca="1" si="695"/>
        <v>41594</v>
      </c>
      <c r="DG6" s="610">
        <f t="shared" ca="1" si="695"/>
        <v>41595</v>
      </c>
      <c r="DH6" s="610">
        <f t="shared" ca="1" si="695"/>
        <v>41596</v>
      </c>
      <c r="DI6" s="610">
        <f t="shared" ca="1" si="695"/>
        <v>41597</v>
      </c>
      <c r="DJ6" s="610">
        <f t="shared" ca="1" si="695"/>
        <v>41598</v>
      </c>
      <c r="DK6" s="610">
        <f t="shared" ca="1" si="695"/>
        <v>41599</v>
      </c>
      <c r="DL6" s="610">
        <f t="shared" ca="1" si="695"/>
        <v>41600</v>
      </c>
      <c r="DM6" s="610">
        <f t="shared" ca="1" si="695"/>
        <v>41601</v>
      </c>
      <c r="DN6" s="610">
        <f t="shared" ca="1" si="695"/>
        <v>41602</v>
      </c>
      <c r="DO6" s="610">
        <f t="shared" ca="1" si="695"/>
        <v>41603</v>
      </c>
      <c r="DP6" s="610">
        <f t="shared" ca="1" si="695"/>
        <v>41604</v>
      </c>
      <c r="DQ6" s="610">
        <f t="shared" ca="1" si="695"/>
        <v>41605</v>
      </c>
      <c r="DR6" s="610">
        <f t="shared" ca="1" si="695"/>
        <v>41606</v>
      </c>
      <c r="DS6" s="610">
        <f t="shared" ca="1" si="695"/>
        <v>41607</v>
      </c>
      <c r="DT6" s="610">
        <f t="shared" ca="1" si="695"/>
        <v>41608</v>
      </c>
      <c r="DU6" s="610">
        <f t="shared" ca="1" si="695"/>
        <v>41609</v>
      </c>
      <c r="DV6" s="610">
        <f t="shared" ca="1" si="695"/>
        <v>41610</v>
      </c>
      <c r="DW6" s="610">
        <f t="shared" ca="1" si="695"/>
        <v>41611</v>
      </c>
      <c r="DX6" s="610">
        <f t="shared" ca="1" si="695"/>
        <v>41612</v>
      </c>
      <c r="DY6" s="610">
        <f t="shared" ca="1" si="695"/>
        <v>41613</v>
      </c>
      <c r="DZ6" s="610">
        <f t="shared" ca="1" si="695"/>
        <v>41614</v>
      </c>
      <c r="EA6" s="610">
        <f t="shared" ca="1" si="695"/>
        <v>41615</v>
      </c>
      <c r="EB6" s="610">
        <f t="shared" ca="1" si="695"/>
        <v>41616</v>
      </c>
      <c r="EC6" s="610">
        <f t="shared" ca="1" si="695"/>
        <v>41617</v>
      </c>
      <c r="ED6" s="610">
        <f t="shared" ca="1" si="695"/>
        <v>41618</v>
      </c>
      <c r="EE6" s="610">
        <f t="shared" ca="1" si="695"/>
        <v>41619</v>
      </c>
      <c r="EF6" s="610">
        <f t="shared" ca="1" si="695"/>
        <v>41620</v>
      </c>
      <c r="EG6" s="610">
        <f t="shared" ca="1" si="695"/>
        <v>41621</v>
      </c>
      <c r="EH6" s="610">
        <f t="shared" ca="1" si="695"/>
        <v>41622</v>
      </c>
      <c r="EI6" s="610">
        <f t="shared" ca="1" si="695"/>
        <v>41623</v>
      </c>
      <c r="EJ6" s="610">
        <f t="shared" ref="EJ6:GU6" ca="1" si="696">EI$6+1</f>
        <v>41624</v>
      </c>
      <c r="EK6" s="610">
        <f t="shared" ca="1" si="696"/>
        <v>41625</v>
      </c>
      <c r="EL6" s="610">
        <f t="shared" ca="1" si="696"/>
        <v>41626</v>
      </c>
      <c r="EM6" s="610">
        <f t="shared" ca="1" si="696"/>
        <v>41627</v>
      </c>
      <c r="EN6" s="610">
        <f t="shared" ca="1" si="696"/>
        <v>41628</v>
      </c>
      <c r="EO6" s="610">
        <f t="shared" ca="1" si="696"/>
        <v>41629</v>
      </c>
      <c r="EP6" s="610">
        <f t="shared" ca="1" si="696"/>
        <v>41630</v>
      </c>
      <c r="EQ6" s="610">
        <f t="shared" ca="1" si="696"/>
        <v>41631</v>
      </c>
      <c r="ER6" s="610">
        <f t="shared" ca="1" si="696"/>
        <v>41632</v>
      </c>
      <c r="ES6" s="610">
        <f t="shared" ca="1" si="696"/>
        <v>41633</v>
      </c>
      <c r="ET6" s="610">
        <f t="shared" ca="1" si="696"/>
        <v>41634</v>
      </c>
      <c r="EU6" s="610">
        <f t="shared" ca="1" si="696"/>
        <v>41635</v>
      </c>
      <c r="EV6" s="610">
        <f t="shared" ca="1" si="696"/>
        <v>41636</v>
      </c>
      <c r="EW6" s="610">
        <f t="shared" ca="1" si="696"/>
        <v>41637</v>
      </c>
      <c r="EX6" s="610">
        <f t="shared" ca="1" si="696"/>
        <v>41638</v>
      </c>
      <c r="EY6" s="610">
        <f t="shared" ca="1" si="696"/>
        <v>41639</v>
      </c>
      <c r="EZ6" s="610">
        <f t="shared" ca="1" si="696"/>
        <v>41640</v>
      </c>
      <c r="FA6" s="610">
        <f t="shared" ca="1" si="696"/>
        <v>41641</v>
      </c>
      <c r="FB6" s="610">
        <f t="shared" ca="1" si="696"/>
        <v>41642</v>
      </c>
      <c r="FC6" s="610">
        <f t="shared" ca="1" si="696"/>
        <v>41643</v>
      </c>
      <c r="FD6" s="610">
        <f t="shared" ca="1" si="696"/>
        <v>41644</v>
      </c>
      <c r="FE6" s="610">
        <f t="shared" ca="1" si="696"/>
        <v>41645</v>
      </c>
      <c r="FF6" s="610">
        <f t="shared" ca="1" si="696"/>
        <v>41646</v>
      </c>
      <c r="FG6" s="610">
        <f t="shared" ca="1" si="696"/>
        <v>41647</v>
      </c>
      <c r="FH6" s="610">
        <f t="shared" ca="1" si="696"/>
        <v>41648</v>
      </c>
      <c r="FI6" s="610">
        <f t="shared" ca="1" si="696"/>
        <v>41649</v>
      </c>
      <c r="FJ6" s="610">
        <f t="shared" ca="1" si="696"/>
        <v>41650</v>
      </c>
      <c r="FK6" s="610">
        <f t="shared" ca="1" si="696"/>
        <v>41651</v>
      </c>
      <c r="FL6" s="610">
        <f t="shared" ca="1" si="696"/>
        <v>41652</v>
      </c>
      <c r="FM6" s="610">
        <f t="shared" ca="1" si="696"/>
        <v>41653</v>
      </c>
      <c r="FN6" s="610">
        <f t="shared" ca="1" si="696"/>
        <v>41654</v>
      </c>
      <c r="FO6" s="610">
        <f t="shared" ca="1" si="696"/>
        <v>41655</v>
      </c>
      <c r="FP6" s="610">
        <f t="shared" ca="1" si="696"/>
        <v>41656</v>
      </c>
      <c r="FQ6" s="610">
        <f t="shared" ca="1" si="696"/>
        <v>41657</v>
      </c>
      <c r="FR6" s="610">
        <f t="shared" ca="1" si="696"/>
        <v>41658</v>
      </c>
      <c r="FS6" s="610">
        <f t="shared" ca="1" si="696"/>
        <v>41659</v>
      </c>
      <c r="FT6" s="610">
        <f t="shared" ca="1" si="696"/>
        <v>41660</v>
      </c>
      <c r="FU6" s="610">
        <f t="shared" ca="1" si="696"/>
        <v>41661</v>
      </c>
      <c r="FV6" s="610">
        <f t="shared" ca="1" si="696"/>
        <v>41662</v>
      </c>
      <c r="FW6" s="610">
        <f t="shared" ca="1" si="696"/>
        <v>41663</v>
      </c>
      <c r="FX6" s="610">
        <f t="shared" ca="1" si="696"/>
        <v>41664</v>
      </c>
      <c r="FY6" s="610">
        <f t="shared" ca="1" si="696"/>
        <v>41665</v>
      </c>
      <c r="FZ6" s="610">
        <f t="shared" ca="1" si="696"/>
        <v>41666</v>
      </c>
      <c r="GA6" s="610">
        <f t="shared" ca="1" si="696"/>
        <v>41667</v>
      </c>
      <c r="GB6" s="610">
        <f t="shared" ca="1" si="696"/>
        <v>41668</v>
      </c>
      <c r="GC6" s="610">
        <f t="shared" ca="1" si="696"/>
        <v>41669</v>
      </c>
      <c r="GD6" s="610">
        <f t="shared" ca="1" si="696"/>
        <v>41670</v>
      </c>
      <c r="GE6" s="610">
        <f t="shared" ca="1" si="696"/>
        <v>41671</v>
      </c>
      <c r="GF6" s="610">
        <f t="shared" ca="1" si="696"/>
        <v>41672</v>
      </c>
      <c r="GG6" s="610">
        <f t="shared" ca="1" si="696"/>
        <v>41673</v>
      </c>
      <c r="GH6" s="610">
        <f t="shared" ca="1" si="696"/>
        <v>41674</v>
      </c>
      <c r="GI6" s="610">
        <f t="shared" ca="1" si="696"/>
        <v>41675</v>
      </c>
      <c r="GJ6" s="610">
        <f t="shared" ca="1" si="696"/>
        <v>41676</v>
      </c>
      <c r="GK6" s="610">
        <f t="shared" ca="1" si="696"/>
        <v>41677</v>
      </c>
      <c r="GL6" s="610">
        <f t="shared" ca="1" si="696"/>
        <v>41678</v>
      </c>
      <c r="GM6" s="610">
        <f t="shared" ca="1" si="696"/>
        <v>41679</v>
      </c>
      <c r="GN6" s="610">
        <f t="shared" ca="1" si="696"/>
        <v>41680</v>
      </c>
      <c r="GO6" s="610">
        <f t="shared" ca="1" si="696"/>
        <v>41681</v>
      </c>
      <c r="GP6" s="610">
        <f t="shared" ca="1" si="696"/>
        <v>41682</v>
      </c>
      <c r="GQ6" s="610">
        <f t="shared" ca="1" si="696"/>
        <v>41683</v>
      </c>
      <c r="GR6" s="610">
        <f t="shared" ca="1" si="696"/>
        <v>41684</v>
      </c>
      <c r="GS6" s="610">
        <f t="shared" ca="1" si="696"/>
        <v>41685</v>
      </c>
      <c r="GT6" s="610">
        <f t="shared" ca="1" si="696"/>
        <v>41686</v>
      </c>
      <c r="GU6" s="610">
        <f t="shared" ca="1" si="696"/>
        <v>41687</v>
      </c>
      <c r="GV6" s="610">
        <f t="shared" ref="GV6:JG6" ca="1" si="697">GU$6+1</f>
        <v>41688</v>
      </c>
      <c r="GW6" s="610">
        <f t="shared" ca="1" si="697"/>
        <v>41689</v>
      </c>
      <c r="GX6" s="610">
        <f t="shared" ca="1" si="697"/>
        <v>41690</v>
      </c>
      <c r="GY6" s="610">
        <f t="shared" ca="1" si="697"/>
        <v>41691</v>
      </c>
      <c r="GZ6" s="610">
        <f t="shared" ca="1" si="697"/>
        <v>41692</v>
      </c>
      <c r="HA6" s="610">
        <f t="shared" ca="1" si="697"/>
        <v>41693</v>
      </c>
      <c r="HB6" s="610">
        <f t="shared" ca="1" si="697"/>
        <v>41694</v>
      </c>
      <c r="HC6" s="610">
        <f t="shared" ca="1" si="697"/>
        <v>41695</v>
      </c>
      <c r="HD6" s="610">
        <f t="shared" ca="1" si="697"/>
        <v>41696</v>
      </c>
      <c r="HE6" s="610">
        <f t="shared" ca="1" si="697"/>
        <v>41697</v>
      </c>
      <c r="HF6" s="610">
        <f t="shared" ca="1" si="697"/>
        <v>41698</v>
      </c>
      <c r="HG6" s="610">
        <f t="shared" ca="1" si="697"/>
        <v>41699</v>
      </c>
      <c r="HH6" s="610">
        <f t="shared" ca="1" si="697"/>
        <v>41700</v>
      </c>
      <c r="HI6" s="610">
        <f t="shared" ca="1" si="697"/>
        <v>41701</v>
      </c>
      <c r="HJ6" s="610">
        <f t="shared" ca="1" si="697"/>
        <v>41702</v>
      </c>
      <c r="HK6" s="610">
        <f t="shared" ca="1" si="697"/>
        <v>41703</v>
      </c>
      <c r="HL6" s="610">
        <f t="shared" ca="1" si="697"/>
        <v>41704</v>
      </c>
      <c r="HM6" s="610">
        <f t="shared" ca="1" si="697"/>
        <v>41705</v>
      </c>
      <c r="HN6" s="610">
        <f t="shared" ca="1" si="697"/>
        <v>41706</v>
      </c>
      <c r="HO6" s="610">
        <f t="shared" ca="1" si="697"/>
        <v>41707</v>
      </c>
      <c r="HP6" s="610">
        <f t="shared" ca="1" si="697"/>
        <v>41708</v>
      </c>
      <c r="HQ6" s="610">
        <f t="shared" ca="1" si="697"/>
        <v>41709</v>
      </c>
      <c r="HR6" s="610">
        <f t="shared" ca="1" si="697"/>
        <v>41710</v>
      </c>
      <c r="HS6" s="610">
        <f t="shared" ca="1" si="697"/>
        <v>41711</v>
      </c>
      <c r="HT6" s="610">
        <f t="shared" ca="1" si="697"/>
        <v>41712</v>
      </c>
      <c r="HU6" s="610">
        <f t="shared" ca="1" si="697"/>
        <v>41713</v>
      </c>
      <c r="HV6" s="610">
        <f t="shared" ca="1" si="697"/>
        <v>41714</v>
      </c>
      <c r="HW6" s="610">
        <f t="shared" ca="1" si="697"/>
        <v>41715</v>
      </c>
      <c r="HX6" s="610">
        <f t="shared" ca="1" si="697"/>
        <v>41716</v>
      </c>
      <c r="HY6" s="610">
        <f t="shared" ca="1" si="697"/>
        <v>41717</v>
      </c>
      <c r="HZ6" s="610">
        <f t="shared" ca="1" si="697"/>
        <v>41718</v>
      </c>
      <c r="IA6" s="610">
        <f t="shared" ca="1" si="697"/>
        <v>41719</v>
      </c>
      <c r="IB6" s="610">
        <f t="shared" ca="1" si="697"/>
        <v>41720</v>
      </c>
      <c r="IC6" s="610">
        <f t="shared" ca="1" si="697"/>
        <v>41721</v>
      </c>
      <c r="ID6" s="610">
        <f t="shared" ca="1" si="697"/>
        <v>41722</v>
      </c>
      <c r="IE6" s="610">
        <f t="shared" ca="1" si="697"/>
        <v>41723</v>
      </c>
      <c r="IF6" s="610">
        <f t="shared" ca="1" si="697"/>
        <v>41724</v>
      </c>
      <c r="IG6" s="610">
        <f t="shared" ca="1" si="697"/>
        <v>41725</v>
      </c>
      <c r="IH6" s="610">
        <f t="shared" ca="1" si="697"/>
        <v>41726</v>
      </c>
      <c r="II6" s="610">
        <f t="shared" ca="1" si="697"/>
        <v>41727</v>
      </c>
      <c r="IJ6" s="610">
        <f t="shared" ca="1" si="697"/>
        <v>41728</v>
      </c>
      <c r="IK6" s="610">
        <f t="shared" ca="1" si="697"/>
        <v>41729</v>
      </c>
      <c r="IL6" s="610">
        <f t="shared" ca="1" si="697"/>
        <v>41730</v>
      </c>
      <c r="IM6" s="610">
        <f t="shared" ca="1" si="697"/>
        <v>41731</v>
      </c>
      <c r="IN6" s="610">
        <f t="shared" ca="1" si="697"/>
        <v>41732</v>
      </c>
      <c r="IO6" s="610">
        <f t="shared" ca="1" si="697"/>
        <v>41733</v>
      </c>
      <c r="IP6" s="610">
        <f t="shared" ca="1" si="697"/>
        <v>41734</v>
      </c>
      <c r="IQ6" s="610">
        <f t="shared" ca="1" si="697"/>
        <v>41735</v>
      </c>
      <c r="IR6" s="610">
        <f t="shared" ca="1" si="697"/>
        <v>41736</v>
      </c>
      <c r="IS6" s="610">
        <f t="shared" ca="1" si="697"/>
        <v>41737</v>
      </c>
      <c r="IT6" s="610">
        <f t="shared" ca="1" si="697"/>
        <v>41738</v>
      </c>
      <c r="IU6" s="610">
        <f t="shared" ca="1" si="697"/>
        <v>41739</v>
      </c>
      <c r="IV6" s="610">
        <f t="shared" ca="1" si="697"/>
        <v>41740</v>
      </c>
      <c r="IW6" s="610">
        <f t="shared" ca="1" si="697"/>
        <v>41741</v>
      </c>
      <c r="IX6" s="610">
        <f t="shared" ca="1" si="697"/>
        <v>41742</v>
      </c>
      <c r="IY6" s="610">
        <f t="shared" ca="1" si="697"/>
        <v>41743</v>
      </c>
      <c r="IZ6" s="610">
        <f t="shared" ca="1" si="697"/>
        <v>41744</v>
      </c>
      <c r="JA6" s="610">
        <f t="shared" ca="1" si="697"/>
        <v>41745</v>
      </c>
      <c r="JB6" s="610">
        <f t="shared" ca="1" si="697"/>
        <v>41746</v>
      </c>
      <c r="JC6" s="610">
        <f t="shared" ca="1" si="697"/>
        <v>41747</v>
      </c>
      <c r="JD6" s="610">
        <f t="shared" ca="1" si="697"/>
        <v>41748</v>
      </c>
      <c r="JE6" s="610">
        <f t="shared" ca="1" si="697"/>
        <v>41749</v>
      </c>
      <c r="JF6" s="610">
        <f t="shared" ca="1" si="697"/>
        <v>41750</v>
      </c>
      <c r="JG6" s="610">
        <f t="shared" ca="1" si="697"/>
        <v>41751</v>
      </c>
      <c r="JH6" s="610">
        <f t="shared" ref="JH6:LS6" ca="1" si="698">JG$6+1</f>
        <v>41752</v>
      </c>
      <c r="JI6" s="610">
        <f t="shared" ca="1" si="698"/>
        <v>41753</v>
      </c>
      <c r="JJ6" s="610">
        <f t="shared" ca="1" si="698"/>
        <v>41754</v>
      </c>
      <c r="JK6" s="610">
        <f t="shared" ca="1" si="698"/>
        <v>41755</v>
      </c>
      <c r="JL6" s="610">
        <f t="shared" ca="1" si="698"/>
        <v>41756</v>
      </c>
      <c r="JM6" s="610">
        <f t="shared" ca="1" si="698"/>
        <v>41757</v>
      </c>
      <c r="JN6" s="610">
        <f t="shared" ca="1" si="698"/>
        <v>41758</v>
      </c>
      <c r="JO6" s="610">
        <f t="shared" ca="1" si="698"/>
        <v>41759</v>
      </c>
      <c r="JP6" s="610">
        <f t="shared" ca="1" si="698"/>
        <v>41760</v>
      </c>
      <c r="JQ6" s="610">
        <f t="shared" ca="1" si="698"/>
        <v>41761</v>
      </c>
      <c r="JR6" s="610">
        <f t="shared" ca="1" si="698"/>
        <v>41762</v>
      </c>
      <c r="JS6" s="610">
        <f t="shared" ca="1" si="698"/>
        <v>41763</v>
      </c>
      <c r="JT6" s="610">
        <f t="shared" ca="1" si="698"/>
        <v>41764</v>
      </c>
      <c r="JU6" s="610">
        <f t="shared" ca="1" si="698"/>
        <v>41765</v>
      </c>
      <c r="JV6" s="610">
        <f t="shared" ca="1" si="698"/>
        <v>41766</v>
      </c>
      <c r="JW6" s="610">
        <f t="shared" ca="1" si="698"/>
        <v>41767</v>
      </c>
      <c r="JX6" s="610">
        <f t="shared" ca="1" si="698"/>
        <v>41768</v>
      </c>
      <c r="JY6" s="610">
        <f t="shared" ca="1" si="698"/>
        <v>41769</v>
      </c>
      <c r="JZ6" s="610">
        <f t="shared" ca="1" si="698"/>
        <v>41770</v>
      </c>
      <c r="KA6" s="610">
        <f t="shared" ca="1" si="698"/>
        <v>41771</v>
      </c>
      <c r="KB6" s="610">
        <f t="shared" ca="1" si="698"/>
        <v>41772</v>
      </c>
      <c r="KC6" s="610">
        <f t="shared" ca="1" si="698"/>
        <v>41773</v>
      </c>
      <c r="KD6" s="610">
        <f t="shared" ca="1" si="698"/>
        <v>41774</v>
      </c>
      <c r="KE6" s="610">
        <f t="shared" ca="1" si="698"/>
        <v>41775</v>
      </c>
      <c r="KF6" s="610">
        <f t="shared" ca="1" si="698"/>
        <v>41776</v>
      </c>
      <c r="KG6" s="610">
        <f t="shared" ca="1" si="698"/>
        <v>41777</v>
      </c>
      <c r="KH6" s="610">
        <f t="shared" ca="1" si="698"/>
        <v>41778</v>
      </c>
      <c r="KI6" s="610">
        <f t="shared" ca="1" si="698"/>
        <v>41779</v>
      </c>
      <c r="KJ6" s="610">
        <f t="shared" ca="1" si="698"/>
        <v>41780</v>
      </c>
      <c r="KK6" s="610">
        <f t="shared" ca="1" si="698"/>
        <v>41781</v>
      </c>
      <c r="KL6" s="610">
        <f t="shared" ca="1" si="698"/>
        <v>41782</v>
      </c>
      <c r="KM6" s="610">
        <f t="shared" ca="1" si="698"/>
        <v>41783</v>
      </c>
      <c r="KN6" s="610">
        <f t="shared" ca="1" si="698"/>
        <v>41784</v>
      </c>
      <c r="KO6" s="610">
        <f t="shared" ca="1" si="698"/>
        <v>41785</v>
      </c>
      <c r="KP6" s="610">
        <f t="shared" ca="1" si="698"/>
        <v>41786</v>
      </c>
      <c r="KQ6" s="610">
        <f t="shared" ca="1" si="698"/>
        <v>41787</v>
      </c>
      <c r="KR6" s="610">
        <f t="shared" ca="1" si="698"/>
        <v>41788</v>
      </c>
      <c r="KS6" s="610">
        <f t="shared" ca="1" si="698"/>
        <v>41789</v>
      </c>
      <c r="KT6" s="610">
        <f t="shared" ca="1" si="698"/>
        <v>41790</v>
      </c>
      <c r="KU6" s="610">
        <f t="shared" ca="1" si="698"/>
        <v>41791</v>
      </c>
      <c r="KV6" s="610">
        <f t="shared" ca="1" si="698"/>
        <v>41792</v>
      </c>
      <c r="KW6" s="610">
        <f t="shared" ca="1" si="698"/>
        <v>41793</v>
      </c>
      <c r="KX6" s="610">
        <f t="shared" ca="1" si="698"/>
        <v>41794</v>
      </c>
      <c r="KY6" s="610">
        <f t="shared" ca="1" si="698"/>
        <v>41795</v>
      </c>
      <c r="KZ6" s="610">
        <f t="shared" ca="1" si="698"/>
        <v>41796</v>
      </c>
      <c r="LA6" s="610">
        <f t="shared" ca="1" si="698"/>
        <v>41797</v>
      </c>
      <c r="LB6" s="610">
        <f t="shared" ca="1" si="698"/>
        <v>41798</v>
      </c>
      <c r="LC6" s="610">
        <f t="shared" ca="1" si="698"/>
        <v>41799</v>
      </c>
      <c r="LD6" s="610">
        <f t="shared" ca="1" si="698"/>
        <v>41800</v>
      </c>
      <c r="LE6" s="610">
        <f t="shared" ca="1" si="698"/>
        <v>41801</v>
      </c>
      <c r="LF6" s="610">
        <f t="shared" ca="1" si="698"/>
        <v>41802</v>
      </c>
      <c r="LG6" s="610">
        <f t="shared" ca="1" si="698"/>
        <v>41803</v>
      </c>
      <c r="LH6" s="610">
        <f t="shared" ca="1" si="698"/>
        <v>41804</v>
      </c>
      <c r="LI6" s="610">
        <f t="shared" ca="1" si="698"/>
        <v>41805</v>
      </c>
      <c r="LJ6" s="610">
        <f t="shared" ca="1" si="698"/>
        <v>41806</v>
      </c>
      <c r="LK6" s="610">
        <f t="shared" ca="1" si="698"/>
        <v>41807</v>
      </c>
      <c r="LL6" s="610">
        <f t="shared" ca="1" si="698"/>
        <v>41808</v>
      </c>
      <c r="LM6" s="610">
        <f t="shared" ca="1" si="698"/>
        <v>41809</v>
      </c>
      <c r="LN6" s="610">
        <f t="shared" ca="1" si="698"/>
        <v>41810</v>
      </c>
      <c r="LO6" s="610">
        <f t="shared" ca="1" si="698"/>
        <v>41811</v>
      </c>
      <c r="LP6" s="610">
        <f t="shared" ca="1" si="698"/>
        <v>41812</v>
      </c>
      <c r="LQ6" s="610">
        <f t="shared" ca="1" si="698"/>
        <v>41813</v>
      </c>
      <c r="LR6" s="610">
        <f t="shared" ca="1" si="698"/>
        <v>41814</v>
      </c>
      <c r="LS6" s="610">
        <f t="shared" ca="1" si="698"/>
        <v>41815</v>
      </c>
      <c r="LT6" s="610">
        <f t="shared" ref="LT6:OE6" ca="1" si="699">LS$6+1</f>
        <v>41816</v>
      </c>
      <c r="LU6" s="610">
        <f t="shared" ca="1" si="699"/>
        <v>41817</v>
      </c>
      <c r="LV6" s="610">
        <f t="shared" ca="1" si="699"/>
        <v>41818</v>
      </c>
      <c r="LW6" s="610">
        <f t="shared" ca="1" si="699"/>
        <v>41819</v>
      </c>
      <c r="LX6" s="610">
        <f t="shared" ca="1" si="699"/>
        <v>41820</v>
      </c>
      <c r="LY6" s="610">
        <f t="shared" ca="1" si="699"/>
        <v>41821</v>
      </c>
      <c r="LZ6" s="610">
        <f t="shared" ca="1" si="699"/>
        <v>41822</v>
      </c>
      <c r="MA6" s="610">
        <f t="shared" ca="1" si="699"/>
        <v>41823</v>
      </c>
      <c r="MB6" s="610">
        <f t="shared" ca="1" si="699"/>
        <v>41824</v>
      </c>
      <c r="MC6" s="610">
        <f t="shared" ca="1" si="699"/>
        <v>41825</v>
      </c>
      <c r="MD6" s="610">
        <f t="shared" ca="1" si="699"/>
        <v>41826</v>
      </c>
      <c r="ME6" s="610">
        <f t="shared" ca="1" si="699"/>
        <v>41827</v>
      </c>
      <c r="MF6" s="610">
        <f t="shared" ca="1" si="699"/>
        <v>41828</v>
      </c>
      <c r="MG6" s="610">
        <f t="shared" ca="1" si="699"/>
        <v>41829</v>
      </c>
      <c r="MH6" s="610">
        <f t="shared" ca="1" si="699"/>
        <v>41830</v>
      </c>
      <c r="MI6" s="610">
        <f t="shared" ca="1" si="699"/>
        <v>41831</v>
      </c>
      <c r="MJ6" s="610">
        <f t="shared" ca="1" si="699"/>
        <v>41832</v>
      </c>
      <c r="MK6" s="610">
        <f t="shared" ca="1" si="699"/>
        <v>41833</v>
      </c>
      <c r="ML6" s="610">
        <f t="shared" ca="1" si="699"/>
        <v>41834</v>
      </c>
      <c r="MM6" s="610">
        <f t="shared" ca="1" si="699"/>
        <v>41835</v>
      </c>
      <c r="MN6" s="610">
        <f t="shared" ca="1" si="699"/>
        <v>41836</v>
      </c>
      <c r="MO6" s="610">
        <f t="shared" ca="1" si="699"/>
        <v>41837</v>
      </c>
      <c r="MP6" s="610">
        <f t="shared" ca="1" si="699"/>
        <v>41838</v>
      </c>
      <c r="MQ6" s="610">
        <f t="shared" ca="1" si="699"/>
        <v>41839</v>
      </c>
      <c r="MR6" s="610">
        <f t="shared" ca="1" si="699"/>
        <v>41840</v>
      </c>
      <c r="MS6" s="610">
        <f t="shared" ca="1" si="699"/>
        <v>41841</v>
      </c>
      <c r="MT6" s="610">
        <f t="shared" ca="1" si="699"/>
        <v>41842</v>
      </c>
      <c r="MU6" s="610">
        <f t="shared" ca="1" si="699"/>
        <v>41843</v>
      </c>
      <c r="MV6" s="610">
        <f t="shared" ca="1" si="699"/>
        <v>41844</v>
      </c>
      <c r="MW6" s="610">
        <f t="shared" ca="1" si="699"/>
        <v>41845</v>
      </c>
      <c r="MX6" s="610">
        <f t="shared" ca="1" si="699"/>
        <v>41846</v>
      </c>
      <c r="MY6" s="610">
        <f t="shared" ca="1" si="699"/>
        <v>41847</v>
      </c>
      <c r="MZ6" s="610">
        <f t="shared" ca="1" si="699"/>
        <v>41848</v>
      </c>
      <c r="NA6" s="610">
        <f t="shared" ca="1" si="699"/>
        <v>41849</v>
      </c>
      <c r="NB6" s="610">
        <f t="shared" ca="1" si="699"/>
        <v>41850</v>
      </c>
      <c r="NC6" s="610">
        <f t="shared" ca="1" si="699"/>
        <v>41851</v>
      </c>
      <c r="ND6" s="610">
        <f t="shared" ca="1" si="699"/>
        <v>41852</v>
      </c>
      <c r="NE6" s="610">
        <f t="shared" ca="1" si="699"/>
        <v>41853</v>
      </c>
      <c r="NF6" s="610">
        <f t="shared" ca="1" si="699"/>
        <v>41854</v>
      </c>
      <c r="NG6" s="610">
        <f t="shared" ca="1" si="699"/>
        <v>41855</v>
      </c>
      <c r="NH6" s="610">
        <f t="shared" ca="1" si="699"/>
        <v>41856</v>
      </c>
      <c r="NI6" s="610">
        <f t="shared" ca="1" si="699"/>
        <v>41857</v>
      </c>
      <c r="NJ6" s="610">
        <f t="shared" ca="1" si="699"/>
        <v>41858</v>
      </c>
      <c r="NK6" s="610">
        <f t="shared" ca="1" si="699"/>
        <v>41859</v>
      </c>
      <c r="NL6" s="610">
        <f t="shared" ca="1" si="699"/>
        <v>41860</v>
      </c>
      <c r="NM6" s="610">
        <f t="shared" ca="1" si="699"/>
        <v>41861</v>
      </c>
      <c r="NN6" s="610">
        <f t="shared" ca="1" si="699"/>
        <v>41862</v>
      </c>
      <c r="NO6" s="610">
        <f t="shared" ca="1" si="699"/>
        <v>41863</v>
      </c>
      <c r="NP6" s="610">
        <f t="shared" ca="1" si="699"/>
        <v>41864</v>
      </c>
      <c r="NQ6" s="610">
        <f t="shared" ca="1" si="699"/>
        <v>41865</v>
      </c>
      <c r="NR6" s="610">
        <f t="shared" ca="1" si="699"/>
        <v>41866</v>
      </c>
      <c r="NS6" s="610">
        <f t="shared" ca="1" si="699"/>
        <v>41867</v>
      </c>
      <c r="NT6" s="610">
        <f t="shared" ca="1" si="699"/>
        <v>41868</v>
      </c>
      <c r="NU6" s="610">
        <f t="shared" ca="1" si="699"/>
        <v>41869</v>
      </c>
      <c r="NV6" s="610">
        <f t="shared" ca="1" si="699"/>
        <v>41870</v>
      </c>
      <c r="NW6" s="610">
        <f t="shared" ca="1" si="699"/>
        <v>41871</v>
      </c>
      <c r="NX6" s="610">
        <f t="shared" ca="1" si="699"/>
        <v>41872</v>
      </c>
      <c r="NY6" s="610">
        <f t="shared" ca="1" si="699"/>
        <v>41873</v>
      </c>
      <c r="NZ6" s="610">
        <f t="shared" ca="1" si="699"/>
        <v>41874</v>
      </c>
      <c r="OA6" s="610">
        <f t="shared" ca="1" si="699"/>
        <v>41875</v>
      </c>
      <c r="OB6" s="610">
        <f t="shared" ca="1" si="699"/>
        <v>41876</v>
      </c>
      <c r="OC6" s="610">
        <f t="shared" ca="1" si="699"/>
        <v>41877</v>
      </c>
      <c r="OD6" s="610">
        <f t="shared" ca="1" si="699"/>
        <v>41878</v>
      </c>
      <c r="OE6" s="610">
        <f t="shared" ca="1" si="699"/>
        <v>41879</v>
      </c>
      <c r="OF6" s="610">
        <f t="shared" ref="OF6:QQ6" ca="1" si="700">OE$6+1</f>
        <v>41880</v>
      </c>
      <c r="OG6" s="610">
        <f t="shared" ca="1" si="700"/>
        <v>41881</v>
      </c>
      <c r="OH6" s="610">
        <f t="shared" ca="1" si="700"/>
        <v>41882</v>
      </c>
      <c r="OI6" s="610">
        <f t="shared" ca="1" si="700"/>
        <v>41883</v>
      </c>
      <c r="OJ6" s="610">
        <f t="shared" ca="1" si="700"/>
        <v>41884</v>
      </c>
      <c r="OK6" s="610">
        <f t="shared" ca="1" si="700"/>
        <v>41885</v>
      </c>
      <c r="OL6" s="610">
        <f t="shared" ca="1" si="700"/>
        <v>41886</v>
      </c>
      <c r="OM6" s="610">
        <f t="shared" ca="1" si="700"/>
        <v>41887</v>
      </c>
      <c r="ON6" s="610">
        <f t="shared" ca="1" si="700"/>
        <v>41888</v>
      </c>
      <c r="OO6" s="610">
        <f t="shared" ca="1" si="700"/>
        <v>41889</v>
      </c>
      <c r="OP6" s="610">
        <f t="shared" ca="1" si="700"/>
        <v>41890</v>
      </c>
      <c r="OQ6" s="610">
        <f t="shared" ca="1" si="700"/>
        <v>41891</v>
      </c>
      <c r="OR6" s="610">
        <f t="shared" ca="1" si="700"/>
        <v>41892</v>
      </c>
      <c r="OS6" s="610">
        <f t="shared" ca="1" si="700"/>
        <v>41893</v>
      </c>
      <c r="OT6" s="610">
        <f t="shared" ca="1" si="700"/>
        <v>41894</v>
      </c>
      <c r="OU6" s="610">
        <f t="shared" ca="1" si="700"/>
        <v>41895</v>
      </c>
      <c r="OV6" s="610">
        <f t="shared" ca="1" si="700"/>
        <v>41896</v>
      </c>
      <c r="OW6" s="610">
        <f t="shared" ca="1" si="700"/>
        <v>41897</v>
      </c>
      <c r="OX6" s="610">
        <f t="shared" ca="1" si="700"/>
        <v>41898</v>
      </c>
      <c r="OY6" s="610">
        <f t="shared" ca="1" si="700"/>
        <v>41899</v>
      </c>
      <c r="OZ6" s="610">
        <f t="shared" ca="1" si="700"/>
        <v>41900</v>
      </c>
      <c r="PA6" s="610">
        <f t="shared" ca="1" si="700"/>
        <v>41901</v>
      </c>
      <c r="PB6" s="610">
        <f t="shared" ca="1" si="700"/>
        <v>41902</v>
      </c>
      <c r="PC6" s="610">
        <f t="shared" ca="1" si="700"/>
        <v>41903</v>
      </c>
      <c r="PD6" s="610">
        <f t="shared" ca="1" si="700"/>
        <v>41904</v>
      </c>
      <c r="PE6" s="610">
        <f t="shared" ca="1" si="700"/>
        <v>41905</v>
      </c>
      <c r="PF6" s="610">
        <f t="shared" ca="1" si="700"/>
        <v>41906</v>
      </c>
      <c r="PG6" s="610">
        <f t="shared" ca="1" si="700"/>
        <v>41907</v>
      </c>
      <c r="PH6" s="610">
        <f t="shared" ca="1" si="700"/>
        <v>41908</v>
      </c>
      <c r="PI6" s="610">
        <f t="shared" ca="1" si="700"/>
        <v>41909</v>
      </c>
      <c r="PJ6" s="610">
        <f t="shared" ca="1" si="700"/>
        <v>41910</v>
      </c>
      <c r="PK6" s="610">
        <f t="shared" ca="1" si="700"/>
        <v>41911</v>
      </c>
      <c r="PL6" s="610">
        <f t="shared" ca="1" si="700"/>
        <v>41912</v>
      </c>
      <c r="PM6" s="610">
        <f t="shared" ca="1" si="700"/>
        <v>41913</v>
      </c>
      <c r="PN6" s="610">
        <f t="shared" ca="1" si="700"/>
        <v>41914</v>
      </c>
      <c r="PO6" s="610">
        <f t="shared" ca="1" si="700"/>
        <v>41915</v>
      </c>
      <c r="PP6" s="610">
        <f t="shared" ca="1" si="700"/>
        <v>41916</v>
      </c>
      <c r="PQ6" s="610">
        <f t="shared" ca="1" si="700"/>
        <v>41917</v>
      </c>
      <c r="PR6" s="610">
        <f t="shared" ca="1" si="700"/>
        <v>41918</v>
      </c>
      <c r="PS6" s="610">
        <f t="shared" ca="1" si="700"/>
        <v>41919</v>
      </c>
      <c r="PT6" s="610">
        <f t="shared" ca="1" si="700"/>
        <v>41920</v>
      </c>
      <c r="PU6" s="610">
        <f t="shared" ca="1" si="700"/>
        <v>41921</v>
      </c>
      <c r="PV6" s="610">
        <f t="shared" ca="1" si="700"/>
        <v>41922</v>
      </c>
      <c r="PW6" s="610">
        <f t="shared" ca="1" si="700"/>
        <v>41923</v>
      </c>
      <c r="PX6" s="610">
        <f t="shared" ca="1" si="700"/>
        <v>41924</v>
      </c>
      <c r="PY6" s="610">
        <f t="shared" ca="1" si="700"/>
        <v>41925</v>
      </c>
      <c r="PZ6" s="610">
        <f t="shared" ca="1" si="700"/>
        <v>41926</v>
      </c>
      <c r="QA6" s="610">
        <f t="shared" ca="1" si="700"/>
        <v>41927</v>
      </c>
      <c r="QB6" s="610">
        <f t="shared" ca="1" si="700"/>
        <v>41928</v>
      </c>
      <c r="QC6" s="610">
        <f t="shared" ca="1" si="700"/>
        <v>41929</v>
      </c>
      <c r="QD6" s="610">
        <f t="shared" ca="1" si="700"/>
        <v>41930</v>
      </c>
      <c r="QE6" s="610">
        <f t="shared" ca="1" si="700"/>
        <v>41931</v>
      </c>
      <c r="QF6" s="610">
        <f t="shared" ca="1" si="700"/>
        <v>41932</v>
      </c>
      <c r="QG6" s="610">
        <f t="shared" ca="1" si="700"/>
        <v>41933</v>
      </c>
      <c r="QH6" s="610">
        <f t="shared" ca="1" si="700"/>
        <v>41934</v>
      </c>
      <c r="QI6" s="610">
        <f t="shared" ca="1" si="700"/>
        <v>41935</v>
      </c>
      <c r="QJ6" s="610">
        <f t="shared" ca="1" si="700"/>
        <v>41936</v>
      </c>
      <c r="QK6" s="610">
        <f t="shared" ca="1" si="700"/>
        <v>41937</v>
      </c>
      <c r="QL6" s="610">
        <f t="shared" ca="1" si="700"/>
        <v>41938</v>
      </c>
      <c r="QM6" s="610">
        <f t="shared" ca="1" si="700"/>
        <v>41939</v>
      </c>
      <c r="QN6" s="610">
        <f t="shared" ca="1" si="700"/>
        <v>41940</v>
      </c>
      <c r="QO6" s="610">
        <f t="shared" ca="1" si="700"/>
        <v>41941</v>
      </c>
      <c r="QP6" s="610">
        <f t="shared" ca="1" si="700"/>
        <v>41942</v>
      </c>
      <c r="QQ6" s="610">
        <f t="shared" ca="1" si="700"/>
        <v>41943</v>
      </c>
      <c r="QR6" s="610">
        <f t="shared" ref="QR6:TC6" ca="1" si="701">QQ$6+1</f>
        <v>41944</v>
      </c>
      <c r="QS6" s="610">
        <f t="shared" ca="1" si="701"/>
        <v>41945</v>
      </c>
      <c r="QT6" s="610">
        <f t="shared" ca="1" si="701"/>
        <v>41946</v>
      </c>
      <c r="QU6" s="610">
        <f t="shared" ca="1" si="701"/>
        <v>41947</v>
      </c>
      <c r="QV6" s="610">
        <f t="shared" ca="1" si="701"/>
        <v>41948</v>
      </c>
      <c r="QW6" s="610">
        <f t="shared" ca="1" si="701"/>
        <v>41949</v>
      </c>
      <c r="QX6" s="610">
        <f t="shared" ca="1" si="701"/>
        <v>41950</v>
      </c>
      <c r="QY6" s="610">
        <f t="shared" ca="1" si="701"/>
        <v>41951</v>
      </c>
      <c r="QZ6" s="610">
        <f t="shared" ca="1" si="701"/>
        <v>41952</v>
      </c>
      <c r="RA6" s="610">
        <f t="shared" ca="1" si="701"/>
        <v>41953</v>
      </c>
      <c r="RB6" s="610">
        <f t="shared" ca="1" si="701"/>
        <v>41954</v>
      </c>
      <c r="RC6" s="610">
        <f t="shared" ca="1" si="701"/>
        <v>41955</v>
      </c>
      <c r="RD6" s="610">
        <f t="shared" ca="1" si="701"/>
        <v>41956</v>
      </c>
      <c r="RE6" s="610">
        <f t="shared" ca="1" si="701"/>
        <v>41957</v>
      </c>
      <c r="RF6" s="610">
        <f t="shared" ca="1" si="701"/>
        <v>41958</v>
      </c>
      <c r="RG6" s="610">
        <f t="shared" ca="1" si="701"/>
        <v>41959</v>
      </c>
      <c r="RH6" s="610">
        <f t="shared" ca="1" si="701"/>
        <v>41960</v>
      </c>
      <c r="RI6" s="610">
        <f t="shared" ca="1" si="701"/>
        <v>41961</v>
      </c>
      <c r="RJ6" s="610">
        <f t="shared" ca="1" si="701"/>
        <v>41962</v>
      </c>
      <c r="RK6" s="610">
        <f t="shared" ca="1" si="701"/>
        <v>41963</v>
      </c>
      <c r="RL6" s="610">
        <f t="shared" ca="1" si="701"/>
        <v>41964</v>
      </c>
      <c r="RM6" s="610">
        <f t="shared" ca="1" si="701"/>
        <v>41965</v>
      </c>
      <c r="RN6" s="610">
        <f t="shared" ca="1" si="701"/>
        <v>41966</v>
      </c>
      <c r="RO6" s="610">
        <f t="shared" ca="1" si="701"/>
        <v>41967</v>
      </c>
      <c r="RP6" s="610">
        <f t="shared" ca="1" si="701"/>
        <v>41968</v>
      </c>
      <c r="RQ6" s="610">
        <f t="shared" ca="1" si="701"/>
        <v>41969</v>
      </c>
      <c r="RR6" s="610">
        <f t="shared" ca="1" si="701"/>
        <v>41970</v>
      </c>
      <c r="RS6" s="610">
        <f t="shared" ca="1" si="701"/>
        <v>41971</v>
      </c>
      <c r="RT6" s="610">
        <f t="shared" ca="1" si="701"/>
        <v>41972</v>
      </c>
      <c r="RU6" s="610">
        <f t="shared" ca="1" si="701"/>
        <v>41973</v>
      </c>
      <c r="RV6" s="610">
        <f t="shared" ca="1" si="701"/>
        <v>41974</v>
      </c>
      <c r="RW6" s="610">
        <f t="shared" ca="1" si="701"/>
        <v>41975</v>
      </c>
      <c r="RX6" s="610">
        <f t="shared" ca="1" si="701"/>
        <v>41976</v>
      </c>
      <c r="RY6" s="610">
        <f t="shared" ca="1" si="701"/>
        <v>41977</v>
      </c>
      <c r="RZ6" s="610">
        <f t="shared" ca="1" si="701"/>
        <v>41978</v>
      </c>
      <c r="SA6" s="610">
        <f t="shared" ca="1" si="701"/>
        <v>41979</v>
      </c>
      <c r="SB6" s="610">
        <f t="shared" ca="1" si="701"/>
        <v>41980</v>
      </c>
      <c r="SC6" s="610">
        <f t="shared" ca="1" si="701"/>
        <v>41981</v>
      </c>
      <c r="SD6" s="610">
        <f t="shared" ca="1" si="701"/>
        <v>41982</v>
      </c>
      <c r="SE6" s="610">
        <f t="shared" ca="1" si="701"/>
        <v>41983</v>
      </c>
      <c r="SF6" s="610">
        <f t="shared" ca="1" si="701"/>
        <v>41984</v>
      </c>
      <c r="SG6" s="610">
        <f t="shared" ca="1" si="701"/>
        <v>41985</v>
      </c>
      <c r="SH6" s="610">
        <f t="shared" ca="1" si="701"/>
        <v>41986</v>
      </c>
      <c r="SI6" s="610">
        <f t="shared" ca="1" si="701"/>
        <v>41987</v>
      </c>
      <c r="SJ6" s="610">
        <f t="shared" ca="1" si="701"/>
        <v>41988</v>
      </c>
      <c r="SK6" s="610">
        <f t="shared" ca="1" si="701"/>
        <v>41989</v>
      </c>
      <c r="SL6" s="610">
        <f t="shared" ca="1" si="701"/>
        <v>41990</v>
      </c>
      <c r="SM6" s="610">
        <f t="shared" ca="1" si="701"/>
        <v>41991</v>
      </c>
      <c r="SN6" s="610">
        <f t="shared" ca="1" si="701"/>
        <v>41992</v>
      </c>
      <c r="SO6" s="610">
        <f t="shared" ca="1" si="701"/>
        <v>41993</v>
      </c>
      <c r="SP6" s="610">
        <f t="shared" ca="1" si="701"/>
        <v>41994</v>
      </c>
      <c r="SQ6" s="610">
        <f t="shared" ca="1" si="701"/>
        <v>41995</v>
      </c>
      <c r="SR6" s="610">
        <f t="shared" ca="1" si="701"/>
        <v>41996</v>
      </c>
      <c r="SS6" s="610">
        <f t="shared" ca="1" si="701"/>
        <v>41997</v>
      </c>
      <c r="ST6" s="610">
        <f t="shared" ca="1" si="701"/>
        <v>41998</v>
      </c>
      <c r="SU6" s="610">
        <f t="shared" ca="1" si="701"/>
        <v>41999</v>
      </c>
      <c r="SV6" s="610">
        <f t="shared" ca="1" si="701"/>
        <v>42000</v>
      </c>
      <c r="SW6" s="610">
        <f t="shared" ca="1" si="701"/>
        <v>42001</v>
      </c>
      <c r="SX6" s="610">
        <f t="shared" ca="1" si="701"/>
        <v>42002</v>
      </c>
      <c r="SY6" s="610">
        <f t="shared" ca="1" si="701"/>
        <v>42003</v>
      </c>
      <c r="SZ6" s="610">
        <f t="shared" ca="1" si="701"/>
        <v>42004</v>
      </c>
      <c r="TA6" s="610">
        <f t="shared" ca="1" si="701"/>
        <v>42005</v>
      </c>
      <c r="TB6" s="610">
        <f t="shared" ca="1" si="701"/>
        <v>42006</v>
      </c>
      <c r="TC6" s="610">
        <f t="shared" ca="1" si="701"/>
        <v>42007</v>
      </c>
      <c r="TD6" s="610">
        <f t="shared" ref="TD6:VO6" ca="1" si="702">TC$6+1</f>
        <v>42008</v>
      </c>
      <c r="TE6" s="610">
        <f t="shared" ca="1" si="702"/>
        <v>42009</v>
      </c>
      <c r="TF6" s="610">
        <f t="shared" ca="1" si="702"/>
        <v>42010</v>
      </c>
      <c r="TG6" s="610">
        <f t="shared" ca="1" si="702"/>
        <v>42011</v>
      </c>
      <c r="TH6" s="610">
        <f t="shared" ca="1" si="702"/>
        <v>42012</v>
      </c>
      <c r="TI6" s="610">
        <f t="shared" ca="1" si="702"/>
        <v>42013</v>
      </c>
      <c r="TJ6" s="610">
        <f t="shared" ca="1" si="702"/>
        <v>42014</v>
      </c>
      <c r="TK6" s="610">
        <f t="shared" ca="1" si="702"/>
        <v>42015</v>
      </c>
      <c r="TL6" s="610">
        <f t="shared" ca="1" si="702"/>
        <v>42016</v>
      </c>
      <c r="TM6" s="610">
        <f t="shared" ca="1" si="702"/>
        <v>42017</v>
      </c>
      <c r="TN6" s="610">
        <f t="shared" ca="1" si="702"/>
        <v>42018</v>
      </c>
      <c r="TO6" s="610">
        <f t="shared" ca="1" si="702"/>
        <v>42019</v>
      </c>
      <c r="TP6" s="610">
        <f t="shared" ca="1" si="702"/>
        <v>42020</v>
      </c>
      <c r="TQ6" s="610">
        <f t="shared" ca="1" si="702"/>
        <v>42021</v>
      </c>
      <c r="TR6" s="610">
        <f t="shared" ca="1" si="702"/>
        <v>42022</v>
      </c>
      <c r="TS6" s="610">
        <f t="shared" ca="1" si="702"/>
        <v>42023</v>
      </c>
      <c r="TT6" s="610">
        <f t="shared" ca="1" si="702"/>
        <v>42024</v>
      </c>
      <c r="TU6" s="610">
        <f t="shared" ca="1" si="702"/>
        <v>42025</v>
      </c>
      <c r="TV6" s="610">
        <f t="shared" ca="1" si="702"/>
        <v>42026</v>
      </c>
      <c r="TW6" s="610">
        <f t="shared" ca="1" si="702"/>
        <v>42027</v>
      </c>
      <c r="TX6" s="610">
        <f t="shared" ca="1" si="702"/>
        <v>42028</v>
      </c>
      <c r="TY6" s="610">
        <f t="shared" ca="1" si="702"/>
        <v>42029</v>
      </c>
      <c r="TZ6" s="610">
        <f t="shared" ca="1" si="702"/>
        <v>42030</v>
      </c>
      <c r="UA6" s="610">
        <f t="shared" ca="1" si="702"/>
        <v>42031</v>
      </c>
      <c r="UB6" s="610">
        <f t="shared" ca="1" si="702"/>
        <v>42032</v>
      </c>
      <c r="UC6" s="610">
        <f t="shared" ca="1" si="702"/>
        <v>42033</v>
      </c>
      <c r="UD6" s="610">
        <f t="shared" ca="1" si="702"/>
        <v>42034</v>
      </c>
      <c r="UE6" s="610">
        <f t="shared" ca="1" si="702"/>
        <v>42035</v>
      </c>
      <c r="UF6" s="610">
        <f t="shared" ca="1" si="702"/>
        <v>42036</v>
      </c>
      <c r="UG6" s="610">
        <f t="shared" ca="1" si="702"/>
        <v>42037</v>
      </c>
      <c r="UH6" s="610">
        <f t="shared" ca="1" si="702"/>
        <v>42038</v>
      </c>
      <c r="UI6" s="610">
        <f t="shared" ca="1" si="702"/>
        <v>42039</v>
      </c>
      <c r="UJ6" s="610">
        <f t="shared" ca="1" si="702"/>
        <v>42040</v>
      </c>
      <c r="UK6" s="610">
        <f t="shared" ca="1" si="702"/>
        <v>42041</v>
      </c>
      <c r="UL6" s="610">
        <f t="shared" ca="1" si="702"/>
        <v>42042</v>
      </c>
      <c r="UM6" s="610">
        <f t="shared" ca="1" si="702"/>
        <v>42043</v>
      </c>
      <c r="UN6" s="610">
        <f t="shared" ca="1" si="702"/>
        <v>42044</v>
      </c>
      <c r="UO6" s="610">
        <f t="shared" ca="1" si="702"/>
        <v>42045</v>
      </c>
      <c r="UP6" s="610">
        <f t="shared" ca="1" si="702"/>
        <v>42046</v>
      </c>
      <c r="UQ6" s="610">
        <f t="shared" ca="1" si="702"/>
        <v>42047</v>
      </c>
      <c r="UR6" s="610">
        <f t="shared" ca="1" si="702"/>
        <v>42048</v>
      </c>
      <c r="US6" s="610">
        <f t="shared" ca="1" si="702"/>
        <v>42049</v>
      </c>
      <c r="UT6" s="610">
        <f t="shared" ca="1" si="702"/>
        <v>42050</v>
      </c>
      <c r="UU6" s="610">
        <f t="shared" ca="1" si="702"/>
        <v>42051</v>
      </c>
      <c r="UV6" s="610">
        <f t="shared" ca="1" si="702"/>
        <v>42052</v>
      </c>
      <c r="UW6" s="610">
        <f t="shared" ca="1" si="702"/>
        <v>42053</v>
      </c>
      <c r="UX6" s="610">
        <f t="shared" ca="1" si="702"/>
        <v>42054</v>
      </c>
      <c r="UY6" s="610">
        <f t="shared" ca="1" si="702"/>
        <v>42055</v>
      </c>
      <c r="UZ6" s="610">
        <f t="shared" ca="1" si="702"/>
        <v>42056</v>
      </c>
      <c r="VA6" s="610">
        <f t="shared" ca="1" si="702"/>
        <v>42057</v>
      </c>
      <c r="VB6" s="610">
        <f t="shared" ca="1" si="702"/>
        <v>42058</v>
      </c>
      <c r="VC6" s="610">
        <f t="shared" ca="1" si="702"/>
        <v>42059</v>
      </c>
      <c r="VD6" s="610">
        <f t="shared" ca="1" si="702"/>
        <v>42060</v>
      </c>
      <c r="VE6" s="610">
        <f t="shared" ca="1" si="702"/>
        <v>42061</v>
      </c>
      <c r="VF6" s="610">
        <f t="shared" ca="1" si="702"/>
        <v>42062</v>
      </c>
      <c r="VG6" s="610">
        <f t="shared" ca="1" si="702"/>
        <v>42063</v>
      </c>
      <c r="VH6" s="610">
        <f t="shared" ca="1" si="702"/>
        <v>42064</v>
      </c>
      <c r="VI6" s="610">
        <f t="shared" ca="1" si="702"/>
        <v>42065</v>
      </c>
      <c r="VJ6" s="610">
        <f t="shared" ca="1" si="702"/>
        <v>42066</v>
      </c>
      <c r="VK6" s="610">
        <f t="shared" ca="1" si="702"/>
        <v>42067</v>
      </c>
      <c r="VL6" s="610">
        <f t="shared" ca="1" si="702"/>
        <v>42068</v>
      </c>
      <c r="VM6" s="610">
        <f t="shared" ca="1" si="702"/>
        <v>42069</v>
      </c>
      <c r="VN6" s="610">
        <f t="shared" ca="1" si="702"/>
        <v>42070</v>
      </c>
      <c r="VO6" s="610">
        <f t="shared" ca="1" si="702"/>
        <v>42071</v>
      </c>
      <c r="VP6" s="610">
        <f t="shared" ref="VP6:YA6" ca="1" si="703">VO$6+1</f>
        <v>42072</v>
      </c>
      <c r="VQ6" s="610">
        <f t="shared" ca="1" si="703"/>
        <v>42073</v>
      </c>
      <c r="VR6" s="610">
        <f t="shared" ca="1" si="703"/>
        <v>42074</v>
      </c>
      <c r="VS6" s="610">
        <f t="shared" ca="1" si="703"/>
        <v>42075</v>
      </c>
      <c r="VT6" s="610">
        <f t="shared" ca="1" si="703"/>
        <v>42076</v>
      </c>
      <c r="VU6" s="610">
        <f t="shared" ca="1" si="703"/>
        <v>42077</v>
      </c>
      <c r="VV6" s="610">
        <f t="shared" ca="1" si="703"/>
        <v>42078</v>
      </c>
      <c r="VW6" s="610">
        <f t="shared" ca="1" si="703"/>
        <v>42079</v>
      </c>
      <c r="VX6" s="610">
        <f t="shared" ca="1" si="703"/>
        <v>42080</v>
      </c>
      <c r="VY6" s="610">
        <f t="shared" ca="1" si="703"/>
        <v>42081</v>
      </c>
      <c r="VZ6" s="610">
        <f t="shared" ca="1" si="703"/>
        <v>42082</v>
      </c>
      <c r="WA6" s="610">
        <f t="shared" ca="1" si="703"/>
        <v>42083</v>
      </c>
      <c r="WB6" s="610">
        <f t="shared" ca="1" si="703"/>
        <v>42084</v>
      </c>
      <c r="WC6" s="610">
        <f t="shared" ca="1" si="703"/>
        <v>42085</v>
      </c>
      <c r="WD6" s="610">
        <f t="shared" ca="1" si="703"/>
        <v>42086</v>
      </c>
      <c r="WE6" s="610">
        <f t="shared" ca="1" si="703"/>
        <v>42087</v>
      </c>
      <c r="WF6" s="610">
        <f t="shared" ca="1" si="703"/>
        <v>42088</v>
      </c>
      <c r="WG6" s="610">
        <f t="shared" ca="1" si="703"/>
        <v>42089</v>
      </c>
      <c r="WH6" s="610">
        <f t="shared" ca="1" si="703"/>
        <v>42090</v>
      </c>
      <c r="WI6" s="610">
        <f t="shared" ca="1" si="703"/>
        <v>42091</v>
      </c>
      <c r="WJ6" s="610">
        <f t="shared" ca="1" si="703"/>
        <v>42092</v>
      </c>
      <c r="WK6" s="610">
        <f t="shared" ca="1" si="703"/>
        <v>42093</v>
      </c>
      <c r="WL6" s="610">
        <f t="shared" ca="1" si="703"/>
        <v>42094</v>
      </c>
      <c r="WM6" s="610">
        <f t="shared" ca="1" si="703"/>
        <v>42095</v>
      </c>
      <c r="WN6" s="610">
        <f t="shared" ca="1" si="703"/>
        <v>42096</v>
      </c>
      <c r="WO6" s="610">
        <f t="shared" ca="1" si="703"/>
        <v>42097</v>
      </c>
      <c r="WP6" s="610">
        <f t="shared" ca="1" si="703"/>
        <v>42098</v>
      </c>
      <c r="WQ6" s="610">
        <f t="shared" ca="1" si="703"/>
        <v>42099</v>
      </c>
      <c r="WR6" s="610">
        <f t="shared" ca="1" si="703"/>
        <v>42100</v>
      </c>
      <c r="WS6" s="610">
        <f t="shared" ca="1" si="703"/>
        <v>42101</v>
      </c>
      <c r="WT6" s="610">
        <f t="shared" ca="1" si="703"/>
        <v>42102</v>
      </c>
      <c r="WU6" s="610">
        <f t="shared" ca="1" si="703"/>
        <v>42103</v>
      </c>
      <c r="WV6" s="610">
        <f t="shared" ca="1" si="703"/>
        <v>42104</v>
      </c>
      <c r="WW6" s="610">
        <f t="shared" ca="1" si="703"/>
        <v>42105</v>
      </c>
      <c r="WX6" s="610">
        <f t="shared" ca="1" si="703"/>
        <v>42106</v>
      </c>
      <c r="WY6" s="610">
        <f t="shared" ca="1" si="703"/>
        <v>42107</v>
      </c>
      <c r="WZ6" s="610">
        <f t="shared" ca="1" si="703"/>
        <v>42108</v>
      </c>
      <c r="XA6" s="610">
        <f t="shared" ca="1" si="703"/>
        <v>42109</v>
      </c>
      <c r="XB6" s="610">
        <f t="shared" ca="1" si="703"/>
        <v>42110</v>
      </c>
      <c r="XC6" s="610">
        <f t="shared" ca="1" si="703"/>
        <v>42111</v>
      </c>
      <c r="XD6" s="610">
        <f t="shared" ca="1" si="703"/>
        <v>42112</v>
      </c>
      <c r="XE6" s="610">
        <f t="shared" ca="1" si="703"/>
        <v>42113</v>
      </c>
      <c r="XF6" s="610">
        <f t="shared" ca="1" si="703"/>
        <v>42114</v>
      </c>
      <c r="XG6" s="610">
        <f t="shared" ca="1" si="703"/>
        <v>42115</v>
      </c>
      <c r="XH6" s="610">
        <f t="shared" ca="1" si="703"/>
        <v>42116</v>
      </c>
      <c r="XI6" s="610">
        <f t="shared" ca="1" si="703"/>
        <v>42117</v>
      </c>
      <c r="XJ6" s="610">
        <f t="shared" ca="1" si="703"/>
        <v>42118</v>
      </c>
      <c r="XK6" s="610">
        <f t="shared" ca="1" si="703"/>
        <v>42119</v>
      </c>
      <c r="XL6" s="610">
        <f t="shared" ca="1" si="703"/>
        <v>42120</v>
      </c>
      <c r="XM6" s="610">
        <f t="shared" ca="1" si="703"/>
        <v>42121</v>
      </c>
      <c r="XN6" s="610">
        <f t="shared" ca="1" si="703"/>
        <v>42122</v>
      </c>
      <c r="XO6" s="610">
        <f t="shared" ca="1" si="703"/>
        <v>42123</v>
      </c>
      <c r="XP6" s="610">
        <f t="shared" ca="1" si="703"/>
        <v>42124</v>
      </c>
      <c r="XQ6" s="610">
        <f t="shared" ca="1" si="703"/>
        <v>42125</v>
      </c>
      <c r="XR6" s="610">
        <f t="shared" ca="1" si="703"/>
        <v>42126</v>
      </c>
      <c r="XS6" s="610">
        <f t="shared" ca="1" si="703"/>
        <v>42127</v>
      </c>
      <c r="XT6" s="610">
        <f t="shared" ca="1" si="703"/>
        <v>42128</v>
      </c>
      <c r="XU6" s="610">
        <f t="shared" ca="1" si="703"/>
        <v>42129</v>
      </c>
      <c r="XV6" s="610">
        <f t="shared" ca="1" si="703"/>
        <v>42130</v>
      </c>
      <c r="XW6" s="610">
        <f t="shared" ca="1" si="703"/>
        <v>42131</v>
      </c>
      <c r="XX6" s="610">
        <f t="shared" ca="1" si="703"/>
        <v>42132</v>
      </c>
      <c r="XY6" s="610">
        <f t="shared" ca="1" si="703"/>
        <v>42133</v>
      </c>
      <c r="XZ6" s="610">
        <f t="shared" ca="1" si="703"/>
        <v>42134</v>
      </c>
      <c r="YA6" s="610">
        <f t="shared" ca="1" si="703"/>
        <v>42135</v>
      </c>
      <c r="YB6" s="610">
        <f t="shared" ref="YB6:ZZ6" ca="1" si="704">YA$6+1</f>
        <v>42136</v>
      </c>
      <c r="YC6" s="610">
        <f t="shared" ca="1" si="704"/>
        <v>42137</v>
      </c>
      <c r="YD6" s="610">
        <f t="shared" ca="1" si="704"/>
        <v>42138</v>
      </c>
      <c r="YE6" s="610">
        <f t="shared" ca="1" si="704"/>
        <v>42139</v>
      </c>
      <c r="YF6" s="610">
        <f t="shared" ca="1" si="704"/>
        <v>42140</v>
      </c>
      <c r="YG6" s="610">
        <f t="shared" ca="1" si="704"/>
        <v>42141</v>
      </c>
      <c r="YH6" s="610">
        <f t="shared" ca="1" si="704"/>
        <v>42142</v>
      </c>
      <c r="YI6" s="610">
        <f t="shared" ca="1" si="704"/>
        <v>42143</v>
      </c>
      <c r="YJ6" s="610">
        <f t="shared" ca="1" si="704"/>
        <v>42144</v>
      </c>
      <c r="YK6" s="610">
        <f t="shared" ca="1" si="704"/>
        <v>42145</v>
      </c>
      <c r="YL6" s="610">
        <f t="shared" ca="1" si="704"/>
        <v>42146</v>
      </c>
      <c r="YM6" s="610">
        <f t="shared" ca="1" si="704"/>
        <v>42147</v>
      </c>
      <c r="YN6" s="610">
        <f t="shared" ca="1" si="704"/>
        <v>42148</v>
      </c>
      <c r="YO6" s="610">
        <f t="shared" ca="1" si="704"/>
        <v>42149</v>
      </c>
      <c r="YP6" s="610">
        <f t="shared" ca="1" si="704"/>
        <v>42150</v>
      </c>
      <c r="YQ6" s="610">
        <f t="shared" ca="1" si="704"/>
        <v>42151</v>
      </c>
      <c r="YR6" s="610">
        <f t="shared" ca="1" si="704"/>
        <v>42152</v>
      </c>
      <c r="YS6" s="610">
        <f t="shared" ca="1" si="704"/>
        <v>42153</v>
      </c>
      <c r="YT6" s="610">
        <f t="shared" ca="1" si="704"/>
        <v>42154</v>
      </c>
      <c r="YU6" s="610">
        <f t="shared" ca="1" si="704"/>
        <v>42155</v>
      </c>
      <c r="YV6" s="610">
        <f t="shared" ca="1" si="704"/>
        <v>42156</v>
      </c>
      <c r="YW6" s="610">
        <f t="shared" ca="1" si="704"/>
        <v>42157</v>
      </c>
      <c r="YX6" s="610">
        <f t="shared" ca="1" si="704"/>
        <v>42158</v>
      </c>
      <c r="YY6" s="610">
        <f t="shared" ca="1" si="704"/>
        <v>42159</v>
      </c>
      <c r="YZ6" s="610">
        <f t="shared" ca="1" si="704"/>
        <v>42160</v>
      </c>
      <c r="ZA6" s="610">
        <f t="shared" ca="1" si="704"/>
        <v>42161</v>
      </c>
      <c r="ZB6" s="610">
        <f t="shared" ca="1" si="704"/>
        <v>42162</v>
      </c>
      <c r="ZC6" s="610">
        <f t="shared" ca="1" si="704"/>
        <v>42163</v>
      </c>
      <c r="ZD6" s="610">
        <f t="shared" ca="1" si="704"/>
        <v>42164</v>
      </c>
      <c r="ZE6" s="610">
        <f t="shared" ca="1" si="704"/>
        <v>42165</v>
      </c>
      <c r="ZF6" s="610">
        <f t="shared" ca="1" si="704"/>
        <v>42166</v>
      </c>
      <c r="ZG6" s="610">
        <f t="shared" ca="1" si="704"/>
        <v>42167</v>
      </c>
      <c r="ZH6" s="610">
        <f t="shared" ca="1" si="704"/>
        <v>42168</v>
      </c>
      <c r="ZI6" s="610">
        <f t="shared" ca="1" si="704"/>
        <v>42169</v>
      </c>
      <c r="ZJ6" s="610">
        <f t="shared" ca="1" si="704"/>
        <v>42170</v>
      </c>
      <c r="ZK6" s="610">
        <f t="shared" ca="1" si="704"/>
        <v>42171</v>
      </c>
      <c r="ZL6" s="610">
        <f t="shared" ca="1" si="704"/>
        <v>42172</v>
      </c>
      <c r="ZM6" s="610">
        <f t="shared" ca="1" si="704"/>
        <v>42173</v>
      </c>
      <c r="ZN6" s="610">
        <f t="shared" ca="1" si="704"/>
        <v>42174</v>
      </c>
      <c r="ZO6" s="610">
        <f t="shared" ca="1" si="704"/>
        <v>42175</v>
      </c>
      <c r="ZP6" s="610">
        <f t="shared" ca="1" si="704"/>
        <v>42176</v>
      </c>
      <c r="ZQ6" s="610">
        <f t="shared" ca="1" si="704"/>
        <v>42177</v>
      </c>
      <c r="ZR6" s="610">
        <f t="shared" ca="1" si="704"/>
        <v>42178</v>
      </c>
      <c r="ZS6" s="610">
        <f t="shared" ca="1" si="704"/>
        <v>42179</v>
      </c>
      <c r="ZT6" s="610">
        <f t="shared" ca="1" si="704"/>
        <v>42180</v>
      </c>
      <c r="ZU6" s="610">
        <f t="shared" ca="1" si="704"/>
        <v>42181</v>
      </c>
      <c r="ZV6" s="610">
        <f t="shared" ca="1" si="704"/>
        <v>42182</v>
      </c>
      <c r="ZW6" s="610">
        <f t="shared" ca="1" si="704"/>
        <v>42183</v>
      </c>
      <c r="ZX6" s="610">
        <f t="shared" ca="1" si="704"/>
        <v>42184</v>
      </c>
      <c r="ZY6" s="610">
        <f t="shared" ca="1" si="704"/>
        <v>42185</v>
      </c>
      <c r="ZZ6" s="610">
        <f t="shared" ca="1" si="704"/>
        <v>42186</v>
      </c>
      <c r="AAA6" s="588"/>
      <c r="AAB6"/>
      <c r="AAC6"/>
      <c r="AAD6" s="112"/>
      <c r="AAE6" s="551" t="s">
        <v>245</v>
      </c>
      <c r="AAF6" s="583" t="s">
        <v>174</v>
      </c>
      <c r="AAG6" s="78">
        <f ca="1">WORKDAY(TODAY()-1,1,S.DDL_DEQClosed)</f>
        <v>41494</v>
      </c>
      <c r="AAH6" s="78">
        <f>S.BANNER.PostEQCEnd</f>
        <v>41778</v>
      </c>
      <c r="AAI6" s="77"/>
      <c r="AAJ6" s="98">
        <v>1</v>
      </c>
      <c r="AAK6" s="579">
        <f>IF(S.RuleType=2,14,28)</f>
        <v>28</v>
      </c>
      <c r="AAL6" s="76"/>
      <c r="AAM6" s="112"/>
      <c r="AAU6" s="44"/>
      <c r="ABK6" s="744"/>
      <c r="ABL6" s="744"/>
      <c r="ABM6" s="744"/>
      <c r="ABN6" s="744"/>
      <c r="ABO6" s="744"/>
      <c r="ABP6" s="744"/>
      <c r="ABQ6" s="744"/>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174</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174</v>
      </c>
      <c r="AAG8" s="76"/>
      <c r="AAH8" s="76"/>
      <c r="AAI8" s="76"/>
      <c r="AAJ8" s="508"/>
      <c r="AAK8" s="575"/>
      <c r="AAL8" s="40" t="s">
        <v>244</v>
      </c>
      <c r="AAM8" s="112"/>
      <c r="AAU8" s="44"/>
    </row>
    <row r="9" spans="1:745" ht="21" customHeight="1">
      <c r="A9" s="558"/>
      <c r="B9" s="120" t="s">
        <v>249</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174</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174</v>
      </c>
      <c r="AAG10" s="112"/>
      <c r="AAH10" s="77"/>
      <c r="AAI10" s="77"/>
      <c r="AAJ10" s="113"/>
      <c r="AAK10" s="576"/>
      <c r="AAL10" s="39"/>
      <c r="AAM10" s="112"/>
      <c r="AAT10" s="335" t="s">
        <v>0</v>
      </c>
    </row>
    <row r="11" spans="1:745" s="23" customFormat="1" ht="16.5" customHeight="1">
      <c r="A11" s="599"/>
      <c r="B11" s="538" t="s">
        <v>282</v>
      </c>
      <c r="C11" s="690"/>
      <c r="D11" s="538"/>
      <c r="E11" s="539"/>
      <c r="F11" s="321">
        <f ca="1">NETWORKDAYS(TODAY(),H11,S.DDL_DEQClosed)</f>
        <v>153</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VLOOKUP(WORKDAY(S.BANNER.OverviewStart,AAK37,S.DDL_DEQClosed),VL_EQCActivities,5,TRUE)</f>
        <v>41563</v>
      </c>
      <c r="AAI11" s="65"/>
      <c r="AAJ11" s="77"/>
      <c r="AAK11" s="65"/>
      <c r="AAL11" s="77"/>
      <c r="AAM11" s="112"/>
      <c r="AAO11" s="108" t="s">
        <v>222</v>
      </c>
      <c r="AAP11" s="336">
        <f t="shared" ref="AAP11:AAS11" si="705">AAP20/30</f>
        <v>5.4666666666666668</v>
      </c>
      <c r="AAQ11" s="336">
        <f t="shared" si="705"/>
        <v>4.9000000000000004</v>
      </c>
      <c r="AAR11" s="336">
        <f t="shared" si="705"/>
        <v>4.333333333333333</v>
      </c>
      <c r="AAS11" s="336">
        <f t="shared" si="705"/>
        <v>3.7666666666666666</v>
      </c>
      <c r="AAX11" s="23" t="s">
        <v>238</v>
      </c>
      <c r="AAY11" s="23" t="s">
        <v>238</v>
      </c>
      <c r="AAZ11" s="23" t="s">
        <v>238</v>
      </c>
      <c r="ABA11" s="23" t="s">
        <v>238</v>
      </c>
      <c r="ABB11" s="23" t="s">
        <v>0</v>
      </c>
    </row>
    <row r="12" spans="1:745" s="23" customFormat="1" ht="16.5" customHeight="1">
      <c r="A12" s="599"/>
      <c r="B12" s="773" t="str">
        <f>AAL12</f>
        <v>INVOLVED before Rulemaking Action Item</v>
      </c>
      <c r="C12" s="773"/>
      <c r="D12" s="773"/>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174</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232</v>
      </c>
      <c r="AAQ12" s="106" t="s">
        <v>229</v>
      </c>
      <c r="AAR12" s="106" t="s">
        <v>230</v>
      </c>
      <c r="AAS12" s="106" t="s">
        <v>231</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35" t="s">
        <v>221</v>
      </c>
      <c r="C13" s="736"/>
      <c r="D13" s="755" t="str">
        <f>AAI13</f>
        <v/>
      </c>
      <c r="E13" s="755"/>
      <c r="F13" s="737">
        <f t="shared" ref="F13:F15" ca="1" si="706">NETWORKDAYS(TODAY(),H13,S.DDL_DEQClosed)</f>
        <v>87</v>
      </c>
      <c r="G13" s="738">
        <f>AAG13</f>
        <v>41619</v>
      </c>
      <c r="H13" s="73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233</v>
      </c>
      <c r="AAP13" s="107">
        <f>IF(S.RuleType=1,28,21)</f>
        <v>28</v>
      </c>
      <c r="AAQ13" s="107">
        <f>IF(S.RuleType=1,21,14)</f>
        <v>21</v>
      </c>
      <c r="AAR13" s="107">
        <f>IF(S.RuleType=1,14,7)</f>
        <v>14</v>
      </c>
      <c r="AAS13" s="107">
        <f>IF(S.RuleType=1,7,0)</f>
        <v>7</v>
      </c>
      <c r="AAU13" s="510" t="s">
        <v>22</v>
      </c>
      <c r="AAV13" s="512" t="s">
        <v>237</v>
      </c>
      <c r="AAW13" s="510"/>
      <c r="AAX13" s="510" t="s">
        <v>1</v>
      </c>
      <c r="AAY13" s="511" t="s">
        <v>235</v>
      </c>
      <c r="AAZ13" s="512" t="s">
        <v>234</v>
      </c>
      <c r="ABA13" s="514" t="s">
        <v>227</v>
      </c>
      <c r="ABB13" s="510" t="s">
        <v>135</v>
      </c>
      <c r="ABC13" s="506" t="s">
        <v>239</v>
      </c>
      <c r="ABD13" s="506" t="s">
        <v>260</v>
      </c>
    </row>
    <row r="14" spans="1:745" s="23" customFormat="1" ht="16.7" customHeight="1">
      <c r="A14" s="599"/>
      <c r="B14" s="126" t="s">
        <v>218</v>
      </c>
      <c r="C14" s="691"/>
      <c r="D14" s="756" t="str">
        <f t="shared" ref="D14:D15" si="707">AAI14</f>
        <v/>
      </c>
      <c r="E14" s="756"/>
      <c r="F14" s="321">
        <f t="shared" ca="1" si="706"/>
        <v>49</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223</v>
      </c>
      <c r="AAP14" s="107">
        <f>IF(S.InvolveSIP=TRUE,25,0)</f>
        <v>25</v>
      </c>
      <c r="AAQ14" s="107">
        <f>IF(S.InvolveSIP=TRUE,20,0)</f>
        <v>20</v>
      </c>
      <c r="AAR14" s="107">
        <f>IF(S.InvolveSIP=TRUE,15,0)</f>
        <v>15</v>
      </c>
      <c r="AAS14" s="107">
        <f>IF(S.InvolveSIP=TRUE,10,0)</f>
        <v>10</v>
      </c>
      <c r="AAT14" s="23" t="s">
        <v>0</v>
      </c>
      <c r="AAU14" s="510"/>
      <c r="AAV14" s="512"/>
      <c r="AAW14" s="510" t="s">
        <v>224</v>
      </c>
      <c r="AAX14" s="510"/>
      <c r="AAY14" s="507"/>
      <c r="AAZ14" s="513"/>
      <c r="ABA14" s="514"/>
      <c r="ABB14" s="510"/>
      <c r="ABC14" s="507"/>
      <c r="ABD14" s="507"/>
    </row>
    <row r="15" spans="1:745" s="23" customFormat="1" ht="15.75" customHeight="1">
      <c r="A15" s="599"/>
      <c r="B15" s="128" t="str">
        <f>AAL15</f>
        <v>Facilitated Hearing</v>
      </c>
      <c r="C15" s="691"/>
      <c r="D15" s="756" t="str">
        <f t="shared" si="707"/>
        <v/>
      </c>
      <c r="E15" s="756"/>
      <c r="F15" s="321">
        <f t="shared" ca="1" si="706"/>
        <v>87</v>
      </c>
      <c r="G15" s="586">
        <f t="shared" si="708"/>
        <v>41619</v>
      </c>
      <c r="H15" s="586">
        <f t="shared" ref="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224</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232</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174</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74" t="str">
        <f>AAL17</f>
        <v>1-State Implementation Plan (AQ rules)</v>
      </c>
      <c r="C17" s="774"/>
      <c r="D17" s="517"/>
      <c r="E17" s="555">
        <f t="shared" ref="E17" si="711">NETWORKDAYS(G17,H17,S.DDL_DEQClosed)</f>
        <v>242</v>
      </c>
      <c r="F17" s="321">
        <f t="shared" ref="F17" ca="1" si="712">NETWORKDAYS(TODAY(),H17,S.DDL_DEQClosed)</f>
        <v>163</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225</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229</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174</v>
      </c>
      <c r="AAG18" s="112"/>
      <c r="AAH18" s="112"/>
      <c r="AAI18" s="211"/>
      <c r="AAJ18" s="523" t="s">
        <v>0</v>
      </c>
      <c r="AAK18" s="523"/>
      <c r="AAL18" s="114"/>
      <c r="AAM18" s="112"/>
      <c r="AAO18" s="110" t="s">
        <v>226</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230</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-86</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228</v>
      </c>
      <c r="AAP19" s="107">
        <v>45</v>
      </c>
      <c r="AAQ19" s="107">
        <v>45</v>
      </c>
      <c r="AAR19" s="107">
        <v>45</v>
      </c>
      <c r="AAS19" s="107">
        <v>45</v>
      </c>
      <c r="AAU19" s="101" t="s">
        <v>231</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174</v>
      </c>
      <c r="AAG20" s="84"/>
      <c r="AAH20" s="77"/>
      <c r="AAI20" s="211"/>
      <c r="AAJ20" s="81"/>
      <c r="AAK20" s="523"/>
      <c r="AAL20" s="85"/>
      <c r="AAM20" s="112"/>
      <c r="AAO20" s="753"/>
      <c r="AAP20" s="745">
        <f>SUM(AAP13:AAP19)</f>
        <v>164</v>
      </c>
      <c r="AAQ20" s="745">
        <f>SUM(AAQ13:AAQ19)</f>
        <v>147</v>
      </c>
      <c r="AAR20" s="745">
        <f>SUM(AAR13:AAR19)</f>
        <v>130</v>
      </c>
      <c r="AAS20" s="745">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112</v>
      </c>
      <c r="F21" s="543">
        <f t="shared" ref="F21" ca="1" si="717">NETWORKDAYS(TODAY(),H21,S.DDL_DEQClosed)</f>
        <v>27</v>
      </c>
      <c r="G21" s="522">
        <f>AAG21</f>
        <v>41369</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41533</v>
      </c>
      <c r="AAI21" s="334" t="b">
        <f>IF(AND(S.InvolveFee,AAJ22=1),TRUE,FALSE)</f>
        <v>0</v>
      </c>
      <c r="AAJ21" s="81" t="b">
        <v>0</v>
      </c>
      <c r="AAK21" s="523"/>
      <c r="AAL21" s="83" t="str">
        <f>IF(S.InvolveFee=TRUE,"3-Fees Involved","3-Fees Not Involved")</f>
        <v>3-Fees Not Involved</v>
      </c>
      <c r="AAM21" s="112"/>
      <c r="AAN21"/>
      <c r="AAO21" s="753"/>
      <c r="AAP21" s="745"/>
      <c r="AAQ21" s="745"/>
      <c r="AAR21" s="745"/>
      <c r="AAS21" s="745"/>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174</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174</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174</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72" t="str">
        <f t="shared" si="714"/>
        <v>4-Public Notice WITH hearing</v>
      </c>
      <c r="C25" s="772"/>
      <c r="D25" s="772"/>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174</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82" t="str">
        <f>AAL26</f>
        <v>EPA - submit 45 days BEFORE 1st hearing (H31)</v>
      </c>
      <c r="C26" s="783"/>
      <c r="D26" s="783"/>
      <c r="E26" s="518" t="s">
        <v>0</v>
      </c>
      <c r="F26" s="321">
        <f t="shared" ref="F26" ca="1" si="718">NETWORKDAYS(TODAY(),H26,S.DDL_DEQClosed)</f>
        <v>38</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47" t="str">
        <f>AAL27</f>
        <v>DAS - fees not involved</v>
      </c>
      <c r="C27" s="747"/>
      <c r="D27" s="747"/>
      <c r="E27" s="518" t="s">
        <v>0</v>
      </c>
      <c r="F27" s="321">
        <f t="shared" ref="F27" ca="1" si="719">NETWORKDAYS(TODAY(),H27,S.DDL_DEQClosed)</f>
        <v>-86</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47" t="str">
        <f t="shared" si="714"/>
        <v>SOS - submit on workday &lt;=15th of month BEFORE Bulletin (H29)</v>
      </c>
      <c r="C28" s="747"/>
      <c r="D28" s="747"/>
      <c r="E28" s="518"/>
      <c r="F28" s="321">
        <f ca="1">NETWORKDAYS(TODAY(),H28,S.DDL_DEQClosed)</f>
        <v>26</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747" t="s">
        <v>372</v>
      </c>
      <c r="C29" s="747"/>
      <c r="D29" s="747"/>
      <c r="E29" s="733"/>
      <c r="F29" s="321">
        <f ca="1">NETWORKDAYS(TODAY(),H29,S.DDL_DEQClosed)</f>
        <v>-29631</v>
      </c>
      <c r="G29" s="650">
        <f>S.SubmitNoticeToSOS</f>
        <v>41530</v>
      </c>
      <c r="H29" s="739"/>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D29" s="112"/>
      <c r="AAE29" s="551">
        <f>IF(S.InvolveNotice=TRUE,1,0)</f>
        <v>1</v>
      </c>
      <c r="AAF29" s="112" t="s">
        <v>0</v>
      </c>
      <c r="AAG29" s="65"/>
      <c r="AAH29" s="78">
        <f>VLOOKUP(S.PublicNoticeInBulletin,VL_Bulletin,2,FALSE)</f>
        <v>41530</v>
      </c>
      <c r="AAI29" s="77"/>
      <c r="AAJ29" s="77"/>
      <c r="AAK29" s="341"/>
      <c r="AAL29" s="209" t="str">
        <f>IF(S.InvolveNotice=TRUE,"SOS - submit on workday &lt;=15th of month BEFORE Bulletin (H29)","SOS - not involved")</f>
        <v>SOS - submit on workday &lt;=15th of month BEFORE Bulletin (H29)</v>
      </c>
      <c r="AAM29" s="112"/>
      <c r="AAU29" s="44"/>
    </row>
    <row r="30" spans="1:735" s="23" customFormat="1" ht="16.7" customHeight="1">
      <c r="A30" s="558" t="s">
        <v>0</v>
      </c>
      <c r="B30" s="509" t="str">
        <f t="shared" ref="B30" si="720">AAL30</f>
        <v>SOS - Bulletin always publishes 1st of month</v>
      </c>
      <c r="C30" s="694"/>
      <c r="D30" s="751" t="str">
        <f>AAI30</f>
        <v/>
      </c>
      <c r="E30" s="752"/>
      <c r="F30" s="321">
        <f ca="1">NETWORKDAYS(TODAY(),H30,S.DDL_DEQClosed)</f>
        <v>38</v>
      </c>
      <c r="G30" s="651" t="s">
        <v>0</v>
      </c>
      <c r="H30" s="585">
        <v>41548</v>
      </c>
      <c r="I30" s="627"/>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588"/>
      <c r="AAB30"/>
      <c r="AAC30"/>
      <c r="AAD30" s="112"/>
      <c r="AAE30" s="551">
        <f>IF(S.InvolveNotice=TRUE,1,0)</f>
        <v>1</v>
      </c>
      <c r="AAF30" s="112" t="s">
        <v>0</v>
      </c>
      <c r="AAG30" s="65"/>
      <c r="AAH30" s="78">
        <f>VLOOKUP(S.EQCMeeting-60,S.DDL_Bulletin,TRUE)</f>
        <v>41640</v>
      </c>
      <c r="AAI30" s="573" t="str">
        <f>IF(S.PublicNoticeInBulletin&gt;=S.SubmitStaffRpt-25,"Select earlier date &gt;","")</f>
        <v/>
      </c>
      <c r="AAJ30" s="81" t="b">
        <v>1</v>
      </c>
      <c r="AAK30" s="580">
        <f>IF(S.InvolveNotice=TRUE,30,0)</f>
        <v>30</v>
      </c>
      <c r="AAL30" s="209" t="str">
        <f>IF(S.InvolveNotice=TRUE,"SOS - Bulletin always publishes 1st of month","SOS - not involved")</f>
        <v>SOS - Bulletin always publishes 1st of month</v>
      </c>
      <c r="AAM30" s="112"/>
      <c r="AAO30" s="75"/>
      <c r="AAP30" s="75"/>
      <c r="AAQ30" s="75"/>
      <c r="AAR30" s="75"/>
      <c r="AAS30" s="75"/>
      <c r="AAT30" s="75"/>
      <c r="AAU30" s="99"/>
    </row>
    <row r="31" spans="1:735" s="23" customFormat="1" ht="20.100000000000001" customHeight="1">
      <c r="A31" s="558"/>
      <c r="B31" s="130" t="s">
        <v>170</v>
      </c>
      <c r="C31" s="695"/>
      <c r="D31" s="136"/>
      <c r="E31" s="122"/>
      <c r="F31" s="216"/>
      <c r="G31" s="520"/>
      <c r="H31" s="217"/>
      <c r="I31" s="588"/>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646"/>
      <c r="ZZ31" s="622"/>
      <c r="AAA31" s="588"/>
      <c r="AAB31"/>
      <c r="AAC31"/>
      <c r="AAD31" s="112"/>
      <c r="AAE31" s="551">
        <f>IF(S.InvolveNotice=TRUE,1,0)</f>
        <v>1</v>
      </c>
      <c r="AAF31" s="583" t="s">
        <v>174</v>
      </c>
      <c r="AAG31" s="77"/>
      <c r="AAH31" s="77"/>
      <c r="AAI31" s="77"/>
      <c r="AAJ31" s="77"/>
      <c r="AAK31" s="341"/>
      <c r="AAL31" s="210" t="s">
        <v>219</v>
      </c>
      <c r="AAM31" s="112"/>
      <c r="AAN31" s="572" t="s">
        <v>0</v>
      </c>
      <c r="AAU31" s="44"/>
      <c r="AAV31"/>
      <c r="AAW31"/>
      <c r="AAX31"/>
      <c r="AAY31"/>
      <c r="AAZ31"/>
      <c r="ABA31"/>
      <c r="ABB31"/>
      <c r="ABC31"/>
      <c r="ABD31"/>
    </row>
    <row r="32" spans="1:735" ht="16.7" customHeight="1">
      <c r="A32" s="558"/>
      <c r="B32" s="746" t="str">
        <f>AAL32</f>
        <v>First Hearing =&gt; 15th workday AFTER Bulletin (H29)</v>
      </c>
      <c r="C32" s="746"/>
      <c r="D32" s="746"/>
      <c r="E32" s="515"/>
      <c r="F32" s="321">
        <f t="shared" ref="F32:F41" ca="1" si="721">NETWORKDAYS(TODAY(),H32,S.DDL_DEQClosed)</f>
        <v>65</v>
      </c>
      <c r="G32" s="650">
        <f>S.FirstHearingDate</f>
        <v>41585</v>
      </c>
      <c r="H32" s="322">
        <v>41585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IF(S.InvolveNotice=FALSE,0,IF(S.InvolveHearing=TRUE,1,0))</f>
        <v>1</v>
      </c>
      <c r="AAF32" s="112" t="s">
        <v>0</v>
      </c>
      <c r="AAG32" s="65"/>
      <c r="AAH32" s="78">
        <f>WORKDAY(S.PublicNoticeInBulletin+13,1,S.DDL_DEQClosed)</f>
        <v>41562</v>
      </c>
      <c r="AAI32" s="77"/>
      <c r="AAJ32" s="81" t="b">
        <v>1</v>
      </c>
      <c r="AAK32" s="580">
        <f>IF(S.InvolveHearing=TRUE,14,0)</f>
        <v>14</v>
      </c>
      <c r="AAL32" s="210" t="str">
        <f>IF(AND(S.InvolveNotice=FALSE,S.InvolveHearing=FALSE),"No public notice with hearing",IF(AND(S.InvolveNotice=FALSE,S.InvolveHearing=TRUE),"ERROR: All hearings must be noticed","First Hearing =&gt; 15th workday AFTER Bulletin (H29)"))</f>
        <v>First Hearing =&gt; 15th workday AFTER Bulletin (H29)</v>
      </c>
      <c r="AAM32" s="112"/>
      <c r="AAN32"/>
      <c r="AAT32" s="23"/>
      <c r="AAU32" s="44"/>
      <c r="AAV32" s="23"/>
      <c r="AAW32" s="23"/>
      <c r="AAX32" s="23"/>
      <c r="AAY32" s="23"/>
      <c r="AAZ32" s="23"/>
      <c r="ABA32" s="23"/>
      <c r="ABB32" s="23"/>
      <c r="ABC32" s="23"/>
      <c r="ABD32" s="23"/>
    </row>
    <row r="33" spans="1:732" ht="17.100000000000001" customHeight="1">
      <c r="A33" s="558"/>
      <c r="B33" s="137" t="str">
        <f>AAL33</f>
        <v>Close PUBLIC COMMENT</v>
      </c>
      <c r="C33" s="696"/>
      <c r="D33" s="139"/>
      <c r="E33" s="124"/>
      <c r="F33" s="321">
        <f ca="1">NETWORKDAYS(TODAY(),H33,S.DDL_DEQClosed)</f>
        <v>70</v>
      </c>
      <c r="G33" s="650">
        <f>S.CloseComment</f>
        <v>41593</v>
      </c>
      <c r="H33" s="322">
        <v>41593</v>
      </c>
      <c r="I33" s="627"/>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588"/>
      <c r="AAD33" s="112"/>
      <c r="AAE33" s="551">
        <f>IF(S.InvolveNotice=TRUE,1,0)</f>
        <v>1</v>
      </c>
      <c r="AAF33" s="112" t="s">
        <v>0</v>
      </c>
      <c r="AAG33" s="65"/>
      <c r="AAH33" s="78">
        <f>IF(S.InvolveNotice=FALSE,S.BANNER.OverviewStart,WORKDAY(S.LastHearingDate+2,1,S.DDL_DEQClosed))</f>
        <v>41590</v>
      </c>
      <c r="AAI33" s="77"/>
      <c r="AAJ33" s="56" t="s">
        <v>0</v>
      </c>
      <c r="AAK33" s="578"/>
      <c r="AAL33" s="115" t="str">
        <f>IF(S.InvolveNotice=FALSE,"No public comment period","Close PUBLIC COMMENT")</f>
        <v>Close PUBLIC COMMENT</v>
      </c>
      <c r="AAM33" s="112"/>
      <c r="AAN33"/>
      <c r="AAT33" s="23"/>
      <c r="AAU33" s="44"/>
      <c r="AAV33" s="23"/>
      <c r="AAW33" s="23"/>
      <c r="AAX33" s="23"/>
      <c r="AAY33" s="23"/>
      <c r="AAZ33" s="23"/>
      <c r="ABA33" s="23"/>
      <c r="ABB33" s="23"/>
      <c r="ABC33" s="23"/>
      <c r="ABD33" s="23"/>
    </row>
    <row r="34" spans="1:732" s="23" customFormat="1" ht="20.100000000000001" customHeight="1">
      <c r="A34" s="558"/>
      <c r="B34" s="140" t="s">
        <v>94</v>
      </c>
      <c r="C34" s="696"/>
      <c r="D34" s="139"/>
      <c r="E34" s="122"/>
      <c r="F34" s="216"/>
      <c r="G34" s="520"/>
      <c r="H34" s="217"/>
      <c r="I34" s="588"/>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646"/>
      <c r="ZZ34" s="622"/>
      <c r="AAA34" s="588"/>
      <c r="AAB34"/>
      <c r="AAC34"/>
      <c r="AAD34" s="112"/>
      <c r="AAE34" s="551">
        <v>1</v>
      </c>
      <c r="AAF34" s="583" t="s">
        <v>174</v>
      </c>
      <c r="AAG34" s="84"/>
      <c r="AAH34" s="84"/>
      <c r="AAI34" s="77"/>
      <c r="AAJ34" s="87"/>
      <c r="AAK34" s="577"/>
      <c r="AAL34" s="116"/>
      <c r="AAM34" s="112"/>
      <c r="AAU34" s="44"/>
    </row>
    <row r="35" spans="1:732" s="23" customFormat="1" ht="17.100000000000001" customHeight="1">
      <c r="A35" s="558"/>
      <c r="B35" s="143" t="s">
        <v>240</v>
      </c>
      <c r="C35" s="697" t="s">
        <v>69</v>
      </c>
      <c r="D35" s="138"/>
      <c r="E35" s="124"/>
      <c r="F35" s="321">
        <f ca="1">NETWORKDAYS(TODAY(),H35,S.DDL_DEQClosed)</f>
        <v>125</v>
      </c>
      <c r="G35" s="650">
        <f>S.SubmitStaffRpt</f>
        <v>41676</v>
      </c>
      <c r="H35" s="323">
        <f>AAH35</f>
        <v>41676</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t="s">
        <v>0</v>
      </c>
      <c r="AAG35" s="65"/>
      <c r="AAH35" s="78">
        <f>VLOOKUP(S.EQCMeeting,VL_EQCActivities,2,FALSE)</f>
        <v>41676</v>
      </c>
      <c r="AAI35" s="77"/>
      <c r="AAJ35" s="56"/>
      <c r="AAK35" s="580">
        <v>41</v>
      </c>
      <c r="AAL35" s="39" t="s">
        <v>308</v>
      </c>
      <c r="AAM35" s="112"/>
      <c r="AAU35" s="44"/>
    </row>
    <row r="36" spans="1:732" s="23" customFormat="1" ht="17.100000000000001" customHeight="1">
      <c r="A36" s="558"/>
      <c r="B36" s="143" t="s">
        <v>250</v>
      </c>
      <c r="C36" s="697" t="s">
        <v>69</v>
      </c>
      <c r="D36" s="138"/>
      <c r="E36" s="124"/>
      <c r="F36" s="321">
        <f ca="1">NETWORKDAYS(TODAY(),H36,S.DDL_DEQClosed)</f>
        <v>153</v>
      </c>
      <c r="G36" s="650">
        <f>H36</f>
        <v>41717</v>
      </c>
      <c r="H36" s="324">
        <f>AAH36</f>
        <v>41717</v>
      </c>
      <c r="I36" s="627"/>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588"/>
      <c r="AAB36"/>
      <c r="AAC36"/>
      <c r="AAD36" s="112"/>
      <c r="AAE36" s="551">
        <v>1</v>
      </c>
      <c r="AAF36" s="112"/>
      <c r="AAG36" s="65"/>
      <c r="AAH36" s="78">
        <f>S.EQCMeeting</f>
        <v>41717</v>
      </c>
      <c r="AAI36" s="65"/>
      <c r="AAJ36" s="56"/>
      <c r="AAK36" s="578"/>
      <c r="AAL36" s="39"/>
      <c r="AAM36" s="112"/>
      <c r="AAU36" s="44"/>
    </row>
    <row r="37" spans="1:732" s="23" customFormat="1" ht="20.100000000000001" customHeight="1">
      <c r="A37" s="558"/>
      <c r="B37" s="140" t="s">
        <v>172</v>
      </c>
      <c r="C37" s="696"/>
      <c r="D37" s="139"/>
      <c r="E37" s="122"/>
      <c r="F37" s="216"/>
      <c r="G37" s="520"/>
      <c r="H37" s="217"/>
      <c r="I37" s="588"/>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646"/>
      <c r="ZZ37" s="622"/>
      <c r="AAA37" s="588"/>
      <c r="AAB37"/>
      <c r="AAC37"/>
      <c r="AAD37" s="112"/>
      <c r="AAE37" s="551">
        <v>1</v>
      </c>
      <c r="AAF37" s="583" t="s">
        <v>174</v>
      </c>
      <c r="AAG37" s="112"/>
      <c r="AAH37" s="87"/>
      <c r="AAI37" s="65"/>
      <c r="AAJ37" s="87"/>
      <c r="AAK37" s="581">
        <f>AAK6+AAK27+AAK30+AAK32+AAK35</f>
        <v>127</v>
      </c>
      <c r="AAL37" s="116"/>
      <c r="AAM37" s="112"/>
      <c r="AAU37" s="44"/>
    </row>
    <row r="38" spans="1:732" s="23" customFormat="1" ht="17.100000000000001" customHeight="1">
      <c r="A38" s="558"/>
      <c r="B38" s="780" t="s">
        <v>236</v>
      </c>
      <c r="C38" s="780"/>
      <c r="D38" s="780"/>
      <c r="E38" s="124"/>
      <c r="F38" s="321">
        <f t="shared" ref="F38" ca="1" si="722">NETWORKDAYS(TODAY(),H38,S.DDL_DEQClosed)</f>
        <v>155</v>
      </c>
      <c r="G38" s="650">
        <f>S.FileRuleWithSOS</f>
        <v>41719</v>
      </c>
      <c r="H38" s="322">
        <f>AAH38</f>
        <v>41719</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1">
        <v>1</v>
      </c>
      <c r="AAF38" s="112" t="s">
        <v>0</v>
      </c>
      <c r="AAG38" s="65"/>
      <c r="AAH38" s="78">
        <f>WORKDAY(S.EQCMeeting+5,-1,S.DDL_DEQClosed)</f>
        <v>41719</v>
      </c>
      <c r="AAI38" s="65"/>
      <c r="AAJ38" s="77"/>
      <c r="AAK38" s="341"/>
      <c r="AAL38" s="77"/>
      <c r="AAM38" s="112"/>
      <c r="AAU38" s="44"/>
    </row>
    <row r="39" spans="1:732" s="23" customFormat="1" ht="17.100000000000001" customHeight="1">
      <c r="A39" s="558"/>
      <c r="B39" s="142" t="str">
        <f>AAL39</f>
        <v>EPA - submit SIP</v>
      </c>
      <c r="C39" s="694"/>
      <c r="D39" s="142"/>
      <c r="E39" s="124"/>
      <c r="F39" s="321">
        <f t="shared" ref="F39" ca="1" si="723">NETWORKDAYS(TODAY(),H39,S.DDL_DEQClosed)</f>
        <v>163</v>
      </c>
      <c r="G39" s="650">
        <f>S.SubmitSIPToEPA.PostEQC</f>
        <v>41731</v>
      </c>
      <c r="H39" s="322">
        <f>AAH39</f>
        <v>41731</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2">
        <f>IF(S.InvolveSIP=TRUE,1,0)</f>
        <v>1</v>
      </c>
      <c r="AAF39" s="112"/>
      <c r="AAG39" s="65"/>
      <c r="AAH39" s="78">
        <f>WORKDAY(S.EQCMeeting,10,S.DDL_DEQClosed)</f>
        <v>41731</v>
      </c>
      <c r="AAI39" s="65"/>
      <c r="AAJ39" s="77"/>
      <c r="AAK39" s="341"/>
      <c r="AAL39" s="209" t="str">
        <f>IF(S.InvolveSIP=TRUE,"EPA - submit SIP","EPA - SIP not involved")</f>
        <v>EPA - submit SIP</v>
      </c>
      <c r="AAM39" s="112"/>
      <c r="AAU39" s="44"/>
      <c r="AAV39"/>
      <c r="AAW39"/>
      <c r="AAX39"/>
      <c r="AAY39"/>
      <c r="AAZ39"/>
      <c r="ABA39"/>
      <c r="ABB39"/>
      <c r="ABC39"/>
      <c r="ABD39"/>
    </row>
    <row r="40" spans="1:732" s="23" customFormat="1" ht="17.100000000000001" customHeight="1">
      <c r="A40" s="558"/>
      <c r="B40" s="780" t="str">
        <f>IF(S.InvolveFee=FALSE,"DAS - fees not involved",IF(AAJ22=1,"DAS - submit Part 2 within 10 days after EQC rulemaking action","DAS - email notification within 10 days after EQC rulemaking action"))</f>
        <v>DAS - fees not involved</v>
      </c>
      <c r="C40" s="780"/>
      <c r="D40" s="780"/>
      <c r="E40" s="124"/>
      <c r="F40" s="321">
        <f t="shared" ref="F40" ca="1" si="724">NETWORKDAYS(TODAY(),H40,S.DDL_DEQClosed)</f>
        <v>156</v>
      </c>
      <c r="G40" s="650">
        <f>S.SubmitDASPart2</f>
        <v>41722</v>
      </c>
      <c r="H40" s="322">
        <f>AAH40</f>
        <v>41722</v>
      </c>
      <c r="I40" s="627"/>
      <c r="J40" s="591"/>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588"/>
      <c r="AAB40"/>
      <c r="AAC40"/>
      <c r="AAD40" s="112"/>
      <c r="AAE40" s="551">
        <f>IF(S.InvolveFee=TRUE,1,0)</f>
        <v>0</v>
      </c>
      <c r="AAF40" s="112" t="s">
        <v>0</v>
      </c>
      <c r="AAG40" s="112" t="s">
        <v>0</v>
      </c>
      <c r="AAH40" s="78">
        <f>WORKDAY(S.EQCMeeting+5,0,S.DDL_DEQClosed)</f>
        <v>41722</v>
      </c>
      <c r="AAI40" s="65"/>
      <c r="AAJ40" s="77"/>
      <c r="AAK40" s="341"/>
      <c r="AAL40" s="83" t="str">
        <f>IF(S.InvolveFee=FALSE,"DAS - fees not involved",IF(AAJ22=1,"DAS - submit Part 2 within ten days after EQC rulemaking action","DAS - email notification within 10 days after EQC rulemaking action"))</f>
        <v>DAS - fees not involved</v>
      </c>
      <c r="AAM40" s="112"/>
      <c r="AAU40" s="44"/>
      <c r="AAV40"/>
      <c r="AAW40"/>
      <c r="AAX40"/>
      <c r="AAY40"/>
      <c r="AAZ40"/>
      <c r="ABA40"/>
      <c r="ABB40"/>
      <c r="ABC40"/>
      <c r="ABD40"/>
    </row>
    <row r="41" spans="1:732" ht="17.100000000000001" customHeight="1">
      <c r="A41" s="558"/>
      <c r="B41" s="779" t="s">
        <v>251</v>
      </c>
      <c r="C41" s="779"/>
      <c r="D41" s="139" t="s">
        <v>0</v>
      </c>
      <c r="E41" s="124"/>
      <c r="F41" s="321">
        <f t="shared" ca="1" si="721"/>
        <v>155</v>
      </c>
      <c r="G41" s="650">
        <f>S.RuleEffective</f>
        <v>41719</v>
      </c>
      <c r="H41" s="322">
        <f>AAH41</f>
        <v>41719</v>
      </c>
      <c r="I41" s="627"/>
      <c r="J41" s="592"/>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88"/>
      <c r="AAD41" s="112"/>
      <c r="AAE41" s="551">
        <v>1</v>
      </c>
      <c r="AAF41" s="112"/>
      <c r="AAG41" s="112" t="s">
        <v>0</v>
      </c>
      <c r="AAH41" s="78">
        <f>S.FileRuleWithSOS</f>
        <v>41719</v>
      </c>
      <c r="AAI41" s="78">
        <f>S.EQCMeeting+10</f>
        <v>41727</v>
      </c>
      <c r="AAJ41" s="55"/>
      <c r="AAK41" s="55"/>
      <c r="AAL41" s="39"/>
      <c r="AAM41" s="112"/>
      <c r="AAN41"/>
      <c r="AAT41" s="23"/>
      <c r="AAU41" s="44"/>
      <c r="AAW41" s="23" t="s">
        <v>0</v>
      </c>
    </row>
    <row r="42" spans="1:732" ht="6.75" customHeight="1">
      <c r="A42" s="558"/>
      <c r="B42" s="144"/>
      <c r="C42" s="689"/>
      <c r="D42" s="145"/>
      <c r="E42" s="146"/>
      <c r="F42" s="146"/>
      <c r="G42" s="147"/>
      <c r="H42" s="145"/>
      <c r="I42" s="588"/>
      <c r="J42" s="644"/>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639"/>
      <c r="ZZ42" s="622"/>
      <c r="AAA42" s="588"/>
      <c r="AAD42" s="112"/>
      <c r="AAE42" s="551">
        <v>0</v>
      </c>
      <c r="AAF42" s="583" t="s">
        <v>174</v>
      </c>
      <c r="AAG42" s="76"/>
      <c r="AAH42" s="76"/>
      <c r="AAI42" s="65"/>
      <c r="AAJ42" s="55"/>
      <c r="AAK42" s="55"/>
      <c r="AAL42" s="39"/>
      <c r="AAM42" s="112"/>
      <c r="AAN42"/>
      <c r="AAT42" s="23"/>
      <c r="AAU42" s="44"/>
    </row>
    <row r="43" spans="1:732" s="23" customFormat="1" ht="18" customHeight="1">
      <c r="A43" s="558"/>
      <c r="B43" s="202" t="s">
        <v>242</v>
      </c>
      <c r="C43" s="698" t="s">
        <v>246</v>
      </c>
      <c r="D43" s="148"/>
      <c r="E43" s="785"/>
      <c r="F43" s="785"/>
      <c r="G43" s="149" t="s">
        <v>0</v>
      </c>
      <c r="H43" s="149" t="s">
        <v>0</v>
      </c>
      <c r="I43" s="588"/>
      <c r="J43" s="63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27</v>
      </c>
      <c r="AAF43" s="583" t="s">
        <v>174</v>
      </c>
      <c r="AAG43" s="112"/>
      <c r="AAH43" s="112"/>
      <c r="AAI43" s="77"/>
      <c r="AAJ43" s="90"/>
      <c r="AAK43" s="90"/>
      <c r="AAL43" s="76"/>
      <c r="AAM43" s="112"/>
      <c r="AAU43" s="44"/>
    </row>
    <row r="44" spans="1:732" s="23" customFormat="1" ht="18" customHeight="1">
      <c r="A44" s="558"/>
      <c r="B44" s="222" t="s">
        <v>15</v>
      </c>
      <c r="C44" s="698"/>
      <c r="D44" s="150" t="s">
        <v>247</v>
      </c>
      <c r="E44" s="750" t="s">
        <v>180</v>
      </c>
      <c r="F44" s="207" t="s">
        <v>2</v>
      </c>
      <c r="G44" s="152" t="s">
        <v>248</v>
      </c>
      <c r="H44" s="152" t="s">
        <v>86</v>
      </c>
      <c r="I44" s="627"/>
      <c r="J44" s="593"/>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619"/>
      <c r="ZZ44" s="119"/>
      <c r="AAA44" s="588"/>
      <c r="AAB44"/>
      <c r="AAC44"/>
      <c r="AAD44" s="112"/>
      <c r="AAE44" s="551" t="s">
        <v>245</v>
      </c>
      <c r="AAF44" s="583" t="s">
        <v>174</v>
      </c>
      <c r="AAG44" s="112"/>
      <c r="AAH44" s="112"/>
      <c r="AAI44" s="77"/>
      <c r="AAJ44" s="90"/>
      <c r="AAK44" s="90"/>
      <c r="AAL44" s="76"/>
      <c r="AAM44" s="112"/>
      <c r="AAU44" s="44"/>
    </row>
    <row r="45" spans="1:732" ht="18" customHeight="1">
      <c r="A45" s="558"/>
      <c r="B45" s="223"/>
      <c r="C45" s="224"/>
      <c r="D45" s="225"/>
      <c r="E45" s="750"/>
      <c r="F45" s="373">
        <f>NETWORKDAYS(S.BANNER.PlanningStart,S.BANNER.PlanningEnd,S.DDL_DEQClosed)</f>
        <v>125</v>
      </c>
      <c r="G45" s="616">
        <f>S.BANNER.OverviewStart</f>
        <v>41369</v>
      </c>
      <c r="H45" s="226">
        <f>AAH45</f>
        <v>41550</v>
      </c>
      <c r="I45" s="627"/>
      <c r="J45" s="629"/>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5"/>
      <c r="DM45" s="635"/>
      <c r="DN45" s="635"/>
      <c r="DO45" s="635"/>
      <c r="DP45" s="635"/>
      <c r="DQ45" s="635"/>
      <c r="DR45" s="635"/>
      <c r="DS45" s="635"/>
      <c r="DT45" s="635"/>
      <c r="DU45" s="635"/>
      <c r="DV45" s="635"/>
      <c r="DW45" s="635"/>
      <c r="DX45" s="635"/>
      <c r="DY45" s="635"/>
      <c r="DZ45" s="635"/>
      <c r="EA45" s="635"/>
      <c r="EB45" s="635"/>
      <c r="EC45" s="635"/>
      <c r="ED45" s="635"/>
      <c r="EE45" s="635"/>
      <c r="EF45" s="635"/>
      <c r="EG45" s="635"/>
      <c r="EH45" s="635"/>
      <c r="EI45" s="635"/>
      <c r="EJ45" s="635"/>
      <c r="EK45" s="635"/>
      <c r="EL45" s="635"/>
      <c r="EM45" s="635"/>
      <c r="EN45" s="635"/>
      <c r="EO45" s="635"/>
      <c r="EP45" s="635"/>
      <c r="EQ45" s="635"/>
      <c r="ER45" s="635"/>
      <c r="ES45" s="635"/>
      <c r="ET45" s="635"/>
      <c r="EU45" s="635"/>
      <c r="EV45" s="635"/>
      <c r="EW45" s="635"/>
      <c r="EX45" s="635"/>
      <c r="EY45" s="635"/>
      <c r="EZ45" s="635"/>
      <c r="FA45" s="635"/>
      <c r="FB45" s="635"/>
      <c r="FC45" s="635"/>
      <c r="FD45" s="635"/>
      <c r="FE45" s="635"/>
      <c r="FF45" s="635"/>
      <c r="FG45" s="635"/>
      <c r="FH45" s="635"/>
      <c r="FI45" s="635"/>
      <c r="FJ45" s="635"/>
      <c r="FK45" s="635"/>
      <c r="FL45" s="635"/>
      <c r="FM45" s="635"/>
      <c r="FN45" s="635"/>
      <c r="FO45" s="635"/>
      <c r="FP45" s="635"/>
      <c r="FQ45" s="635"/>
      <c r="FR45" s="635"/>
      <c r="FS45" s="635"/>
      <c r="FT45" s="635"/>
      <c r="FU45" s="635"/>
      <c r="FV45" s="635"/>
      <c r="FW45" s="635"/>
      <c r="FX45" s="635"/>
      <c r="FY45" s="635"/>
      <c r="FZ45" s="635"/>
      <c r="GA45" s="635"/>
      <c r="GB45" s="635"/>
      <c r="GC45" s="635"/>
      <c r="GD45" s="635"/>
      <c r="GE45" s="635"/>
      <c r="GF45" s="635"/>
      <c r="GG45" s="635"/>
      <c r="GH45" s="635"/>
      <c r="GI45" s="635"/>
      <c r="GJ45" s="635"/>
      <c r="GK45" s="635"/>
      <c r="GL45" s="635"/>
      <c r="GM45" s="635"/>
      <c r="GN45" s="635"/>
      <c r="GO45" s="635"/>
      <c r="GP45" s="635"/>
      <c r="GQ45" s="635"/>
      <c r="GR45" s="635"/>
      <c r="GS45" s="635"/>
      <c r="GT45" s="635"/>
      <c r="GU45" s="635"/>
      <c r="GV45" s="635"/>
      <c r="GW45" s="635"/>
      <c r="GX45" s="635"/>
      <c r="GY45" s="635"/>
      <c r="GZ45" s="635"/>
      <c r="HA45" s="635"/>
      <c r="HB45" s="635"/>
      <c r="HC45" s="635"/>
      <c r="HD45" s="635"/>
      <c r="HE45" s="635"/>
      <c r="HF45" s="635"/>
      <c r="HG45" s="635"/>
      <c r="HH45" s="635"/>
      <c r="HI45" s="635"/>
      <c r="HJ45" s="635"/>
      <c r="HK45" s="635"/>
      <c r="HL45" s="635"/>
      <c r="HM45" s="635"/>
      <c r="HN45" s="635"/>
      <c r="HO45" s="635"/>
      <c r="HP45" s="635"/>
      <c r="HQ45" s="635"/>
      <c r="HR45" s="635"/>
      <c r="HS45" s="635"/>
      <c r="HT45" s="635"/>
      <c r="HU45" s="635"/>
      <c r="HV45" s="635"/>
      <c r="HW45" s="635"/>
      <c r="HX45" s="635"/>
      <c r="HY45" s="635"/>
      <c r="HZ45" s="635"/>
      <c r="IA45" s="635"/>
      <c r="IB45" s="635"/>
      <c r="IC45" s="635"/>
      <c r="ID45" s="635"/>
      <c r="IE45" s="635"/>
      <c r="IF45" s="635"/>
      <c r="IG45" s="635"/>
      <c r="IH45" s="635"/>
      <c r="II45" s="635"/>
      <c r="IJ45" s="635"/>
      <c r="IK45" s="635"/>
      <c r="IL45" s="635"/>
      <c r="IM45" s="635"/>
      <c r="IN45" s="635"/>
      <c r="IO45" s="635"/>
      <c r="IP45" s="635"/>
      <c r="IQ45" s="635"/>
      <c r="IR45" s="635"/>
      <c r="IS45" s="635"/>
      <c r="IT45" s="635"/>
      <c r="IU45" s="635"/>
      <c r="IV45" s="635"/>
      <c r="IW45" s="635"/>
      <c r="IX45" s="635"/>
      <c r="IY45" s="635"/>
      <c r="IZ45" s="635"/>
      <c r="JA45" s="635"/>
      <c r="JB45" s="635"/>
      <c r="JC45" s="635"/>
      <c r="JD45" s="635"/>
      <c r="JE45" s="635"/>
      <c r="JF45" s="635"/>
      <c r="JG45" s="635"/>
      <c r="JH45" s="635"/>
      <c r="JI45" s="635"/>
      <c r="JJ45" s="635"/>
      <c r="JK45" s="635"/>
      <c r="JL45" s="635"/>
      <c r="JM45" s="635"/>
      <c r="JN45" s="635"/>
      <c r="JO45" s="635"/>
      <c r="JP45" s="635"/>
      <c r="JQ45" s="635"/>
      <c r="JR45" s="635"/>
      <c r="JS45" s="635"/>
      <c r="JT45" s="635"/>
      <c r="JU45" s="635"/>
      <c r="JV45" s="635"/>
      <c r="JW45" s="635"/>
      <c r="JX45" s="635"/>
      <c r="JY45" s="635"/>
      <c r="JZ45" s="635"/>
      <c r="KA45" s="635"/>
      <c r="KB45" s="635"/>
      <c r="KC45" s="635"/>
      <c r="KD45" s="635"/>
      <c r="KE45" s="635"/>
      <c r="KF45" s="635"/>
      <c r="KG45" s="635"/>
      <c r="KH45" s="635"/>
      <c r="KI45" s="635"/>
      <c r="KJ45" s="635"/>
      <c r="KK45" s="635"/>
      <c r="KL45" s="635"/>
      <c r="KM45" s="635"/>
      <c r="KN45" s="635"/>
      <c r="KO45" s="635"/>
      <c r="KP45" s="635"/>
      <c r="KQ45" s="635"/>
      <c r="KR45" s="635"/>
      <c r="KS45" s="635"/>
      <c r="KT45" s="635"/>
      <c r="KU45" s="635"/>
      <c r="KV45" s="635"/>
      <c r="KW45" s="635"/>
      <c r="KX45" s="635"/>
      <c r="KY45" s="635"/>
      <c r="KZ45" s="635"/>
      <c r="LA45" s="635"/>
      <c r="LB45" s="635"/>
      <c r="LC45" s="635"/>
      <c r="LD45" s="635"/>
      <c r="LE45" s="635"/>
      <c r="LF45" s="635"/>
      <c r="LG45" s="635"/>
      <c r="LH45" s="635"/>
      <c r="LI45" s="635"/>
      <c r="LJ45" s="635"/>
      <c r="LK45" s="635"/>
      <c r="LL45" s="635"/>
      <c r="LM45" s="635"/>
      <c r="LN45" s="635"/>
      <c r="LO45" s="635"/>
      <c r="LP45" s="635"/>
      <c r="LQ45" s="635"/>
      <c r="LR45" s="635"/>
      <c r="LS45" s="635"/>
      <c r="LT45" s="635"/>
      <c r="LU45" s="635"/>
      <c r="LV45" s="635"/>
      <c r="LW45" s="635"/>
      <c r="LX45" s="635"/>
      <c r="LY45" s="635"/>
      <c r="LZ45" s="635"/>
      <c r="MA45" s="635"/>
      <c r="MB45" s="635"/>
      <c r="MC45" s="635"/>
      <c r="MD45" s="635"/>
      <c r="ME45" s="635"/>
      <c r="MF45" s="635"/>
      <c r="MG45" s="635"/>
      <c r="MH45" s="635"/>
      <c r="MI45" s="635"/>
      <c r="MJ45" s="635"/>
      <c r="MK45" s="635"/>
      <c r="ML45" s="635"/>
      <c r="MM45" s="635"/>
      <c r="MN45" s="635"/>
      <c r="MO45" s="635"/>
      <c r="MP45" s="635"/>
      <c r="MQ45" s="635"/>
      <c r="MR45" s="635"/>
      <c r="MS45" s="635"/>
      <c r="MT45" s="635"/>
      <c r="MU45" s="635"/>
      <c r="MV45" s="635"/>
      <c r="MW45" s="635"/>
      <c r="MX45" s="635"/>
      <c r="MY45" s="635"/>
      <c r="MZ45" s="635"/>
      <c r="NA45" s="635"/>
      <c r="NB45" s="635"/>
      <c r="NC45" s="635"/>
      <c r="ND45" s="635"/>
      <c r="NE45" s="635"/>
      <c r="NF45" s="635"/>
      <c r="NG45" s="635"/>
      <c r="NH45" s="635"/>
      <c r="NI45" s="635"/>
      <c r="NJ45" s="635"/>
      <c r="NK45" s="635"/>
      <c r="NL45" s="635"/>
      <c r="NM45" s="635"/>
      <c r="NN45" s="635"/>
      <c r="NO45" s="635"/>
      <c r="NP45" s="635"/>
      <c r="NQ45" s="635"/>
      <c r="NR45" s="635"/>
      <c r="NS45" s="635"/>
      <c r="NT45" s="635"/>
      <c r="NU45" s="635"/>
      <c r="NV45" s="635"/>
      <c r="NW45" s="635"/>
      <c r="NX45" s="635"/>
      <c r="NY45" s="635"/>
      <c r="NZ45" s="635"/>
      <c r="OA45" s="635"/>
      <c r="OB45" s="635"/>
      <c r="OC45" s="635"/>
      <c r="OD45" s="635"/>
      <c r="OE45" s="635"/>
      <c r="OF45" s="635"/>
      <c r="OG45" s="635"/>
      <c r="OH45" s="635"/>
      <c r="OI45" s="635"/>
      <c r="OJ45" s="635"/>
      <c r="OK45" s="635"/>
      <c r="OL45" s="635"/>
      <c r="OM45" s="635"/>
      <c r="ON45" s="635"/>
      <c r="OO45" s="635"/>
      <c r="OP45" s="635"/>
      <c r="OQ45" s="635"/>
      <c r="OR45" s="635"/>
      <c r="OS45" s="635"/>
      <c r="OT45" s="635"/>
      <c r="OU45" s="635"/>
      <c r="OV45" s="635"/>
      <c r="OW45" s="635"/>
      <c r="OX45" s="635"/>
      <c r="OY45" s="635"/>
      <c r="OZ45" s="635"/>
      <c r="PA45" s="635"/>
      <c r="PB45" s="635"/>
      <c r="PC45" s="635"/>
      <c r="PD45" s="635"/>
      <c r="PE45" s="635"/>
      <c r="PF45" s="635"/>
      <c r="PG45" s="635"/>
      <c r="PH45" s="635"/>
      <c r="PI45" s="635"/>
      <c r="PJ45" s="635"/>
      <c r="PK45" s="635"/>
      <c r="PL45" s="635"/>
      <c r="PM45" s="635"/>
      <c r="PN45" s="635"/>
      <c r="PO45" s="635"/>
      <c r="PP45" s="635"/>
      <c r="PQ45" s="635"/>
      <c r="PR45" s="635"/>
      <c r="PS45" s="635"/>
      <c r="PT45" s="635"/>
      <c r="PU45" s="635"/>
      <c r="PV45" s="635"/>
      <c r="PW45" s="635"/>
      <c r="PX45" s="635"/>
      <c r="PY45" s="635"/>
      <c r="PZ45" s="635"/>
      <c r="QA45" s="635"/>
      <c r="QB45" s="635"/>
      <c r="QC45" s="635"/>
      <c r="QD45" s="635"/>
      <c r="QE45" s="635"/>
      <c r="QF45" s="635"/>
      <c r="QG45" s="635"/>
      <c r="QH45" s="635"/>
      <c r="QI45" s="635"/>
      <c r="QJ45" s="635"/>
      <c r="QK45" s="635"/>
      <c r="QL45" s="635"/>
      <c r="QM45" s="635"/>
      <c r="QN45" s="635"/>
      <c r="QO45" s="635"/>
      <c r="QP45" s="635"/>
      <c r="QQ45" s="635"/>
      <c r="QR45" s="635"/>
      <c r="QS45" s="635"/>
      <c r="QT45" s="635"/>
      <c r="QU45" s="635"/>
      <c r="QV45" s="635"/>
      <c r="QW45" s="635"/>
      <c r="QX45" s="635"/>
      <c r="QY45" s="635"/>
      <c r="QZ45" s="635"/>
      <c r="RA45" s="635"/>
      <c r="RB45" s="635"/>
      <c r="RC45" s="635"/>
      <c r="RD45" s="635"/>
      <c r="RE45" s="635"/>
      <c r="RF45" s="635"/>
      <c r="RG45" s="635"/>
      <c r="RH45" s="635"/>
      <c r="RI45" s="635"/>
      <c r="RJ45" s="635"/>
      <c r="RK45" s="635"/>
      <c r="RL45" s="635"/>
      <c r="RM45" s="635"/>
      <c r="RN45" s="635"/>
      <c r="RO45" s="635"/>
      <c r="RP45" s="635"/>
      <c r="RQ45" s="635"/>
      <c r="RR45" s="635"/>
      <c r="RS45" s="635"/>
      <c r="RT45" s="635"/>
      <c r="RU45" s="635"/>
      <c r="RV45" s="635"/>
      <c r="RW45" s="635"/>
      <c r="RX45" s="635"/>
      <c r="RY45" s="635"/>
      <c r="RZ45" s="635"/>
      <c r="SA45" s="635"/>
      <c r="SB45" s="635"/>
      <c r="SC45" s="635"/>
      <c r="SD45" s="635"/>
      <c r="SE45" s="635"/>
      <c r="SF45" s="635"/>
      <c r="SG45" s="635"/>
      <c r="SH45" s="635"/>
      <c r="SI45" s="635"/>
      <c r="SJ45" s="635"/>
      <c r="SK45" s="635"/>
      <c r="SL45" s="635"/>
      <c r="SM45" s="635"/>
      <c r="SN45" s="635"/>
      <c r="SO45" s="635"/>
      <c r="SP45" s="635"/>
      <c r="SQ45" s="635"/>
      <c r="SR45" s="635"/>
      <c r="SS45" s="635"/>
      <c r="ST45" s="635"/>
      <c r="SU45" s="635"/>
      <c r="SV45" s="635"/>
      <c r="SW45" s="635"/>
      <c r="SX45" s="635"/>
      <c r="SY45" s="635"/>
      <c r="SZ45" s="635"/>
      <c r="TA45" s="635"/>
      <c r="TB45" s="635"/>
      <c r="TC45" s="635"/>
      <c r="TD45" s="635"/>
      <c r="TE45" s="635"/>
      <c r="TF45" s="635"/>
      <c r="TG45" s="635"/>
      <c r="TH45" s="635"/>
      <c r="TI45" s="635"/>
      <c r="TJ45" s="635"/>
      <c r="TK45" s="635"/>
      <c r="TL45" s="635"/>
      <c r="TM45" s="635"/>
      <c r="TN45" s="635"/>
      <c r="TO45" s="635"/>
      <c r="TP45" s="635"/>
      <c r="TQ45" s="635"/>
      <c r="TR45" s="635"/>
      <c r="TS45" s="635"/>
      <c r="TT45" s="635"/>
      <c r="TU45" s="635"/>
      <c r="TV45" s="635"/>
      <c r="TW45" s="635"/>
      <c r="TX45" s="635"/>
      <c r="TY45" s="635"/>
      <c r="TZ45" s="635"/>
      <c r="UA45" s="635"/>
      <c r="UB45" s="635"/>
      <c r="UC45" s="635"/>
      <c r="UD45" s="635"/>
      <c r="UE45" s="635"/>
      <c r="UF45" s="635"/>
      <c r="UG45" s="635"/>
      <c r="UH45" s="635"/>
      <c r="UI45" s="635"/>
      <c r="UJ45" s="635"/>
      <c r="UK45" s="635"/>
      <c r="UL45" s="635"/>
      <c r="UM45" s="635"/>
      <c r="UN45" s="635"/>
      <c r="UO45" s="635"/>
      <c r="UP45" s="635"/>
      <c r="UQ45" s="635"/>
      <c r="UR45" s="635"/>
      <c r="US45" s="635"/>
      <c r="UT45" s="635"/>
      <c r="UU45" s="635"/>
      <c r="UV45" s="635"/>
      <c r="UW45" s="635"/>
      <c r="UX45" s="635"/>
      <c r="UY45" s="635"/>
      <c r="UZ45" s="635"/>
      <c r="VA45" s="635"/>
      <c r="VB45" s="635"/>
      <c r="VC45" s="635"/>
      <c r="VD45" s="635"/>
      <c r="VE45" s="635"/>
      <c r="VF45" s="635"/>
      <c r="VG45" s="635"/>
      <c r="VH45" s="635"/>
      <c r="VI45" s="635"/>
      <c r="VJ45" s="635"/>
      <c r="VK45" s="635"/>
      <c r="VL45" s="635"/>
      <c r="VM45" s="635"/>
      <c r="VN45" s="635"/>
      <c r="VO45" s="635"/>
      <c r="VP45" s="635"/>
      <c r="VQ45" s="635"/>
      <c r="VR45" s="635"/>
      <c r="VS45" s="635"/>
      <c r="VT45" s="635"/>
      <c r="VU45" s="635"/>
      <c r="VV45" s="635"/>
      <c r="VW45" s="635"/>
      <c r="VX45" s="635"/>
      <c r="VY45" s="635"/>
      <c r="VZ45" s="635"/>
      <c r="WA45" s="635"/>
      <c r="WB45" s="635"/>
      <c r="WC45" s="635"/>
      <c r="WD45" s="635"/>
      <c r="WE45" s="635"/>
      <c r="WF45" s="635"/>
      <c r="WG45" s="635"/>
      <c r="WH45" s="635"/>
      <c r="WI45" s="635"/>
      <c r="WJ45" s="635"/>
      <c r="WK45" s="635"/>
      <c r="WL45" s="635"/>
      <c r="WM45" s="635"/>
      <c r="WN45" s="635"/>
      <c r="WO45" s="635"/>
      <c r="WP45" s="635"/>
      <c r="WQ45" s="635"/>
      <c r="WR45" s="635"/>
      <c r="WS45" s="635"/>
      <c r="WT45" s="635"/>
      <c r="WU45" s="635"/>
      <c r="WV45" s="635"/>
      <c r="WW45" s="635"/>
      <c r="WX45" s="635"/>
      <c r="WY45" s="635"/>
      <c r="WZ45" s="635"/>
      <c r="XA45" s="635"/>
      <c r="XB45" s="635"/>
      <c r="XC45" s="635"/>
      <c r="XD45" s="635"/>
      <c r="XE45" s="635"/>
      <c r="XF45" s="635"/>
      <c r="XG45" s="635"/>
      <c r="XH45" s="635"/>
      <c r="XI45" s="635"/>
      <c r="XJ45" s="635"/>
      <c r="XK45" s="635"/>
      <c r="XL45" s="635"/>
      <c r="XM45" s="635"/>
      <c r="XN45" s="635"/>
      <c r="XO45" s="635"/>
      <c r="XP45" s="635"/>
      <c r="XQ45" s="635"/>
      <c r="XR45" s="635"/>
      <c r="XS45" s="635"/>
      <c r="XT45" s="635"/>
      <c r="XU45" s="635"/>
      <c r="XV45" s="635"/>
      <c r="XW45" s="635"/>
      <c r="XX45" s="635"/>
      <c r="XY45" s="635"/>
      <c r="XZ45" s="635"/>
      <c r="YA45" s="635"/>
      <c r="YB45" s="635"/>
      <c r="YC45" s="635"/>
      <c r="YD45" s="635"/>
      <c r="YE45" s="635"/>
      <c r="YF45" s="635"/>
      <c r="YG45" s="635"/>
      <c r="YH45" s="635"/>
      <c r="YI45" s="635"/>
      <c r="YJ45" s="635"/>
      <c r="YK45" s="635"/>
      <c r="YL45" s="635"/>
      <c r="YM45" s="635"/>
      <c r="YN45" s="635"/>
      <c r="YO45" s="635"/>
      <c r="YP45" s="635"/>
      <c r="YQ45" s="635"/>
      <c r="YR45" s="635"/>
      <c r="YS45" s="635"/>
      <c r="YT45" s="635"/>
      <c r="YU45" s="635"/>
      <c r="YV45" s="635"/>
      <c r="YW45" s="635"/>
      <c r="YX45" s="635"/>
      <c r="YY45" s="635"/>
      <c r="YZ45" s="635"/>
      <c r="ZA45" s="635"/>
      <c r="ZB45" s="635"/>
      <c r="ZC45" s="635"/>
      <c r="ZD45" s="635"/>
      <c r="ZE45" s="635"/>
      <c r="ZF45" s="635"/>
      <c r="ZG45" s="635"/>
      <c r="ZH45" s="635"/>
      <c r="ZI45" s="635"/>
      <c r="ZJ45" s="635"/>
      <c r="ZK45" s="635"/>
      <c r="ZL45" s="635"/>
      <c r="ZM45" s="635"/>
      <c r="ZN45" s="635"/>
      <c r="ZO45" s="635"/>
      <c r="ZP45" s="635"/>
      <c r="ZQ45" s="635"/>
      <c r="ZR45" s="635"/>
      <c r="ZS45" s="635"/>
      <c r="ZT45" s="635"/>
      <c r="ZU45" s="635"/>
      <c r="ZV45" s="635"/>
      <c r="ZW45" s="635"/>
      <c r="ZX45" s="635"/>
      <c r="ZY45" s="638"/>
      <c r="ZZ45" s="119"/>
      <c r="AAA45" s="588"/>
      <c r="AAD45" s="112"/>
      <c r="AAE45" s="551" t="s">
        <v>245</v>
      </c>
      <c r="AAF45" s="583" t="s">
        <v>174</v>
      </c>
      <c r="AAG45" s="78">
        <f>S.BANNER.OverviewStart</f>
        <v>41369</v>
      </c>
      <c r="AAH45" s="78">
        <f>WORKDAY(S.PublicNoticeInBulletin+1,1,S.DDL_DEQClosed)</f>
        <v>41550</v>
      </c>
      <c r="AAI45" s="77"/>
      <c r="AAJ45" s="90"/>
      <c r="AAK45" s="90"/>
      <c r="AAL45" s="76"/>
      <c r="AAM45" s="112"/>
      <c r="AAN45"/>
      <c r="AAT45" s="23"/>
      <c r="AAU45" s="44"/>
    </row>
    <row r="46" spans="1:732" ht="6" customHeight="1">
      <c r="A46" s="558"/>
      <c r="B46" s="206"/>
      <c r="C46" s="688"/>
      <c r="D46" s="180"/>
      <c r="E46" s="181"/>
      <c r="F46" s="181"/>
      <c r="G46" s="180"/>
      <c r="H46" s="180"/>
      <c r="I46" s="588"/>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588"/>
      <c r="AAD46" s="112"/>
      <c r="AAE46" s="552" t="s">
        <v>20</v>
      </c>
      <c r="AAF46" s="583" t="s">
        <v>174</v>
      </c>
      <c r="AAG46" s="63"/>
      <c r="AAH46" s="63"/>
      <c r="AAI46" s="77"/>
      <c r="AAJ46" s="91" t="s">
        <v>70</v>
      </c>
      <c r="AAK46" s="91"/>
      <c r="AAL46" s="40"/>
      <c r="AAM46" s="112"/>
      <c r="AAN46"/>
      <c r="AAT46" s="23"/>
      <c r="AAU46" s="44"/>
    </row>
    <row r="47" spans="1:732" ht="15.75" customHeight="1" outlineLevel="1">
      <c r="A47" s="558"/>
      <c r="B47" s="671" t="s">
        <v>318</v>
      </c>
      <c r="C47" s="287" t="s">
        <v>88</v>
      </c>
      <c r="D47" s="344" t="s">
        <v>0</v>
      </c>
      <c r="E47" s="345" t="s">
        <v>0</v>
      </c>
      <c r="F47" s="345" t="s">
        <v>0</v>
      </c>
      <c r="G47" s="344"/>
      <c r="H47" s="344"/>
      <c r="I47" s="588"/>
      <c r="J47" s="637"/>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636"/>
      <c r="DB47" s="636"/>
      <c r="DC47" s="636"/>
      <c r="DD47" s="636"/>
      <c r="DE47" s="636"/>
      <c r="DF47" s="636"/>
      <c r="DG47" s="636"/>
      <c r="DH47" s="636"/>
      <c r="DI47" s="636"/>
      <c r="DJ47" s="636"/>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9"/>
      <c r="ZZ47" s="622"/>
      <c r="AAA47" s="588"/>
      <c r="AAD47" s="112"/>
      <c r="AAE47" s="551">
        <v>1</v>
      </c>
      <c r="AAF47" s="583" t="s">
        <v>174</v>
      </c>
      <c r="AAG47" s="63"/>
      <c r="AAH47" s="63"/>
      <c r="AAI47" s="77"/>
      <c r="AAJ47" s="56"/>
      <c r="AAK47" s="56"/>
      <c r="AAL47" s="39"/>
      <c r="AAM47" s="112"/>
      <c r="AAN47"/>
      <c r="AAT47" s="23"/>
      <c r="AAU47" s="44"/>
    </row>
    <row r="48" spans="1:732" ht="15.75" customHeight="1" outlineLevel="1">
      <c r="A48" s="558"/>
      <c r="B48" s="670" t="s">
        <v>313</v>
      </c>
      <c r="C48" s="347"/>
      <c r="D48" s="169" t="s">
        <v>386</v>
      </c>
      <c r="E48" s="368">
        <f t="shared" ref="E48:E51" si="725">NETWORKDAYS(G48,H48,S.DDL_DEQClosed)</f>
        <v>1</v>
      </c>
      <c r="F48" s="368">
        <f ca="1">NETWORKDAYS(TODAY(),H48)</f>
        <v>-90</v>
      </c>
      <c r="G48" s="369">
        <f>AAG48</f>
        <v>41369</v>
      </c>
      <c r="H48" s="369">
        <f>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S.BANNER.PlanningStart</f>
        <v>41369</v>
      </c>
      <c r="AAH48" s="78">
        <f>G48</f>
        <v>41369</v>
      </c>
      <c r="AAI48" s="77"/>
      <c r="AAJ48" s="56"/>
      <c r="AAK48" s="56"/>
      <c r="AAL48" s="39"/>
      <c r="AAM48" s="112"/>
      <c r="AAN48"/>
      <c r="AAT48" s="23"/>
      <c r="AAU48" s="44"/>
    </row>
    <row r="49" spans="1:732" ht="15.75" customHeight="1" outlineLevel="1">
      <c r="A49" s="558"/>
      <c r="B49" s="346" t="s">
        <v>73</v>
      </c>
      <c r="C49" s="347"/>
      <c r="D49" s="169" t="s">
        <v>375</v>
      </c>
      <c r="E49" s="368">
        <f t="shared" si="725"/>
        <v>1</v>
      </c>
      <c r="F49" s="368">
        <f ca="1">NETWORKDAYS(TODAY(),H49)</f>
        <v>-90</v>
      </c>
      <c r="G49" s="369">
        <f t="shared" ref="G49:G51" si="726">AAG49</f>
        <v>41369</v>
      </c>
      <c r="H49" s="369">
        <f t="shared" ref="H49:H50" si="727">AAH49</f>
        <v>41369</v>
      </c>
      <c r="I49" s="627"/>
      <c r="J49" s="5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50"/>
      <c r="ZZ49" s="50"/>
      <c r="AAA49" s="588"/>
      <c r="AAD49" s="112"/>
      <c r="AAE49" s="551">
        <v>1</v>
      </c>
      <c r="AAF49" s="112" t="s">
        <v>0</v>
      </c>
      <c r="AAG49" s="78">
        <f>H48</f>
        <v>41369</v>
      </c>
      <c r="AAH49" s="78">
        <f t="shared" ref="AAH49:AAH51" si="728">G49</f>
        <v>41369</v>
      </c>
      <c r="AAI49" s="77"/>
      <c r="AAJ49" s="56"/>
      <c r="AAK49" s="56"/>
      <c r="AAL49" s="39"/>
      <c r="AAM49" s="112"/>
      <c r="AAN49"/>
      <c r="AAT49" s="23"/>
      <c r="AAU49" s="44"/>
    </row>
    <row r="50" spans="1:732" ht="15.75" customHeight="1" outlineLevel="1">
      <c r="A50" s="558"/>
      <c r="B50" s="348" t="s">
        <v>314</v>
      </c>
      <c r="C50" s="347"/>
      <c r="D50" s="169" t="s">
        <v>375</v>
      </c>
      <c r="E50" s="368">
        <f t="shared" si="725"/>
        <v>1</v>
      </c>
      <c r="F50" s="368">
        <f ca="1">NETWORKDAYS(TODAY(),H50)</f>
        <v>-90</v>
      </c>
      <c r="G50" s="369">
        <f t="shared" si="726"/>
        <v>41369</v>
      </c>
      <c r="H50" s="369">
        <f t="shared" si="727"/>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ref="AAG50:AAG51" si="729">H49</f>
        <v>41369</v>
      </c>
      <c r="AAH50" s="78">
        <f t="shared" si="728"/>
        <v>41369</v>
      </c>
      <c r="AAI50" s="77"/>
      <c r="AAJ50" s="56"/>
      <c r="AAK50" s="56"/>
      <c r="AAL50" s="39"/>
      <c r="AAM50" s="112"/>
      <c r="AAN50"/>
      <c r="AAT50" s="23"/>
      <c r="AAU50" s="44"/>
    </row>
    <row r="51" spans="1:732" ht="15.75" customHeight="1" outlineLevel="1">
      <c r="A51" s="558"/>
      <c r="B51" s="349" t="s">
        <v>262</v>
      </c>
      <c r="C51" s="347"/>
      <c r="D51" s="169" t="s">
        <v>379</v>
      </c>
      <c r="E51" s="368">
        <f t="shared" si="725"/>
        <v>1</v>
      </c>
      <c r="F51" s="368">
        <f ca="1">NETWORKDAYS(TODAY(),H51)</f>
        <v>-90</v>
      </c>
      <c r="G51" s="369">
        <f t="shared" si="726"/>
        <v>41369</v>
      </c>
      <c r="H51" s="370">
        <f>AAH51</f>
        <v>41369</v>
      </c>
      <c r="I51" s="627"/>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50"/>
      <c r="ZZ51" s="50"/>
      <c r="AAA51" s="588"/>
      <c r="AAD51" s="112"/>
      <c r="AAE51" s="551">
        <v>1</v>
      </c>
      <c r="AAF51" s="112" t="s">
        <v>0</v>
      </c>
      <c r="AAG51" s="78">
        <f t="shared" si="729"/>
        <v>41369</v>
      </c>
      <c r="AAH51" s="78">
        <f t="shared" si="728"/>
        <v>41369</v>
      </c>
      <c r="AAI51" s="77"/>
      <c r="AAJ51" s="56"/>
      <c r="AAK51" s="56"/>
      <c r="AAL51" s="39"/>
      <c r="AAM51" s="112"/>
      <c r="AAN51"/>
      <c r="AAT51" s="23"/>
      <c r="AAU51" s="44"/>
    </row>
    <row r="52" spans="1:732" ht="15.75" customHeight="1" outlineLevel="1">
      <c r="A52" s="558"/>
      <c r="B52" s="350" t="s">
        <v>72</v>
      </c>
      <c r="C52" s="699" t="s">
        <v>0</v>
      </c>
      <c r="D52" s="351"/>
      <c r="E52" s="352"/>
      <c r="F52" s="352"/>
      <c r="G52" s="351"/>
      <c r="H52" s="351"/>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174</v>
      </c>
      <c r="AAG52" s="76"/>
      <c r="AAH52" s="76"/>
      <c r="AAI52" s="76"/>
      <c r="AAJ52" s="56"/>
      <c r="AAK52" s="56"/>
      <c r="AAL52" s="39"/>
      <c r="AAM52" s="112"/>
      <c r="AAN52"/>
      <c r="AAT52" s="23"/>
      <c r="AAU52" s="44"/>
    </row>
    <row r="53" spans="1:732" ht="15.75" customHeight="1" outlineLevel="1">
      <c r="A53" s="558"/>
      <c r="B53" s="350" t="s">
        <v>127</v>
      </c>
      <c r="C53" s="699" t="s">
        <v>0</v>
      </c>
      <c r="D53" s="353"/>
      <c r="E53" s="354"/>
      <c r="F53" s="352"/>
      <c r="G53" s="355"/>
      <c r="H53" s="356"/>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174</v>
      </c>
      <c r="AAG53" s="76"/>
      <c r="AAH53" s="76"/>
      <c r="AAI53" s="76"/>
      <c r="AAJ53" s="56"/>
      <c r="AAK53" s="56"/>
      <c r="AAL53" s="39"/>
      <c r="AAM53" s="112"/>
      <c r="AAN53"/>
      <c r="AAT53" s="23"/>
      <c r="AAU53" s="44"/>
    </row>
    <row r="54" spans="1:732" ht="15.75" customHeight="1" outlineLevel="1">
      <c r="A54" s="558"/>
      <c r="B54" s="350" t="s">
        <v>68</v>
      </c>
      <c r="C54" s="673" t="s">
        <v>87</v>
      </c>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174</v>
      </c>
      <c r="AAG54" s="76"/>
      <c r="AAH54" s="76"/>
      <c r="AAI54" s="76"/>
      <c r="AAJ54" s="56"/>
      <c r="AAK54" s="56"/>
      <c r="AAL54" s="39"/>
      <c r="AAM54" s="112"/>
      <c r="AAN54"/>
      <c r="AAT54" s="23"/>
      <c r="AAU54" s="44"/>
    </row>
    <row r="55" spans="1:732" ht="15.75" customHeight="1" outlineLevel="1">
      <c r="A55" s="558"/>
      <c r="B55" s="350" t="s">
        <v>67</v>
      </c>
      <c r="C55" s="700"/>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174</v>
      </c>
      <c r="AAG55" s="76"/>
      <c r="AAH55" s="76"/>
      <c r="AAI55" s="76"/>
      <c r="AAJ55" s="56"/>
      <c r="AAK55" s="56"/>
      <c r="AAL55" s="39"/>
      <c r="AAM55" s="112"/>
      <c r="AAN55"/>
      <c r="AAT55" s="23"/>
      <c r="AAU55" s="44"/>
    </row>
    <row r="56" spans="1:732" ht="15.75" customHeight="1" outlineLevel="1">
      <c r="A56" s="558"/>
      <c r="B56" s="350" t="s">
        <v>263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174</v>
      </c>
      <c r="AAG56" s="76"/>
      <c r="AAH56" s="76"/>
      <c r="AAI56" s="76"/>
      <c r="AAJ56" s="56"/>
      <c r="AAK56" s="56"/>
      <c r="AAL56" s="39"/>
      <c r="AAM56" s="112"/>
      <c r="AAN56"/>
      <c r="AAT56" s="23"/>
      <c r="AAU56" s="44"/>
    </row>
    <row r="57" spans="1:732" ht="15.75" customHeight="1" outlineLevel="1">
      <c r="A57" s="558"/>
      <c r="B57" s="350" t="s">
        <v>315</v>
      </c>
      <c r="C57" s="701"/>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174</v>
      </c>
      <c r="AAG57" s="76"/>
      <c r="AAH57" s="76"/>
      <c r="AAI57" s="76"/>
      <c r="AAJ57" s="56"/>
      <c r="AAK57" s="56"/>
      <c r="AAL57" s="39"/>
      <c r="AAM57" s="112"/>
      <c r="AAN57"/>
      <c r="AAT57" s="23"/>
      <c r="AAU57" s="44"/>
    </row>
    <row r="58" spans="1:732" ht="15.75" customHeight="1" outlineLevel="1">
      <c r="A58" s="558"/>
      <c r="B58" s="357" t="s">
        <v>348</v>
      </c>
      <c r="C58" s="287" t="s">
        <v>88</v>
      </c>
      <c r="D58" s="155"/>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174</v>
      </c>
      <c r="AAG58" s="76"/>
      <c r="AAH58" s="76"/>
      <c r="AAI58" s="76"/>
      <c r="AAJ58" s="56"/>
      <c r="AAK58" s="56"/>
      <c r="AAL58" s="39"/>
      <c r="AAM58" s="112"/>
      <c r="AAN58"/>
      <c r="AAT58" s="23"/>
      <c r="AAU58" s="44"/>
    </row>
    <row r="59" spans="1:732" ht="15.75" customHeight="1" outlineLevel="1">
      <c r="A59" s="558"/>
      <c r="B59" s="358" t="s">
        <v>319</v>
      </c>
      <c r="C59"/>
      <c r="D59" s="155" t="s">
        <v>0</v>
      </c>
      <c r="E59" s="156"/>
      <c r="F59" s="154"/>
      <c r="G59" s="157"/>
      <c r="H59" s="161"/>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174</v>
      </c>
      <c r="AAG59" s="76"/>
      <c r="AAH59" s="76"/>
      <c r="AAI59" s="76"/>
      <c r="AAJ59" s="56"/>
      <c r="AAK59" s="56"/>
      <c r="AAL59" s="39"/>
      <c r="AAM59" s="112"/>
      <c r="AAN59"/>
      <c r="AAT59" s="23"/>
      <c r="AAU59" s="44"/>
    </row>
    <row r="60" spans="1:732" ht="15.75" customHeight="1" outlineLevel="1">
      <c r="A60" s="558"/>
      <c r="B60" s="358" t="s">
        <v>311</v>
      </c>
      <c r="C60"/>
      <c r="D60" s="158"/>
      <c r="E60" s="154"/>
      <c r="F60" s="154"/>
      <c r="G60" s="153"/>
      <c r="H60" s="15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v>1</v>
      </c>
      <c r="AAF60" s="583" t="s">
        <v>174</v>
      </c>
      <c r="AAG60" s="76"/>
      <c r="AAH60" s="76"/>
      <c r="AAI60" s="76"/>
      <c r="AAJ60" s="56"/>
      <c r="AAK60" s="56"/>
      <c r="AAL60" s="39"/>
      <c r="AAM60" s="112"/>
      <c r="AAN60"/>
      <c r="AAT60" s="23"/>
      <c r="AAU60" s="44"/>
    </row>
    <row r="61" spans="1:732" ht="15.75" customHeight="1" outlineLevel="1">
      <c r="A61" s="558"/>
      <c r="B61" s="358" t="s">
        <v>320</v>
      </c>
      <c r="C61"/>
      <c r="D61" s="158"/>
      <c r="E61" s="122"/>
      <c r="F61" s="154"/>
      <c r="G61" s="159"/>
      <c r="H61" s="163"/>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IF(S.InvolveNotice=TRUE,1,0)</f>
        <v>1</v>
      </c>
      <c r="AAF61" s="583" t="s">
        <v>174</v>
      </c>
      <c r="AAG61" s="76"/>
      <c r="AAH61" s="76"/>
      <c r="AAI61" s="76"/>
      <c r="AAJ61" s="56"/>
      <c r="AAK61" s="56"/>
      <c r="AAL61" s="39"/>
      <c r="AAM61" s="112"/>
      <c r="AAN61"/>
      <c r="AAT61" s="23"/>
      <c r="AAU61" s="44"/>
    </row>
    <row r="62" spans="1:732"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D62" s="112"/>
      <c r="AAE62" s="551">
        <f>IF(S.InvolveFee=TRUE,1,0)</f>
        <v>0</v>
      </c>
      <c r="AAF62" s="583" t="s">
        <v>174</v>
      </c>
      <c r="AAG62" s="76" t="s">
        <v>0</v>
      </c>
      <c r="AAH62" s="76"/>
      <c r="AAI62" s="76"/>
      <c r="AAJ62" s="56"/>
      <c r="AAK62" s="56"/>
      <c r="AAL62" s="39"/>
      <c r="AAM62" s="112"/>
      <c r="AAN62"/>
      <c r="AAT62" s="23"/>
      <c r="AAU62" s="44"/>
      <c r="AAV62" s="23"/>
      <c r="AAW62" s="23"/>
      <c r="AAX62" s="23"/>
      <c r="AAY62" s="23"/>
      <c r="AAZ62" s="23"/>
      <c r="ABA62" s="23"/>
      <c r="ABB62" s="23"/>
      <c r="ABC62" s="23"/>
      <c r="ABD62" s="23"/>
    </row>
    <row r="63" spans="1:732" s="23" customFormat="1" ht="15.75" customHeight="1" outlineLevel="1">
      <c r="A63" s="558"/>
      <c r="B63" s="358" t="s">
        <v>322</v>
      </c>
      <c r="C63"/>
      <c r="D63" s="153"/>
      <c r="E63" s="122"/>
      <c r="F63" s="160"/>
      <c r="G63" s="161"/>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B63"/>
      <c r="AAC63"/>
      <c r="AAD63" s="112"/>
      <c r="AAE63" s="551">
        <f>IF(S.InvolveNotice=TRUE,1,0)</f>
        <v>1</v>
      </c>
      <c r="AAF63" s="583" t="s">
        <v>174</v>
      </c>
      <c r="AAG63" s="76"/>
      <c r="AAH63" s="76"/>
      <c r="AAI63" s="76"/>
      <c r="AAJ63" s="56"/>
      <c r="AAK63" s="56"/>
      <c r="AAL63" s="39"/>
      <c r="AAM63" s="112"/>
      <c r="AAU63" s="44"/>
      <c r="AAV63"/>
      <c r="AAW63"/>
      <c r="AAX63"/>
      <c r="AAY63"/>
      <c r="AAZ63"/>
      <c r="ABA63"/>
      <c r="ABB63"/>
      <c r="ABC63"/>
      <c r="ABD63"/>
    </row>
    <row r="64" spans="1:732" ht="15.75" customHeight="1" outlineLevel="1">
      <c r="A64" s="558"/>
      <c r="B64" s="358" t="s">
        <v>323</v>
      </c>
      <c r="C64"/>
      <c r="D64" s="158"/>
      <c r="E64" s="122"/>
      <c r="F64" s="160"/>
      <c r="G64" s="162"/>
      <c r="H64" s="161"/>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174</v>
      </c>
      <c r="AAG64" s="76"/>
      <c r="AAH64" s="76"/>
      <c r="AAI64" s="76"/>
      <c r="AAJ64" s="56"/>
      <c r="AAK64" s="56"/>
      <c r="AAL64" s="39"/>
      <c r="AAM64" s="112"/>
      <c r="AAN64"/>
      <c r="AAT64" s="23"/>
      <c r="AAU64" s="44"/>
    </row>
    <row r="65" spans="1:732" ht="15.75" customHeight="1" outlineLevel="1">
      <c r="A65" s="558"/>
      <c r="B65" s="350" t="str">
        <f>AAL65</f>
        <v>Review/refine RESOURCES</v>
      </c>
      <c r="C65"/>
      <c r="D65" s="158" t="s">
        <v>0</v>
      </c>
      <c r="E65" s="122"/>
      <c r="F65" s="154"/>
      <c r="G65" s="15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174</v>
      </c>
      <c r="AAG65" s="76"/>
      <c r="AAH65" s="76"/>
      <c r="AAI65" s="77"/>
      <c r="AAJ65" s="56"/>
      <c r="AAK65" s="56"/>
      <c r="AAL65" s="92" t="str">
        <f>"Review/refine "&amp;S.CodeName&amp;"RESOURCES"</f>
        <v>Review/refine RESOURCES</v>
      </c>
      <c r="AAM65" s="112"/>
      <c r="AAN65"/>
      <c r="AAT65" s="23"/>
      <c r="AAU65" s="44"/>
    </row>
    <row r="66" spans="1:732" ht="15.75" customHeight="1" outlineLevel="1">
      <c r="A66" s="558"/>
      <c r="B66" s="350" t="str">
        <f>AAL66</f>
        <v>Review/refine CONSIDERATIONS</v>
      </c>
      <c r="C66"/>
      <c r="D66" s="158"/>
      <c r="E66" s="122"/>
      <c r="F66" s="154"/>
      <c r="G66" s="163"/>
      <c r="H66" s="153"/>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174</v>
      </c>
      <c r="AAG66" s="76"/>
      <c r="AAH66" s="76"/>
      <c r="AAI66" s="77"/>
      <c r="AAJ66" s="56"/>
      <c r="AAK66" s="56"/>
      <c r="AAL66" s="92" t="str">
        <f>"Review/refine "&amp;S.CodeName&amp;"CONSIDERATIONS"</f>
        <v>Review/refine CONSIDERATIONS</v>
      </c>
      <c r="AAM66" s="112"/>
      <c r="AAN66"/>
      <c r="AAT66" s="23"/>
      <c r="AAU66" s="44"/>
      <c r="AAV66" s="23"/>
      <c r="AAW66" s="23"/>
      <c r="AAX66" s="23"/>
      <c r="AAY66" s="23"/>
      <c r="AAZ66" s="23"/>
      <c r="ABA66" s="23"/>
      <c r="ABB66" s="23"/>
      <c r="ABC66" s="23"/>
      <c r="ABD66" s="23"/>
    </row>
    <row r="67" spans="1:732" ht="15.75" customHeight="1" outlineLevel="1">
      <c r="A67" s="558"/>
      <c r="B67" s="359" t="s">
        <v>61</v>
      </c>
      <c r="C67" s="360"/>
      <c r="D67" s="161"/>
      <c r="E67" s="160"/>
      <c r="F67" s="160"/>
      <c r="G67" s="161" t="s">
        <v>0</v>
      </c>
      <c r="H67" s="161"/>
      <c r="I67" s="588"/>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17"/>
      <c r="ZZ67" s="622"/>
      <c r="AAA67" s="588"/>
      <c r="AAD67" s="112"/>
      <c r="AAE67" s="551">
        <v>1</v>
      </c>
      <c r="AAF67" s="583" t="s">
        <v>174</v>
      </c>
      <c r="AAG67" s="76"/>
      <c r="AAH67" s="76"/>
      <c r="AAI67" s="77"/>
      <c r="AAJ67" s="56"/>
      <c r="AAK67" s="56"/>
      <c r="AAL67" s="76"/>
      <c r="AAM67" s="112"/>
      <c r="AAN67"/>
      <c r="AAT67" s="23"/>
      <c r="AAU67" s="44"/>
    </row>
    <row r="68" spans="1:732" s="23" customFormat="1" ht="15.75" customHeight="1" outlineLevel="1">
      <c r="A68" s="558"/>
      <c r="B68" s="730" t="s">
        <v>184</v>
      </c>
      <c r="C68" s="347"/>
      <c r="D68" s="229" t="s">
        <v>387</v>
      </c>
      <c r="E68" s="368">
        <f>NETWORKDAYS(G68,H68,S.DDL_DEQClosed)</f>
        <v>1</v>
      </c>
      <c r="F68" s="368">
        <f ca="1">NETWORKDAYS(TODAY(),H68)</f>
        <v>-90</v>
      </c>
      <c r="G68" s="369">
        <f t="shared" ref="G68:H71" si="730">AAG68</f>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B68"/>
      <c r="AAC68"/>
      <c r="AAD68" s="112"/>
      <c r="AAE68" s="551">
        <v>1</v>
      </c>
      <c r="AAF68" s="112"/>
      <c r="AAG68" s="78">
        <f>H51</f>
        <v>41369</v>
      </c>
      <c r="AAH68" s="78">
        <f>G68</f>
        <v>41369</v>
      </c>
      <c r="AAI68" s="77"/>
      <c r="AAJ68" s="80"/>
      <c r="AAK68" s="80"/>
      <c r="AAL68" s="63"/>
      <c r="AAM68" s="112"/>
      <c r="AAU68" s="44"/>
      <c r="AAV68"/>
      <c r="AAW68"/>
      <c r="AAX68"/>
      <c r="AAY68"/>
      <c r="AAZ68"/>
      <c r="ABA68"/>
      <c r="ABB68"/>
      <c r="ABC68"/>
      <c r="ABD68"/>
    </row>
    <row r="69" spans="1:732" ht="15.75" customHeight="1" outlineLevel="1">
      <c r="A69" s="558"/>
      <c r="B69" s="132" t="s">
        <v>355</v>
      </c>
      <c r="C69" s="347"/>
      <c r="D69" s="229" t="s">
        <v>151</v>
      </c>
      <c r="E69" s="368">
        <f>NETWORKDAYS(G69,H69,S.DDL_DEQClosed)</f>
        <v>1</v>
      </c>
      <c r="F69" s="368">
        <f ca="1">NETWORKDAYS(TODAY(),H69)</f>
        <v>-90</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H68</f>
        <v>41369</v>
      </c>
      <c r="AAH69" s="78">
        <f>G69</f>
        <v>41369</v>
      </c>
      <c r="AAI69" s="77"/>
      <c r="AAJ69" s="66" t="s">
        <v>0</v>
      </c>
      <c r="AAK69" s="66"/>
      <c r="AAL69" s="65"/>
      <c r="AAM69" s="112"/>
      <c r="AAN69"/>
      <c r="AAT69" s="23"/>
      <c r="AAU69" s="44"/>
    </row>
    <row r="70" spans="1:732" ht="15.75" customHeight="1" outlineLevel="1">
      <c r="A70" s="558"/>
      <c r="B70" s="346" t="s">
        <v>185</v>
      </c>
      <c r="C70" s="347"/>
      <c r="D70" s="169" t="s">
        <v>186</v>
      </c>
      <c r="E70" s="368">
        <f>NETWORKDAYS(G70,H70,S.DDL_DEQClosed)</f>
        <v>1</v>
      </c>
      <c r="F70" s="368">
        <f ca="1">NETWORKDAYS(TODAY(),H70)</f>
        <v>-90</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ref="AAG70:AAG71" si="731">H69</f>
        <v>41369</v>
      </c>
      <c r="AAH70" s="78">
        <f>G70</f>
        <v>41369</v>
      </c>
      <c r="AAI70" s="77"/>
      <c r="AAJ70" s="56"/>
      <c r="AAK70" s="56"/>
      <c r="AAL70" s="65"/>
      <c r="AAM70" s="112"/>
      <c r="AAN70"/>
      <c r="AAT70" s="23"/>
      <c r="AAU70" s="44"/>
    </row>
    <row r="71" spans="1:732" ht="15.75" customHeight="1" outlineLevel="1">
      <c r="A71" s="558"/>
      <c r="B71" s="547" t="s">
        <v>296</v>
      </c>
      <c r="C71" s="672" t="s">
        <v>69</v>
      </c>
      <c r="D71" s="169" t="s">
        <v>388</v>
      </c>
      <c r="E71" s="368">
        <f>NETWORKDAYS(G71,H71,S.DDL_DEQClosed)</f>
        <v>1</v>
      </c>
      <c r="F71" s="368">
        <f ca="1">NETWORKDAYS(TODAY(),H71)</f>
        <v>-90</v>
      </c>
      <c r="G71" s="369">
        <f t="shared" si="730"/>
        <v>41369</v>
      </c>
      <c r="H71" s="369">
        <f t="shared" si="730"/>
        <v>41369</v>
      </c>
      <c r="I71" s="627"/>
      <c r="J71" s="591"/>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588"/>
      <c r="AAD71" s="112"/>
      <c r="AAE71" s="551">
        <v>1</v>
      </c>
      <c r="AAF71" s="112"/>
      <c r="AAG71" s="78">
        <f t="shared" si="731"/>
        <v>41369</v>
      </c>
      <c r="AAH71" s="78">
        <f>G71</f>
        <v>41369</v>
      </c>
      <c r="AAI71" s="77"/>
      <c r="AAJ71" s="56"/>
      <c r="AAK71" s="56"/>
      <c r="AAL71" s="65"/>
      <c r="AAM71" s="112"/>
      <c r="AAN71"/>
      <c r="AAT71" s="23"/>
      <c r="AAU71" s="44"/>
      <c r="AAV71" s="23"/>
      <c r="AAW71" s="23"/>
      <c r="AAX71" s="23"/>
      <c r="AAY71" s="23"/>
      <c r="AAZ71" s="23"/>
      <c r="ABA71" s="23"/>
      <c r="ABB71" s="23"/>
      <c r="ABC71" s="23"/>
      <c r="ABD71" s="23"/>
    </row>
    <row r="72" spans="1:732" s="23" customFormat="1" ht="15.75" customHeight="1" outlineLevel="1">
      <c r="A72" s="558"/>
      <c r="B72" s="361" t="s">
        <v>217</v>
      </c>
      <c r="C72" s="168"/>
      <c r="D72" s="371" t="s">
        <v>391</v>
      </c>
      <c r="E72" s="368">
        <f t="shared" ref="E72" si="732">NETWORKDAYS(G72,H72,S.DDL_DEQClosed)</f>
        <v>117</v>
      </c>
      <c r="F72" s="372">
        <f t="shared" ref="F72" ca="1" si="733">NETWORKDAYS(TODAY(),H72)</f>
        <v>39</v>
      </c>
      <c r="G72" s="537">
        <f>S.SIPStart</f>
        <v>41379</v>
      </c>
      <c r="H72" s="536">
        <f>AAH72</f>
        <v>41548</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B72"/>
      <c r="AAC72"/>
      <c r="AAD72" s="112"/>
      <c r="AAE72" s="552">
        <f t="shared" ref="AAE72:AAE79" si="734">IF(S.InvolveSIP=TRUE,1,0)</f>
        <v>1</v>
      </c>
      <c r="AAF72" s="112"/>
      <c r="AAG72" s="78">
        <f>S.SIPStart</f>
        <v>41379</v>
      </c>
      <c r="AAH72" s="78">
        <f>S.SubmitNoticeToEPA</f>
        <v>41548</v>
      </c>
      <c r="AAI72" s="77"/>
      <c r="AAJ72" s="77"/>
      <c r="AAK72" s="77"/>
      <c r="AAL72" s="65"/>
      <c r="AAM72" s="112"/>
      <c r="AAU72" s="44"/>
      <c r="AAV72"/>
      <c r="AAW72"/>
      <c r="AAX72"/>
      <c r="AAY72"/>
      <c r="AAZ72"/>
      <c r="ABA72"/>
      <c r="ABB72"/>
      <c r="ABC72"/>
      <c r="ABD72"/>
    </row>
    <row r="73" spans="1:732" ht="15.75" hidden="1" customHeight="1" outlineLevel="2">
      <c r="A73" s="558"/>
      <c r="B73" s="362" t="s">
        <v>297</v>
      </c>
      <c r="C73" s="168"/>
      <c r="D73" s="371" t="s">
        <v>391</v>
      </c>
      <c r="E73" s="368">
        <f t="shared" ref="E73:E79" si="735">NETWORKDAYS(G73,H73,S.DDL_DEQClosed)</f>
        <v>1</v>
      </c>
      <c r="F73" s="372">
        <f t="shared" ref="F73:F79" ca="1" si="736">NETWORKDAYS(TODAY(),H73)</f>
        <v>-84</v>
      </c>
      <c r="G73" s="587">
        <f>AAG73</f>
        <v>41379</v>
      </c>
      <c r="H73" s="369">
        <f t="shared" ref="H73:H78" si="737">AAH73</f>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S.SIPStart</f>
        <v>41379</v>
      </c>
      <c r="AAH73" s="78">
        <f>G73</f>
        <v>41379</v>
      </c>
      <c r="AAI73" s="77"/>
      <c r="AAJ73" s="56"/>
      <c r="AAK73" s="56"/>
      <c r="AAL73" s="65"/>
      <c r="AAM73" s="112"/>
      <c r="AAN73"/>
      <c r="AAT73" s="23"/>
      <c r="AAU73" s="44"/>
    </row>
    <row r="74" spans="1:732" ht="15.75" hidden="1" customHeight="1" outlineLevel="2">
      <c r="A74" s="558"/>
      <c r="B74" s="363" t="s">
        <v>74</v>
      </c>
      <c r="C74" s="168"/>
      <c r="D74" s="371" t="s">
        <v>391</v>
      </c>
      <c r="E74" s="368">
        <f t="shared" si="735"/>
        <v>1</v>
      </c>
      <c r="F74" s="372">
        <f t="shared" ca="1" si="736"/>
        <v>-84</v>
      </c>
      <c r="G74" s="587">
        <f>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ref="AAH74:AAH78" si="738">G74</f>
        <v>41379</v>
      </c>
      <c r="AAI74" s="77"/>
      <c r="AAJ74" s="56"/>
      <c r="AAK74" s="56"/>
      <c r="AAL74" s="65"/>
      <c r="AAM74" s="112"/>
      <c r="AAN74"/>
      <c r="AAT74" s="23"/>
      <c r="AAU74" s="44"/>
    </row>
    <row r="75" spans="1:732" ht="15.75" hidden="1" customHeight="1" outlineLevel="2">
      <c r="A75" s="558"/>
      <c r="B75" s="364" t="s">
        <v>74</v>
      </c>
      <c r="C75" s="168"/>
      <c r="D75" s="371" t="s">
        <v>391</v>
      </c>
      <c r="E75" s="368">
        <f t="shared" si="735"/>
        <v>1</v>
      </c>
      <c r="F75" s="372">
        <f t="shared" ca="1" si="736"/>
        <v>-84</v>
      </c>
      <c r="G75" s="587">
        <f t="shared" ref="G75:G78" si="739">AAG75</f>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G74</f>
        <v>41379</v>
      </c>
      <c r="AAH75" s="78">
        <f t="shared" si="738"/>
        <v>41379</v>
      </c>
      <c r="AAI75" s="77"/>
      <c r="AAJ75" s="56"/>
      <c r="AAK75" s="56"/>
      <c r="AAL75" s="65"/>
      <c r="AAM75" s="112"/>
      <c r="AAN75"/>
      <c r="AAT75" s="23"/>
      <c r="AAU75" s="44"/>
    </row>
    <row r="76" spans="1:732" ht="15.75" hidden="1" customHeight="1" outlineLevel="2">
      <c r="A76" s="558"/>
      <c r="B76" s="364" t="s">
        <v>74</v>
      </c>
      <c r="C76" s="168"/>
      <c r="D76" s="371" t="s">
        <v>391</v>
      </c>
      <c r="E76" s="368">
        <f t="shared" si="735"/>
        <v>1</v>
      </c>
      <c r="F76" s="372">
        <f t="shared" ca="1" si="736"/>
        <v>-84</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ref="AAG76:AAG78" si="740">G75</f>
        <v>41379</v>
      </c>
      <c r="AAH76" s="78">
        <f t="shared" si="738"/>
        <v>41379</v>
      </c>
      <c r="AAI76" s="77"/>
      <c r="AAJ76" s="56"/>
      <c r="AAK76" s="56"/>
      <c r="AAL76" s="65"/>
      <c r="AAM76" s="112"/>
      <c r="AAN76"/>
      <c r="AAT76" s="23"/>
      <c r="AAU76" s="44"/>
    </row>
    <row r="77" spans="1:732" ht="15.75" hidden="1" customHeight="1" outlineLevel="2">
      <c r="A77" s="558"/>
      <c r="B77" s="364" t="s">
        <v>74</v>
      </c>
      <c r="C77" s="168"/>
      <c r="D77" s="371" t="s">
        <v>391</v>
      </c>
      <c r="E77" s="368">
        <f t="shared" si="735"/>
        <v>1</v>
      </c>
      <c r="F77" s="372">
        <f t="shared" ca="1" si="736"/>
        <v>-84</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hidden="1" customHeight="1" outlineLevel="2">
      <c r="A78" s="558"/>
      <c r="B78" s="362" t="s">
        <v>15</v>
      </c>
      <c r="C78" s="168"/>
      <c r="D78" s="371" t="s">
        <v>391</v>
      </c>
      <c r="E78" s="368">
        <f t="shared" si="735"/>
        <v>1</v>
      </c>
      <c r="F78" s="372">
        <f t="shared" ca="1" si="736"/>
        <v>-84</v>
      </c>
      <c r="G78" s="587">
        <f t="shared" si="739"/>
        <v>41379</v>
      </c>
      <c r="H78" s="369">
        <f t="shared" si="737"/>
        <v>41379</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 t="shared" si="740"/>
        <v>41379</v>
      </c>
      <c r="AAH78" s="78">
        <f t="shared" si="738"/>
        <v>41379</v>
      </c>
      <c r="AAI78" s="77"/>
      <c r="AAJ78" s="56"/>
      <c r="AAK78" s="56"/>
      <c r="AAL78" s="65"/>
      <c r="AAM78" s="112"/>
      <c r="AAN78"/>
      <c r="AAT78" s="23"/>
      <c r="AAU78" s="44"/>
    </row>
    <row r="79" spans="1:732" ht="15.75" customHeight="1" outlineLevel="1" collapsed="1">
      <c r="A79" s="558"/>
      <c r="B79" s="362" t="s">
        <v>264</v>
      </c>
      <c r="C79" s="168"/>
      <c r="D79" s="371" t="s">
        <v>391</v>
      </c>
      <c r="E79" s="368">
        <f t="shared" si="735"/>
        <v>1</v>
      </c>
      <c r="F79" s="372">
        <f t="shared" ca="1" si="736"/>
        <v>39</v>
      </c>
      <c r="G79" s="536">
        <f>AAG79</f>
        <v>41548</v>
      </c>
      <c r="H79" s="537">
        <f>AAH79</f>
        <v>41548</v>
      </c>
      <c r="I79" s="627"/>
      <c r="J79" s="59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88"/>
      <c r="AAD79" s="112"/>
      <c r="AAE79" s="552">
        <f t="shared" si="734"/>
        <v>1</v>
      </c>
      <c r="AAF79" s="583"/>
      <c r="AAG79" s="78">
        <f>S.SubmitNoticeToEPA</f>
        <v>41548</v>
      </c>
      <c r="AAH79" s="78">
        <f>S.SubmitNoticeToEPA</f>
        <v>41548</v>
      </c>
      <c r="AAI79" s="77"/>
      <c r="AAJ79" s="56"/>
      <c r="AAK79" s="56"/>
      <c r="AAL79" s="65"/>
      <c r="AAM79" s="112"/>
      <c r="AAN79"/>
      <c r="AAT79" s="23"/>
      <c r="AAU79" s="44"/>
    </row>
    <row r="80" spans="1:732" ht="6" customHeight="1">
      <c r="A80" s="558"/>
      <c r="B80" s="365"/>
      <c r="C80" s="702"/>
      <c r="D80" s="164"/>
      <c r="E80" s="165"/>
      <c r="F80" s="165"/>
      <c r="G80" s="164"/>
      <c r="H80" s="164"/>
      <c r="I80" s="588"/>
      <c r="J80" s="633"/>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18"/>
      <c r="ZZ80" s="36"/>
      <c r="AAA80" s="588"/>
      <c r="AAD80" s="112"/>
      <c r="AAE80" s="551" t="s">
        <v>26</v>
      </c>
      <c r="AAF80" s="583" t="s">
        <v>174</v>
      </c>
      <c r="AAG80" s="76"/>
      <c r="AAH80" s="76"/>
      <c r="AAI80" s="77"/>
      <c r="AAJ80" s="56"/>
      <c r="AAK80" s="56"/>
      <c r="AAL80" s="65"/>
      <c r="AAM80" s="112"/>
      <c r="AAN80"/>
      <c r="AAT80" s="23"/>
      <c r="AAU80" s="44"/>
    </row>
    <row r="81" spans="1:732" s="23" customFormat="1" ht="18" customHeight="1">
      <c r="A81" s="558"/>
      <c r="B81" s="749" t="str">
        <f>AAL19</f>
        <v>2-Advisory Committee NOT involved</v>
      </c>
      <c r="C81" s="749"/>
      <c r="D81" s="749"/>
      <c r="E81" s="749"/>
      <c r="F81" s="749"/>
      <c r="G81" s="749"/>
      <c r="H81" s="149" t="s">
        <v>0</v>
      </c>
      <c r="I81" s="627"/>
      <c r="J81" s="63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27</v>
      </c>
      <c r="AAF81" s="583" t="s">
        <v>174</v>
      </c>
      <c r="AAG81" s="112"/>
      <c r="AAH81" s="112"/>
      <c r="AAI81" s="77"/>
      <c r="AAJ81" s="90"/>
      <c r="AAK81" s="90"/>
      <c r="AAL81" s="65"/>
      <c r="AAM81" s="112"/>
      <c r="AAU81" s="44"/>
    </row>
    <row r="82" spans="1:732" s="23" customFormat="1" ht="18" customHeight="1">
      <c r="A82" s="558"/>
      <c r="B82" s="234" t="s">
        <v>15</v>
      </c>
      <c r="C82" s="703"/>
      <c r="D82" s="150" t="s">
        <v>241</v>
      </c>
      <c r="E82" s="151" t="s">
        <v>15</v>
      </c>
      <c r="F82" s="235" t="s">
        <v>2</v>
      </c>
      <c r="G82" s="152" t="s">
        <v>248</v>
      </c>
      <c r="H82" s="152" t="s">
        <v>86</v>
      </c>
      <c r="I82" s="627"/>
      <c r="J82" s="593"/>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19"/>
      <c r="ZZ82" s="119"/>
      <c r="AAA82" s="588"/>
      <c r="AAB82"/>
      <c r="AAC82"/>
      <c r="AAD82" s="112"/>
      <c r="AAE82" s="551" t="s">
        <v>245</v>
      </c>
      <c r="AAF82" s="583" t="s">
        <v>174</v>
      </c>
      <c r="AAG82" s="112"/>
      <c r="AAH82" s="112"/>
      <c r="AAI82" s="77"/>
      <c r="AAJ82" s="90"/>
      <c r="AAK82" s="90"/>
      <c r="AAL82" s="65"/>
      <c r="AAM82" s="112"/>
      <c r="AAU82" s="44"/>
    </row>
    <row r="83" spans="1:732" ht="18" customHeight="1">
      <c r="A83" s="558"/>
      <c r="B83" s="23" t="s">
        <v>0</v>
      </c>
      <c r="C83" s="704"/>
      <c r="D83" s="236" t="s">
        <v>0</v>
      </c>
      <c r="E83" s="236"/>
      <c r="F83" s="373">
        <f>NETWORKDAYS(G83,S.BANNER.AdvisoryCommitteeEnd,S.DDL_DEQClosed)</f>
        <v>1</v>
      </c>
      <c r="G83" s="237">
        <f>S.BANNER.AdvisoryCommitteeStart</f>
        <v>41369</v>
      </c>
      <c r="H83" s="237">
        <f>S.BANNER.AdvisoryCommitteeEnd</f>
        <v>41369</v>
      </c>
      <c r="I83" s="627"/>
      <c r="J83" s="629"/>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5"/>
      <c r="DM83" s="635"/>
      <c r="DN83" s="635"/>
      <c r="DO83" s="635"/>
      <c r="DP83" s="635"/>
      <c r="DQ83" s="635"/>
      <c r="DR83" s="635"/>
      <c r="DS83" s="635"/>
      <c r="DT83" s="635"/>
      <c r="DU83" s="635"/>
      <c r="DV83" s="635"/>
      <c r="DW83" s="635"/>
      <c r="DX83" s="635"/>
      <c r="DY83" s="635"/>
      <c r="DZ83" s="635"/>
      <c r="EA83" s="635"/>
      <c r="EB83" s="635"/>
      <c r="EC83" s="635"/>
      <c r="ED83" s="635"/>
      <c r="EE83" s="635"/>
      <c r="EF83" s="635"/>
      <c r="EG83" s="635"/>
      <c r="EH83" s="635"/>
      <c r="EI83" s="635"/>
      <c r="EJ83" s="635"/>
      <c r="EK83" s="635"/>
      <c r="EL83" s="635"/>
      <c r="EM83" s="635"/>
      <c r="EN83" s="635"/>
      <c r="EO83" s="635"/>
      <c r="EP83" s="635"/>
      <c r="EQ83" s="635"/>
      <c r="ER83" s="635"/>
      <c r="ES83" s="635"/>
      <c r="ET83" s="635"/>
      <c r="EU83" s="635"/>
      <c r="EV83" s="635"/>
      <c r="EW83" s="635"/>
      <c r="EX83" s="635"/>
      <c r="EY83" s="635"/>
      <c r="EZ83" s="635"/>
      <c r="FA83" s="635"/>
      <c r="FB83" s="635"/>
      <c r="FC83" s="635"/>
      <c r="FD83" s="635"/>
      <c r="FE83" s="635"/>
      <c r="FF83" s="635"/>
      <c r="FG83" s="635"/>
      <c r="FH83" s="635"/>
      <c r="FI83" s="635"/>
      <c r="FJ83" s="635"/>
      <c r="FK83" s="635"/>
      <c r="FL83" s="635"/>
      <c r="FM83" s="635"/>
      <c r="FN83" s="635"/>
      <c r="FO83" s="635"/>
      <c r="FP83" s="635"/>
      <c r="FQ83" s="635"/>
      <c r="FR83" s="635"/>
      <c r="FS83" s="635"/>
      <c r="FT83" s="635"/>
      <c r="FU83" s="635"/>
      <c r="FV83" s="635"/>
      <c r="FW83" s="635"/>
      <c r="FX83" s="635"/>
      <c r="FY83" s="635"/>
      <c r="FZ83" s="635"/>
      <c r="GA83" s="635"/>
      <c r="GB83" s="635"/>
      <c r="GC83" s="635"/>
      <c r="GD83" s="635"/>
      <c r="GE83" s="635"/>
      <c r="GF83" s="635"/>
      <c r="GG83" s="635"/>
      <c r="GH83" s="635"/>
      <c r="GI83" s="635"/>
      <c r="GJ83" s="635"/>
      <c r="GK83" s="635"/>
      <c r="GL83" s="635"/>
      <c r="GM83" s="635"/>
      <c r="GN83" s="635"/>
      <c r="GO83" s="635"/>
      <c r="GP83" s="635"/>
      <c r="GQ83" s="635"/>
      <c r="GR83" s="635"/>
      <c r="GS83" s="635"/>
      <c r="GT83" s="635"/>
      <c r="GU83" s="635"/>
      <c r="GV83" s="635"/>
      <c r="GW83" s="635"/>
      <c r="GX83" s="635"/>
      <c r="GY83" s="635"/>
      <c r="GZ83" s="635"/>
      <c r="HA83" s="635"/>
      <c r="HB83" s="635"/>
      <c r="HC83" s="635"/>
      <c r="HD83" s="635"/>
      <c r="HE83" s="635"/>
      <c r="HF83" s="635"/>
      <c r="HG83" s="635"/>
      <c r="HH83" s="635"/>
      <c r="HI83" s="635"/>
      <c r="HJ83" s="635"/>
      <c r="HK83" s="635"/>
      <c r="HL83" s="635"/>
      <c r="HM83" s="635"/>
      <c r="HN83" s="635"/>
      <c r="HO83" s="635"/>
      <c r="HP83" s="635"/>
      <c r="HQ83" s="635"/>
      <c r="HR83" s="635"/>
      <c r="HS83" s="635"/>
      <c r="HT83" s="635"/>
      <c r="HU83" s="635"/>
      <c r="HV83" s="635"/>
      <c r="HW83" s="635"/>
      <c r="HX83" s="635"/>
      <c r="HY83" s="635"/>
      <c r="HZ83" s="635"/>
      <c r="IA83" s="635"/>
      <c r="IB83" s="635"/>
      <c r="IC83" s="635"/>
      <c r="ID83" s="635"/>
      <c r="IE83" s="635"/>
      <c r="IF83" s="635"/>
      <c r="IG83" s="635"/>
      <c r="IH83" s="635"/>
      <c r="II83" s="635"/>
      <c r="IJ83" s="635"/>
      <c r="IK83" s="635"/>
      <c r="IL83" s="635"/>
      <c r="IM83" s="635"/>
      <c r="IN83" s="635"/>
      <c r="IO83" s="635"/>
      <c r="IP83" s="635"/>
      <c r="IQ83" s="635"/>
      <c r="IR83" s="635"/>
      <c r="IS83" s="635"/>
      <c r="IT83" s="635"/>
      <c r="IU83" s="635"/>
      <c r="IV83" s="635"/>
      <c r="IW83" s="635"/>
      <c r="IX83" s="635"/>
      <c r="IY83" s="635"/>
      <c r="IZ83" s="635"/>
      <c r="JA83" s="635"/>
      <c r="JB83" s="635"/>
      <c r="JC83" s="635"/>
      <c r="JD83" s="635"/>
      <c r="JE83" s="635"/>
      <c r="JF83" s="635"/>
      <c r="JG83" s="635"/>
      <c r="JH83" s="635"/>
      <c r="JI83" s="635"/>
      <c r="JJ83" s="635"/>
      <c r="JK83" s="635"/>
      <c r="JL83" s="635"/>
      <c r="JM83" s="635"/>
      <c r="JN83" s="635"/>
      <c r="JO83" s="635"/>
      <c r="JP83" s="635"/>
      <c r="JQ83" s="635"/>
      <c r="JR83" s="635"/>
      <c r="JS83" s="635"/>
      <c r="JT83" s="635"/>
      <c r="JU83" s="635"/>
      <c r="JV83" s="635"/>
      <c r="JW83" s="635"/>
      <c r="JX83" s="635"/>
      <c r="JY83" s="635"/>
      <c r="JZ83" s="635"/>
      <c r="KA83" s="635"/>
      <c r="KB83" s="635"/>
      <c r="KC83" s="635"/>
      <c r="KD83" s="635"/>
      <c r="KE83" s="635"/>
      <c r="KF83" s="635"/>
      <c r="KG83" s="635"/>
      <c r="KH83" s="635"/>
      <c r="KI83" s="635"/>
      <c r="KJ83" s="635"/>
      <c r="KK83" s="635"/>
      <c r="KL83" s="635"/>
      <c r="KM83" s="635"/>
      <c r="KN83" s="635"/>
      <c r="KO83" s="635"/>
      <c r="KP83" s="635"/>
      <c r="KQ83" s="635"/>
      <c r="KR83" s="635"/>
      <c r="KS83" s="635"/>
      <c r="KT83" s="635"/>
      <c r="KU83" s="635"/>
      <c r="KV83" s="635"/>
      <c r="KW83" s="635"/>
      <c r="KX83" s="635"/>
      <c r="KY83" s="635"/>
      <c r="KZ83" s="635"/>
      <c r="LA83" s="635"/>
      <c r="LB83" s="635"/>
      <c r="LC83" s="635"/>
      <c r="LD83" s="635"/>
      <c r="LE83" s="635"/>
      <c r="LF83" s="635"/>
      <c r="LG83" s="635"/>
      <c r="LH83" s="635"/>
      <c r="LI83" s="635"/>
      <c r="LJ83" s="635"/>
      <c r="LK83" s="635"/>
      <c r="LL83" s="635"/>
      <c r="LM83" s="635"/>
      <c r="LN83" s="635"/>
      <c r="LO83" s="635"/>
      <c r="LP83" s="635"/>
      <c r="LQ83" s="635"/>
      <c r="LR83" s="635"/>
      <c r="LS83" s="635"/>
      <c r="LT83" s="635"/>
      <c r="LU83" s="635"/>
      <c r="LV83" s="635"/>
      <c r="LW83" s="635"/>
      <c r="LX83" s="635"/>
      <c r="LY83" s="635"/>
      <c r="LZ83" s="635"/>
      <c r="MA83" s="635"/>
      <c r="MB83" s="635"/>
      <c r="MC83" s="635"/>
      <c r="MD83" s="635"/>
      <c r="ME83" s="635"/>
      <c r="MF83" s="635"/>
      <c r="MG83" s="635"/>
      <c r="MH83" s="635"/>
      <c r="MI83" s="635"/>
      <c r="MJ83" s="635"/>
      <c r="MK83" s="635"/>
      <c r="ML83" s="635"/>
      <c r="MM83" s="635"/>
      <c r="MN83" s="635"/>
      <c r="MO83" s="635"/>
      <c r="MP83" s="635"/>
      <c r="MQ83" s="635"/>
      <c r="MR83" s="635"/>
      <c r="MS83" s="635"/>
      <c r="MT83" s="635"/>
      <c r="MU83" s="635"/>
      <c r="MV83" s="635"/>
      <c r="MW83" s="635"/>
      <c r="MX83" s="635"/>
      <c r="MY83" s="635"/>
      <c r="MZ83" s="635"/>
      <c r="NA83" s="635"/>
      <c r="NB83" s="635"/>
      <c r="NC83" s="635"/>
      <c r="ND83" s="635"/>
      <c r="NE83" s="635"/>
      <c r="NF83" s="635"/>
      <c r="NG83" s="635"/>
      <c r="NH83" s="635"/>
      <c r="NI83" s="635"/>
      <c r="NJ83" s="635"/>
      <c r="NK83" s="635"/>
      <c r="NL83" s="635"/>
      <c r="NM83" s="635"/>
      <c r="NN83" s="635"/>
      <c r="NO83" s="635"/>
      <c r="NP83" s="635"/>
      <c r="NQ83" s="635"/>
      <c r="NR83" s="635"/>
      <c r="NS83" s="635"/>
      <c r="NT83" s="635"/>
      <c r="NU83" s="635"/>
      <c r="NV83" s="635"/>
      <c r="NW83" s="635"/>
      <c r="NX83" s="635"/>
      <c r="NY83" s="635"/>
      <c r="NZ83" s="635"/>
      <c r="OA83" s="635"/>
      <c r="OB83" s="635"/>
      <c r="OC83" s="635"/>
      <c r="OD83" s="635"/>
      <c r="OE83" s="635"/>
      <c r="OF83" s="635"/>
      <c r="OG83" s="635"/>
      <c r="OH83" s="635"/>
      <c r="OI83" s="635"/>
      <c r="OJ83" s="635"/>
      <c r="OK83" s="635"/>
      <c r="OL83" s="635"/>
      <c r="OM83" s="635"/>
      <c r="ON83" s="635"/>
      <c r="OO83" s="635"/>
      <c r="OP83" s="635"/>
      <c r="OQ83" s="635"/>
      <c r="OR83" s="635"/>
      <c r="OS83" s="635"/>
      <c r="OT83" s="635"/>
      <c r="OU83" s="635"/>
      <c r="OV83" s="635"/>
      <c r="OW83" s="635"/>
      <c r="OX83" s="635"/>
      <c r="OY83" s="635"/>
      <c r="OZ83" s="635"/>
      <c r="PA83" s="635"/>
      <c r="PB83" s="635"/>
      <c r="PC83" s="635"/>
      <c r="PD83" s="635"/>
      <c r="PE83" s="635"/>
      <c r="PF83" s="635"/>
      <c r="PG83" s="635"/>
      <c r="PH83" s="635"/>
      <c r="PI83" s="635"/>
      <c r="PJ83" s="635"/>
      <c r="PK83" s="635"/>
      <c r="PL83" s="635"/>
      <c r="PM83" s="635"/>
      <c r="PN83" s="635"/>
      <c r="PO83" s="635"/>
      <c r="PP83" s="635"/>
      <c r="PQ83" s="635"/>
      <c r="PR83" s="635"/>
      <c r="PS83" s="635"/>
      <c r="PT83" s="635"/>
      <c r="PU83" s="635"/>
      <c r="PV83" s="635"/>
      <c r="PW83" s="635"/>
      <c r="PX83" s="635"/>
      <c r="PY83" s="635"/>
      <c r="PZ83" s="635"/>
      <c r="QA83" s="635"/>
      <c r="QB83" s="635"/>
      <c r="QC83" s="635"/>
      <c r="QD83" s="635"/>
      <c r="QE83" s="635"/>
      <c r="QF83" s="635"/>
      <c r="QG83" s="635"/>
      <c r="QH83" s="635"/>
      <c r="QI83" s="635"/>
      <c r="QJ83" s="635"/>
      <c r="QK83" s="635"/>
      <c r="QL83" s="635"/>
      <c r="QM83" s="635"/>
      <c r="QN83" s="635"/>
      <c r="QO83" s="635"/>
      <c r="QP83" s="635"/>
      <c r="QQ83" s="635"/>
      <c r="QR83" s="635"/>
      <c r="QS83" s="635"/>
      <c r="QT83" s="635"/>
      <c r="QU83" s="635"/>
      <c r="QV83" s="635"/>
      <c r="QW83" s="635"/>
      <c r="QX83" s="635"/>
      <c r="QY83" s="635"/>
      <c r="QZ83" s="635"/>
      <c r="RA83" s="635"/>
      <c r="RB83" s="635"/>
      <c r="RC83" s="635"/>
      <c r="RD83" s="635"/>
      <c r="RE83" s="635"/>
      <c r="RF83" s="635"/>
      <c r="RG83" s="635"/>
      <c r="RH83" s="635"/>
      <c r="RI83" s="635"/>
      <c r="RJ83" s="635"/>
      <c r="RK83" s="635"/>
      <c r="RL83" s="635"/>
      <c r="RM83" s="635"/>
      <c r="RN83" s="635"/>
      <c r="RO83" s="635"/>
      <c r="RP83" s="635"/>
      <c r="RQ83" s="635"/>
      <c r="RR83" s="635"/>
      <c r="RS83" s="635"/>
      <c r="RT83" s="635"/>
      <c r="RU83" s="635"/>
      <c r="RV83" s="635"/>
      <c r="RW83" s="635"/>
      <c r="RX83" s="635"/>
      <c r="RY83" s="635"/>
      <c r="RZ83" s="635"/>
      <c r="SA83" s="635"/>
      <c r="SB83" s="635"/>
      <c r="SC83" s="635"/>
      <c r="SD83" s="635"/>
      <c r="SE83" s="635"/>
      <c r="SF83" s="635"/>
      <c r="SG83" s="635"/>
      <c r="SH83" s="635"/>
      <c r="SI83" s="635"/>
      <c r="SJ83" s="635"/>
      <c r="SK83" s="635"/>
      <c r="SL83" s="635"/>
      <c r="SM83" s="635"/>
      <c r="SN83" s="635"/>
      <c r="SO83" s="635"/>
      <c r="SP83" s="635"/>
      <c r="SQ83" s="635"/>
      <c r="SR83" s="635"/>
      <c r="SS83" s="635"/>
      <c r="ST83" s="635"/>
      <c r="SU83" s="635"/>
      <c r="SV83" s="635"/>
      <c r="SW83" s="635"/>
      <c r="SX83" s="635"/>
      <c r="SY83" s="635"/>
      <c r="SZ83" s="635"/>
      <c r="TA83" s="635"/>
      <c r="TB83" s="635"/>
      <c r="TC83" s="635"/>
      <c r="TD83" s="635"/>
      <c r="TE83" s="635"/>
      <c r="TF83" s="635"/>
      <c r="TG83" s="635"/>
      <c r="TH83" s="635"/>
      <c r="TI83" s="635"/>
      <c r="TJ83" s="635"/>
      <c r="TK83" s="635"/>
      <c r="TL83" s="635"/>
      <c r="TM83" s="635"/>
      <c r="TN83" s="635"/>
      <c r="TO83" s="635"/>
      <c r="TP83" s="635"/>
      <c r="TQ83" s="635"/>
      <c r="TR83" s="635"/>
      <c r="TS83" s="635"/>
      <c r="TT83" s="635"/>
      <c r="TU83" s="635"/>
      <c r="TV83" s="635"/>
      <c r="TW83" s="635"/>
      <c r="TX83" s="635"/>
      <c r="TY83" s="635"/>
      <c r="TZ83" s="635"/>
      <c r="UA83" s="635"/>
      <c r="UB83" s="635"/>
      <c r="UC83" s="635"/>
      <c r="UD83" s="635"/>
      <c r="UE83" s="635"/>
      <c r="UF83" s="635"/>
      <c r="UG83" s="635"/>
      <c r="UH83" s="635"/>
      <c r="UI83" s="635"/>
      <c r="UJ83" s="635"/>
      <c r="UK83" s="635"/>
      <c r="UL83" s="635"/>
      <c r="UM83" s="635"/>
      <c r="UN83" s="635"/>
      <c r="UO83" s="635"/>
      <c r="UP83" s="635"/>
      <c r="UQ83" s="635"/>
      <c r="UR83" s="635"/>
      <c r="US83" s="635"/>
      <c r="UT83" s="635"/>
      <c r="UU83" s="635"/>
      <c r="UV83" s="635"/>
      <c r="UW83" s="635"/>
      <c r="UX83" s="635"/>
      <c r="UY83" s="635"/>
      <c r="UZ83" s="635"/>
      <c r="VA83" s="635"/>
      <c r="VB83" s="635"/>
      <c r="VC83" s="635"/>
      <c r="VD83" s="635"/>
      <c r="VE83" s="635"/>
      <c r="VF83" s="635"/>
      <c r="VG83" s="635"/>
      <c r="VH83" s="635"/>
      <c r="VI83" s="635"/>
      <c r="VJ83" s="635"/>
      <c r="VK83" s="635"/>
      <c r="VL83" s="635"/>
      <c r="VM83" s="635"/>
      <c r="VN83" s="635"/>
      <c r="VO83" s="635"/>
      <c r="VP83" s="635"/>
      <c r="VQ83" s="635"/>
      <c r="VR83" s="635"/>
      <c r="VS83" s="635"/>
      <c r="VT83" s="635"/>
      <c r="VU83" s="635"/>
      <c r="VV83" s="635"/>
      <c r="VW83" s="635"/>
      <c r="VX83" s="635"/>
      <c r="VY83" s="635"/>
      <c r="VZ83" s="635"/>
      <c r="WA83" s="635"/>
      <c r="WB83" s="635"/>
      <c r="WC83" s="635"/>
      <c r="WD83" s="635"/>
      <c r="WE83" s="635"/>
      <c r="WF83" s="635"/>
      <c r="WG83" s="635"/>
      <c r="WH83" s="635"/>
      <c r="WI83" s="635"/>
      <c r="WJ83" s="635"/>
      <c r="WK83" s="635"/>
      <c r="WL83" s="635"/>
      <c r="WM83" s="635"/>
      <c r="WN83" s="635"/>
      <c r="WO83" s="635"/>
      <c r="WP83" s="635"/>
      <c r="WQ83" s="635"/>
      <c r="WR83" s="635"/>
      <c r="WS83" s="635"/>
      <c r="WT83" s="635"/>
      <c r="WU83" s="635"/>
      <c r="WV83" s="635"/>
      <c r="WW83" s="635"/>
      <c r="WX83" s="635"/>
      <c r="WY83" s="635"/>
      <c r="WZ83" s="635"/>
      <c r="XA83" s="635"/>
      <c r="XB83" s="635"/>
      <c r="XC83" s="635"/>
      <c r="XD83" s="635"/>
      <c r="XE83" s="635"/>
      <c r="XF83" s="635"/>
      <c r="XG83" s="635"/>
      <c r="XH83" s="635"/>
      <c r="XI83" s="635"/>
      <c r="XJ83" s="635"/>
      <c r="XK83" s="635"/>
      <c r="XL83" s="635"/>
      <c r="XM83" s="635"/>
      <c r="XN83" s="635"/>
      <c r="XO83" s="635"/>
      <c r="XP83" s="635"/>
      <c r="XQ83" s="635"/>
      <c r="XR83" s="635"/>
      <c r="XS83" s="635"/>
      <c r="XT83" s="635"/>
      <c r="XU83" s="635"/>
      <c r="XV83" s="635"/>
      <c r="XW83" s="635"/>
      <c r="XX83" s="635"/>
      <c r="XY83" s="635"/>
      <c r="XZ83" s="635"/>
      <c r="YA83" s="635"/>
      <c r="YB83" s="635"/>
      <c r="YC83" s="635"/>
      <c r="YD83" s="635"/>
      <c r="YE83" s="635"/>
      <c r="YF83" s="635"/>
      <c r="YG83" s="635"/>
      <c r="YH83" s="635"/>
      <c r="YI83" s="635"/>
      <c r="YJ83" s="635"/>
      <c r="YK83" s="635"/>
      <c r="YL83" s="635"/>
      <c r="YM83" s="635"/>
      <c r="YN83" s="635"/>
      <c r="YO83" s="635"/>
      <c r="YP83" s="635"/>
      <c r="YQ83" s="635"/>
      <c r="YR83" s="635"/>
      <c r="YS83" s="635"/>
      <c r="YT83" s="635"/>
      <c r="YU83" s="635"/>
      <c r="YV83" s="635"/>
      <c r="YW83" s="635"/>
      <c r="YX83" s="635"/>
      <c r="YY83" s="635"/>
      <c r="YZ83" s="635"/>
      <c r="ZA83" s="635"/>
      <c r="ZB83" s="635"/>
      <c r="ZC83" s="635"/>
      <c r="ZD83" s="635"/>
      <c r="ZE83" s="635"/>
      <c r="ZF83" s="635"/>
      <c r="ZG83" s="635"/>
      <c r="ZH83" s="635"/>
      <c r="ZI83" s="635"/>
      <c r="ZJ83" s="635"/>
      <c r="ZK83" s="635"/>
      <c r="ZL83" s="635"/>
      <c r="ZM83" s="635"/>
      <c r="ZN83" s="635"/>
      <c r="ZO83" s="635"/>
      <c r="ZP83" s="635"/>
      <c r="ZQ83" s="635"/>
      <c r="ZR83" s="635"/>
      <c r="ZS83" s="635"/>
      <c r="ZT83" s="635"/>
      <c r="ZU83" s="635"/>
      <c r="ZV83" s="635"/>
      <c r="ZW83" s="635"/>
      <c r="ZX83" s="635"/>
      <c r="ZY83" s="638"/>
      <c r="ZZ83" s="119"/>
      <c r="AAA83" s="588"/>
      <c r="AAD83" s="112"/>
      <c r="AAE83" s="551" t="s">
        <v>245</v>
      </c>
      <c r="AAF83" s="583" t="s">
        <v>174</v>
      </c>
      <c r="AAG83" s="78">
        <f>S.BANNER.AdvisoryCommitteeStart</f>
        <v>41369</v>
      </c>
      <c r="AAH83" s="78">
        <f>S.BANNER.AdvisoryCommitteeEnd</f>
        <v>41369</v>
      </c>
      <c r="AAI83" s="63"/>
      <c r="AAJ83" s="79"/>
      <c r="AAK83" s="79"/>
      <c r="AAL83" s="65"/>
      <c r="AAM83" s="112"/>
      <c r="AAN83"/>
      <c r="AAT83" s="23"/>
      <c r="AAU83" s="44"/>
    </row>
    <row r="84" spans="1:732" ht="6" customHeight="1">
      <c r="A84" s="558"/>
      <c r="B84" s="206"/>
      <c r="C84" s="688"/>
      <c r="D84" s="180"/>
      <c r="E84" s="181"/>
      <c r="F84" s="181"/>
      <c r="G84" s="180"/>
      <c r="H84" s="180"/>
      <c r="I84" s="588"/>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588"/>
      <c r="AAD84" s="112"/>
      <c r="AAE84" s="552" t="s">
        <v>20</v>
      </c>
      <c r="AAF84" s="583" t="s">
        <v>174</v>
      </c>
      <c r="AAG84" s="63"/>
      <c r="AAH84" s="63"/>
      <c r="AAI84" s="63"/>
      <c r="AAJ84" s="56"/>
      <c r="AAK84" s="56"/>
      <c r="AAL84" s="65"/>
      <c r="AAM84" s="112"/>
      <c r="AAN84"/>
      <c r="AAT84" s="23"/>
      <c r="AAU84" s="44"/>
    </row>
    <row r="85" spans="1:732" s="23" customFormat="1" ht="15.75" hidden="1" customHeight="1" outlineLevel="1">
      <c r="A85" s="558"/>
      <c r="B85" s="375" t="s">
        <v>349</v>
      </c>
      <c r="C85" s="231" t="s">
        <v>69</v>
      </c>
      <c r="D85" s="386"/>
      <c r="E85" s="681"/>
      <c r="F85" s="682"/>
      <c r="G85" s="681"/>
      <c r="H85" s="681"/>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617"/>
      <c r="ZZ85" s="622"/>
      <c r="AAA85" s="588"/>
      <c r="AAD85" s="112"/>
      <c r="AAE85" s="552">
        <f t="shared" ref="AAE85:AAE117" si="741">IF(S.InvolveCommittee=TRUE,1,0)</f>
        <v>0</v>
      </c>
      <c r="AAF85" s="583" t="s">
        <v>174</v>
      </c>
      <c r="AAG85" s="39"/>
      <c r="AAH85" s="39" t="s">
        <v>0</v>
      </c>
      <c r="AAI85" s="77"/>
      <c r="AAJ85" s="77"/>
      <c r="AAK85" s="77"/>
      <c r="AAL85" s="65"/>
      <c r="AAM85" s="112"/>
      <c r="AAU85" s="44"/>
    </row>
    <row r="86" spans="1:732" ht="15.75" hidden="1" customHeight="1" outlineLevel="1">
      <c r="A86" s="558"/>
      <c r="B86" s="375" t="s">
        <v>316</v>
      </c>
      <c r="C86" s="672" t="s">
        <v>69</v>
      </c>
      <c r="D86" s="308" t="s">
        <v>359</v>
      </c>
      <c r="E86" s="653">
        <f t="shared" ref="E86:E98" si="742">NETWORKDAYS(G86,H86,S.DDL_DEQClosed)</f>
        <v>1</v>
      </c>
      <c r="F86" s="654">
        <f t="shared" ref="F86:F98" ca="1" si="743">NETWORKDAYS(TODAY(),H86)</f>
        <v>-90</v>
      </c>
      <c r="G86" s="655">
        <f t="shared" ref="G86:H127" si="744">AAG86</f>
        <v>41369</v>
      </c>
      <c r="H86" s="526">
        <f t="shared" si="744"/>
        <v>41369</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f t="shared" si="741"/>
        <v>0</v>
      </c>
      <c r="AAF86" s="112" t="s">
        <v>0</v>
      </c>
      <c r="AAG86" s="78">
        <f>AAG83</f>
        <v>41369</v>
      </c>
      <c r="AAH86" s="78">
        <f>G86</f>
        <v>41369</v>
      </c>
      <c r="AAI86" s="77"/>
      <c r="AAJ86" s="77"/>
      <c r="AAK86" s="77"/>
      <c r="AAL86" s="65"/>
      <c r="AAM86" s="112"/>
      <c r="AAN86"/>
      <c r="AAT86" s="23"/>
      <c r="AAU86" s="44"/>
    </row>
    <row r="87" spans="1:732" s="23" customFormat="1" ht="15.75" hidden="1" customHeight="1" outlineLevel="1">
      <c r="A87" s="558"/>
      <c r="B87" s="387" t="s">
        <v>358</v>
      </c>
      <c r="C87" s="168"/>
      <c r="D87" s="384"/>
      <c r="E87" s="368"/>
      <c r="F87" s="492"/>
      <c r="G87" s="383"/>
      <c r="H87" s="369"/>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v>1</v>
      </c>
      <c r="AAF87" s="112"/>
      <c r="AAG87" s="78"/>
      <c r="AAH87" s="78"/>
      <c r="AAI87" s="63"/>
      <c r="AAJ87" s="56"/>
      <c r="AAK87" s="56"/>
      <c r="AAL87" s="65"/>
      <c r="AAM87" s="112"/>
      <c r="AAU87" s="44"/>
    </row>
    <row r="88" spans="1:732" ht="15.75" hidden="1" customHeight="1" outlineLevel="1">
      <c r="A88" s="558"/>
      <c r="B88" s="348" t="s">
        <v>367</v>
      </c>
      <c r="C88" s="674" t="s">
        <v>120</v>
      </c>
      <c r="D88" s="385" t="s">
        <v>359</v>
      </c>
      <c r="E88" s="368"/>
      <c r="F88" s="492">
        <f ca="1">NETWORKDAYS(TODAY(),H88)</f>
        <v>-90</v>
      </c>
      <c r="G88" s="383">
        <f>AAG88</f>
        <v>41369</v>
      </c>
      <c r="H88" s="369">
        <f>AAH88</f>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H104</f>
        <v>41369</v>
      </c>
      <c r="AAH88" s="78">
        <f>G88</f>
        <v>41369</v>
      </c>
      <c r="AAI88" s="63"/>
      <c r="AAJ88" s="56"/>
      <c r="AAK88" s="56"/>
      <c r="AAL88" s="39"/>
      <c r="AAM88" s="112"/>
      <c r="AAN88"/>
      <c r="AAT88" s="23"/>
      <c r="AAU88" s="44"/>
    </row>
    <row r="89" spans="1:732" ht="15.75" hidden="1" customHeight="1" outlineLevel="1">
      <c r="A89" s="558"/>
      <c r="B89" s="348" t="s">
        <v>368</v>
      </c>
      <c r="C89" s="706" t="s">
        <v>175</v>
      </c>
      <c r="D89" s="385" t="s">
        <v>359</v>
      </c>
      <c r="E89" s="368">
        <f t="shared" ref="E89" si="745">NETWORKDAYS(G89,H89,S.DDL_DEQClosed)</f>
        <v>1</v>
      </c>
      <c r="F89" s="492">
        <f ca="1">NETWORKDAYS(TODAY(),H89)</f>
        <v>-90</v>
      </c>
      <c r="G89" s="383">
        <f t="shared" ref="G89:H89" si="746">AAG89</f>
        <v>41369</v>
      </c>
      <c r="H89" s="369">
        <f t="shared" si="746"/>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D89" s="112"/>
      <c r="AAE89" s="552">
        <f t="shared" si="741"/>
        <v>0</v>
      </c>
      <c r="AAF89" s="112" t="s">
        <v>0</v>
      </c>
      <c r="AAG89" s="78">
        <f>H88</f>
        <v>41369</v>
      </c>
      <c r="AAH89" s="78">
        <f>G89</f>
        <v>41369</v>
      </c>
      <c r="AAI89" s="63"/>
      <c r="AAJ89" s="56"/>
      <c r="AAK89" s="56"/>
      <c r="AAL89" s="39"/>
      <c r="AAM89" s="112"/>
      <c r="AAN89"/>
      <c r="AAT89" s="23"/>
      <c r="AAU89" s="44"/>
    </row>
    <row r="90" spans="1:732" s="23" customFormat="1" ht="15" hidden="1" customHeight="1" outlineLevel="1">
      <c r="A90" s="558"/>
      <c r="B90" s="731" t="s">
        <v>357</v>
      </c>
      <c r="C90" s="706" t="s">
        <v>175</v>
      </c>
      <c r="D90" s="308" t="s">
        <v>359</v>
      </c>
      <c r="E90" s="368">
        <f t="shared" ref="E90" si="747">NETWORKDAYS(G90,H90,S.DDL_DEQClosed)</f>
        <v>1</v>
      </c>
      <c r="F90" s="492">
        <f t="shared" ref="F90" ca="1" si="748">NETWORKDAYS(TODAY(),H90)</f>
        <v>-90</v>
      </c>
      <c r="G90" s="383">
        <f t="shared" ref="G90" si="749">AAG90</f>
        <v>41369</v>
      </c>
      <c r="H90" s="369">
        <f t="shared" ref="H90" si="750">AAH90</f>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B90"/>
      <c r="AAC90"/>
      <c r="AAD90" s="112"/>
      <c r="AAE90" s="552">
        <f t="shared" si="741"/>
        <v>0</v>
      </c>
      <c r="AAF90" s="112" t="s">
        <v>0</v>
      </c>
      <c r="AAG90" s="78">
        <f>H105</f>
        <v>41369</v>
      </c>
      <c r="AAH90" s="78">
        <f>G90</f>
        <v>41369</v>
      </c>
      <c r="AAI90" s="63"/>
      <c r="AAJ90" s="56"/>
      <c r="AAK90" s="56"/>
      <c r="AAL90" s="39"/>
      <c r="AAM90" s="112"/>
      <c r="AAU90" s="44"/>
      <c r="AAV90"/>
      <c r="AAW90"/>
      <c r="AAX90"/>
      <c r="AAY90"/>
      <c r="AAZ90"/>
      <c r="ABA90"/>
      <c r="ABB90"/>
      <c r="ABC90"/>
      <c r="ABD90"/>
    </row>
    <row r="91" spans="1:732" ht="15.75" hidden="1" customHeight="1" outlineLevel="1">
      <c r="A91" s="558"/>
      <c r="B91" s="374" t="s">
        <v>350</v>
      </c>
      <c r="C91"/>
      <c r="D91" s="308" t="s">
        <v>359</v>
      </c>
      <c r="E91" s="368">
        <f t="shared" si="742"/>
        <v>1</v>
      </c>
      <c r="F91" s="492">
        <f t="shared" ca="1" si="743"/>
        <v>-90</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H86</f>
        <v>41369</v>
      </c>
      <c r="AAH91" s="78">
        <f t="shared" ref="AAH91:AAH98" si="751">G91</f>
        <v>41369</v>
      </c>
      <c r="AAI91" s="77"/>
      <c r="AAJ91" s="77"/>
      <c r="AAK91" s="77"/>
      <c r="AAL91" s="65"/>
      <c r="AAM91" s="112"/>
      <c r="AAN91"/>
      <c r="AAT91" s="23"/>
      <c r="AAU91" s="44"/>
    </row>
    <row r="92" spans="1:732" ht="15.75" hidden="1" customHeight="1" outlineLevel="1">
      <c r="A92" s="558"/>
      <c r="B92" s="375" t="s">
        <v>66</v>
      </c>
      <c r="C92" s="168"/>
      <c r="D92" s="308" t="s">
        <v>157</v>
      </c>
      <c r="E92" s="368">
        <f t="shared" si="742"/>
        <v>1</v>
      </c>
      <c r="F92" s="492">
        <f t="shared" ca="1" si="743"/>
        <v>-90</v>
      </c>
      <c r="G92" s="383">
        <f t="shared" si="744"/>
        <v>41369</v>
      </c>
      <c r="H92" s="369">
        <f t="shared" si="744"/>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 t="shared" ref="AAG92:AAG98" si="752">H91</f>
        <v>41369</v>
      </c>
      <c r="AAH92" s="78">
        <f t="shared" si="751"/>
        <v>41369</v>
      </c>
      <c r="AAI92" s="77"/>
      <c r="AAJ92" s="77"/>
      <c r="AAK92" s="77"/>
      <c r="AAL92" s="65"/>
      <c r="AAM92" s="112"/>
      <c r="AAN92"/>
      <c r="AAT92" s="23"/>
      <c r="AAU92" s="44"/>
    </row>
    <row r="93" spans="1:732" ht="15.75" hidden="1" customHeight="1" outlineLevel="1">
      <c r="A93" s="558"/>
      <c r="B93" s="680" t="s">
        <v>351</v>
      </c>
      <c r="C93" s="239"/>
      <c r="D93" s="308" t="s">
        <v>359</v>
      </c>
      <c r="E93" s="368">
        <f>NETWORKDAYS(G93,H93,S.DDL_DEQClosed)</f>
        <v>1</v>
      </c>
      <c r="F93" s="492">
        <f ca="1">NETWORKDAYS(TODAY(),H93)</f>
        <v>-90</v>
      </c>
      <c r="G93" s="383">
        <f>AAG93</f>
        <v>41369</v>
      </c>
      <c r="H93" s="369">
        <f>AAH93</f>
        <v>41369</v>
      </c>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8"/>
      <c r="AAD93" s="112"/>
      <c r="AAE93" s="552">
        <f t="shared" si="741"/>
        <v>0</v>
      </c>
      <c r="AAF93" s="112" t="s">
        <v>0</v>
      </c>
      <c r="AAG93" s="78">
        <f>H92</f>
        <v>41369</v>
      </c>
      <c r="AAH93" s="78">
        <f>G93</f>
        <v>41369</v>
      </c>
      <c r="AAI93" s="77"/>
      <c r="AAJ93" s="77"/>
      <c r="AAK93" s="77"/>
      <c r="AAL93" s="65"/>
      <c r="AAM93" s="112"/>
      <c r="AAN93"/>
      <c r="AAT93" s="23"/>
      <c r="AAU93" s="44"/>
    </row>
    <row r="94" spans="1:732" ht="15.75" hidden="1" customHeight="1" outlineLevel="1">
      <c r="A94" s="558"/>
      <c r="B94" s="376" t="s">
        <v>60</v>
      </c>
      <c r="C94" s="166"/>
      <c r="D94" s="386"/>
      <c r="E94" s="122"/>
      <c r="F94" s="505"/>
      <c r="G94" s="122"/>
      <c r="H94" s="122"/>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617"/>
      <c r="ZZ94" s="622"/>
      <c r="AAA94" s="588"/>
      <c r="AAD94" s="112"/>
      <c r="AAE94" s="552">
        <f t="shared" si="741"/>
        <v>0</v>
      </c>
      <c r="AAF94" s="583" t="s">
        <v>174</v>
      </c>
      <c r="AAG94" s="39"/>
      <c r="AAH94" s="39" t="s">
        <v>0</v>
      </c>
      <c r="AAI94" s="77"/>
      <c r="AAJ94" s="77"/>
      <c r="AAK94" s="77"/>
      <c r="AAL94" s="65"/>
      <c r="AAM94" s="112"/>
      <c r="AAN94"/>
      <c r="AAT94" s="23"/>
      <c r="AAU94" s="44"/>
    </row>
    <row r="95" spans="1:732" ht="15.75" hidden="1" customHeight="1" outlineLevel="1">
      <c r="A95" s="558"/>
      <c r="B95" s="377" t="s">
        <v>352</v>
      </c>
      <c r="C95" s="672" t="s">
        <v>69</v>
      </c>
      <c r="D95" s="308" t="s">
        <v>151</v>
      </c>
      <c r="E95" s="368">
        <f t="shared" si="742"/>
        <v>1</v>
      </c>
      <c r="F95" s="492">
        <f t="shared" ca="1" si="743"/>
        <v>-90</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H93</f>
        <v>41369</v>
      </c>
      <c r="AAH95" s="78">
        <f>G95</f>
        <v>41369</v>
      </c>
      <c r="AAI95" s="77"/>
      <c r="AAJ95" s="77"/>
      <c r="AAK95" s="77"/>
      <c r="AAL95" s="65"/>
      <c r="AAM95" s="112"/>
      <c r="AAN95"/>
      <c r="AAT95" s="23"/>
      <c r="AAU95" s="44"/>
    </row>
    <row r="96" spans="1:732" ht="15.75" hidden="1" customHeight="1" outlineLevel="1">
      <c r="A96" s="558"/>
      <c r="B96" s="377" t="s">
        <v>353</v>
      </c>
      <c r="C96" s="239"/>
      <c r="D96" s="308" t="s">
        <v>364</v>
      </c>
      <c r="E96" s="368">
        <f t="shared" si="742"/>
        <v>1</v>
      </c>
      <c r="F96" s="492">
        <f t="shared" ca="1" si="743"/>
        <v>-90</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7" t="s">
        <v>354</v>
      </c>
      <c r="C97" s="239"/>
      <c r="D97" s="308" t="s">
        <v>151</v>
      </c>
      <c r="E97" s="368">
        <f t="shared" si="742"/>
        <v>1</v>
      </c>
      <c r="F97" s="492">
        <f t="shared" ca="1" si="743"/>
        <v>-90</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15.75" hidden="1" customHeight="1" outlineLevel="1">
      <c r="A98" s="558"/>
      <c r="B98" s="378" t="s">
        <v>197</v>
      </c>
      <c r="C98" s="239"/>
      <c r="D98" s="308" t="s">
        <v>359</v>
      </c>
      <c r="E98" s="368">
        <f t="shared" si="742"/>
        <v>1</v>
      </c>
      <c r="F98" s="492">
        <f t="shared" ca="1" si="743"/>
        <v>-90</v>
      </c>
      <c r="G98" s="383">
        <f t="shared" si="744"/>
        <v>41369</v>
      </c>
      <c r="H98" s="369">
        <f t="shared" si="744"/>
        <v>41369</v>
      </c>
      <c r="I98" s="588"/>
      <c r="J98" s="47"/>
      <c r="K98" s="591"/>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8"/>
      <c r="AAD98" s="112"/>
      <c r="AAE98" s="552">
        <f t="shared" si="741"/>
        <v>0</v>
      </c>
      <c r="AAF98" s="112" t="s">
        <v>0</v>
      </c>
      <c r="AAG98" s="78">
        <f t="shared" si="752"/>
        <v>41369</v>
      </c>
      <c r="AAH98" s="78">
        <f t="shared" si="751"/>
        <v>41369</v>
      </c>
      <c r="AAI98" s="77"/>
      <c r="AAJ98" s="77"/>
      <c r="AAK98" s="77"/>
      <c r="AAL98" s="65"/>
      <c r="AAM98" s="112"/>
      <c r="AAN98"/>
      <c r="AAT98" s="23"/>
      <c r="AAU98" s="44"/>
    </row>
    <row r="99" spans="1:732" ht="81.75" hidden="1" customHeight="1" outlineLevel="1">
      <c r="A99" s="558"/>
      <c r="B99" s="748" t="s">
        <v>343</v>
      </c>
      <c r="C99" s="748"/>
      <c r="D99" s="748"/>
      <c r="E99" s="748"/>
      <c r="F99" s="748"/>
      <c r="G99" s="748"/>
      <c r="H99" s="748"/>
      <c r="I99" s="588"/>
      <c r="J99" s="50"/>
      <c r="K99" s="59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618"/>
      <c r="ZZ99" s="36"/>
      <c r="AAA99" s="588"/>
      <c r="AAD99" s="112"/>
      <c r="AAE99" s="552">
        <f t="shared" si="741"/>
        <v>0</v>
      </c>
      <c r="AAF99" s="583" t="s">
        <v>174</v>
      </c>
      <c r="AAG99" s="76"/>
      <c r="AAH99" s="76"/>
      <c r="AAI99" s="76"/>
      <c r="AAJ99" s="57"/>
      <c r="AAK99" s="57"/>
      <c r="AAL99" s="40"/>
      <c r="AAM99" s="112"/>
      <c r="AAN99"/>
      <c r="AAT99" s="23"/>
      <c r="AAU99" s="44"/>
    </row>
    <row r="100" spans="1:732" ht="15.75" hidden="1" customHeight="1" outlineLevel="1">
      <c r="A100" s="558"/>
      <c r="B100" s="240" t="s">
        <v>21</v>
      </c>
      <c r="C100" s="705"/>
      <c r="D100" s="241"/>
      <c r="E100" s="242"/>
      <c r="F100" s="242"/>
      <c r="G100" s="241"/>
      <c r="H100" s="241"/>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617"/>
      <c r="ZZ100" s="622"/>
      <c r="AAA100" s="588"/>
      <c r="AAD100" s="112"/>
      <c r="AAE100" s="552">
        <f t="shared" si="741"/>
        <v>0</v>
      </c>
      <c r="AAF100" s="583" t="s">
        <v>174</v>
      </c>
      <c r="AAG100" s="63"/>
      <c r="AAH100" s="63"/>
      <c r="AAI100" s="63"/>
      <c r="AAJ100" s="56"/>
      <c r="AAK100" s="56"/>
      <c r="AAL100" s="39"/>
      <c r="AAM100" s="112"/>
      <c r="AAN100"/>
      <c r="AAT100" s="23"/>
      <c r="AAU100" s="44"/>
    </row>
    <row r="101" spans="1:732" ht="15.75" hidden="1" customHeight="1" outlineLevel="1">
      <c r="A101" s="558"/>
      <c r="B101" s="387" t="s">
        <v>337</v>
      </c>
      <c r="C101" s="168"/>
      <c r="D101" s="308" t="s">
        <v>380</v>
      </c>
      <c r="E101" s="368">
        <f t="shared" ref="E101:E109" si="753">NETWORKDAYS(G101,H101,S.DDL_DEQClosed)</f>
        <v>1</v>
      </c>
      <c r="F101" s="492">
        <f t="shared" ref="F101:F109" ca="1" si="754">NETWORKDAYS(TODAY(),H101)</f>
        <v>-90</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H98</f>
        <v>41369</v>
      </c>
      <c r="AAH101" s="78">
        <f>G101</f>
        <v>41369</v>
      </c>
      <c r="AAI101" s="63"/>
      <c r="AAJ101" s="56"/>
      <c r="AAK101" s="56"/>
      <c r="AAL101" s="39"/>
      <c r="AAM101" s="112"/>
      <c r="AAN101"/>
      <c r="AAT101" s="23"/>
      <c r="AAU101" s="44"/>
      <c r="AAV101" s="23"/>
      <c r="AAW101" s="23"/>
      <c r="AAX101" s="23"/>
      <c r="AAY101" s="23"/>
      <c r="AAZ101" s="23"/>
      <c r="ABA101" s="23"/>
      <c r="ABB101" s="23"/>
      <c r="ABC101" s="23"/>
      <c r="ABD101" s="23"/>
    </row>
    <row r="102" spans="1:732" ht="15.75" hidden="1" customHeight="1" outlineLevel="1">
      <c r="A102" s="558"/>
      <c r="B102" s="387" t="s">
        <v>317</v>
      </c>
      <c r="C102" s="168"/>
      <c r="D102" s="384" t="s">
        <v>381</v>
      </c>
      <c r="E102" s="368">
        <f t="shared" si="753"/>
        <v>1</v>
      </c>
      <c r="F102" s="492">
        <f t="shared" ca="1" si="754"/>
        <v>-90</v>
      </c>
      <c r="G102" s="383">
        <f t="shared" si="744"/>
        <v>41369</v>
      </c>
      <c r="H102" s="369">
        <f t="shared" si="744"/>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D102" s="112"/>
      <c r="AAE102" s="552">
        <f t="shared" si="741"/>
        <v>0</v>
      </c>
      <c r="AAF102" s="112" t="s">
        <v>0</v>
      </c>
      <c r="AAG102" s="78">
        <f>H101</f>
        <v>41369</v>
      </c>
      <c r="AAH102" s="78">
        <f>G102</f>
        <v>41369</v>
      </c>
      <c r="AAI102" s="63"/>
      <c r="AAJ102" s="56"/>
      <c r="AAK102" s="56"/>
      <c r="AAL102" s="39"/>
      <c r="AAM102" s="112"/>
      <c r="AAN102"/>
      <c r="AAT102" s="23"/>
      <c r="AAU102" s="44"/>
    </row>
    <row r="103" spans="1:732" s="23" customFormat="1" ht="15.75" hidden="1" customHeight="1" outlineLevel="1">
      <c r="A103" s="558"/>
      <c r="B103" s="387" t="s">
        <v>192</v>
      </c>
      <c r="C103" s="672" t="s">
        <v>69</v>
      </c>
      <c r="D103" s="308" t="s">
        <v>157</v>
      </c>
      <c r="E103" s="368"/>
      <c r="F103" s="492">
        <f t="shared" ref="F103" ca="1" si="755">NETWORKDAYS(TODAY(),H103)</f>
        <v>-90</v>
      </c>
      <c r="G103" s="383">
        <f>AAG103</f>
        <v>41369</v>
      </c>
      <c r="H103" s="369">
        <f>AAH103</f>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B103"/>
      <c r="AAC103"/>
      <c r="AAD103" s="112"/>
      <c r="AAE103" s="552">
        <f t="shared" si="741"/>
        <v>0</v>
      </c>
      <c r="AAF103" s="112" t="s">
        <v>0</v>
      </c>
      <c r="AAG103" s="78">
        <f>H102</f>
        <v>41369</v>
      </c>
      <c r="AAH103" s="78">
        <f t="shared" ref="AAH103:AAH107" si="756">G103</f>
        <v>41369</v>
      </c>
      <c r="AAI103" s="63"/>
      <c r="AAJ103" s="56"/>
      <c r="AAK103" s="56"/>
      <c r="AAL103" s="39"/>
      <c r="AAM103" s="112"/>
      <c r="AAU103" s="44"/>
      <c r="AAV103"/>
      <c r="AAW103"/>
      <c r="AAX103"/>
      <c r="AAY103"/>
      <c r="AAZ103"/>
      <c r="ABA103"/>
      <c r="ABB103"/>
      <c r="ABC103"/>
      <c r="ABD103"/>
    </row>
    <row r="104" spans="1:732" ht="15.75" hidden="1" customHeight="1" outlineLevel="1">
      <c r="A104" s="558"/>
      <c r="B104" s="387" t="s">
        <v>198</v>
      </c>
      <c r="C104" s="168"/>
      <c r="D104" s="384" t="s">
        <v>381</v>
      </c>
      <c r="E104" s="368">
        <f t="shared" si="753"/>
        <v>1</v>
      </c>
      <c r="F104" s="492">
        <f t="shared" ca="1" si="754"/>
        <v>-90</v>
      </c>
      <c r="G104" s="383">
        <f t="shared" si="744"/>
        <v>41369</v>
      </c>
      <c r="H104" s="369">
        <f t="shared" si="744"/>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H103</f>
        <v>41369</v>
      </c>
      <c r="AAH104" s="78">
        <f t="shared" si="756"/>
        <v>41369</v>
      </c>
      <c r="AAI104" s="63"/>
      <c r="AAJ104" s="56"/>
      <c r="AAK104" s="56"/>
      <c r="AAL104" s="65" t="s">
        <v>0</v>
      </c>
      <c r="AAM104" s="112"/>
      <c r="AAN104"/>
      <c r="AAT104" s="23"/>
      <c r="AAU104" s="44"/>
    </row>
    <row r="105" spans="1:732" ht="15" hidden="1" customHeight="1" outlineLevel="1">
      <c r="A105" s="558"/>
      <c r="B105" s="375" t="s">
        <v>123</v>
      </c>
      <c r="C105" s="675" t="s">
        <v>88</v>
      </c>
      <c r="D105" s="308" t="s">
        <v>359</v>
      </c>
      <c r="E105" s="368">
        <f>NETWORKDAYS(G105,H105,S.DDL_DEQClosed)</f>
        <v>1</v>
      </c>
      <c r="F105" s="492">
        <f ca="1">NETWORKDAYS(TODAY(),H105)</f>
        <v>-90</v>
      </c>
      <c r="G105" s="383">
        <f>AAG105</f>
        <v>41369</v>
      </c>
      <c r="H105" s="369">
        <f>AAH105</f>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H107</f>
        <v>41369</v>
      </c>
      <c r="AAH105" s="78">
        <f>G105</f>
        <v>41369</v>
      </c>
      <c r="AAI105" s="63"/>
      <c r="AAJ105" s="56"/>
      <c r="AAK105" s="56"/>
      <c r="AAL105" s="39"/>
      <c r="AAM105" s="112"/>
      <c r="AAN105"/>
      <c r="AAT105" s="23"/>
      <c r="AAU105" s="44"/>
    </row>
    <row r="106" spans="1:732" ht="15.75" hidden="1" customHeight="1" outlineLevel="1">
      <c r="A106" s="558"/>
      <c r="B106" s="375" t="s">
        <v>356</v>
      </c>
      <c r="C106" s="168"/>
      <c r="D106" s="308" t="s">
        <v>158</v>
      </c>
      <c r="E106" s="368">
        <f t="shared" si="753"/>
        <v>1</v>
      </c>
      <c r="F106" s="492">
        <f t="shared" ca="1" si="754"/>
        <v>-90</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H89</f>
        <v>41369</v>
      </c>
      <c r="AAH106" s="78">
        <f t="shared" si="756"/>
        <v>41369</v>
      </c>
      <c r="AAI106" s="63"/>
      <c r="AAJ106" s="56"/>
      <c r="AAK106" s="56"/>
      <c r="AAL106" s="39"/>
      <c r="AAM106" s="112"/>
      <c r="AAN106"/>
      <c r="AAT106" s="23"/>
      <c r="AAU106" s="44"/>
    </row>
    <row r="107" spans="1:732" ht="15" hidden="1" customHeight="1" outlineLevel="1">
      <c r="A107" s="558"/>
      <c r="B107" s="343" t="s">
        <v>193</v>
      </c>
      <c r="C107" s="168"/>
      <c r="D107" s="308" t="s">
        <v>157</v>
      </c>
      <c r="E107" s="368">
        <f t="shared" si="753"/>
        <v>1</v>
      </c>
      <c r="F107" s="492">
        <f t="shared" ca="1" si="754"/>
        <v>-90</v>
      </c>
      <c r="G107" s="383">
        <f t="shared" si="744"/>
        <v>41369</v>
      </c>
      <c r="H107" s="369">
        <f t="shared" si="744"/>
        <v>41369</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8"/>
      <c r="AAD107" s="112"/>
      <c r="AAE107" s="552">
        <f t="shared" si="741"/>
        <v>0</v>
      </c>
      <c r="AAF107" s="112" t="s">
        <v>0</v>
      </c>
      <c r="AAG107" s="78">
        <f t="shared" ref="AAG107" si="757">H106</f>
        <v>41369</v>
      </c>
      <c r="AAH107" s="78">
        <f t="shared" si="756"/>
        <v>41369</v>
      </c>
      <c r="AAI107" s="63"/>
      <c r="AAJ107" s="56"/>
      <c r="AAK107" s="56"/>
      <c r="AAL107" s="39"/>
      <c r="AAM107" s="112"/>
      <c r="AAN107"/>
      <c r="AAT107" s="23"/>
      <c r="AAU107" s="44"/>
      <c r="AAV107" s="23"/>
      <c r="AAW107" s="23"/>
      <c r="AAX107" s="23"/>
      <c r="AAY107" s="23"/>
      <c r="AAZ107" s="23"/>
      <c r="ABA107" s="23"/>
      <c r="ABB107" s="23"/>
      <c r="ABC107" s="23"/>
      <c r="ABD107" s="23"/>
    </row>
    <row r="108" spans="1:732" ht="18" hidden="1" customHeight="1" outlineLevel="1">
      <c r="A108" s="558"/>
      <c r="B108" s="244" t="s">
        <v>59</v>
      </c>
      <c r="C108" s="168"/>
      <c r="D108" s="778"/>
      <c r="E108" s="778"/>
      <c r="F108" s="778"/>
      <c r="G108" s="399">
        <f ca="1">TODAY()</f>
        <v>41494</v>
      </c>
      <c r="H108" s="399" t="s">
        <v>191</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7"/>
      <c r="ZZ108" s="622"/>
      <c r="AAA108" s="588"/>
      <c r="AAD108" s="112"/>
      <c r="AAE108" s="552">
        <f t="shared" si="741"/>
        <v>0</v>
      </c>
      <c r="AAF108" s="583" t="s">
        <v>174</v>
      </c>
      <c r="AAG108" s="39" t="s">
        <v>0</v>
      </c>
      <c r="AAH108" s="39" t="s">
        <v>0</v>
      </c>
      <c r="AAI108" s="39"/>
      <c r="AAJ108" s="56"/>
      <c r="AAK108" s="56"/>
      <c r="AAL108" s="39"/>
      <c r="AAM108" s="112"/>
      <c r="AAN108"/>
      <c r="AAT108" s="23"/>
      <c r="AAU108" s="44"/>
    </row>
    <row r="109" spans="1:732" ht="15" hidden="1" customHeight="1" outlineLevel="2">
      <c r="A109" s="558"/>
      <c r="B109" s="375" t="s">
        <v>56</v>
      </c>
      <c r="C109" s="347"/>
      <c r="D109" s="308" t="s">
        <v>359</v>
      </c>
      <c r="E109" s="368">
        <f t="shared" si="753"/>
        <v>1</v>
      </c>
      <c r="F109" s="492">
        <f t="shared" ca="1" si="754"/>
        <v>-90</v>
      </c>
      <c r="G109" s="383">
        <f t="shared" si="744"/>
        <v>41369</v>
      </c>
      <c r="H109" s="369">
        <f t="shared" si="744"/>
        <v>41369</v>
      </c>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8"/>
      <c r="AAD109" s="112"/>
      <c r="AAE109" s="552">
        <f t="shared" si="741"/>
        <v>0</v>
      </c>
      <c r="AAF109" s="112"/>
      <c r="AAG109" s="78">
        <f>H105</f>
        <v>41369</v>
      </c>
      <c r="AAH109" s="78">
        <f t="shared" ref="AAH109" si="758">G109</f>
        <v>41369</v>
      </c>
      <c r="AAI109" s="63"/>
      <c r="AAJ109" s="56"/>
      <c r="AAK109" s="56"/>
      <c r="AAL109" s="39"/>
      <c r="AAM109" s="112"/>
      <c r="AAN109"/>
      <c r="AAT109" s="23"/>
      <c r="AAU109" s="44"/>
    </row>
    <row r="110" spans="1:732" ht="15" hidden="1" customHeight="1" outlineLevel="2">
      <c r="A110" s="558"/>
      <c r="B110" s="376" t="s">
        <v>55</v>
      </c>
      <c r="C110" s="389"/>
      <c r="D110" s="397"/>
      <c r="E110" s="400"/>
      <c r="F110" s="400"/>
      <c r="G110" s="356"/>
      <c r="H110" s="401"/>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617"/>
      <c r="ZZ110" s="622"/>
      <c r="AAA110" s="588"/>
      <c r="AAD110" s="112"/>
      <c r="AAE110" s="552">
        <f t="shared" si="741"/>
        <v>0</v>
      </c>
      <c r="AAF110" s="583" t="s">
        <v>174</v>
      </c>
      <c r="AAG110" s="63"/>
      <c r="AAH110" s="76"/>
      <c r="AAI110" s="76"/>
      <c r="AAJ110" s="56"/>
      <c r="AAK110" s="56"/>
      <c r="AAL110" s="39"/>
      <c r="AAM110" s="112"/>
      <c r="AAN110"/>
      <c r="AAT110" s="23"/>
      <c r="AAU110" s="44"/>
    </row>
    <row r="111" spans="1:732" ht="15" hidden="1" customHeight="1" outlineLevel="2">
      <c r="A111" s="558"/>
      <c r="B111" s="377" t="str">
        <f ca="1">"Draft AGENDA."&amp;TEXT($G$108,"mm.dd.yy")&amp;""</f>
        <v>Draft AGENDA.08.08.13</v>
      </c>
      <c r="C111" s="231" t="s">
        <v>69</v>
      </c>
      <c r="D111" s="308" t="s">
        <v>54</v>
      </c>
      <c r="E111" s="368">
        <f t="shared" ref="E111:E122" si="759">NETWORKDAYS(G111,H111,S.DDL_DEQClosed)</f>
        <v>1</v>
      </c>
      <c r="F111" s="492">
        <f t="shared" ref="F111:F122" ca="1" si="760">NETWORKDAYS(TODAY(),H111)</f>
        <v>-90</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H109</f>
        <v>41369</v>
      </c>
      <c r="AAH111" s="78">
        <f>G111</f>
        <v>41369</v>
      </c>
      <c r="AAI111" s="77"/>
      <c r="AAJ111" s="79"/>
      <c r="AAK111" s="79"/>
      <c r="AAL111" s="89" t="str">
        <f>"Draft "&amp;S.CodeName&amp;"AGENDA.mm.dd.yyyy.2.00"</f>
        <v>Draft AGENDA.mm.dd.yyyy.2.00</v>
      </c>
      <c r="AAM111" s="112"/>
      <c r="AAN111"/>
      <c r="AAT111" s="23"/>
      <c r="AAU111" s="44"/>
    </row>
    <row r="112" spans="1:732" ht="15" hidden="1" customHeight="1" outlineLevel="2">
      <c r="A112" s="558"/>
      <c r="B112" s="391" t="s">
        <v>196</v>
      </c>
      <c r="C112" s="390"/>
      <c r="D112" s="308" t="s">
        <v>54</v>
      </c>
      <c r="E112" s="368">
        <f t="shared" si="759"/>
        <v>1</v>
      </c>
      <c r="F112" s="492">
        <f t="shared" ca="1" si="760"/>
        <v>-90</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ref="AAH112:AAH122" si="761">G112</f>
        <v>41369</v>
      </c>
      <c r="AAI112" s="63"/>
      <c r="AAJ112" s="56"/>
      <c r="AAK112" s="56"/>
      <c r="AAL112" s="56"/>
      <c r="AAM112" s="112"/>
      <c r="AAN112"/>
      <c r="AAT112" s="23"/>
      <c r="AAU112" s="44"/>
    </row>
    <row r="113" spans="1:732" ht="15" hidden="1" customHeight="1" outlineLevel="2">
      <c r="A113" s="558"/>
      <c r="B113" s="391" t="s">
        <v>196</v>
      </c>
      <c r="C113" s="390"/>
      <c r="D113" s="308" t="s">
        <v>54</v>
      </c>
      <c r="E113" s="368">
        <f t="shared" si="759"/>
        <v>1</v>
      </c>
      <c r="F113" s="492">
        <f t="shared" ca="1" si="760"/>
        <v>-90</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row>
    <row r="114" spans="1:732" ht="15" hidden="1" customHeight="1" outlineLevel="2">
      <c r="A114" s="558"/>
      <c r="B114" s="391" t="s">
        <v>196</v>
      </c>
      <c r="C114" s="390"/>
      <c r="D114" s="308" t="s">
        <v>54</v>
      </c>
      <c r="E114" s="368">
        <f t="shared" si="759"/>
        <v>1</v>
      </c>
      <c r="F114" s="492">
        <f t="shared" ca="1" si="760"/>
        <v>-90</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H113</f>
        <v>41369</v>
      </c>
      <c r="AAH114" s="78">
        <f t="shared" si="761"/>
        <v>41369</v>
      </c>
      <c r="AAI114" s="63"/>
      <c r="AAJ114" s="56"/>
      <c r="AAK114" s="56"/>
      <c r="AAL114" s="56"/>
      <c r="AAM114" s="112"/>
      <c r="AAN114"/>
      <c r="AAT114" s="23"/>
      <c r="AAU114" s="44"/>
      <c r="AAV114" s="23"/>
      <c r="AAW114" s="23"/>
      <c r="AAX114" s="23"/>
      <c r="AAY114" s="23"/>
      <c r="AAZ114" s="23"/>
      <c r="ABA114" s="23"/>
      <c r="ABB114" s="23"/>
      <c r="ABC114" s="23"/>
      <c r="ABD114" s="23"/>
    </row>
    <row r="115" spans="1:732" ht="15" hidden="1" customHeight="1" outlineLevel="2">
      <c r="A115" s="558"/>
      <c r="B115" s="391" t="s">
        <v>196</v>
      </c>
      <c r="C115" s="390"/>
      <c r="D115" s="308" t="s">
        <v>54</v>
      </c>
      <c r="E115" s="368">
        <f t="shared" si="759"/>
        <v>1</v>
      </c>
      <c r="F115" s="492">
        <f t="shared" ca="1" si="760"/>
        <v>-90</v>
      </c>
      <c r="G115" s="383">
        <f t="shared" si="744"/>
        <v>41369</v>
      </c>
      <c r="H115" s="369">
        <f t="shared" si="744"/>
        <v>41369</v>
      </c>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8"/>
      <c r="AAD115" s="112"/>
      <c r="AAE115" s="552">
        <f t="shared" si="741"/>
        <v>0</v>
      </c>
      <c r="AAF115" s="112" t="s">
        <v>0</v>
      </c>
      <c r="AAG115" s="78">
        <f t="shared" ref="AAG115:AAG120" si="762">H114</f>
        <v>41369</v>
      </c>
      <c r="AAH115" s="78">
        <f t="shared" si="761"/>
        <v>41369</v>
      </c>
      <c r="AAI115" s="63"/>
      <c r="AAJ115" s="56"/>
      <c r="AAK115" s="56"/>
      <c r="AAL115" s="56"/>
      <c r="AAM115" s="112"/>
      <c r="AAN115"/>
      <c r="AAT115" s="23"/>
      <c r="AAU115" s="44"/>
    </row>
    <row r="116" spans="1:732" s="23" customFormat="1" ht="15" hidden="1" customHeight="1" outlineLevel="2">
      <c r="A116" s="558"/>
      <c r="B116" s="392" t="s">
        <v>189</v>
      </c>
      <c r="C116" s="707"/>
      <c r="D116" s="398"/>
      <c r="E116" s="402"/>
      <c r="F116" s="402"/>
      <c r="G116" s="402"/>
      <c r="H116" s="402"/>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617"/>
      <c r="ZZ116" s="622"/>
      <c r="AAA116" s="588"/>
      <c r="AAB116"/>
      <c r="AAC116"/>
      <c r="AAD116" s="112"/>
      <c r="AAE116" s="552">
        <f t="shared" si="741"/>
        <v>0</v>
      </c>
      <c r="AAF116" s="583" t="s">
        <v>174</v>
      </c>
      <c r="AAG116" s="39"/>
      <c r="AAH116" s="39"/>
      <c r="AAI116" s="39"/>
      <c r="AAJ116" s="56"/>
      <c r="AAK116" s="56"/>
      <c r="AAL116" s="56"/>
      <c r="AAM116" s="112"/>
      <c r="AAU116" s="44"/>
    </row>
    <row r="117" spans="1:732" ht="15" hidden="1" customHeight="1" outlineLevel="2">
      <c r="A117" s="558"/>
      <c r="B117" s="393" t="str">
        <f ca="1">"Draft optional PRESENTATION."&amp;TEXT($G$108,"mm.dd.yy")&amp;""</f>
        <v>Draft optional PRESENTATION.08.08.13</v>
      </c>
      <c r="C117" s="231" t="s">
        <v>69</v>
      </c>
      <c r="D117" s="308" t="s">
        <v>54</v>
      </c>
      <c r="E117" s="368">
        <f t="shared" si="759"/>
        <v>1</v>
      </c>
      <c r="F117" s="492">
        <f t="shared" ca="1" si="760"/>
        <v>-90</v>
      </c>
      <c r="G117" s="383">
        <f t="shared" si="744"/>
        <v>41369</v>
      </c>
      <c r="H117" s="369">
        <f t="shared" si="744"/>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D117" s="112"/>
      <c r="AAE117" s="552">
        <f t="shared" si="741"/>
        <v>0</v>
      </c>
      <c r="AAF117" s="112" t="s">
        <v>0</v>
      </c>
      <c r="AAG117" s="78">
        <f>H115</f>
        <v>41369</v>
      </c>
      <c r="AAH117" s="78">
        <f t="shared" si="761"/>
        <v>41369</v>
      </c>
      <c r="AAI117" s="63"/>
      <c r="AAJ117" s="56"/>
      <c r="AAK117" s="56"/>
      <c r="AAL117" s="56"/>
      <c r="AAM117" s="112"/>
      <c r="AAN117"/>
      <c r="AAT117" s="23"/>
      <c r="AAU117" s="44"/>
    </row>
    <row r="118" spans="1:732" s="23" customFormat="1" ht="15" hidden="1" customHeight="1" outlineLevel="2">
      <c r="A118" s="558"/>
      <c r="B118" s="393" t="s">
        <v>200</v>
      </c>
      <c r="C118" s="390"/>
      <c r="D118" s="308" t="s">
        <v>54</v>
      </c>
      <c r="E118" s="368">
        <f t="shared" ref="E118" si="763">NETWORKDAYS(G118,H118,S.DDL_DEQClosed)</f>
        <v>1</v>
      </c>
      <c r="F118" s="492">
        <f t="shared" ref="F118" ca="1" si="764">NETWORKDAYS(TODAY(),H118)</f>
        <v>-90</v>
      </c>
      <c r="G118" s="383">
        <f t="shared" ref="G118" si="765">AAG118</f>
        <v>41369</v>
      </c>
      <c r="H118" s="369">
        <f t="shared" ref="H118" si="766">AAH118</f>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B118"/>
      <c r="AAC118"/>
      <c r="AAD118" s="112"/>
      <c r="AAE118" s="552">
        <f t="shared" ref="AAE118:AAE149" si="767">IF(S.InvolveCommittee=TRUE,1,0)</f>
        <v>0</v>
      </c>
      <c r="AAF118" s="112" t="s">
        <v>0</v>
      </c>
      <c r="AAG118" s="78">
        <f t="shared" ref="AAG118" si="768">H117</f>
        <v>41369</v>
      </c>
      <c r="AAH118" s="78">
        <f t="shared" ref="AAH118" si="769">G118</f>
        <v>41369</v>
      </c>
      <c r="AAI118" s="63"/>
      <c r="AAJ118" s="56"/>
      <c r="AAK118" s="56"/>
      <c r="AAL118" s="56"/>
      <c r="AAM118" s="112"/>
      <c r="AAU118" s="44"/>
      <c r="AAV118"/>
      <c r="AAW118"/>
      <c r="AAX118"/>
      <c r="AAY118"/>
      <c r="AAZ118"/>
      <c r="ABA118"/>
      <c r="ABB118"/>
      <c r="ABC118"/>
      <c r="ABD118"/>
    </row>
    <row r="119" spans="1:732" ht="15" hidden="1" customHeight="1" outlineLevel="2">
      <c r="A119" s="558"/>
      <c r="B119" s="393" t="s">
        <v>194</v>
      </c>
      <c r="C119" s="390"/>
      <c r="D119" s="308" t="s">
        <v>54</v>
      </c>
      <c r="E119" s="368">
        <f t="shared" si="759"/>
        <v>1</v>
      </c>
      <c r="F119" s="492">
        <f t="shared" ca="1" si="760"/>
        <v>-90</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H118</f>
        <v>41369</v>
      </c>
      <c r="AAH119" s="78">
        <f t="shared" si="761"/>
        <v>41369</v>
      </c>
      <c r="AAI119" s="63"/>
      <c r="AAJ119" s="56"/>
      <c r="AAK119" s="56"/>
      <c r="AAL119" s="56"/>
      <c r="AAM119" s="112"/>
      <c r="AAN119"/>
      <c r="AAT119" s="23"/>
      <c r="AAU119" s="44"/>
    </row>
    <row r="120" spans="1:732" ht="15" hidden="1" customHeight="1" outlineLevel="2">
      <c r="A120" s="558"/>
      <c r="B120" s="393" t="s">
        <v>195</v>
      </c>
      <c r="C120" s="390"/>
      <c r="D120" s="308" t="s">
        <v>54</v>
      </c>
      <c r="E120" s="368">
        <f t="shared" si="759"/>
        <v>1</v>
      </c>
      <c r="F120" s="492">
        <f t="shared" ca="1" si="760"/>
        <v>-90</v>
      </c>
      <c r="G120" s="383">
        <f t="shared" si="744"/>
        <v>41369</v>
      </c>
      <c r="H120" s="369">
        <f t="shared" si="744"/>
        <v>41369</v>
      </c>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8"/>
      <c r="AAD120" s="112"/>
      <c r="AAE120" s="552">
        <f t="shared" si="767"/>
        <v>0</v>
      </c>
      <c r="AAF120" s="112" t="s">
        <v>0</v>
      </c>
      <c r="AAG120" s="78">
        <f t="shared" si="762"/>
        <v>41369</v>
      </c>
      <c r="AAH120" s="78">
        <f t="shared" si="761"/>
        <v>41369</v>
      </c>
      <c r="AAI120" s="63"/>
      <c r="AAJ120" s="56"/>
      <c r="AAK120" s="56"/>
      <c r="AAL120" s="56"/>
      <c r="AAM120" s="112"/>
      <c r="AAN120"/>
      <c r="AAT120" s="23"/>
      <c r="AAU120" s="44"/>
    </row>
    <row r="121" spans="1:732" ht="15" hidden="1" customHeight="1" outlineLevel="2">
      <c r="A121" s="558"/>
      <c r="B121" s="394" t="s">
        <v>190</v>
      </c>
      <c r="C121" s="708"/>
      <c r="D121" s="386"/>
      <c r="E121" s="127"/>
      <c r="F121" s="127"/>
      <c r="G121" s="127"/>
      <c r="H121" s="127"/>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7"/>
      <c r="ZZ121" s="622"/>
      <c r="AAA121" s="588"/>
      <c r="AAD121" s="112"/>
      <c r="AAE121" s="552">
        <f t="shared" si="767"/>
        <v>0</v>
      </c>
      <c r="AAF121" s="583" t="s">
        <v>174</v>
      </c>
      <c r="AAG121" s="39"/>
      <c r="AAH121" s="39"/>
      <c r="AAI121" s="39"/>
      <c r="AAJ121" s="56"/>
      <c r="AAK121" s="56"/>
      <c r="AAL121" s="56"/>
      <c r="AAM121" s="112"/>
      <c r="AAN121"/>
      <c r="AAT121" s="23"/>
      <c r="AAU121" s="44"/>
    </row>
    <row r="122" spans="1:732" ht="15" hidden="1" customHeight="1" outlineLevel="2">
      <c r="A122" s="558"/>
      <c r="B122" s="377" t="str">
        <f ca="1">"Draft COMMITTEE.NOTICE."&amp;TEXT($G$108,"mm.dd.yy")&amp;""</f>
        <v>Draft COMMITTEE.NOTICE.08.08.13</v>
      </c>
      <c r="C122" s="390"/>
      <c r="D122" s="308" t="s">
        <v>151</v>
      </c>
      <c r="E122" s="368">
        <f t="shared" si="759"/>
        <v>1</v>
      </c>
      <c r="F122" s="492">
        <f t="shared" ca="1" si="760"/>
        <v>-90</v>
      </c>
      <c r="G122" s="383">
        <f t="shared" si="744"/>
        <v>41369</v>
      </c>
      <c r="H122" s="369">
        <f t="shared" si="744"/>
        <v>41369</v>
      </c>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8"/>
      <c r="AAD122" s="112"/>
      <c r="AAE122" s="552">
        <f t="shared" si="767"/>
        <v>0</v>
      </c>
      <c r="AAF122" s="112" t="s">
        <v>0</v>
      </c>
      <c r="AAG122" s="78">
        <f>H120</f>
        <v>41369</v>
      </c>
      <c r="AAH122" s="78">
        <f t="shared" si="761"/>
        <v>41369</v>
      </c>
      <c r="AAI122" s="77"/>
      <c r="AAJ122" s="77"/>
      <c r="AAK122" s="77"/>
      <c r="AAL122" s="89" t="str">
        <f>"Draft "&amp;S.CodeName&amp;"COMMITTEE.NOTICE.mm.dd.yyyy.2.00"</f>
        <v>Draft COMMITTEE.NOTICE.mm.dd.yyyy.2.00</v>
      </c>
      <c r="AAM122" s="112"/>
      <c r="AAN122"/>
      <c r="AAT122" s="23"/>
      <c r="AAU122" s="44"/>
    </row>
    <row r="123" spans="1:732" ht="15" hidden="1" customHeight="1" outlineLevel="2">
      <c r="A123" s="558"/>
      <c r="B123" s="395" t="s">
        <v>21</v>
      </c>
      <c r="C123" s="396"/>
      <c r="D123" s="197"/>
      <c r="E123" s="345"/>
      <c r="F123" s="366"/>
      <c r="G123" s="403" t="s">
        <v>0</v>
      </c>
      <c r="H123" s="401"/>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617"/>
      <c r="ZZ123" s="622"/>
      <c r="AAA123" s="588"/>
      <c r="AAD123" s="112"/>
      <c r="AAE123" s="552">
        <f t="shared" si="767"/>
        <v>0</v>
      </c>
      <c r="AAF123" s="583" t="s">
        <v>174</v>
      </c>
      <c r="AAG123" s="63"/>
      <c r="AAH123" s="76" t="s">
        <v>0</v>
      </c>
      <c r="AAI123" s="77"/>
      <c r="AAJ123" s="77"/>
      <c r="AAK123" s="77"/>
      <c r="AAL123" s="56"/>
      <c r="AAM123" s="112"/>
      <c r="AAN123"/>
      <c r="AAT123" s="23"/>
      <c r="AAU123" s="44"/>
    </row>
    <row r="124" spans="1:732" ht="15" hidden="1" customHeight="1" outlineLevel="2">
      <c r="A124" s="558"/>
      <c r="B124" s="387" t="s">
        <v>199</v>
      </c>
      <c r="C124" s="347"/>
      <c r="D124" s="308" t="s">
        <v>157</v>
      </c>
      <c r="E124" s="368">
        <f>NETWORKDAYS(G124,H124,S.DDL_DEQClosed)</f>
        <v>1</v>
      </c>
      <c r="F124" s="492">
        <f ca="1">NETWORKDAYS(TODAY(),H124)</f>
        <v>-90</v>
      </c>
      <c r="G124" s="383">
        <f>AAG124</f>
        <v>41369</v>
      </c>
      <c r="H124" s="369">
        <f>AAH124</f>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H122</f>
        <v>41369</v>
      </c>
      <c r="AAH124" s="78">
        <f>G124</f>
        <v>41369</v>
      </c>
      <c r="AAI124" s="77"/>
      <c r="AAJ124" s="77"/>
      <c r="AAK124" s="77"/>
      <c r="AAL124" s="56"/>
      <c r="AAM124" s="112"/>
      <c r="AAN124"/>
      <c r="AAT124" s="23"/>
      <c r="AAU124" s="44"/>
    </row>
    <row r="125" spans="1:732" ht="15" hidden="1" customHeight="1" outlineLevel="2">
      <c r="A125" s="558"/>
      <c r="B125" s="243" t="s">
        <v>53</v>
      </c>
      <c r="C125" s="168"/>
      <c r="D125" s="308" t="s">
        <v>359</v>
      </c>
      <c r="E125" s="368">
        <f t="shared" ref="E125:E127" si="770">NETWORKDAYS(G125,H125,S.DDL_DEQClosed)</f>
        <v>1</v>
      </c>
      <c r="F125" s="492">
        <f t="shared" ref="F125:F127" ca="1" si="771">NETWORKDAYS(TODAY(),H125)</f>
        <v>-90</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H124</f>
        <v>41369</v>
      </c>
      <c r="AAH125" s="78">
        <f t="shared" ref="AAH125:AAH127" si="772">G125</f>
        <v>41369</v>
      </c>
      <c r="AAI125" s="77"/>
      <c r="AAJ125" s="77"/>
      <c r="AAK125" s="77"/>
      <c r="AAL125" s="56"/>
      <c r="AAM125" s="112"/>
      <c r="AAN125"/>
      <c r="AAT125" s="23"/>
      <c r="AAU125" s="44"/>
    </row>
    <row r="126" spans="1:732" ht="15" hidden="1" customHeight="1" outlineLevel="2">
      <c r="A126" s="558"/>
      <c r="B126" s="247" t="str">
        <f ca="1">"Draft MINUTES."&amp;TEXT($G$108,"mm.dd.yy")&amp;""</f>
        <v>Draft MINUTES.08.08.13</v>
      </c>
      <c r="C126" s="231" t="s">
        <v>69</v>
      </c>
      <c r="D126" s="278" t="s">
        <v>151</v>
      </c>
      <c r="E126" s="368">
        <f t="shared" si="770"/>
        <v>1</v>
      </c>
      <c r="F126" s="492">
        <f t="shared" ca="1" si="771"/>
        <v>-90</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ref="AAG126:AAG127" si="773">H125</f>
        <v>41369</v>
      </c>
      <c r="AAH126" s="78">
        <f t="shared" si="772"/>
        <v>41369</v>
      </c>
      <c r="AAI126" s="77"/>
      <c r="AAJ126" s="77"/>
      <c r="AAK126" s="77"/>
      <c r="AAL126" s="89" t="str">
        <f>"Draft "&amp;S.CodeName&amp;"MINUTES.mm.dd.yyy.2.00"</f>
        <v>Draft MINUTES.mm.dd.yyy.2.00</v>
      </c>
      <c r="AAM126" s="112"/>
      <c r="AAN126"/>
      <c r="AAT126" s="23"/>
      <c r="AAU126" s="44"/>
      <c r="AAV126" s="23"/>
      <c r="AAW126" s="23"/>
      <c r="AAX126" s="23"/>
      <c r="AAY126" s="23"/>
      <c r="AAZ126" s="23"/>
      <c r="ABA126" s="23"/>
      <c r="ABB126" s="23"/>
      <c r="ABC126" s="23"/>
      <c r="ABD126" s="23"/>
    </row>
    <row r="127" spans="1:732" ht="15" hidden="1" customHeight="1" outlineLevel="2">
      <c r="A127" s="558"/>
      <c r="B127" s="243" t="s">
        <v>52</v>
      </c>
      <c r="C127" s="168"/>
      <c r="D127" s="308" t="s">
        <v>359</v>
      </c>
      <c r="E127" s="368">
        <f t="shared" si="770"/>
        <v>1</v>
      </c>
      <c r="F127" s="492">
        <f t="shared" ca="1" si="771"/>
        <v>-90</v>
      </c>
      <c r="G127" s="383">
        <f t="shared" si="744"/>
        <v>41369</v>
      </c>
      <c r="H127" s="369">
        <f t="shared" si="744"/>
        <v>41369</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8"/>
      <c r="AAD127" s="112"/>
      <c r="AAE127" s="552">
        <f t="shared" si="767"/>
        <v>0</v>
      </c>
      <c r="AAF127" s="112"/>
      <c r="AAG127" s="78">
        <f t="shared" si="773"/>
        <v>41369</v>
      </c>
      <c r="AAH127" s="78">
        <f t="shared" si="772"/>
        <v>41369</v>
      </c>
      <c r="AAI127" s="77"/>
      <c r="AAJ127" s="77"/>
      <c r="AAK127" s="77"/>
      <c r="AAL127" s="56"/>
      <c r="AAM127" s="112"/>
      <c r="AAN127"/>
      <c r="AAT127" s="23"/>
      <c r="AAU127" s="44"/>
      <c r="AAV127" s="23"/>
      <c r="AAW127" s="23"/>
      <c r="AAX127" s="23"/>
      <c r="AAY127" s="23"/>
      <c r="AAZ127" s="23"/>
      <c r="ABA127" s="23"/>
      <c r="ABB127" s="23"/>
      <c r="ABC127" s="23"/>
      <c r="ABD127" s="23"/>
    </row>
    <row r="128" spans="1:732" s="23" customFormat="1" ht="18" hidden="1" customHeight="1" outlineLevel="1">
      <c r="A128" s="558"/>
      <c r="B128" s="244" t="s">
        <v>58</v>
      </c>
      <c r="C128" s="168"/>
      <c r="D128" s="778"/>
      <c r="E128" s="778"/>
      <c r="F128" s="778"/>
      <c r="G128" s="399">
        <f ca="1">TODAY()</f>
        <v>41494</v>
      </c>
      <c r="H128" s="399" t="s">
        <v>191</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7"/>
      <c r="ZZ128" s="622"/>
      <c r="AAA128" s="588"/>
      <c r="AAB128"/>
      <c r="AAC128"/>
      <c r="AAD128" s="112"/>
      <c r="AAE128" s="552">
        <f t="shared" si="767"/>
        <v>0</v>
      </c>
      <c r="AAF128" s="583" t="s">
        <v>174</v>
      </c>
      <c r="AAG128" s="39" t="s">
        <v>0</v>
      </c>
      <c r="AAH128" s="39" t="s">
        <v>0</v>
      </c>
      <c r="AAI128" s="39"/>
      <c r="AAJ128" s="56"/>
      <c r="AAK128" s="56"/>
      <c r="AAL128" s="56"/>
      <c r="AAM128" s="112"/>
      <c r="AAU128" s="44"/>
    </row>
    <row r="129" spans="1:723" s="23" customFormat="1" ht="15" hidden="1" customHeight="1" outlineLevel="2">
      <c r="A129" s="558"/>
      <c r="B129" s="375" t="s">
        <v>56</v>
      </c>
      <c r="C129" s="168"/>
      <c r="D129" s="308" t="s">
        <v>359</v>
      </c>
      <c r="E129" s="368">
        <f t="shared" ref="E129" si="774">NETWORKDAYS(G129,H129,S.DDL_DEQClosed)</f>
        <v>1</v>
      </c>
      <c r="F129" s="492">
        <f t="shared" ref="F129" ca="1" si="775">NETWORKDAYS(TODAY(),H129)</f>
        <v>-90</v>
      </c>
      <c r="G129" s="383">
        <f t="shared" ref="G129" si="776">AAG129</f>
        <v>41369</v>
      </c>
      <c r="H129" s="369">
        <f t="shared" ref="H129" si="777">AAH129</f>
        <v>41369</v>
      </c>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8"/>
      <c r="AAB129"/>
      <c r="AAC129"/>
      <c r="AAD129" s="112"/>
      <c r="AAE129" s="552">
        <f t="shared" si="767"/>
        <v>0</v>
      </c>
      <c r="AAF129" s="112"/>
      <c r="AAG129" s="78">
        <f>H126</f>
        <v>41369</v>
      </c>
      <c r="AAH129" s="78">
        <f t="shared" ref="AAH129" si="778">G129</f>
        <v>41369</v>
      </c>
      <c r="AAI129" s="77"/>
      <c r="AAJ129" s="77"/>
      <c r="AAK129" s="77"/>
      <c r="AAL129" s="56"/>
      <c r="AAM129" s="112"/>
      <c r="AAU129" s="44"/>
    </row>
    <row r="130" spans="1:723" s="23" customFormat="1" ht="15" hidden="1" customHeight="1" outlineLevel="2">
      <c r="A130" s="558"/>
      <c r="B130" s="376" t="s">
        <v>55</v>
      </c>
      <c r="C130" s="166"/>
      <c r="D130" s="397"/>
      <c r="E130" s="503"/>
      <c r="F130" s="503"/>
      <c r="G130" s="502"/>
      <c r="H130" s="504"/>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617"/>
      <c r="ZZ130" s="622"/>
      <c r="AAA130" s="588"/>
      <c r="AAB130"/>
      <c r="AAC130"/>
      <c r="AAD130" s="112"/>
      <c r="AAE130" s="552">
        <f t="shared" si="767"/>
        <v>0</v>
      </c>
      <c r="AAF130" s="583" t="s">
        <v>174</v>
      </c>
      <c r="AAG130" s="63"/>
      <c r="AAH130" s="76"/>
      <c r="AAI130" s="77"/>
      <c r="AAJ130" s="77"/>
      <c r="AAK130" s="77"/>
      <c r="AAL130" s="56"/>
      <c r="AAM130" s="112"/>
      <c r="AAU130" s="44"/>
    </row>
    <row r="131" spans="1:723" s="23" customFormat="1" ht="15" hidden="1" customHeight="1" outlineLevel="2">
      <c r="A131" s="558"/>
      <c r="B131" s="377" t="str">
        <f ca="1">"Draft AGENDA."&amp;TEXT($G$128,"mm.dd.yy")&amp;""</f>
        <v>Draft AGENDA.08.08.13</v>
      </c>
      <c r="C131" s="231" t="s">
        <v>69</v>
      </c>
      <c r="D131" s="308" t="s">
        <v>54</v>
      </c>
      <c r="E131" s="368">
        <f t="shared" ref="E131:E135" si="779">NETWORKDAYS(G131,H131,S.DDL_DEQClosed)</f>
        <v>1</v>
      </c>
      <c r="F131" s="492">
        <f t="shared" ref="F131:F135" ca="1" si="780">NETWORKDAYS(TODAY(),H131)</f>
        <v>-90</v>
      </c>
      <c r="G131" s="383">
        <f t="shared" ref="G131:G135" si="781">AAG131</f>
        <v>41369</v>
      </c>
      <c r="H131" s="369">
        <f t="shared" ref="H131:H135" si="782">AAH131</f>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H129</f>
        <v>41369</v>
      </c>
      <c r="AAH131" s="78">
        <f>G131</f>
        <v>41369</v>
      </c>
      <c r="AAI131" s="77"/>
      <c r="AAJ131" s="77"/>
      <c r="AAK131" s="77"/>
      <c r="AAL131" s="89" t="str">
        <f>"Draft "&amp;S.CodeName&amp;"AGENDA.mm.dd.yyyy.2.00"</f>
        <v>Draft AGENDA.mm.dd.yyyy.2.00</v>
      </c>
      <c r="AAM131" s="112"/>
      <c r="AAU131" s="44"/>
    </row>
    <row r="132" spans="1:723" s="23" customFormat="1" ht="15" hidden="1" customHeight="1" outlineLevel="2">
      <c r="A132" s="558"/>
      <c r="B132" s="391" t="s">
        <v>196</v>
      </c>
      <c r="C132" s="239"/>
      <c r="D132" s="308" t="s">
        <v>54</v>
      </c>
      <c r="E132" s="368">
        <f t="shared" si="779"/>
        <v>1</v>
      </c>
      <c r="F132" s="492">
        <f t="shared" ca="1" si="780"/>
        <v>-90</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ref="AAH132:AAH135" si="783">G132</f>
        <v>41369</v>
      </c>
      <c r="AAI132" s="77"/>
      <c r="AAJ132" s="77"/>
      <c r="AAK132" s="77"/>
      <c r="AAL132" s="56"/>
      <c r="AAM132" s="112"/>
      <c r="AAU132" s="44"/>
    </row>
    <row r="133" spans="1:723" s="23" customFormat="1" ht="15" hidden="1" customHeight="1" outlineLevel="2">
      <c r="A133" s="558"/>
      <c r="B133" s="391" t="s">
        <v>196</v>
      </c>
      <c r="C133" s="239"/>
      <c r="D133" s="308" t="s">
        <v>54</v>
      </c>
      <c r="E133" s="368">
        <f t="shared" si="779"/>
        <v>1</v>
      </c>
      <c r="F133" s="492">
        <f t="shared" ca="1" si="780"/>
        <v>-90</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196</v>
      </c>
      <c r="C134" s="239"/>
      <c r="D134" s="308" t="s">
        <v>54</v>
      </c>
      <c r="E134" s="368">
        <f t="shared" si="779"/>
        <v>1</v>
      </c>
      <c r="F134" s="492">
        <f t="shared" ca="1" si="780"/>
        <v>-90</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H133</f>
        <v>41369</v>
      </c>
      <c r="AAH134" s="78">
        <f t="shared" si="783"/>
        <v>41369</v>
      </c>
      <c r="AAI134" s="77"/>
      <c r="AAJ134" s="77"/>
      <c r="AAK134" s="77"/>
      <c r="AAL134" s="56"/>
      <c r="AAM134" s="112"/>
      <c r="AAU134" s="44"/>
    </row>
    <row r="135" spans="1:723" s="23" customFormat="1" ht="15" hidden="1" customHeight="1" outlineLevel="2">
      <c r="A135" s="558"/>
      <c r="B135" s="391" t="s">
        <v>196</v>
      </c>
      <c r="C135" s="239"/>
      <c r="D135" s="308" t="s">
        <v>54</v>
      </c>
      <c r="E135" s="368">
        <f t="shared" si="779"/>
        <v>1</v>
      </c>
      <c r="F135" s="492">
        <f t="shared" ca="1" si="780"/>
        <v>-90</v>
      </c>
      <c r="G135" s="383">
        <f t="shared" si="781"/>
        <v>41369</v>
      </c>
      <c r="H135" s="369">
        <f t="shared" si="782"/>
        <v>41369</v>
      </c>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8"/>
      <c r="AAB135"/>
      <c r="AAC135"/>
      <c r="AAD135" s="112"/>
      <c r="AAE135" s="552">
        <f t="shared" si="767"/>
        <v>0</v>
      </c>
      <c r="AAF135" s="112" t="s">
        <v>0</v>
      </c>
      <c r="AAG135" s="78">
        <f t="shared" ref="AAG135" si="784">H134</f>
        <v>41369</v>
      </c>
      <c r="AAH135" s="78">
        <f t="shared" si="783"/>
        <v>41369</v>
      </c>
      <c r="AAI135" s="77"/>
      <c r="AAJ135" s="77"/>
      <c r="AAK135" s="77"/>
      <c r="AAL135" s="56"/>
      <c r="AAM135" s="112"/>
      <c r="AAU135" s="44"/>
    </row>
    <row r="136" spans="1:723" s="23" customFormat="1" ht="15" hidden="1" customHeight="1" outlineLevel="2">
      <c r="A136" s="558"/>
      <c r="B136" s="392" t="s">
        <v>189</v>
      </c>
      <c r="C136" s="709"/>
      <c r="D136" s="398"/>
      <c r="E136" s="402"/>
      <c r="F136" s="402"/>
      <c r="G136" s="402"/>
      <c r="H136" s="402"/>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617"/>
      <c r="ZZ136" s="622"/>
      <c r="AAA136" s="588"/>
      <c r="AAB136"/>
      <c r="AAC136"/>
      <c r="AAD136" s="112"/>
      <c r="AAE136" s="552">
        <f t="shared" si="767"/>
        <v>0</v>
      </c>
      <c r="AAF136" s="583" t="s">
        <v>174</v>
      </c>
      <c r="AAG136" s="39"/>
      <c r="AAH136" s="39"/>
      <c r="AAI136" s="77"/>
      <c r="AAJ136" s="77"/>
      <c r="AAK136" s="77"/>
      <c r="AAL136" s="56"/>
      <c r="AAM136" s="112"/>
      <c r="AAU136" s="44"/>
    </row>
    <row r="137" spans="1:723" s="23" customFormat="1" ht="15" hidden="1" customHeight="1" outlineLevel="2">
      <c r="A137" s="558"/>
      <c r="B137" s="393" t="str">
        <f ca="1">"Draft optional PRESENTATION."&amp;TEXT($G$128,"mm.dd.yy")&amp;""</f>
        <v>Draft optional PRESENTATION.08.08.13</v>
      </c>
      <c r="C137" s="231" t="s">
        <v>69</v>
      </c>
      <c r="D137" s="308" t="s">
        <v>54</v>
      </c>
      <c r="E137" s="368">
        <f t="shared" ref="E137:E140" si="785">NETWORKDAYS(G137,H137,S.DDL_DEQClosed)</f>
        <v>1</v>
      </c>
      <c r="F137" s="492">
        <f t="shared" ref="F137:F140" ca="1" si="786">NETWORKDAYS(TODAY(),H137)</f>
        <v>-90</v>
      </c>
      <c r="G137" s="383">
        <f t="shared" ref="G137:G140" si="787">AAG137</f>
        <v>41369</v>
      </c>
      <c r="H137" s="369">
        <f t="shared" ref="H137:H140" si="788">AAH137</f>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H135</f>
        <v>41369</v>
      </c>
      <c r="AAH137" s="78">
        <f t="shared" ref="AAH137:AAH140" si="789">G137</f>
        <v>41369</v>
      </c>
      <c r="AAI137" s="77"/>
      <c r="AAJ137" s="77"/>
      <c r="AAK137" s="77"/>
      <c r="AAL137" s="56"/>
      <c r="AAM137" s="112"/>
      <c r="AAU137" s="44"/>
    </row>
    <row r="138" spans="1:723" s="23" customFormat="1" ht="15" hidden="1" customHeight="1" outlineLevel="2">
      <c r="A138" s="558"/>
      <c r="B138" s="393" t="s">
        <v>200</v>
      </c>
      <c r="C138" s="239"/>
      <c r="D138" s="308" t="s">
        <v>54</v>
      </c>
      <c r="E138" s="368">
        <f t="shared" si="785"/>
        <v>1</v>
      </c>
      <c r="F138" s="492">
        <f t="shared" ca="1" si="786"/>
        <v>-90</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 t="shared" ref="AAG138" si="790">H137</f>
        <v>41369</v>
      </c>
      <c r="AAH138" s="78">
        <f t="shared" si="789"/>
        <v>41369</v>
      </c>
      <c r="AAI138" s="77"/>
      <c r="AAJ138" s="77"/>
      <c r="AAK138" s="77"/>
      <c r="AAL138" s="56"/>
      <c r="AAM138" s="112"/>
      <c r="AAU138" s="44"/>
    </row>
    <row r="139" spans="1:723" s="23" customFormat="1" ht="15" hidden="1" customHeight="1" outlineLevel="2">
      <c r="A139" s="558"/>
      <c r="B139" s="393" t="s">
        <v>194</v>
      </c>
      <c r="C139" s="239"/>
      <c r="D139" s="308" t="s">
        <v>54</v>
      </c>
      <c r="E139" s="368">
        <f t="shared" si="785"/>
        <v>1</v>
      </c>
      <c r="F139" s="492">
        <f t="shared" ca="1" si="786"/>
        <v>-90</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H138</f>
        <v>41369</v>
      </c>
      <c r="AAH139" s="78">
        <f t="shared" si="789"/>
        <v>41369</v>
      </c>
      <c r="AAI139" s="77"/>
      <c r="AAJ139" s="77"/>
      <c r="AAK139" s="77"/>
      <c r="AAL139" s="56"/>
      <c r="AAM139" s="112"/>
      <c r="AAU139" s="44"/>
    </row>
    <row r="140" spans="1:723" s="23" customFormat="1" ht="15" hidden="1" customHeight="1" outlineLevel="2">
      <c r="A140" s="558"/>
      <c r="B140" s="393" t="s">
        <v>195</v>
      </c>
      <c r="C140" s="239"/>
      <c r="D140" s="308" t="s">
        <v>54</v>
      </c>
      <c r="E140" s="368">
        <f t="shared" si="785"/>
        <v>1</v>
      </c>
      <c r="F140" s="492">
        <f t="shared" ca="1" si="786"/>
        <v>-90</v>
      </c>
      <c r="G140" s="383">
        <f t="shared" si="787"/>
        <v>41369</v>
      </c>
      <c r="H140" s="369">
        <f t="shared" si="788"/>
        <v>41369</v>
      </c>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8"/>
      <c r="AAB140"/>
      <c r="AAC140"/>
      <c r="AAD140" s="112"/>
      <c r="AAE140" s="552">
        <f t="shared" si="767"/>
        <v>0</v>
      </c>
      <c r="AAF140" s="112" t="s">
        <v>0</v>
      </c>
      <c r="AAG140" s="78">
        <f t="shared" ref="AAG140" si="791">H139</f>
        <v>41369</v>
      </c>
      <c r="AAH140" s="78">
        <f t="shared" si="789"/>
        <v>41369</v>
      </c>
      <c r="AAI140" s="77"/>
      <c r="AAJ140" s="77"/>
      <c r="AAK140" s="77"/>
      <c r="AAL140" s="56"/>
      <c r="AAM140" s="112"/>
      <c r="AAU140" s="44"/>
    </row>
    <row r="141" spans="1:723" s="23" customFormat="1" ht="15" hidden="1" customHeight="1" outlineLevel="2">
      <c r="A141" s="558"/>
      <c r="B141" s="394" t="s">
        <v>190</v>
      </c>
      <c r="C141" s="710"/>
      <c r="D141" s="386"/>
      <c r="E141" s="127"/>
      <c r="F141" s="127"/>
      <c r="G141" s="127"/>
      <c r="H141" s="127"/>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7"/>
      <c r="ZZ141" s="622"/>
      <c r="AAA141" s="588"/>
      <c r="AAB141"/>
      <c r="AAC141"/>
      <c r="AAD141" s="112"/>
      <c r="AAE141" s="552">
        <f t="shared" si="767"/>
        <v>0</v>
      </c>
      <c r="AAF141" s="583" t="s">
        <v>174</v>
      </c>
      <c r="AAG141" s="39"/>
      <c r="AAH141" s="39"/>
      <c r="AAI141" s="39"/>
      <c r="AAJ141" s="56"/>
      <c r="AAK141" s="56"/>
      <c r="AAL141" s="56"/>
      <c r="AAM141" s="112"/>
      <c r="AAU141" s="44"/>
    </row>
    <row r="142" spans="1:723" s="23" customFormat="1" ht="15" hidden="1" customHeight="1" outlineLevel="2">
      <c r="A142" s="558"/>
      <c r="B142" s="377" t="str">
        <f ca="1">"Draft COMMITTEE.NOTICE."&amp;TEXT($G$128,"mm.dd.yy")&amp;""</f>
        <v>Draft COMMITTEE.NOTICE.08.08.13</v>
      </c>
      <c r="C142" s="239"/>
      <c r="D142" s="308" t="s">
        <v>151</v>
      </c>
      <c r="E142" s="368">
        <f t="shared" ref="E142" si="792">NETWORKDAYS(G142,H142,S.DDL_DEQClosed)</f>
        <v>1</v>
      </c>
      <c r="F142" s="492">
        <f t="shared" ref="F142" ca="1" si="793">NETWORKDAYS(TODAY(),H142)</f>
        <v>-90</v>
      </c>
      <c r="G142" s="383">
        <f t="shared" ref="G142" si="794">AAG142</f>
        <v>41369</v>
      </c>
      <c r="H142" s="369">
        <f t="shared" ref="H142" si="795">AAH142</f>
        <v>41369</v>
      </c>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8"/>
      <c r="AAB142"/>
      <c r="AAC142"/>
      <c r="AAD142" s="112"/>
      <c r="AAE142" s="552">
        <f t="shared" si="767"/>
        <v>0</v>
      </c>
      <c r="AAF142" s="112" t="s">
        <v>0</v>
      </c>
      <c r="AAG142" s="78">
        <f>H140</f>
        <v>41369</v>
      </c>
      <c r="AAH142" s="78">
        <f t="shared" ref="AAH142" si="796">G142</f>
        <v>41369</v>
      </c>
      <c r="AAI142" s="77"/>
      <c r="AAJ142" s="77"/>
      <c r="AAK142" s="77"/>
      <c r="AAL142" s="89" t="str">
        <f>"Draft "&amp;S.CodeName&amp;"COMMITTEE.NOTICE.mm.dd.yyyy.2.00"</f>
        <v>Draft COMMITTEE.NOTICE.mm.dd.yyyy.2.00</v>
      </c>
      <c r="AAM142" s="112"/>
      <c r="AAU142" s="44"/>
    </row>
    <row r="143" spans="1:723" s="23" customFormat="1" ht="15" hidden="1" customHeight="1" outlineLevel="2">
      <c r="A143" s="558"/>
      <c r="B143" s="395" t="s">
        <v>21</v>
      </c>
      <c r="C143" s="245"/>
      <c r="D143" s="197"/>
      <c r="E143" s="123"/>
      <c r="F143" s="124"/>
      <c r="G143" s="246" t="s">
        <v>0</v>
      </c>
      <c r="H143" s="145"/>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617"/>
      <c r="ZZ143" s="622"/>
      <c r="AAA143" s="588"/>
      <c r="AAB143"/>
      <c r="AAC143"/>
      <c r="AAD143" s="112"/>
      <c r="AAE143" s="552">
        <f t="shared" si="767"/>
        <v>0</v>
      </c>
      <c r="AAF143" s="583" t="s">
        <v>174</v>
      </c>
      <c r="AAG143" s="63"/>
      <c r="AAH143" s="76" t="s">
        <v>0</v>
      </c>
      <c r="AAI143" s="77"/>
      <c r="AAJ143" s="77"/>
      <c r="AAK143" s="77"/>
      <c r="AAL143" s="56"/>
      <c r="AAM143" s="112"/>
      <c r="AAU143" s="44"/>
    </row>
    <row r="144" spans="1:723" s="23" customFormat="1" ht="15" hidden="1" customHeight="1" outlineLevel="2">
      <c r="A144" s="558"/>
      <c r="B144" s="387" t="s">
        <v>199</v>
      </c>
      <c r="C144" s="168"/>
      <c r="D144" s="308" t="s">
        <v>157</v>
      </c>
      <c r="E144" s="368">
        <f>NETWORKDAYS(G144,H144,S.DDL_DEQClosed)</f>
        <v>1</v>
      </c>
      <c r="F144" s="492">
        <f ca="1">NETWORKDAYS(TODAY(),H144)</f>
        <v>-90</v>
      </c>
      <c r="G144" s="383">
        <f>AAG144</f>
        <v>41369</v>
      </c>
      <c r="H144" s="369">
        <f>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H142</f>
        <v>41369</v>
      </c>
      <c r="AAH144" s="78">
        <f>G144</f>
        <v>41369</v>
      </c>
      <c r="AAI144" s="77"/>
      <c r="AAJ144" s="77"/>
      <c r="AAK144" s="77"/>
      <c r="AAL144" s="56"/>
      <c r="AAM144" s="112"/>
      <c r="AAU144" s="44"/>
    </row>
    <row r="145" spans="1:723" s="23" customFormat="1" ht="15" hidden="1" customHeight="1" outlineLevel="2">
      <c r="A145" s="558"/>
      <c r="B145" s="387" t="s">
        <v>53</v>
      </c>
      <c r="C145" s="168"/>
      <c r="D145" s="308" t="s">
        <v>359</v>
      </c>
      <c r="E145" s="368">
        <f t="shared" ref="E145:E147" si="797">NETWORKDAYS(G145,H145,S.DDL_DEQClosed)</f>
        <v>1</v>
      </c>
      <c r="F145" s="492">
        <f t="shared" ref="F145:F147" ca="1" si="798">NETWORKDAYS(TODAY(),H145)</f>
        <v>-90</v>
      </c>
      <c r="G145" s="383">
        <f t="shared" ref="G145:G147" si="799">AAG145</f>
        <v>41369</v>
      </c>
      <c r="H145" s="369">
        <f t="shared" ref="H145:H147" si="800">AAH145</f>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H144</f>
        <v>41369</v>
      </c>
      <c r="AAH145" s="78">
        <f t="shared" ref="AAH145:AAH147" si="801">G145</f>
        <v>41369</v>
      </c>
      <c r="AAI145" s="77"/>
      <c r="AAJ145" s="77"/>
      <c r="AAK145" s="77"/>
      <c r="AAL145" s="56"/>
      <c r="AAM145" s="112"/>
      <c r="AAU145" s="44"/>
    </row>
    <row r="146" spans="1:723" s="23" customFormat="1" ht="15" hidden="1" customHeight="1" outlineLevel="2">
      <c r="A146" s="558"/>
      <c r="B146" s="404" t="str">
        <f ca="1">"Draft MINUTES."&amp;TEXT($G$128,"mm.dd.yy")&amp;""</f>
        <v>Draft MINUTES.08.08.13</v>
      </c>
      <c r="C146" s="231" t="s">
        <v>69</v>
      </c>
      <c r="D146" s="278" t="s">
        <v>151</v>
      </c>
      <c r="E146" s="368">
        <f t="shared" si="797"/>
        <v>1</v>
      </c>
      <c r="F146" s="492">
        <f t="shared" ca="1" si="798"/>
        <v>-90</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ref="AAG146:AAG147" si="802">H145</f>
        <v>41369</v>
      </c>
      <c r="AAH146" s="78">
        <f t="shared" si="801"/>
        <v>41369</v>
      </c>
      <c r="AAI146" s="77"/>
      <c r="AAJ146" s="77"/>
      <c r="AAK146" s="77"/>
      <c r="AAL146" s="89" t="str">
        <f>"Draft "&amp;S.CodeName&amp;"MINUTES.mm.dd.yyy.2.00"</f>
        <v>Draft MINUTES.mm.dd.yyy.2.00</v>
      </c>
      <c r="AAM146" s="112"/>
      <c r="AAU146" s="44"/>
    </row>
    <row r="147" spans="1:723" s="23" customFormat="1" ht="15" hidden="1" customHeight="1" outlineLevel="2">
      <c r="A147" s="558"/>
      <c r="B147" s="387" t="s">
        <v>52</v>
      </c>
      <c r="C147" s="168"/>
      <c r="D147" s="169" t="s">
        <v>359</v>
      </c>
      <c r="E147" s="368">
        <f t="shared" si="797"/>
        <v>1</v>
      </c>
      <c r="F147" s="492">
        <f t="shared" ca="1" si="798"/>
        <v>-90</v>
      </c>
      <c r="G147" s="383">
        <f t="shared" si="799"/>
        <v>41369</v>
      </c>
      <c r="H147" s="369">
        <f t="shared" si="800"/>
        <v>41369</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8"/>
      <c r="AAB147"/>
      <c r="AAC147"/>
      <c r="AAD147" s="112"/>
      <c r="AAE147" s="552">
        <f t="shared" si="767"/>
        <v>0</v>
      </c>
      <c r="AAF147" s="112"/>
      <c r="AAG147" s="78">
        <f t="shared" si="802"/>
        <v>41369</v>
      </c>
      <c r="AAH147" s="78">
        <f t="shared" si="801"/>
        <v>41369</v>
      </c>
      <c r="AAI147" s="77"/>
      <c r="AAJ147" s="77"/>
      <c r="AAK147" s="77"/>
      <c r="AAL147" s="56"/>
      <c r="AAM147" s="112"/>
      <c r="AAU147" s="44"/>
    </row>
    <row r="148" spans="1:723" s="23" customFormat="1" ht="18" hidden="1" customHeight="1" outlineLevel="1" collapsed="1">
      <c r="A148" s="558"/>
      <c r="B148" s="244" t="s">
        <v>57</v>
      </c>
      <c r="C148" s="168"/>
      <c r="D148" s="778"/>
      <c r="E148" s="778"/>
      <c r="F148" s="778"/>
      <c r="G148" s="388">
        <f ca="1">TODAY()</f>
        <v>41494</v>
      </c>
      <c r="H148" s="388" t="s">
        <v>191</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7"/>
      <c r="ZZ148" s="622"/>
      <c r="AAA148" s="588"/>
      <c r="AAB148"/>
      <c r="AAC148"/>
      <c r="AAD148" s="112"/>
      <c r="AAE148" s="552">
        <f t="shared" si="767"/>
        <v>0</v>
      </c>
      <c r="AAF148" s="583" t="s">
        <v>174</v>
      </c>
      <c r="AAG148" s="39" t="s">
        <v>0</v>
      </c>
      <c r="AAH148" s="39" t="s">
        <v>0</v>
      </c>
      <c r="AAI148" s="77"/>
      <c r="AAJ148" s="77"/>
      <c r="AAK148" s="77"/>
      <c r="AAL148" s="56"/>
      <c r="AAM148" s="112"/>
      <c r="AAU148" s="44"/>
    </row>
    <row r="149" spans="1:723" s="23" customFormat="1" ht="15" hidden="1" customHeight="1" outlineLevel="2">
      <c r="A149" s="558"/>
      <c r="B149" s="238" t="s">
        <v>56</v>
      </c>
      <c r="C149" s="168"/>
      <c r="D149" s="169" t="s">
        <v>359</v>
      </c>
      <c r="E149" s="379">
        <f t="shared" ref="E149" si="803">NETWORKDAYS(G149,H149,S.DDL_DEQClosed)</f>
        <v>1</v>
      </c>
      <c r="F149" s="492">
        <f t="shared" ref="F149" ca="1" si="804">NETWORKDAYS(TODAY(),H149)</f>
        <v>-90</v>
      </c>
      <c r="G149" s="381">
        <f t="shared" ref="G149" si="805">AAG149</f>
        <v>41369</v>
      </c>
      <c r="H149" s="382">
        <f t="shared" ref="H149" si="806">AAH149</f>
        <v>41369</v>
      </c>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8"/>
      <c r="AAB149"/>
      <c r="AAC149"/>
      <c r="AAD149" s="112"/>
      <c r="AAE149" s="552">
        <f t="shared" si="767"/>
        <v>0</v>
      </c>
      <c r="AAF149" s="112"/>
      <c r="AAG149" s="78">
        <f>H146</f>
        <v>41369</v>
      </c>
      <c r="AAH149" s="78">
        <f t="shared" ref="AAH149" si="807">G149</f>
        <v>41369</v>
      </c>
      <c r="AAI149" s="77"/>
      <c r="AAJ149" s="77"/>
      <c r="AAK149" s="77"/>
      <c r="AAL149" s="56"/>
      <c r="AAM149" s="112"/>
      <c r="AAU149" s="44"/>
    </row>
    <row r="150" spans="1:723" s="23" customFormat="1" ht="15" hidden="1" customHeight="1" outlineLevel="2">
      <c r="A150" s="558"/>
      <c r="B150" s="376" t="s">
        <v>55</v>
      </c>
      <c r="C150" s="166"/>
      <c r="D150" s="175"/>
      <c r="E150" s="160"/>
      <c r="F150" s="160"/>
      <c r="G150" s="161"/>
      <c r="H150" s="145"/>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617"/>
      <c r="ZZ150" s="622"/>
      <c r="AAA150" s="588"/>
      <c r="AAB150"/>
      <c r="AAC150"/>
      <c r="AAD150" s="112"/>
      <c r="AAE150" s="552">
        <f t="shared" ref="AAE150:AAE181" si="808">IF(S.InvolveCommittee=TRUE,1,0)</f>
        <v>0</v>
      </c>
      <c r="AAF150" s="583" t="s">
        <v>174</v>
      </c>
      <c r="AAG150" s="63"/>
      <c r="AAH150" s="76"/>
      <c r="AAI150" s="76"/>
      <c r="AAJ150" s="56"/>
      <c r="AAK150" s="56"/>
      <c r="AAL150" s="56"/>
      <c r="AAM150" s="112"/>
      <c r="AAU150" s="44"/>
    </row>
    <row r="151" spans="1:723" s="23" customFormat="1" ht="15" hidden="1" customHeight="1" outlineLevel="2">
      <c r="A151" s="558"/>
      <c r="B151" s="377" t="str">
        <f ca="1">"Draft AGENDA."&amp;TEXT($G$148,"mm.dd.yy")&amp;""</f>
        <v>Draft AGENDA.08.08.13</v>
      </c>
      <c r="C151" s="231" t="s">
        <v>69</v>
      </c>
      <c r="D151" s="169" t="s">
        <v>54</v>
      </c>
      <c r="E151" s="379">
        <f t="shared" ref="E151:E155" si="809">NETWORKDAYS(G151,H151,S.DDL_DEQClosed)</f>
        <v>1</v>
      </c>
      <c r="F151" s="492">
        <f t="shared" ref="F151:F155" ca="1" si="810">NETWORKDAYS(TODAY(),H151)</f>
        <v>-90</v>
      </c>
      <c r="G151" s="381">
        <f t="shared" ref="G151:G155" si="811">AAG151</f>
        <v>41369</v>
      </c>
      <c r="H151" s="382">
        <f t="shared" ref="H151:H155" si="812">AAH151</f>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H149</f>
        <v>41369</v>
      </c>
      <c r="AAH151" s="78">
        <f>G151</f>
        <v>41369</v>
      </c>
      <c r="AAI151" s="77"/>
      <c r="AAJ151" s="77"/>
      <c r="AAK151" s="77"/>
      <c r="AAL151" s="89" t="str">
        <f>"Draft "&amp;S.CodeName&amp;"AGENDA.mm.dd.yyyy.2.00"</f>
        <v>Draft AGENDA.mm.dd.yyyy.2.00</v>
      </c>
      <c r="AAM151" s="112"/>
      <c r="AAU151" s="44"/>
    </row>
    <row r="152" spans="1:723" s="23" customFormat="1" ht="15" hidden="1" customHeight="1" outlineLevel="2">
      <c r="A152" s="558"/>
      <c r="B152" s="391" t="s">
        <v>196</v>
      </c>
      <c r="C152" s="239"/>
      <c r="D152" s="169" t="s">
        <v>54</v>
      </c>
      <c r="E152" s="379">
        <f t="shared" si="809"/>
        <v>1</v>
      </c>
      <c r="F152" s="492">
        <f t="shared" ca="1" si="810"/>
        <v>-90</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ref="AAH152:AAH155" si="813">G152</f>
        <v>41369</v>
      </c>
      <c r="AAI152" s="77"/>
      <c r="AAJ152" s="77"/>
      <c r="AAK152" s="77"/>
      <c r="AAL152" s="56"/>
      <c r="AAM152" s="112"/>
      <c r="AAU152" s="44"/>
    </row>
    <row r="153" spans="1:723" s="23" customFormat="1" ht="15" hidden="1" customHeight="1" outlineLevel="2">
      <c r="A153" s="558"/>
      <c r="B153" s="391" t="s">
        <v>196</v>
      </c>
      <c r="C153" s="239"/>
      <c r="D153" s="169" t="s">
        <v>54</v>
      </c>
      <c r="E153" s="379">
        <f t="shared" si="809"/>
        <v>1</v>
      </c>
      <c r="F153" s="492">
        <f t="shared" ca="1" si="810"/>
        <v>-90</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196</v>
      </c>
      <c r="C154" s="239"/>
      <c r="D154" s="169" t="s">
        <v>54</v>
      </c>
      <c r="E154" s="379">
        <f t="shared" si="809"/>
        <v>1</v>
      </c>
      <c r="F154" s="492">
        <f t="shared" ca="1" si="810"/>
        <v>-90</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H153</f>
        <v>41369</v>
      </c>
      <c r="AAH154" s="78">
        <f t="shared" si="813"/>
        <v>41369</v>
      </c>
      <c r="AAI154" s="77"/>
      <c r="AAJ154" s="77"/>
      <c r="AAK154" s="77"/>
      <c r="AAL154" s="56"/>
      <c r="AAM154" s="112"/>
      <c r="AAU154" s="44"/>
    </row>
    <row r="155" spans="1:723" s="23" customFormat="1" ht="15" hidden="1" customHeight="1" outlineLevel="2">
      <c r="A155" s="558"/>
      <c r="B155" s="391" t="s">
        <v>196</v>
      </c>
      <c r="C155" s="239"/>
      <c r="D155" s="169" t="s">
        <v>54</v>
      </c>
      <c r="E155" s="379">
        <f t="shared" si="809"/>
        <v>1</v>
      </c>
      <c r="F155" s="492">
        <f t="shared" ca="1" si="810"/>
        <v>-90</v>
      </c>
      <c r="G155" s="381">
        <f t="shared" si="811"/>
        <v>41369</v>
      </c>
      <c r="H155" s="382">
        <f t="shared" si="812"/>
        <v>41369</v>
      </c>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8"/>
      <c r="AAB155"/>
      <c r="AAC155"/>
      <c r="AAD155" s="112"/>
      <c r="AAE155" s="552">
        <f t="shared" si="808"/>
        <v>0</v>
      </c>
      <c r="AAF155" s="112" t="s">
        <v>0</v>
      </c>
      <c r="AAG155" s="78">
        <f t="shared" ref="AAG155" si="814">H154</f>
        <v>41369</v>
      </c>
      <c r="AAH155" s="78">
        <f t="shared" si="813"/>
        <v>41369</v>
      </c>
      <c r="AAI155" s="77"/>
      <c r="AAJ155" s="77"/>
      <c r="AAK155" s="77"/>
      <c r="AAL155" s="56"/>
      <c r="AAM155" s="112"/>
      <c r="AAU155" s="44"/>
    </row>
    <row r="156" spans="1:723" s="23" customFormat="1" ht="15" hidden="1" customHeight="1" outlineLevel="2">
      <c r="A156" s="558"/>
      <c r="B156" s="392" t="s">
        <v>189</v>
      </c>
      <c r="C156" s="709"/>
      <c r="D156" s="167"/>
      <c r="E156" s="167"/>
      <c r="F156" s="167"/>
      <c r="G156" s="167"/>
      <c r="H156" s="167"/>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617"/>
      <c r="ZZ156" s="622"/>
      <c r="AAA156" s="588"/>
      <c r="AAB156"/>
      <c r="AAC156"/>
      <c r="AAD156" s="112"/>
      <c r="AAE156" s="552">
        <f t="shared" si="808"/>
        <v>0</v>
      </c>
      <c r="AAF156" s="583" t="s">
        <v>174</v>
      </c>
      <c r="AAG156" s="39"/>
      <c r="AAH156" s="39"/>
      <c r="AAI156" s="39"/>
      <c r="AAJ156" s="56"/>
      <c r="AAK156" s="56"/>
      <c r="AAL156" s="56"/>
      <c r="AAM156" s="112"/>
      <c r="AAU156" s="44"/>
    </row>
    <row r="157" spans="1:723" s="23" customFormat="1" ht="15" hidden="1" customHeight="1" outlineLevel="2">
      <c r="A157" s="558"/>
      <c r="B157" s="393" t="str">
        <f ca="1">"Draft optional PRESENTATION."&amp;TEXT($G$148,"mm.dd.yy")&amp;""</f>
        <v>Draft optional PRESENTATION.08.08.13</v>
      </c>
      <c r="C157" s="231" t="s">
        <v>69</v>
      </c>
      <c r="D157" s="169" t="s">
        <v>54</v>
      </c>
      <c r="E157" s="379">
        <f t="shared" ref="E157:E160" si="815">NETWORKDAYS(G157,H157,S.DDL_DEQClosed)</f>
        <v>1</v>
      </c>
      <c r="F157" s="492">
        <f t="shared" ref="F157:F160" ca="1" si="816">NETWORKDAYS(TODAY(),H157)</f>
        <v>-90</v>
      </c>
      <c r="G157" s="381">
        <f t="shared" ref="G157:G160" si="817">AAG157</f>
        <v>41369</v>
      </c>
      <c r="H157" s="382">
        <f t="shared" ref="H157:H160" si="818">AAH157</f>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H155</f>
        <v>41369</v>
      </c>
      <c r="AAH157" s="78">
        <f t="shared" ref="AAH157:AAH160" si="819">G157</f>
        <v>41369</v>
      </c>
      <c r="AAI157" s="63"/>
      <c r="AAJ157" s="56"/>
      <c r="AAK157" s="56"/>
      <c r="AAL157" s="56"/>
      <c r="AAM157" s="112"/>
      <c r="AAU157" s="44"/>
    </row>
    <row r="158" spans="1:723" s="23" customFormat="1" ht="15" hidden="1" customHeight="1" outlineLevel="2">
      <c r="A158" s="558"/>
      <c r="B158" s="393" t="s">
        <v>200</v>
      </c>
      <c r="C158" s="239"/>
      <c r="D158" s="169" t="s">
        <v>54</v>
      </c>
      <c r="E158" s="379">
        <f t="shared" si="815"/>
        <v>1</v>
      </c>
      <c r="F158" s="492">
        <f t="shared" ca="1" si="816"/>
        <v>-90</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 t="shared" ref="AAG158" si="820">H157</f>
        <v>41369</v>
      </c>
      <c r="AAH158" s="78">
        <f t="shared" si="819"/>
        <v>41369</v>
      </c>
      <c r="AAI158" s="63"/>
      <c r="AAJ158" s="56"/>
      <c r="AAK158" s="56"/>
      <c r="AAL158" s="56"/>
      <c r="AAM158" s="112"/>
      <c r="AAU158" s="44"/>
    </row>
    <row r="159" spans="1:723" s="23" customFormat="1" ht="15" hidden="1" customHeight="1" outlineLevel="2">
      <c r="A159" s="558"/>
      <c r="B159" s="393" t="s">
        <v>194</v>
      </c>
      <c r="C159" s="239"/>
      <c r="D159" s="169" t="s">
        <v>54</v>
      </c>
      <c r="E159" s="379">
        <f t="shared" si="815"/>
        <v>1</v>
      </c>
      <c r="F159" s="492">
        <f t="shared" ca="1" si="816"/>
        <v>-90</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H158</f>
        <v>41369</v>
      </c>
      <c r="AAH159" s="78">
        <f t="shared" si="819"/>
        <v>41369</v>
      </c>
      <c r="AAI159" s="63"/>
      <c r="AAJ159" s="56"/>
      <c r="AAK159" s="56"/>
      <c r="AAL159" s="56"/>
      <c r="AAM159" s="112"/>
      <c r="AAU159" s="44"/>
    </row>
    <row r="160" spans="1:723" s="23" customFormat="1" ht="15" hidden="1" customHeight="1" outlineLevel="2">
      <c r="A160" s="558"/>
      <c r="B160" s="393" t="s">
        <v>195</v>
      </c>
      <c r="C160" s="239"/>
      <c r="D160" s="169" t="s">
        <v>54</v>
      </c>
      <c r="E160" s="379">
        <f t="shared" si="815"/>
        <v>1</v>
      </c>
      <c r="F160" s="492">
        <f t="shared" ca="1" si="816"/>
        <v>-90</v>
      </c>
      <c r="G160" s="381">
        <f t="shared" si="817"/>
        <v>41369</v>
      </c>
      <c r="H160" s="382">
        <f t="shared" si="818"/>
        <v>41369</v>
      </c>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8"/>
      <c r="AAB160"/>
      <c r="AAC160"/>
      <c r="AAD160" s="112"/>
      <c r="AAE160" s="552">
        <f t="shared" si="808"/>
        <v>0</v>
      </c>
      <c r="AAF160" s="112" t="s">
        <v>0</v>
      </c>
      <c r="AAG160" s="78">
        <f t="shared" ref="AAG160" si="821">H159</f>
        <v>41369</v>
      </c>
      <c r="AAH160" s="78">
        <f t="shared" si="819"/>
        <v>41369</v>
      </c>
      <c r="AAI160" s="63"/>
      <c r="AAJ160" s="56"/>
      <c r="AAK160" s="56"/>
      <c r="AAL160" s="56"/>
      <c r="AAM160" s="112"/>
      <c r="AAU160" s="44"/>
    </row>
    <row r="161" spans="1:723" s="23" customFormat="1" ht="15" hidden="1" customHeight="1" outlineLevel="2">
      <c r="A161" s="558"/>
      <c r="B161" s="394" t="s">
        <v>190</v>
      </c>
      <c r="C161" s="710"/>
      <c r="D161" s="122"/>
      <c r="E161" s="122"/>
      <c r="F161" s="122"/>
      <c r="G161" s="122"/>
      <c r="H161" s="12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7"/>
      <c r="ZZ161" s="622"/>
      <c r="AAA161" s="588"/>
      <c r="AAB161"/>
      <c r="AAC161"/>
      <c r="AAD161" s="112"/>
      <c r="AAE161" s="552">
        <f t="shared" si="808"/>
        <v>0</v>
      </c>
      <c r="AAF161" s="583" t="s">
        <v>174</v>
      </c>
      <c r="AAG161" s="39"/>
      <c r="AAH161" s="39"/>
      <c r="AAI161" s="39"/>
      <c r="AAJ161" s="56"/>
      <c r="AAK161" s="56"/>
      <c r="AAL161" s="56"/>
      <c r="AAM161" s="112"/>
      <c r="AAU161" s="44"/>
    </row>
    <row r="162" spans="1:723" s="23" customFormat="1" ht="15" hidden="1" customHeight="1" outlineLevel="2">
      <c r="A162" s="558"/>
      <c r="B162" s="377" t="str">
        <f ca="1">"Draft COMMITTEE.NOTICE."&amp;TEXT($G$148,"mm.dd.yy")&amp;""</f>
        <v>Draft COMMITTEE.NOTICE.08.08.13</v>
      </c>
      <c r="C162" s="239"/>
      <c r="D162" s="169" t="s">
        <v>151</v>
      </c>
      <c r="E162" s="379">
        <f t="shared" ref="E162" si="822">NETWORKDAYS(G162,H162,S.DDL_DEQClosed)</f>
        <v>1</v>
      </c>
      <c r="F162" s="492">
        <f t="shared" ref="F162" ca="1" si="823">NETWORKDAYS(TODAY(),H162)</f>
        <v>-90</v>
      </c>
      <c r="G162" s="381">
        <f t="shared" ref="G162" si="824">AAG162</f>
        <v>41369</v>
      </c>
      <c r="H162" s="382">
        <f t="shared" ref="H162" si="825">AAH162</f>
        <v>41369</v>
      </c>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8"/>
      <c r="AAB162"/>
      <c r="AAC162"/>
      <c r="AAD162" s="112"/>
      <c r="AAE162" s="552">
        <f t="shared" si="808"/>
        <v>0</v>
      </c>
      <c r="AAF162" s="112" t="s">
        <v>0</v>
      </c>
      <c r="AAG162" s="78">
        <f>H160</f>
        <v>41369</v>
      </c>
      <c r="AAH162" s="78">
        <f t="shared" ref="AAH162" si="826">G162</f>
        <v>41369</v>
      </c>
      <c r="AAI162" s="77"/>
      <c r="AAJ162" s="77"/>
      <c r="AAK162" s="77"/>
      <c r="AAL162" s="89" t="str">
        <f>"Draft "&amp;S.CodeName&amp;"COMMITTEE.NOTICE.mm.dd.yyyy.2.00"</f>
        <v>Draft COMMITTEE.NOTICE.mm.dd.yyyy.2.00</v>
      </c>
      <c r="AAM162" s="112"/>
      <c r="AAU162" s="44"/>
    </row>
    <row r="163" spans="1:723" s="23" customFormat="1" ht="15" hidden="1" customHeight="1" outlineLevel="2">
      <c r="A163" s="558"/>
      <c r="B163" s="395" t="s">
        <v>21</v>
      </c>
      <c r="C163" s="245"/>
      <c r="D163" s="196"/>
      <c r="E163" s="123"/>
      <c r="F163" s="124"/>
      <c r="G163" s="246" t="s">
        <v>0</v>
      </c>
      <c r="H163" s="145"/>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617"/>
      <c r="ZZ163" s="622"/>
      <c r="AAA163" s="588"/>
      <c r="AAB163"/>
      <c r="AAC163"/>
      <c r="AAD163" s="112"/>
      <c r="AAE163" s="552">
        <f t="shared" si="808"/>
        <v>0</v>
      </c>
      <c r="AAF163" s="583" t="s">
        <v>174</v>
      </c>
      <c r="AAG163" s="63"/>
      <c r="AAH163" s="76" t="s">
        <v>0</v>
      </c>
      <c r="AAI163" s="77"/>
      <c r="AAJ163" s="77"/>
      <c r="AAK163" s="77"/>
      <c r="AAL163" s="56"/>
      <c r="AAM163" s="112"/>
      <c r="AAU163" s="44"/>
    </row>
    <row r="164" spans="1:723" s="23" customFormat="1" ht="15" hidden="1" customHeight="1" outlineLevel="2">
      <c r="A164" s="558"/>
      <c r="B164" s="387" t="s">
        <v>199</v>
      </c>
      <c r="C164" s="168"/>
      <c r="D164" s="169" t="s">
        <v>157</v>
      </c>
      <c r="E164" s="379">
        <f>NETWORKDAYS(G164,H164,S.DDL_DEQClosed)</f>
        <v>1</v>
      </c>
      <c r="F164" s="492">
        <f ca="1">NETWORKDAYS(TODAY(),H164)</f>
        <v>-90</v>
      </c>
      <c r="G164" s="381">
        <f>AAG164</f>
        <v>41369</v>
      </c>
      <c r="H164" s="382">
        <f>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H162</f>
        <v>41369</v>
      </c>
      <c r="AAH164" s="78">
        <f>G164</f>
        <v>41369</v>
      </c>
      <c r="AAI164" s="77"/>
      <c r="AAJ164" s="77"/>
      <c r="AAK164" s="77"/>
      <c r="AAL164" s="56"/>
      <c r="AAM164" s="112"/>
      <c r="AAU164" s="44"/>
    </row>
    <row r="165" spans="1:723" s="23" customFormat="1" ht="15" hidden="1" customHeight="1" outlineLevel="2">
      <c r="A165" s="558"/>
      <c r="B165" s="387" t="s">
        <v>53</v>
      </c>
      <c r="C165" s="168"/>
      <c r="D165" s="169" t="s">
        <v>359</v>
      </c>
      <c r="E165" s="379">
        <f t="shared" ref="E165:E167" si="827">NETWORKDAYS(G165,H165,S.DDL_DEQClosed)</f>
        <v>1</v>
      </c>
      <c r="F165" s="492">
        <f t="shared" ref="F165:F167" ca="1" si="828">NETWORKDAYS(TODAY(),H165)</f>
        <v>-90</v>
      </c>
      <c r="G165" s="381">
        <f t="shared" ref="G165:G167" si="829">AAG165</f>
        <v>41369</v>
      </c>
      <c r="H165" s="382">
        <f t="shared" ref="H165:H167" si="830">AAH165</f>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H164</f>
        <v>41369</v>
      </c>
      <c r="AAH165" s="78">
        <f t="shared" ref="AAH165:AAH167" si="831">G165</f>
        <v>41369</v>
      </c>
      <c r="AAI165" s="77"/>
      <c r="AAJ165" s="77"/>
      <c r="AAK165" s="77"/>
      <c r="AAL165" s="56"/>
      <c r="AAM165" s="112"/>
      <c r="AAU165" s="44"/>
    </row>
    <row r="166" spans="1:723" s="23" customFormat="1" ht="15" hidden="1" customHeight="1" outlineLevel="2">
      <c r="A166" s="558"/>
      <c r="B166" s="404" t="str">
        <f ca="1">"Draft MINUTES."&amp;TEXT($G$148,"mm.dd.yy")&amp;""</f>
        <v>Draft MINUTES.08.08.13</v>
      </c>
      <c r="C166" s="231" t="s">
        <v>69</v>
      </c>
      <c r="D166" s="248" t="s">
        <v>151</v>
      </c>
      <c r="E166" s="379">
        <f t="shared" si="827"/>
        <v>1</v>
      </c>
      <c r="F166" s="492">
        <f t="shared" ca="1" si="828"/>
        <v>-90</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ref="AAG166:AAG167" si="832">H165</f>
        <v>41369</v>
      </c>
      <c r="AAH166" s="78">
        <f t="shared" si="831"/>
        <v>41369</v>
      </c>
      <c r="AAI166" s="77"/>
      <c r="AAJ166" s="77"/>
      <c r="AAK166" s="77"/>
      <c r="AAL166" s="89" t="str">
        <f>"Draft "&amp;S.CodeName&amp;"MINUTES.mm.dd.yyy.2.00"</f>
        <v>Draft MINUTES.mm.dd.yyy.2.00</v>
      </c>
      <c r="AAM166" s="112"/>
      <c r="AAU166" s="44"/>
    </row>
    <row r="167" spans="1:723" s="23" customFormat="1" ht="15" hidden="1" customHeight="1" outlineLevel="2">
      <c r="A167" s="558"/>
      <c r="B167" s="387" t="s">
        <v>52</v>
      </c>
      <c r="C167" s="168"/>
      <c r="D167" s="169" t="s">
        <v>359</v>
      </c>
      <c r="E167" s="379">
        <f t="shared" si="827"/>
        <v>1</v>
      </c>
      <c r="F167" s="492">
        <f t="shared" ca="1" si="828"/>
        <v>-90</v>
      </c>
      <c r="G167" s="381">
        <f t="shared" si="829"/>
        <v>41369</v>
      </c>
      <c r="H167" s="382">
        <f t="shared" si="830"/>
        <v>41369</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8"/>
      <c r="AAB167"/>
      <c r="AAC167"/>
      <c r="AAD167" s="112"/>
      <c r="AAE167" s="552">
        <f t="shared" si="808"/>
        <v>0</v>
      </c>
      <c r="AAF167" s="112"/>
      <c r="AAG167" s="78">
        <f t="shared" si="832"/>
        <v>41369</v>
      </c>
      <c r="AAH167" s="78">
        <f t="shared" si="831"/>
        <v>41369</v>
      </c>
      <c r="AAI167" s="77"/>
      <c r="AAJ167" s="77"/>
      <c r="AAK167" s="77"/>
      <c r="AAL167" s="56"/>
      <c r="AAM167" s="112"/>
      <c r="AAU167" s="44"/>
    </row>
    <row r="168" spans="1:723" s="23" customFormat="1" ht="18" hidden="1" customHeight="1" outlineLevel="1" collapsed="1">
      <c r="A168" s="558"/>
      <c r="B168" s="244" t="s">
        <v>89</v>
      </c>
      <c r="C168" s="168"/>
      <c r="D168" s="778"/>
      <c r="E168" s="778"/>
      <c r="F168" s="778"/>
      <c r="G168" s="406">
        <f ca="1">TODAY()</f>
        <v>41494</v>
      </c>
      <c r="H168" s="406" t="s">
        <v>191</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7"/>
      <c r="ZZ168" s="622"/>
      <c r="AAA168" s="588"/>
      <c r="AAB168"/>
      <c r="AAC168"/>
      <c r="AAD168" s="112"/>
      <c r="AAE168" s="552">
        <f t="shared" si="808"/>
        <v>0</v>
      </c>
      <c r="AAF168" s="583" t="s">
        <v>174</v>
      </c>
      <c r="AAG168" s="39" t="s">
        <v>0</v>
      </c>
      <c r="AAH168" s="39" t="s">
        <v>0</v>
      </c>
      <c r="AAI168" s="39"/>
      <c r="AAJ168" s="56"/>
      <c r="AAK168" s="56"/>
      <c r="AAL168" s="56"/>
      <c r="AAM168" s="112"/>
      <c r="AAU168" s="44"/>
    </row>
    <row r="169" spans="1:723" s="23" customFormat="1" ht="15" hidden="1" customHeight="1" outlineLevel="2">
      <c r="A169" s="558"/>
      <c r="B169" s="375" t="s">
        <v>56</v>
      </c>
      <c r="C169" s="168"/>
      <c r="D169" s="169" t="s">
        <v>359</v>
      </c>
      <c r="E169" s="368">
        <f t="shared" ref="E169" si="833">NETWORKDAYS(G169,H169,S.DDL_DEQClosed)</f>
        <v>1</v>
      </c>
      <c r="F169" s="492">
        <f t="shared" ref="F169" ca="1" si="834">NETWORKDAYS(TODAY(),H169)</f>
        <v>-90</v>
      </c>
      <c r="G169" s="383">
        <f t="shared" ref="G169" si="835">AAG169</f>
        <v>41369</v>
      </c>
      <c r="H169" s="369">
        <f t="shared" ref="H169" si="836">AAH169</f>
        <v>41369</v>
      </c>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8"/>
      <c r="AAB169"/>
      <c r="AAC169"/>
      <c r="AAD169" s="112"/>
      <c r="AAE169" s="552">
        <f t="shared" si="808"/>
        <v>0</v>
      </c>
      <c r="AAF169" s="112"/>
      <c r="AAG169" s="78">
        <f>H166</f>
        <v>41369</v>
      </c>
      <c r="AAH169" s="78">
        <f t="shared" ref="AAH169" si="837">G169</f>
        <v>41369</v>
      </c>
      <c r="AAI169" s="63"/>
      <c r="AAJ169" s="56"/>
      <c r="AAK169" s="56"/>
      <c r="AAL169" s="56"/>
      <c r="AAM169" s="112"/>
      <c r="AAU169" s="44"/>
    </row>
    <row r="170" spans="1:723" s="23" customFormat="1" ht="15" hidden="1" customHeight="1" outlineLevel="2">
      <c r="A170" s="558"/>
      <c r="B170" s="376" t="s">
        <v>55</v>
      </c>
      <c r="C170" s="166"/>
      <c r="D170" s="175"/>
      <c r="E170" s="160"/>
      <c r="F170" s="160"/>
      <c r="G170" s="161"/>
      <c r="H170" s="145"/>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617"/>
      <c r="ZZ170" s="622"/>
      <c r="AAA170" s="588"/>
      <c r="AAB170"/>
      <c r="AAC170"/>
      <c r="AAD170" s="112"/>
      <c r="AAE170" s="552">
        <f t="shared" si="808"/>
        <v>0</v>
      </c>
      <c r="AAF170" s="583" t="s">
        <v>174</v>
      </c>
      <c r="AAG170" s="63"/>
      <c r="AAH170" s="76"/>
      <c r="AAI170" s="76"/>
      <c r="AAJ170" s="56"/>
      <c r="AAK170" s="56"/>
      <c r="AAL170" s="56"/>
      <c r="AAM170" s="112"/>
      <c r="AAU170" s="44"/>
    </row>
    <row r="171" spans="1:723" s="23" customFormat="1" ht="15" hidden="1" customHeight="1" outlineLevel="2">
      <c r="A171" s="558"/>
      <c r="B171" s="377" t="str">
        <f ca="1">"Draft AGENDA."&amp;TEXT($G$168,"mm.dd.yy")&amp;""</f>
        <v>Draft AGENDA.08.08.13</v>
      </c>
      <c r="C171" s="231" t="s">
        <v>69</v>
      </c>
      <c r="D171" s="169" t="s">
        <v>54</v>
      </c>
      <c r="E171" s="368">
        <f t="shared" ref="E171:E175" si="838">NETWORKDAYS(G171,H171,S.DDL_DEQClosed)</f>
        <v>1</v>
      </c>
      <c r="F171" s="492">
        <f t="shared" ref="F171:F175" ca="1" si="839">NETWORKDAYS(TODAY(),H171)</f>
        <v>-90</v>
      </c>
      <c r="G171" s="383">
        <f t="shared" ref="G171:G175" si="840">AAG171</f>
        <v>41369</v>
      </c>
      <c r="H171" s="369">
        <f t="shared" ref="H171:H175" si="841">AAH171</f>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H169</f>
        <v>41369</v>
      </c>
      <c r="AAH171" s="78">
        <f>G171</f>
        <v>41369</v>
      </c>
      <c r="AAI171" s="77"/>
      <c r="AAJ171" s="77"/>
      <c r="AAK171" s="77"/>
      <c r="AAL171" s="89" t="str">
        <f>"Draft "&amp;S.CodeName&amp;"AGENDA.mm.dd.yyyy.2.00"</f>
        <v>Draft AGENDA.mm.dd.yyyy.2.00</v>
      </c>
      <c r="AAM171" s="112"/>
      <c r="AAU171" s="44"/>
    </row>
    <row r="172" spans="1:723" s="23" customFormat="1" ht="15" hidden="1" customHeight="1" outlineLevel="2">
      <c r="A172" s="558"/>
      <c r="B172" s="391" t="s">
        <v>196</v>
      </c>
      <c r="C172" s="239"/>
      <c r="D172" s="169" t="s">
        <v>54</v>
      </c>
      <c r="E172" s="368">
        <f t="shared" si="838"/>
        <v>1</v>
      </c>
      <c r="F172" s="492">
        <f t="shared" ca="1" si="839"/>
        <v>-90</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ref="AAH172:AAH175" si="842">G172</f>
        <v>41369</v>
      </c>
      <c r="AAI172" s="77"/>
      <c r="AAJ172" s="77"/>
      <c r="AAK172" s="77"/>
      <c r="AAL172" s="56"/>
      <c r="AAM172" s="112"/>
      <c r="AAU172" s="44"/>
    </row>
    <row r="173" spans="1:723" s="23" customFormat="1" ht="15" hidden="1" customHeight="1" outlineLevel="2">
      <c r="A173" s="558"/>
      <c r="B173" s="391" t="s">
        <v>196</v>
      </c>
      <c r="C173" s="239"/>
      <c r="D173" s="169" t="s">
        <v>54</v>
      </c>
      <c r="E173" s="368">
        <f t="shared" si="838"/>
        <v>1</v>
      </c>
      <c r="F173" s="492">
        <f t="shared" ca="1" si="839"/>
        <v>-90</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196</v>
      </c>
      <c r="C174" s="239"/>
      <c r="D174" s="169" t="s">
        <v>54</v>
      </c>
      <c r="E174" s="368">
        <f t="shared" si="838"/>
        <v>1</v>
      </c>
      <c r="F174" s="492">
        <f t="shared" ca="1" si="839"/>
        <v>-90</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H173</f>
        <v>41369</v>
      </c>
      <c r="AAH174" s="78">
        <f t="shared" si="842"/>
        <v>41369</v>
      </c>
      <c r="AAI174" s="77"/>
      <c r="AAJ174" s="77"/>
      <c r="AAK174" s="77"/>
      <c r="AAL174" s="56"/>
      <c r="AAM174" s="112"/>
      <c r="AAU174" s="44"/>
    </row>
    <row r="175" spans="1:723" s="23" customFormat="1" ht="15" hidden="1" customHeight="1" outlineLevel="2">
      <c r="A175" s="558"/>
      <c r="B175" s="391" t="s">
        <v>196</v>
      </c>
      <c r="C175" s="239"/>
      <c r="D175" s="169" t="s">
        <v>54</v>
      </c>
      <c r="E175" s="368">
        <f t="shared" si="838"/>
        <v>1</v>
      </c>
      <c r="F175" s="492">
        <f t="shared" ca="1" si="839"/>
        <v>-90</v>
      </c>
      <c r="G175" s="383">
        <f t="shared" si="840"/>
        <v>41369</v>
      </c>
      <c r="H175" s="369">
        <f t="shared" si="841"/>
        <v>41369</v>
      </c>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8"/>
      <c r="AAB175"/>
      <c r="AAC175"/>
      <c r="AAD175" s="112"/>
      <c r="AAE175" s="552">
        <f t="shared" si="808"/>
        <v>0</v>
      </c>
      <c r="AAF175" s="112" t="s">
        <v>0</v>
      </c>
      <c r="AAG175" s="78">
        <f t="shared" ref="AAG175" si="843">H174</f>
        <v>41369</v>
      </c>
      <c r="AAH175" s="78">
        <f t="shared" si="842"/>
        <v>41369</v>
      </c>
      <c r="AAI175" s="77"/>
      <c r="AAJ175" s="77"/>
      <c r="AAK175" s="77"/>
      <c r="AAL175" s="56"/>
      <c r="AAM175" s="112"/>
      <c r="AAU175" s="44"/>
    </row>
    <row r="176" spans="1:723" s="23" customFormat="1" ht="15" hidden="1" customHeight="1" outlineLevel="2">
      <c r="A176" s="558"/>
      <c r="B176" s="392" t="s">
        <v>189</v>
      </c>
      <c r="C176" s="709"/>
      <c r="D176" s="167"/>
      <c r="E176" s="167"/>
      <c r="F176" s="167"/>
      <c r="G176" s="167"/>
      <c r="H176" s="167"/>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617"/>
      <c r="ZZ176" s="622"/>
      <c r="AAA176" s="588"/>
      <c r="AAB176"/>
      <c r="AAC176"/>
      <c r="AAD176" s="112"/>
      <c r="AAE176" s="552">
        <f t="shared" si="808"/>
        <v>0</v>
      </c>
      <c r="AAF176" s="583" t="s">
        <v>174</v>
      </c>
      <c r="AAG176" s="39"/>
      <c r="AAH176" s="39"/>
      <c r="AAI176" s="77"/>
      <c r="AAJ176" s="77"/>
      <c r="AAK176" s="77"/>
      <c r="AAL176" s="56"/>
      <c r="AAM176" s="112"/>
      <c r="AAU176" s="44"/>
    </row>
    <row r="177" spans="1:723" s="23" customFormat="1" ht="15" hidden="1" customHeight="1" outlineLevel="2">
      <c r="A177" s="558"/>
      <c r="B177" s="393" t="str">
        <f ca="1">"Draft optional PRESENTATION."&amp;TEXT($G$168,"mm.dd.yy")&amp;""</f>
        <v>Draft optional PRESENTATION.08.08.13</v>
      </c>
      <c r="C177" s="231" t="s">
        <v>69</v>
      </c>
      <c r="D177" s="169" t="s">
        <v>54</v>
      </c>
      <c r="E177" s="368">
        <f t="shared" ref="E177:E180" si="844">NETWORKDAYS(G177,H177,S.DDL_DEQClosed)</f>
        <v>1</v>
      </c>
      <c r="F177" s="492">
        <f t="shared" ref="F177:F180" ca="1" si="845">NETWORKDAYS(TODAY(),H177)</f>
        <v>-90</v>
      </c>
      <c r="G177" s="383">
        <f t="shared" ref="G177:G180" si="846">AAG177</f>
        <v>41369</v>
      </c>
      <c r="H177" s="369">
        <f t="shared" ref="H177:H180" si="847">AAH177</f>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H175</f>
        <v>41369</v>
      </c>
      <c r="AAH177" s="78">
        <f t="shared" ref="AAH177:AAH180" si="848">G177</f>
        <v>41369</v>
      </c>
      <c r="AAI177" s="77"/>
      <c r="AAJ177" s="77"/>
      <c r="AAK177" s="77"/>
      <c r="AAL177" s="56"/>
      <c r="AAM177" s="112"/>
      <c r="AAU177" s="44"/>
    </row>
    <row r="178" spans="1:723" s="23" customFormat="1" ht="15" hidden="1" customHeight="1" outlineLevel="2">
      <c r="A178" s="558"/>
      <c r="B178" s="393" t="s">
        <v>200</v>
      </c>
      <c r="C178" s="239"/>
      <c r="D178" s="169" t="s">
        <v>54</v>
      </c>
      <c r="E178" s="368">
        <f t="shared" si="844"/>
        <v>1</v>
      </c>
      <c r="F178" s="492">
        <f t="shared" ca="1" si="845"/>
        <v>-90</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 t="shared" ref="AAG178" si="849">H177</f>
        <v>41369</v>
      </c>
      <c r="AAH178" s="78">
        <f t="shared" si="848"/>
        <v>41369</v>
      </c>
      <c r="AAI178" s="77"/>
      <c r="AAJ178" s="77"/>
      <c r="AAK178" s="77"/>
      <c r="AAL178" s="56"/>
      <c r="AAM178" s="112"/>
      <c r="AAU178" s="44"/>
    </row>
    <row r="179" spans="1:723" s="23" customFormat="1" ht="15" hidden="1" customHeight="1" outlineLevel="2">
      <c r="A179" s="558"/>
      <c r="B179" s="393" t="s">
        <v>194</v>
      </c>
      <c r="C179" s="239"/>
      <c r="D179" s="169" t="s">
        <v>54</v>
      </c>
      <c r="E179" s="368">
        <f t="shared" si="844"/>
        <v>1</v>
      </c>
      <c r="F179" s="492">
        <f t="shared" ca="1" si="845"/>
        <v>-90</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H178</f>
        <v>41369</v>
      </c>
      <c r="AAH179" s="78">
        <f t="shared" si="848"/>
        <v>41369</v>
      </c>
      <c r="AAI179" s="77"/>
      <c r="AAJ179" s="77"/>
      <c r="AAK179" s="77"/>
      <c r="AAL179" s="56"/>
      <c r="AAM179" s="112"/>
      <c r="AAU179" s="44"/>
    </row>
    <row r="180" spans="1:723" s="23" customFormat="1" ht="15" hidden="1" customHeight="1" outlineLevel="2">
      <c r="A180" s="558"/>
      <c r="B180" s="393" t="s">
        <v>195</v>
      </c>
      <c r="C180" s="239"/>
      <c r="D180" s="169" t="s">
        <v>54</v>
      </c>
      <c r="E180" s="368">
        <f t="shared" si="844"/>
        <v>1</v>
      </c>
      <c r="F180" s="492">
        <f t="shared" ca="1" si="845"/>
        <v>-90</v>
      </c>
      <c r="G180" s="383">
        <f t="shared" si="846"/>
        <v>41369</v>
      </c>
      <c r="H180" s="369">
        <f t="shared" si="847"/>
        <v>41369</v>
      </c>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8"/>
      <c r="AAB180"/>
      <c r="AAC180"/>
      <c r="AAD180" s="112"/>
      <c r="AAE180" s="552">
        <f t="shared" si="808"/>
        <v>0</v>
      </c>
      <c r="AAF180" s="112" t="s">
        <v>0</v>
      </c>
      <c r="AAG180" s="78">
        <f t="shared" ref="AAG180" si="850">H179</f>
        <v>41369</v>
      </c>
      <c r="AAH180" s="78">
        <f t="shared" si="848"/>
        <v>41369</v>
      </c>
      <c r="AAI180" s="77"/>
      <c r="AAJ180" s="77"/>
      <c r="AAK180" s="77"/>
      <c r="AAL180" s="56"/>
      <c r="AAM180" s="112"/>
      <c r="AAU180" s="44"/>
    </row>
    <row r="181" spans="1:723" s="23" customFormat="1" ht="15" hidden="1" customHeight="1" outlineLevel="2">
      <c r="A181" s="558"/>
      <c r="B181" s="394" t="s">
        <v>190</v>
      </c>
      <c r="C181" s="710"/>
      <c r="D181" s="122"/>
      <c r="E181" s="122"/>
      <c r="F181" s="122"/>
      <c r="G181" s="122"/>
      <c r="H181" s="122"/>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7"/>
      <c r="ZZ181" s="622"/>
      <c r="AAA181" s="588"/>
      <c r="AAB181"/>
      <c r="AAC181"/>
      <c r="AAD181" s="112"/>
      <c r="AAE181" s="552">
        <f t="shared" si="808"/>
        <v>0</v>
      </c>
      <c r="AAF181" s="583" t="s">
        <v>174</v>
      </c>
      <c r="AAG181" s="39"/>
      <c r="AAH181" s="39"/>
      <c r="AAI181" s="39"/>
      <c r="AAJ181" s="56"/>
      <c r="AAK181" s="56"/>
      <c r="AAL181" s="56"/>
      <c r="AAM181" s="112"/>
      <c r="AAU181" s="44"/>
    </row>
    <row r="182" spans="1:723" s="23" customFormat="1" ht="15" hidden="1" customHeight="1" outlineLevel="2">
      <c r="A182" s="558"/>
      <c r="B182" s="377" t="str">
        <f ca="1">"Draft COMMITTEE.NOTICE."&amp;TEXT($G$168,"mm.dd.yy")&amp;""</f>
        <v>Draft COMMITTEE.NOTICE.08.08.13</v>
      </c>
      <c r="C182" s="239"/>
      <c r="D182" s="169" t="s">
        <v>151</v>
      </c>
      <c r="E182" s="368">
        <f t="shared" ref="E182" si="851">NETWORKDAYS(G182,H182,S.DDL_DEQClosed)</f>
        <v>1</v>
      </c>
      <c r="F182" s="492">
        <f t="shared" ref="F182" ca="1" si="852">NETWORKDAYS(TODAY(),H182)</f>
        <v>-90</v>
      </c>
      <c r="G182" s="383">
        <f t="shared" ref="G182" si="853">AAG182</f>
        <v>41369</v>
      </c>
      <c r="H182" s="369">
        <f t="shared" ref="H182" si="854">AAH182</f>
        <v>41369</v>
      </c>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8"/>
      <c r="AAB182"/>
      <c r="AAC182"/>
      <c r="AAD182" s="112"/>
      <c r="AAE182" s="552">
        <f t="shared" ref="AAE182:AAE207" si="855">IF(S.InvolveCommittee=TRUE,1,0)</f>
        <v>0</v>
      </c>
      <c r="AAF182" s="112" t="s">
        <v>0</v>
      </c>
      <c r="AAG182" s="78">
        <f>H180</f>
        <v>41369</v>
      </c>
      <c r="AAH182" s="78">
        <f t="shared" ref="AAH182" si="856">G182</f>
        <v>41369</v>
      </c>
      <c r="AAI182" s="77"/>
      <c r="AAJ182" s="77"/>
      <c r="AAK182" s="77"/>
      <c r="AAL182" s="89" t="str">
        <f>"Draft "&amp;S.CodeName&amp;"COMMITTEE.NOTICE.mm.dd.yyyy.2.00"</f>
        <v>Draft COMMITTEE.NOTICE.mm.dd.yyyy.2.00</v>
      </c>
      <c r="AAM182" s="112"/>
      <c r="AAU182" s="44"/>
    </row>
    <row r="183" spans="1:723" s="23" customFormat="1" ht="15" hidden="1" customHeight="1" outlineLevel="2">
      <c r="A183" s="558"/>
      <c r="B183" s="395" t="s">
        <v>21</v>
      </c>
      <c r="C183" s="245"/>
      <c r="D183" s="196"/>
      <c r="E183" s="123"/>
      <c r="F183" s="124"/>
      <c r="G183" s="246" t="s">
        <v>0</v>
      </c>
      <c r="H183" s="145"/>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617"/>
      <c r="ZZ183" s="622"/>
      <c r="AAA183" s="588"/>
      <c r="AAB183"/>
      <c r="AAC183"/>
      <c r="AAD183" s="112"/>
      <c r="AAE183" s="552">
        <f t="shared" si="855"/>
        <v>0</v>
      </c>
      <c r="AAF183" s="583" t="s">
        <v>174</v>
      </c>
      <c r="AAG183" s="63"/>
      <c r="AAH183" s="76" t="s">
        <v>0</v>
      </c>
      <c r="AAI183" s="77"/>
      <c r="AAJ183" s="77"/>
      <c r="AAK183" s="77"/>
      <c r="AAL183" s="56"/>
      <c r="AAM183" s="112"/>
      <c r="AAU183" s="44"/>
    </row>
    <row r="184" spans="1:723" s="23" customFormat="1" ht="15" hidden="1" customHeight="1" outlineLevel="2">
      <c r="A184" s="558"/>
      <c r="B184" s="387" t="s">
        <v>199</v>
      </c>
      <c r="C184" s="168"/>
      <c r="D184" s="169" t="s">
        <v>157</v>
      </c>
      <c r="E184" s="368">
        <f>NETWORKDAYS(G184,H184,S.DDL_DEQClosed)</f>
        <v>1</v>
      </c>
      <c r="F184" s="492">
        <f ca="1">NETWORKDAYS(TODAY(),H184)</f>
        <v>-90</v>
      </c>
      <c r="G184" s="383">
        <f>AAG184</f>
        <v>41369</v>
      </c>
      <c r="H184" s="369">
        <f>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H182</f>
        <v>41369</v>
      </c>
      <c r="AAH184" s="78">
        <f>G184</f>
        <v>41369</v>
      </c>
      <c r="AAI184" s="77"/>
      <c r="AAJ184" s="77"/>
      <c r="AAK184" s="77"/>
      <c r="AAL184" s="56"/>
      <c r="AAM184" s="112"/>
      <c r="AAU184" s="44"/>
    </row>
    <row r="185" spans="1:723" s="23" customFormat="1" ht="15" hidden="1" customHeight="1" outlineLevel="2">
      <c r="A185" s="558"/>
      <c r="B185" s="387" t="s">
        <v>53</v>
      </c>
      <c r="C185" s="168"/>
      <c r="D185" s="169" t="s">
        <v>359</v>
      </c>
      <c r="E185" s="368">
        <f t="shared" ref="E185:E187" si="857">NETWORKDAYS(G185,H185,S.DDL_DEQClosed)</f>
        <v>1</v>
      </c>
      <c r="F185" s="492">
        <f t="shared" ref="F185:F187" ca="1" si="858">NETWORKDAYS(TODAY(),H185)</f>
        <v>-90</v>
      </c>
      <c r="G185" s="383">
        <f t="shared" ref="G185:G187" si="859">AAG185</f>
        <v>41369</v>
      </c>
      <c r="H185" s="369">
        <f t="shared" ref="H185:H187" si="860">AAH185</f>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H184</f>
        <v>41369</v>
      </c>
      <c r="AAH185" s="78">
        <f t="shared" ref="AAH185:AAH187" si="861">G185</f>
        <v>41369</v>
      </c>
      <c r="AAI185" s="77"/>
      <c r="AAJ185" s="77"/>
      <c r="AAK185" s="77"/>
      <c r="AAL185" s="56"/>
      <c r="AAM185" s="112"/>
      <c r="AAU185" s="44"/>
    </row>
    <row r="186" spans="1:723" s="23" customFormat="1" ht="15" hidden="1" customHeight="1" outlineLevel="2">
      <c r="A186" s="558"/>
      <c r="B186" s="404" t="str">
        <f ca="1">"Draft MINUTES."&amp;TEXT($G$168,"mm.dd.yy")&amp;""</f>
        <v>Draft MINUTES.08.08.13</v>
      </c>
      <c r="C186" s="231" t="s">
        <v>69</v>
      </c>
      <c r="D186" s="248" t="s">
        <v>151</v>
      </c>
      <c r="E186" s="368">
        <f t="shared" si="857"/>
        <v>1</v>
      </c>
      <c r="F186" s="492">
        <f t="shared" ca="1" si="858"/>
        <v>-90</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ref="AAG186:AAG187" si="862">H185</f>
        <v>41369</v>
      </c>
      <c r="AAH186" s="78">
        <f t="shared" si="861"/>
        <v>41369</v>
      </c>
      <c r="AAI186" s="77"/>
      <c r="AAJ186" s="77"/>
      <c r="AAK186" s="77"/>
      <c r="AAL186" s="89" t="str">
        <f>"Draft "&amp;S.CodeName&amp;"MINUTES.mm.dd.yyy.2.00"</f>
        <v>Draft MINUTES.mm.dd.yyy.2.00</v>
      </c>
      <c r="AAM186" s="112"/>
      <c r="AAU186" s="44"/>
    </row>
    <row r="187" spans="1:723" s="23" customFormat="1" ht="15" hidden="1" customHeight="1" outlineLevel="2">
      <c r="A187" s="558"/>
      <c r="B187" s="243" t="s">
        <v>52</v>
      </c>
      <c r="C187" s="168"/>
      <c r="D187" s="169" t="s">
        <v>359</v>
      </c>
      <c r="E187" s="368">
        <f t="shared" si="857"/>
        <v>1</v>
      </c>
      <c r="F187" s="492">
        <f t="shared" ca="1" si="858"/>
        <v>-90</v>
      </c>
      <c r="G187" s="383">
        <f t="shared" si="859"/>
        <v>41369</v>
      </c>
      <c r="H187" s="369">
        <f t="shared" si="860"/>
        <v>41369</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8"/>
      <c r="AAB187"/>
      <c r="AAC187"/>
      <c r="AAD187" s="112"/>
      <c r="AAE187" s="552">
        <f t="shared" si="855"/>
        <v>0</v>
      </c>
      <c r="AAF187" s="112"/>
      <c r="AAG187" s="78">
        <f t="shared" si="862"/>
        <v>41369</v>
      </c>
      <c r="AAH187" s="78">
        <f t="shared" si="861"/>
        <v>41369</v>
      </c>
      <c r="AAI187" s="77"/>
      <c r="AAJ187" s="77"/>
      <c r="AAK187" s="77"/>
      <c r="AAL187" s="56"/>
      <c r="AAM187" s="112"/>
      <c r="AAU187" s="44"/>
    </row>
    <row r="188" spans="1:723" s="23" customFormat="1" ht="18" hidden="1" customHeight="1" outlineLevel="1" collapsed="1">
      <c r="A188" s="558"/>
      <c r="B188" s="244" t="s">
        <v>147</v>
      </c>
      <c r="C188" s="168"/>
      <c r="D188" s="778"/>
      <c r="E188" s="778"/>
      <c r="F188" s="778"/>
      <c r="G188" s="406">
        <f ca="1">TODAY()</f>
        <v>41494</v>
      </c>
      <c r="H188" s="406" t="s">
        <v>191</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7"/>
      <c r="ZZ188" s="622"/>
      <c r="AAA188" s="588"/>
      <c r="AAB188"/>
      <c r="AAC188"/>
      <c r="AAD188" s="112"/>
      <c r="AAE188" s="552">
        <f t="shared" si="855"/>
        <v>0</v>
      </c>
      <c r="AAF188" s="583" t="s">
        <v>174</v>
      </c>
      <c r="AAG188" s="39" t="s">
        <v>0</v>
      </c>
      <c r="AAH188" s="39" t="s">
        <v>0</v>
      </c>
      <c r="AAI188" s="39"/>
      <c r="AAJ188" s="56"/>
      <c r="AAK188" s="56"/>
      <c r="AAL188" s="56"/>
      <c r="AAM188" s="112"/>
      <c r="AAU188" s="44"/>
    </row>
    <row r="189" spans="1:723" s="23" customFormat="1" ht="15" hidden="1" customHeight="1" outlineLevel="2">
      <c r="A189" s="558"/>
      <c r="B189" s="375" t="s">
        <v>56</v>
      </c>
      <c r="C189" s="168"/>
      <c r="D189" s="169" t="s">
        <v>359</v>
      </c>
      <c r="E189" s="368">
        <f t="shared" ref="E189" si="863">NETWORKDAYS(G189,H189,S.DDL_DEQClosed)</f>
        <v>1</v>
      </c>
      <c r="F189" s="492">
        <f t="shared" ref="F189" ca="1" si="864">NETWORKDAYS(TODAY(),H189)</f>
        <v>-90</v>
      </c>
      <c r="G189" s="383">
        <f t="shared" ref="G189" si="865">AAG189</f>
        <v>41369</v>
      </c>
      <c r="H189" s="369">
        <f t="shared" ref="H189" si="866">AAH189</f>
        <v>41369</v>
      </c>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8"/>
      <c r="AAB189"/>
      <c r="AAC189"/>
      <c r="AAD189" s="112"/>
      <c r="AAE189" s="552">
        <f t="shared" si="855"/>
        <v>0</v>
      </c>
      <c r="AAF189" s="112"/>
      <c r="AAG189" s="78">
        <f>H186</f>
        <v>41369</v>
      </c>
      <c r="AAH189" s="78">
        <f t="shared" ref="AAH189" si="867">G189</f>
        <v>41369</v>
      </c>
      <c r="AAI189" s="77"/>
      <c r="AAJ189" s="77"/>
      <c r="AAK189" s="77"/>
      <c r="AAL189" s="56"/>
      <c r="AAM189" s="112"/>
      <c r="AAU189" s="44"/>
    </row>
    <row r="190" spans="1:723" s="23" customFormat="1" ht="15" hidden="1" customHeight="1" outlineLevel="2">
      <c r="A190" s="558"/>
      <c r="B190" s="376" t="s">
        <v>55</v>
      </c>
      <c r="C190" s="166"/>
      <c r="D190" s="397"/>
      <c r="E190" s="400"/>
      <c r="F190" s="400"/>
      <c r="G190" s="356"/>
      <c r="H190" s="401"/>
      <c r="I190" s="588"/>
      <c r="J190" s="47"/>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617"/>
      <c r="ZZ190" s="622"/>
      <c r="AAA190" s="588"/>
      <c r="AAB190"/>
      <c r="AAC190"/>
      <c r="AAD190" s="112"/>
      <c r="AAE190" s="552">
        <f t="shared" si="855"/>
        <v>0</v>
      </c>
      <c r="AAF190" s="583" t="s">
        <v>174</v>
      </c>
      <c r="AAG190" s="63"/>
      <c r="AAH190" s="76"/>
      <c r="AAI190" s="77"/>
      <c r="AAJ190" s="77"/>
      <c r="AAK190" s="77"/>
      <c r="AAL190" s="56"/>
      <c r="AAM190" s="112"/>
      <c r="AAU190" s="44"/>
    </row>
    <row r="191" spans="1:723" s="23" customFormat="1" ht="15" hidden="1" customHeight="1" outlineLevel="2">
      <c r="A191" s="558"/>
      <c r="B191" s="377" t="str">
        <f ca="1">"Draft AGENDA."&amp;TEXT($G$188,"mm.dd.yy")&amp;""</f>
        <v>Draft AGENDA.08.08.13</v>
      </c>
      <c r="C191" s="231" t="s">
        <v>69</v>
      </c>
      <c r="D191" s="308" t="s">
        <v>54</v>
      </c>
      <c r="E191" s="368">
        <f t="shared" ref="E191:E195" si="868">NETWORKDAYS(G191,H191,S.DDL_DEQClosed)</f>
        <v>1</v>
      </c>
      <c r="F191" s="492">
        <f t="shared" ref="F191:F195" ca="1" si="869">NETWORKDAYS(TODAY(),H191)</f>
        <v>-90</v>
      </c>
      <c r="G191" s="383">
        <f>AAG191</f>
        <v>41369</v>
      </c>
      <c r="H191" s="369">
        <f t="shared" ref="H191:H195" si="870">AAH191</f>
        <v>41369</v>
      </c>
      <c r="I191" s="588"/>
      <c r="J191" s="634"/>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H189</f>
        <v>41369</v>
      </c>
      <c r="AAH191" s="78">
        <f>G191</f>
        <v>41369</v>
      </c>
      <c r="AAI191" s="77"/>
      <c r="AAJ191" s="77"/>
      <c r="AAK191" s="77"/>
      <c r="AAL191" s="89" t="str">
        <f>"Draft "&amp;S.CodeName&amp;"AGENDA.mm.dd.yyyy.2.00"</f>
        <v>Draft AGENDA.mm.dd.yyyy.2.00</v>
      </c>
      <c r="AAM191" s="112"/>
      <c r="AAU191" s="44"/>
    </row>
    <row r="192" spans="1:723" s="23" customFormat="1" ht="15" hidden="1" customHeight="1" outlineLevel="2">
      <c r="A192" s="558"/>
      <c r="B192" s="391" t="s">
        <v>196</v>
      </c>
      <c r="C192" s="239"/>
      <c r="D192" s="308" t="s">
        <v>54</v>
      </c>
      <c r="E192" s="368">
        <f t="shared" si="868"/>
        <v>1</v>
      </c>
      <c r="F192" s="492">
        <f t="shared" ca="1" si="869"/>
        <v>-90</v>
      </c>
      <c r="G192" s="383">
        <f t="shared" ref="G192:G195" si="871">AAG192</f>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ref="AAH192:AAH195" si="872">G192</f>
        <v>41369</v>
      </c>
      <c r="AAI192" s="77"/>
      <c r="AAJ192" s="77"/>
      <c r="AAK192" s="77"/>
      <c r="AAL192" s="56"/>
      <c r="AAM192" s="112"/>
      <c r="AAU192" s="44"/>
    </row>
    <row r="193" spans="1:732" s="23" customFormat="1" ht="15" hidden="1" customHeight="1" outlineLevel="2">
      <c r="A193" s="558"/>
      <c r="B193" s="391" t="s">
        <v>196</v>
      </c>
      <c r="C193" s="239"/>
      <c r="D193" s="308" t="s">
        <v>54</v>
      </c>
      <c r="E193" s="368">
        <f t="shared" si="868"/>
        <v>1</v>
      </c>
      <c r="F193" s="492">
        <f t="shared" ca="1" si="869"/>
        <v>-90</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196</v>
      </c>
      <c r="C194" s="239"/>
      <c r="D194" s="308" t="s">
        <v>54</v>
      </c>
      <c r="E194" s="368">
        <f t="shared" si="868"/>
        <v>1</v>
      </c>
      <c r="F194" s="492">
        <f t="shared" ca="1" si="869"/>
        <v>-90</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H193</f>
        <v>41369</v>
      </c>
      <c r="AAH194" s="78">
        <f t="shared" si="872"/>
        <v>41369</v>
      </c>
      <c r="AAI194" s="77"/>
      <c r="AAJ194" s="77"/>
      <c r="AAK194" s="77"/>
      <c r="AAL194" s="56"/>
      <c r="AAM194" s="112"/>
      <c r="AAU194" s="44"/>
    </row>
    <row r="195" spans="1:732" s="23" customFormat="1" ht="15" hidden="1" customHeight="1" outlineLevel="2">
      <c r="A195" s="558"/>
      <c r="B195" s="391" t="s">
        <v>196</v>
      </c>
      <c r="C195" s="239"/>
      <c r="D195" s="308" t="s">
        <v>54</v>
      </c>
      <c r="E195" s="368">
        <f t="shared" si="868"/>
        <v>1</v>
      </c>
      <c r="F195" s="492">
        <f t="shared" ca="1" si="869"/>
        <v>-90</v>
      </c>
      <c r="G195" s="383">
        <f t="shared" si="871"/>
        <v>41369</v>
      </c>
      <c r="H195" s="369">
        <f t="shared" si="870"/>
        <v>41369</v>
      </c>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8"/>
      <c r="AAB195"/>
      <c r="AAC195"/>
      <c r="AAD195" s="112"/>
      <c r="AAE195" s="552">
        <f t="shared" si="855"/>
        <v>0</v>
      </c>
      <c r="AAF195" s="112" t="s">
        <v>0</v>
      </c>
      <c r="AAG195" s="78">
        <f t="shared" ref="AAG195" si="873">H194</f>
        <v>41369</v>
      </c>
      <c r="AAH195" s="78">
        <f t="shared" si="872"/>
        <v>41369</v>
      </c>
      <c r="AAI195" s="77"/>
      <c r="AAJ195" s="77"/>
      <c r="AAK195" s="77"/>
      <c r="AAL195" s="56"/>
      <c r="AAM195" s="112"/>
      <c r="AAU195" s="44"/>
    </row>
    <row r="196" spans="1:732" s="23" customFormat="1" ht="15" hidden="1" customHeight="1" outlineLevel="2">
      <c r="A196" s="558"/>
      <c r="B196" s="392" t="s">
        <v>189</v>
      </c>
      <c r="C196" s="709"/>
      <c r="D196" s="398"/>
      <c r="E196" s="402"/>
      <c r="F196" s="402"/>
      <c r="G196" s="402"/>
      <c r="H196" s="402"/>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617"/>
      <c r="ZZ196" s="622"/>
      <c r="AAA196" s="588"/>
      <c r="AAB196"/>
      <c r="AAC196"/>
      <c r="AAD196" s="112"/>
      <c r="AAE196" s="552">
        <f t="shared" si="855"/>
        <v>0</v>
      </c>
      <c r="AAF196" s="583" t="s">
        <v>174</v>
      </c>
      <c r="AAG196" s="39"/>
      <c r="AAH196" s="39"/>
      <c r="AAI196" s="77"/>
      <c r="AAJ196" s="77"/>
      <c r="AAK196" s="77"/>
      <c r="AAL196" s="56"/>
      <c r="AAM196" s="112"/>
      <c r="AAU196" s="44"/>
    </row>
    <row r="197" spans="1:732" s="23" customFormat="1" ht="15" hidden="1" customHeight="1" outlineLevel="2">
      <c r="A197" s="558"/>
      <c r="B197" s="393" t="str">
        <f ca="1">"Draft optional PRESENTATION."&amp;TEXT($G$168,"mm.dd.yy")&amp;""</f>
        <v>Draft optional PRESENTATION.08.08.13</v>
      </c>
      <c r="C197" s="231" t="s">
        <v>69</v>
      </c>
      <c r="D197" s="308" t="s">
        <v>54</v>
      </c>
      <c r="E197" s="368">
        <f t="shared" ref="E197:E200" si="874">NETWORKDAYS(G197,H197,S.DDL_DEQClosed)</f>
        <v>1</v>
      </c>
      <c r="F197" s="492">
        <f t="shared" ref="F197:F200" ca="1" si="875">NETWORKDAYS(TODAY(),H197)</f>
        <v>-90</v>
      </c>
      <c r="G197" s="383">
        <f t="shared" ref="G197:G200" si="876">AAG197</f>
        <v>41369</v>
      </c>
      <c r="H197" s="369">
        <f t="shared" ref="H197:H200" si="877">AAH197</f>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H195</f>
        <v>41369</v>
      </c>
      <c r="AAH197" s="78">
        <f t="shared" ref="AAH197:AAH200" si="878">G197</f>
        <v>41369</v>
      </c>
      <c r="AAI197" s="77"/>
      <c r="AAJ197" s="77"/>
      <c r="AAK197" s="77"/>
      <c r="AAL197" s="56"/>
      <c r="AAM197" s="112"/>
      <c r="AAU197" s="44"/>
    </row>
    <row r="198" spans="1:732" s="23" customFormat="1" ht="15" hidden="1" customHeight="1" outlineLevel="2">
      <c r="A198" s="558"/>
      <c r="B198" s="393" t="s">
        <v>200</v>
      </c>
      <c r="C198" s="239"/>
      <c r="D198" s="308" t="s">
        <v>54</v>
      </c>
      <c r="E198" s="368">
        <f t="shared" si="874"/>
        <v>1</v>
      </c>
      <c r="F198" s="492">
        <f t="shared" ca="1" si="875"/>
        <v>-90</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 t="shared" ref="AAG198" si="879">H197</f>
        <v>41369</v>
      </c>
      <c r="AAH198" s="78">
        <f t="shared" si="878"/>
        <v>41369</v>
      </c>
      <c r="AAI198" s="77"/>
      <c r="AAJ198" s="77"/>
      <c r="AAK198" s="77"/>
      <c r="AAL198" s="56"/>
      <c r="AAM198" s="112"/>
      <c r="AAU198" s="44"/>
    </row>
    <row r="199" spans="1:732" s="23" customFormat="1" ht="15" hidden="1" customHeight="1" outlineLevel="2">
      <c r="A199" s="558"/>
      <c r="B199" s="393" t="s">
        <v>194</v>
      </c>
      <c r="C199" s="239"/>
      <c r="D199" s="308" t="s">
        <v>54</v>
      </c>
      <c r="E199" s="368">
        <f t="shared" si="874"/>
        <v>1</v>
      </c>
      <c r="F199" s="492">
        <f t="shared" ca="1" si="875"/>
        <v>-90</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H198</f>
        <v>41369</v>
      </c>
      <c r="AAH199" s="78">
        <f t="shared" si="878"/>
        <v>41369</v>
      </c>
      <c r="AAI199" s="77"/>
      <c r="AAJ199" s="77"/>
      <c r="AAK199" s="77"/>
      <c r="AAL199" s="56"/>
      <c r="AAM199" s="112"/>
      <c r="AAU199" s="44"/>
    </row>
    <row r="200" spans="1:732" s="23" customFormat="1" ht="15" hidden="1" customHeight="1" outlineLevel="2">
      <c r="A200" s="558"/>
      <c r="B200" s="393" t="s">
        <v>195</v>
      </c>
      <c r="C200" s="239"/>
      <c r="D200" s="308" t="s">
        <v>54</v>
      </c>
      <c r="E200" s="368">
        <f t="shared" si="874"/>
        <v>1</v>
      </c>
      <c r="F200" s="492">
        <f t="shared" ca="1" si="875"/>
        <v>-90</v>
      </c>
      <c r="G200" s="383">
        <f t="shared" si="876"/>
        <v>41369</v>
      </c>
      <c r="H200" s="369">
        <f t="shared" si="877"/>
        <v>41369</v>
      </c>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8"/>
      <c r="AAB200"/>
      <c r="AAC200"/>
      <c r="AAD200" s="112"/>
      <c r="AAE200" s="552">
        <f t="shared" si="855"/>
        <v>0</v>
      </c>
      <c r="AAF200" s="112" t="s">
        <v>0</v>
      </c>
      <c r="AAG200" s="78">
        <f t="shared" ref="AAG200" si="880">H199</f>
        <v>41369</v>
      </c>
      <c r="AAH200" s="78">
        <f t="shared" si="878"/>
        <v>41369</v>
      </c>
      <c r="AAI200" s="77"/>
      <c r="AAJ200" s="77"/>
      <c r="AAK200" s="77"/>
      <c r="AAL200" s="56"/>
      <c r="AAM200" s="112"/>
      <c r="AAU200" s="44"/>
    </row>
    <row r="201" spans="1:732" s="23" customFormat="1" ht="15" hidden="1" customHeight="1" outlineLevel="2">
      <c r="A201" s="558"/>
      <c r="B201" s="394" t="s">
        <v>190</v>
      </c>
      <c r="C201" s="710"/>
      <c r="D201" s="386"/>
      <c r="E201" s="127"/>
      <c r="F201" s="127"/>
      <c r="G201" s="127"/>
      <c r="H201" s="127"/>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7"/>
      <c r="ZZ201" s="622"/>
      <c r="AAA201" s="588"/>
      <c r="AAB201"/>
      <c r="AAC201"/>
      <c r="AAD201" s="112"/>
      <c r="AAE201" s="552">
        <f t="shared" si="855"/>
        <v>0</v>
      </c>
      <c r="AAF201" s="583" t="s">
        <v>174</v>
      </c>
      <c r="AAG201" s="39"/>
      <c r="AAH201" s="39"/>
      <c r="AAI201" s="77"/>
      <c r="AAJ201" s="77"/>
      <c r="AAK201" s="77"/>
      <c r="AAL201" s="56"/>
      <c r="AAM201" s="112"/>
      <c r="AAU201" s="44"/>
    </row>
    <row r="202" spans="1:732" s="23" customFormat="1" ht="15" hidden="1" customHeight="1" outlineLevel="2">
      <c r="A202" s="558"/>
      <c r="B202" s="377" t="str">
        <f ca="1">"Draft COMMITTEE.NOTICE."&amp;TEXT($G$188,"mm.dd.yy")&amp;""</f>
        <v>Draft COMMITTEE.NOTICE.08.08.13</v>
      </c>
      <c r="C202" s="239"/>
      <c r="D202" s="308" t="s">
        <v>151</v>
      </c>
      <c r="E202" s="368">
        <f t="shared" ref="E202" si="881">NETWORKDAYS(G202,H202,S.DDL_DEQClosed)</f>
        <v>1</v>
      </c>
      <c r="F202" s="492">
        <f t="shared" ref="F202" ca="1" si="882">NETWORKDAYS(TODAY(),H202)</f>
        <v>-90</v>
      </c>
      <c r="G202" s="383">
        <f t="shared" ref="G202" si="883">AAG202</f>
        <v>41369</v>
      </c>
      <c r="H202" s="369">
        <f t="shared" ref="H202" si="884">AAH202</f>
        <v>41369</v>
      </c>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8"/>
      <c r="AAB202"/>
      <c r="AAC202"/>
      <c r="AAD202" s="112"/>
      <c r="AAE202" s="552">
        <f t="shared" si="855"/>
        <v>0</v>
      </c>
      <c r="AAF202" s="112" t="s">
        <v>0</v>
      </c>
      <c r="AAG202" s="78">
        <f>H200</f>
        <v>41369</v>
      </c>
      <c r="AAH202" s="78">
        <f t="shared" ref="AAH202" si="885">G202</f>
        <v>41369</v>
      </c>
      <c r="AAI202" s="77"/>
      <c r="AAJ202" s="77"/>
      <c r="AAK202" s="77"/>
      <c r="AAL202" s="89" t="str">
        <f>"Draft "&amp;S.CodeName&amp;"COMMITTEE.NOTICE.mm.dd.yyyy.2.00"</f>
        <v>Draft COMMITTEE.NOTICE.mm.dd.yyyy.2.00</v>
      </c>
      <c r="AAM202" s="112"/>
      <c r="AAU202" s="44"/>
    </row>
    <row r="203" spans="1:732" s="23" customFormat="1" ht="15" hidden="1" customHeight="1" outlineLevel="2">
      <c r="A203" s="558"/>
      <c r="B203" s="395" t="s">
        <v>21</v>
      </c>
      <c r="C203" s="245"/>
      <c r="D203" s="197"/>
      <c r="E203" s="345"/>
      <c r="F203" s="366"/>
      <c r="G203" s="403" t="s">
        <v>0</v>
      </c>
      <c r="H203" s="401"/>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617"/>
      <c r="ZZ203" s="622"/>
      <c r="AAA203" s="588"/>
      <c r="AAB203"/>
      <c r="AAC203"/>
      <c r="AAD203" s="112"/>
      <c r="AAE203" s="552">
        <f t="shared" si="855"/>
        <v>0</v>
      </c>
      <c r="AAF203" s="583" t="s">
        <v>174</v>
      </c>
      <c r="AAG203" s="63"/>
      <c r="AAH203" s="76" t="s">
        <v>0</v>
      </c>
      <c r="AAI203" s="77"/>
      <c r="AAJ203" s="77"/>
      <c r="AAK203" s="77"/>
      <c r="AAL203" s="56"/>
      <c r="AAM203" s="112"/>
      <c r="AAU203" s="44"/>
    </row>
    <row r="204" spans="1:732" s="23" customFormat="1" ht="15" hidden="1" customHeight="1" outlineLevel="2">
      <c r="A204" s="558"/>
      <c r="B204" s="387" t="s">
        <v>199</v>
      </c>
      <c r="C204" s="168"/>
      <c r="D204" s="308" t="s">
        <v>157</v>
      </c>
      <c r="E204" s="368">
        <f>NETWORKDAYS(G204,H204,S.DDL_DEQClosed)</f>
        <v>1</v>
      </c>
      <c r="F204" s="492">
        <f ca="1">NETWORKDAYS(TODAY(),H204)</f>
        <v>-90</v>
      </c>
      <c r="G204" s="383">
        <f>AAG204</f>
        <v>41369</v>
      </c>
      <c r="H204" s="369">
        <f>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H202</f>
        <v>41369</v>
      </c>
      <c r="AAH204" s="78">
        <f>G204</f>
        <v>41369</v>
      </c>
      <c r="AAI204" s="77"/>
      <c r="AAJ204" s="77"/>
      <c r="AAK204" s="77"/>
      <c r="AAL204" s="56"/>
      <c r="AAM204" s="112"/>
      <c r="AAU204" s="44"/>
    </row>
    <row r="205" spans="1:732" s="23" customFormat="1" ht="15" hidden="1" customHeight="1" outlineLevel="2">
      <c r="A205" s="558"/>
      <c r="B205" s="387" t="s">
        <v>53</v>
      </c>
      <c r="C205" s="168"/>
      <c r="D205" s="308" t="s">
        <v>359</v>
      </c>
      <c r="E205" s="368">
        <f t="shared" ref="E205:E207" si="886">NETWORKDAYS(G205,H205,S.DDL_DEQClosed)</f>
        <v>1</v>
      </c>
      <c r="F205" s="492">
        <f t="shared" ref="F205:F207" ca="1" si="887">NETWORKDAYS(TODAY(),H205)</f>
        <v>-90</v>
      </c>
      <c r="G205" s="383">
        <f t="shared" ref="G205:G207" si="888">AAG205</f>
        <v>41369</v>
      </c>
      <c r="H205" s="369">
        <f t="shared" ref="H205:H207" si="889">AAH205</f>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H204</f>
        <v>41369</v>
      </c>
      <c r="AAH205" s="78">
        <f t="shared" ref="AAH205:AAH207" si="890">G205</f>
        <v>41369</v>
      </c>
      <c r="AAI205" s="77"/>
      <c r="AAJ205" s="77"/>
      <c r="AAK205" s="77"/>
      <c r="AAL205" s="56"/>
      <c r="AAM205" s="112"/>
      <c r="AAU205" s="44"/>
    </row>
    <row r="206" spans="1:732" s="23" customFormat="1" ht="15" hidden="1" customHeight="1" outlineLevel="2">
      <c r="A206" s="558"/>
      <c r="B206" s="404" t="str">
        <f ca="1">"Draft MINUTES."&amp;TEXT($G$188,"mm.dd.yy")&amp;""</f>
        <v>Draft MINUTES.08.08.13</v>
      </c>
      <c r="C206" s="231" t="s">
        <v>69</v>
      </c>
      <c r="D206" s="278" t="s">
        <v>151</v>
      </c>
      <c r="E206" s="368">
        <f t="shared" si="886"/>
        <v>1</v>
      </c>
      <c r="F206" s="492">
        <f t="shared" ca="1" si="887"/>
        <v>-90</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ref="AAG206:AAG207" si="891">H205</f>
        <v>41369</v>
      </c>
      <c r="AAH206" s="78">
        <f t="shared" si="890"/>
        <v>41369</v>
      </c>
      <c r="AAI206" s="77"/>
      <c r="AAJ206" s="77"/>
      <c r="AAK206" s="77"/>
      <c r="AAL206" s="89" t="str">
        <f>"Draft "&amp;S.CodeName&amp;"MINUTES.mm.dd.yyy.2.00"</f>
        <v>Draft MINUTES.mm.dd.yyy.2.00</v>
      </c>
      <c r="AAM206" s="112"/>
      <c r="AAU206" s="44"/>
    </row>
    <row r="207" spans="1:732" s="23" customFormat="1" ht="15" hidden="1" customHeight="1" outlineLevel="2">
      <c r="A207" s="558"/>
      <c r="B207" s="387" t="s">
        <v>52</v>
      </c>
      <c r="C207" s="168"/>
      <c r="D207" s="308" t="s">
        <v>359</v>
      </c>
      <c r="E207" s="368">
        <f t="shared" si="886"/>
        <v>1</v>
      </c>
      <c r="F207" s="492">
        <f t="shared" ca="1" si="887"/>
        <v>-90</v>
      </c>
      <c r="G207" s="383">
        <f t="shared" si="888"/>
        <v>41369</v>
      </c>
      <c r="H207" s="369">
        <f t="shared" si="889"/>
        <v>41369</v>
      </c>
      <c r="I207" s="588"/>
      <c r="J207" s="47"/>
      <c r="K207" s="591"/>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50"/>
      <c r="ZZ207" s="50"/>
      <c r="AAA207" s="588"/>
      <c r="AAB207"/>
      <c r="AAC207"/>
      <c r="AAD207" s="112"/>
      <c r="AAE207" s="552">
        <f t="shared" si="855"/>
        <v>0</v>
      </c>
      <c r="AAF207" s="112"/>
      <c r="AAG207" s="78">
        <f t="shared" si="891"/>
        <v>41369</v>
      </c>
      <c r="AAH207" s="78">
        <f t="shared" si="890"/>
        <v>41369</v>
      </c>
      <c r="AAI207" s="77"/>
      <c r="AAJ207" s="77"/>
      <c r="AAK207" s="77"/>
      <c r="AAL207" s="56"/>
      <c r="AAM207" s="112"/>
      <c r="AAU207" s="44"/>
      <c r="AAV207"/>
      <c r="AAW207"/>
      <c r="AAX207"/>
      <c r="AAY207"/>
      <c r="AAZ207"/>
      <c r="ABA207"/>
      <c r="ABB207"/>
      <c r="ABC207"/>
      <c r="ABD207"/>
    </row>
    <row r="208" spans="1:732" s="23" customFormat="1" ht="15" hidden="1" customHeight="1" outlineLevel="1" collapsed="1">
      <c r="A208" s="558"/>
      <c r="B208" s="243"/>
      <c r="C208" s="168"/>
      <c r="D208" s="308"/>
      <c r="E208" s="123"/>
      <c r="F208" s="124"/>
      <c r="G208" s="141"/>
      <c r="H208" s="227"/>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B208"/>
      <c r="AAC208"/>
      <c r="AAD208" s="112"/>
      <c r="AAE208" s="552"/>
      <c r="AAF208" s="583" t="s">
        <v>174</v>
      </c>
      <c r="AAG208" s="63"/>
      <c r="AAH208" s="63"/>
      <c r="AAI208" s="77"/>
      <c r="AAJ208" s="77"/>
      <c r="AAK208" s="77"/>
      <c r="AAL208" s="56"/>
      <c r="AAM208" s="112"/>
      <c r="AAU208" s="44"/>
      <c r="AAV208"/>
      <c r="AAW208"/>
      <c r="AAX208"/>
      <c r="AAY208"/>
      <c r="AAZ208"/>
      <c r="ABA208"/>
      <c r="ABB208"/>
      <c r="ABC208"/>
      <c r="ABD208"/>
    </row>
    <row r="209" spans="1:732" ht="6" hidden="1" customHeight="1">
      <c r="A209" s="558"/>
      <c r="B209" s="249"/>
      <c r="C209" s="170"/>
      <c r="D209" s="171"/>
      <c r="E209" s="172"/>
      <c r="F209" s="172"/>
      <c r="G209" s="171"/>
      <c r="H209" s="171"/>
      <c r="I209" s="588"/>
      <c r="J209" s="591"/>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617"/>
      <c r="ZZ209" s="622"/>
      <c r="AAA209" s="588"/>
      <c r="AAD209" s="112"/>
      <c r="AAE209" s="551" t="s">
        <v>26</v>
      </c>
      <c r="AAF209" s="583" t="s">
        <v>174</v>
      </c>
      <c r="AAG209" s="63"/>
      <c r="AAH209" s="63"/>
      <c r="AAI209" s="77"/>
      <c r="AAJ209" s="77"/>
      <c r="AAK209" s="77"/>
      <c r="AAL209" s="56"/>
      <c r="AAM209" s="112"/>
      <c r="AAN209"/>
      <c r="AAT209" s="23"/>
      <c r="AAU209" s="44"/>
    </row>
    <row r="210" spans="1:732" s="23" customFormat="1" ht="18" hidden="1" customHeight="1">
      <c r="A210" s="558"/>
      <c r="B210" s="777" t="str">
        <f>AAL210</f>
        <v>3-Fees Not Involved</v>
      </c>
      <c r="C210" s="777"/>
      <c r="D210" s="777"/>
      <c r="E210" s="777"/>
      <c r="F210" s="777"/>
      <c r="G210" s="777"/>
      <c r="H210" s="777"/>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27</v>
      </c>
      <c r="AAF210" s="583" t="s">
        <v>174</v>
      </c>
      <c r="AAG210" s="112"/>
      <c r="AAH210" s="112"/>
      <c r="AAI210" s="77"/>
      <c r="AAJ210" s="90"/>
      <c r="AAK210" s="90"/>
      <c r="AAL210" s="657" t="str">
        <f>AAL21</f>
        <v>3-Fees Not Involved</v>
      </c>
      <c r="AAM210" s="112"/>
      <c r="AAU210" s="44"/>
    </row>
    <row r="211" spans="1:732" s="23" customFormat="1" ht="18" hidden="1" customHeight="1">
      <c r="A211" s="558"/>
      <c r="B211" s="222" t="s">
        <v>15</v>
      </c>
      <c r="C211" s="703"/>
      <c r="D211" s="150" t="s">
        <v>241</v>
      </c>
      <c r="E211" s="151" t="s">
        <v>15</v>
      </c>
      <c r="F211" s="235" t="s">
        <v>2</v>
      </c>
      <c r="G211" s="152" t="s">
        <v>248</v>
      </c>
      <c r="H211" s="152" t="s">
        <v>86</v>
      </c>
      <c r="I211" s="627"/>
      <c r="J211" s="593"/>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619"/>
      <c r="ZZ211" s="119"/>
      <c r="AAA211" s="588"/>
      <c r="AAB211"/>
      <c r="AAC211"/>
      <c r="AAD211" s="112"/>
      <c r="AAE211" s="551" t="s">
        <v>245</v>
      </c>
      <c r="AAF211" s="583" t="s">
        <v>174</v>
      </c>
      <c r="AAG211" s="112"/>
      <c r="AAH211" s="112"/>
      <c r="AAI211" s="77"/>
      <c r="AAJ211" s="90"/>
      <c r="AAK211" s="90"/>
      <c r="AAL211" s="76"/>
      <c r="AAM211" s="112"/>
      <c r="AAU211" s="44"/>
    </row>
    <row r="212" spans="1:732" ht="18" hidden="1" customHeight="1">
      <c r="A212" s="558"/>
      <c r="B212" s="236"/>
      <c r="C212" s="250"/>
      <c r="D212" s="251"/>
      <c r="E212" s="252"/>
      <c r="F212" s="373">
        <f>NETWORKDAYS(S.BANNER.FeeStart,S.BANNER.FeeEnd,S.DDL_DEQClosed)</f>
        <v>112</v>
      </c>
      <c r="G212" s="314">
        <f>AAG212</f>
        <v>41369</v>
      </c>
      <c r="H212" s="253">
        <f>AAH212</f>
        <v>41533</v>
      </c>
      <c r="I212" s="627"/>
      <c r="J212" s="629"/>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c r="CF212" s="635"/>
      <c r="CG212" s="635"/>
      <c r="CH212" s="635"/>
      <c r="CI212" s="635"/>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c r="DG212" s="635"/>
      <c r="DH212" s="635"/>
      <c r="DI212" s="635"/>
      <c r="DJ212" s="635"/>
      <c r="DK212" s="635"/>
      <c r="DL212" s="635"/>
      <c r="DM212" s="635"/>
      <c r="DN212" s="635"/>
      <c r="DO212" s="635"/>
      <c r="DP212" s="635"/>
      <c r="DQ212" s="635"/>
      <c r="DR212" s="635"/>
      <c r="DS212" s="635"/>
      <c r="DT212" s="635"/>
      <c r="DU212" s="635"/>
      <c r="DV212" s="635"/>
      <c r="DW212" s="635"/>
      <c r="DX212" s="635"/>
      <c r="DY212" s="635"/>
      <c r="DZ212" s="635"/>
      <c r="EA212" s="635"/>
      <c r="EB212" s="635"/>
      <c r="EC212" s="635"/>
      <c r="ED212" s="635"/>
      <c r="EE212" s="635"/>
      <c r="EF212" s="635"/>
      <c r="EG212" s="635"/>
      <c r="EH212" s="635"/>
      <c r="EI212" s="635"/>
      <c r="EJ212" s="635"/>
      <c r="EK212" s="635"/>
      <c r="EL212" s="635"/>
      <c r="EM212" s="635"/>
      <c r="EN212" s="635"/>
      <c r="EO212" s="635"/>
      <c r="EP212" s="635"/>
      <c r="EQ212" s="635"/>
      <c r="ER212" s="635"/>
      <c r="ES212" s="635"/>
      <c r="ET212" s="635"/>
      <c r="EU212" s="635"/>
      <c r="EV212" s="635"/>
      <c r="EW212" s="635"/>
      <c r="EX212" s="635"/>
      <c r="EY212" s="635"/>
      <c r="EZ212" s="635"/>
      <c r="FA212" s="635"/>
      <c r="FB212" s="635"/>
      <c r="FC212" s="635"/>
      <c r="FD212" s="635"/>
      <c r="FE212" s="635"/>
      <c r="FF212" s="635"/>
      <c r="FG212" s="635"/>
      <c r="FH212" s="635"/>
      <c r="FI212" s="635"/>
      <c r="FJ212" s="635"/>
      <c r="FK212" s="635"/>
      <c r="FL212" s="635"/>
      <c r="FM212" s="635"/>
      <c r="FN212" s="635"/>
      <c r="FO212" s="635"/>
      <c r="FP212" s="635"/>
      <c r="FQ212" s="635"/>
      <c r="FR212" s="635"/>
      <c r="FS212" s="635"/>
      <c r="FT212" s="635"/>
      <c r="FU212" s="635"/>
      <c r="FV212" s="635"/>
      <c r="FW212" s="635"/>
      <c r="FX212" s="635"/>
      <c r="FY212" s="635"/>
      <c r="FZ212" s="635"/>
      <c r="GA212" s="635"/>
      <c r="GB212" s="635"/>
      <c r="GC212" s="635"/>
      <c r="GD212" s="635"/>
      <c r="GE212" s="635"/>
      <c r="GF212" s="635"/>
      <c r="GG212" s="635"/>
      <c r="GH212" s="635"/>
      <c r="GI212" s="635"/>
      <c r="GJ212" s="635"/>
      <c r="GK212" s="635"/>
      <c r="GL212" s="635"/>
      <c r="GM212" s="635"/>
      <c r="GN212" s="635"/>
      <c r="GO212" s="635"/>
      <c r="GP212" s="635"/>
      <c r="GQ212" s="635"/>
      <c r="GR212" s="635"/>
      <c r="GS212" s="635"/>
      <c r="GT212" s="635"/>
      <c r="GU212" s="635"/>
      <c r="GV212" s="635"/>
      <c r="GW212" s="635"/>
      <c r="GX212" s="635"/>
      <c r="GY212" s="635"/>
      <c r="GZ212" s="635"/>
      <c r="HA212" s="635"/>
      <c r="HB212" s="635"/>
      <c r="HC212" s="635"/>
      <c r="HD212" s="635"/>
      <c r="HE212" s="635"/>
      <c r="HF212" s="635"/>
      <c r="HG212" s="635"/>
      <c r="HH212" s="635"/>
      <c r="HI212" s="635"/>
      <c r="HJ212" s="635"/>
      <c r="HK212" s="635"/>
      <c r="HL212" s="635"/>
      <c r="HM212" s="635"/>
      <c r="HN212" s="635"/>
      <c r="HO212" s="635"/>
      <c r="HP212" s="635"/>
      <c r="HQ212" s="635"/>
      <c r="HR212" s="635"/>
      <c r="HS212" s="635"/>
      <c r="HT212" s="635"/>
      <c r="HU212" s="635"/>
      <c r="HV212" s="635"/>
      <c r="HW212" s="635"/>
      <c r="HX212" s="635"/>
      <c r="HY212" s="635"/>
      <c r="HZ212" s="635"/>
      <c r="IA212" s="635"/>
      <c r="IB212" s="635"/>
      <c r="IC212" s="635"/>
      <c r="ID212" s="635"/>
      <c r="IE212" s="635"/>
      <c r="IF212" s="635"/>
      <c r="IG212" s="635"/>
      <c r="IH212" s="635"/>
      <c r="II212" s="635"/>
      <c r="IJ212" s="635"/>
      <c r="IK212" s="635"/>
      <c r="IL212" s="635"/>
      <c r="IM212" s="635"/>
      <c r="IN212" s="635"/>
      <c r="IO212" s="635"/>
      <c r="IP212" s="635"/>
      <c r="IQ212" s="635"/>
      <c r="IR212" s="635"/>
      <c r="IS212" s="635"/>
      <c r="IT212" s="635"/>
      <c r="IU212" s="635"/>
      <c r="IV212" s="635"/>
      <c r="IW212" s="635"/>
      <c r="IX212" s="635"/>
      <c r="IY212" s="635"/>
      <c r="IZ212" s="635"/>
      <c r="JA212" s="635"/>
      <c r="JB212" s="635"/>
      <c r="JC212" s="635"/>
      <c r="JD212" s="635"/>
      <c r="JE212" s="635"/>
      <c r="JF212" s="635"/>
      <c r="JG212" s="635"/>
      <c r="JH212" s="635"/>
      <c r="JI212" s="635"/>
      <c r="JJ212" s="635"/>
      <c r="JK212" s="635"/>
      <c r="JL212" s="635"/>
      <c r="JM212" s="635"/>
      <c r="JN212" s="635"/>
      <c r="JO212" s="635"/>
      <c r="JP212" s="635"/>
      <c r="JQ212" s="635"/>
      <c r="JR212" s="635"/>
      <c r="JS212" s="635"/>
      <c r="JT212" s="635"/>
      <c r="JU212" s="635"/>
      <c r="JV212" s="635"/>
      <c r="JW212" s="635"/>
      <c r="JX212" s="635"/>
      <c r="JY212" s="635"/>
      <c r="JZ212" s="635"/>
      <c r="KA212" s="635"/>
      <c r="KB212" s="635"/>
      <c r="KC212" s="635"/>
      <c r="KD212" s="635"/>
      <c r="KE212" s="635"/>
      <c r="KF212" s="635"/>
      <c r="KG212" s="635"/>
      <c r="KH212" s="635"/>
      <c r="KI212" s="635"/>
      <c r="KJ212" s="635"/>
      <c r="KK212" s="635"/>
      <c r="KL212" s="635"/>
      <c r="KM212" s="635"/>
      <c r="KN212" s="635"/>
      <c r="KO212" s="635"/>
      <c r="KP212" s="635"/>
      <c r="KQ212" s="635"/>
      <c r="KR212" s="635"/>
      <c r="KS212" s="635"/>
      <c r="KT212" s="635"/>
      <c r="KU212" s="635"/>
      <c r="KV212" s="635"/>
      <c r="KW212" s="635"/>
      <c r="KX212" s="635"/>
      <c r="KY212" s="635"/>
      <c r="KZ212" s="635"/>
      <c r="LA212" s="635"/>
      <c r="LB212" s="635"/>
      <c r="LC212" s="635"/>
      <c r="LD212" s="635"/>
      <c r="LE212" s="635"/>
      <c r="LF212" s="635"/>
      <c r="LG212" s="635"/>
      <c r="LH212" s="635"/>
      <c r="LI212" s="635"/>
      <c r="LJ212" s="635"/>
      <c r="LK212" s="635"/>
      <c r="LL212" s="635"/>
      <c r="LM212" s="635"/>
      <c r="LN212" s="635"/>
      <c r="LO212" s="635"/>
      <c r="LP212" s="635"/>
      <c r="LQ212" s="635"/>
      <c r="LR212" s="635"/>
      <c r="LS212" s="635"/>
      <c r="LT212" s="635"/>
      <c r="LU212" s="635"/>
      <c r="LV212" s="635"/>
      <c r="LW212" s="635"/>
      <c r="LX212" s="635"/>
      <c r="LY212" s="635"/>
      <c r="LZ212" s="635"/>
      <c r="MA212" s="635"/>
      <c r="MB212" s="635"/>
      <c r="MC212" s="635"/>
      <c r="MD212" s="635"/>
      <c r="ME212" s="635"/>
      <c r="MF212" s="635"/>
      <c r="MG212" s="635"/>
      <c r="MH212" s="635"/>
      <c r="MI212" s="635"/>
      <c r="MJ212" s="635"/>
      <c r="MK212" s="635"/>
      <c r="ML212" s="635"/>
      <c r="MM212" s="635"/>
      <c r="MN212" s="635"/>
      <c r="MO212" s="635"/>
      <c r="MP212" s="635"/>
      <c r="MQ212" s="635"/>
      <c r="MR212" s="635"/>
      <c r="MS212" s="635"/>
      <c r="MT212" s="635"/>
      <c r="MU212" s="635"/>
      <c r="MV212" s="635"/>
      <c r="MW212" s="635"/>
      <c r="MX212" s="635"/>
      <c r="MY212" s="635"/>
      <c r="MZ212" s="635"/>
      <c r="NA212" s="635"/>
      <c r="NB212" s="635"/>
      <c r="NC212" s="635"/>
      <c r="ND212" s="635"/>
      <c r="NE212" s="635"/>
      <c r="NF212" s="635"/>
      <c r="NG212" s="635"/>
      <c r="NH212" s="635"/>
      <c r="NI212" s="635"/>
      <c r="NJ212" s="635"/>
      <c r="NK212" s="635"/>
      <c r="NL212" s="635"/>
      <c r="NM212" s="635"/>
      <c r="NN212" s="635"/>
      <c r="NO212" s="635"/>
      <c r="NP212" s="635"/>
      <c r="NQ212" s="635"/>
      <c r="NR212" s="635"/>
      <c r="NS212" s="635"/>
      <c r="NT212" s="635"/>
      <c r="NU212" s="635"/>
      <c r="NV212" s="635"/>
      <c r="NW212" s="635"/>
      <c r="NX212" s="635"/>
      <c r="NY212" s="635"/>
      <c r="NZ212" s="635"/>
      <c r="OA212" s="635"/>
      <c r="OB212" s="635"/>
      <c r="OC212" s="635"/>
      <c r="OD212" s="635"/>
      <c r="OE212" s="635"/>
      <c r="OF212" s="635"/>
      <c r="OG212" s="635"/>
      <c r="OH212" s="635"/>
      <c r="OI212" s="635"/>
      <c r="OJ212" s="635"/>
      <c r="OK212" s="635"/>
      <c r="OL212" s="635"/>
      <c r="OM212" s="635"/>
      <c r="ON212" s="635"/>
      <c r="OO212" s="635"/>
      <c r="OP212" s="635"/>
      <c r="OQ212" s="635"/>
      <c r="OR212" s="635"/>
      <c r="OS212" s="635"/>
      <c r="OT212" s="635"/>
      <c r="OU212" s="635"/>
      <c r="OV212" s="635"/>
      <c r="OW212" s="635"/>
      <c r="OX212" s="635"/>
      <c r="OY212" s="635"/>
      <c r="OZ212" s="635"/>
      <c r="PA212" s="635"/>
      <c r="PB212" s="635"/>
      <c r="PC212" s="635"/>
      <c r="PD212" s="635"/>
      <c r="PE212" s="635"/>
      <c r="PF212" s="635"/>
      <c r="PG212" s="635"/>
      <c r="PH212" s="635"/>
      <c r="PI212" s="635"/>
      <c r="PJ212" s="635"/>
      <c r="PK212" s="635"/>
      <c r="PL212" s="635"/>
      <c r="PM212" s="635"/>
      <c r="PN212" s="635"/>
      <c r="PO212" s="635"/>
      <c r="PP212" s="635"/>
      <c r="PQ212" s="635"/>
      <c r="PR212" s="635"/>
      <c r="PS212" s="635"/>
      <c r="PT212" s="635"/>
      <c r="PU212" s="635"/>
      <c r="PV212" s="635"/>
      <c r="PW212" s="635"/>
      <c r="PX212" s="635"/>
      <c r="PY212" s="635"/>
      <c r="PZ212" s="635"/>
      <c r="QA212" s="635"/>
      <c r="QB212" s="635"/>
      <c r="QC212" s="635"/>
      <c r="QD212" s="635"/>
      <c r="QE212" s="635"/>
      <c r="QF212" s="635"/>
      <c r="QG212" s="635"/>
      <c r="QH212" s="635"/>
      <c r="QI212" s="635"/>
      <c r="QJ212" s="635"/>
      <c r="QK212" s="635"/>
      <c r="QL212" s="635"/>
      <c r="QM212" s="635"/>
      <c r="QN212" s="635"/>
      <c r="QO212" s="635"/>
      <c r="QP212" s="635"/>
      <c r="QQ212" s="635"/>
      <c r="QR212" s="635"/>
      <c r="QS212" s="635"/>
      <c r="QT212" s="635"/>
      <c r="QU212" s="635"/>
      <c r="QV212" s="635"/>
      <c r="QW212" s="635"/>
      <c r="QX212" s="635"/>
      <c r="QY212" s="635"/>
      <c r="QZ212" s="635"/>
      <c r="RA212" s="635"/>
      <c r="RB212" s="635"/>
      <c r="RC212" s="635"/>
      <c r="RD212" s="635"/>
      <c r="RE212" s="635"/>
      <c r="RF212" s="635"/>
      <c r="RG212" s="635"/>
      <c r="RH212" s="635"/>
      <c r="RI212" s="635"/>
      <c r="RJ212" s="635"/>
      <c r="RK212" s="635"/>
      <c r="RL212" s="635"/>
      <c r="RM212" s="635"/>
      <c r="RN212" s="635"/>
      <c r="RO212" s="635"/>
      <c r="RP212" s="635"/>
      <c r="RQ212" s="635"/>
      <c r="RR212" s="635"/>
      <c r="RS212" s="635"/>
      <c r="RT212" s="635"/>
      <c r="RU212" s="635"/>
      <c r="RV212" s="635"/>
      <c r="RW212" s="635"/>
      <c r="RX212" s="635"/>
      <c r="RY212" s="635"/>
      <c r="RZ212" s="635"/>
      <c r="SA212" s="635"/>
      <c r="SB212" s="635"/>
      <c r="SC212" s="635"/>
      <c r="SD212" s="635"/>
      <c r="SE212" s="635"/>
      <c r="SF212" s="635"/>
      <c r="SG212" s="635"/>
      <c r="SH212" s="635"/>
      <c r="SI212" s="635"/>
      <c r="SJ212" s="635"/>
      <c r="SK212" s="635"/>
      <c r="SL212" s="635"/>
      <c r="SM212" s="635"/>
      <c r="SN212" s="635"/>
      <c r="SO212" s="635"/>
      <c r="SP212" s="635"/>
      <c r="SQ212" s="635"/>
      <c r="SR212" s="635"/>
      <c r="SS212" s="635"/>
      <c r="ST212" s="635"/>
      <c r="SU212" s="635"/>
      <c r="SV212" s="635"/>
      <c r="SW212" s="635"/>
      <c r="SX212" s="635"/>
      <c r="SY212" s="635"/>
      <c r="SZ212" s="635"/>
      <c r="TA212" s="635"/>
      <c r="TB212" s="635"/>
      <c r="TC212" s="635"/>
      <c r="TD212" s="635"/>
      <c r="TE212" s="635"/>
      <c r="TF212" s="635"/>
      <c r="TG212" s="635"/>
      <c r="TH212" s="635"/>
      <c r="TI212" s="635"/>
      <c r="TJ212" s="635"/>
      <c r="TK212" s="635"/>
      <c r="TL212" s="635"/>
      <c r="TM212" s="635"/>
      <c r="TN212" s="635"/>
      <c r="TO212" s="635"/>
      <c r="TP212" s="635"/>
      <c r="TQ212" s="635"/>
      <c r="TR212" s="635"/>
      <c r="TS212" s="635"/>
      <c r="TT212" s="635"/>
      <c r="TU212" s="635"/>
      <c r="TV212" s="635"/>
      <c r="TW212" s="635"/>
      <c r="TX212" s="635"/>
      <c r="TY212" s="635"/>
      <c r="TZ212" s="635"/>
      <c r="UA212" s="635"/>
      <c r="UB212" s="635"/>
      <c r="UC212" s="635"/>
      <c r="UD212" s="635"/>
      <c r="UE212" s="635"/>
      <c r="UF212" s="635"/>
      <c r="UG212" s="635"/>
      <c r="UH212" s="635"/>
      <c r="UI212" s="635"/>
      <c r="UJ212" s="635"/>
      <c r="UK212" s="635"/>
      <c r="UL212" s="635"/>
      <c r="UM212" s="635"/>
      <c r="UN212" s="635"/>
      <c r="UO212" s="635"/>
      <c r="UP212" s="635"/>
      <c r="UQ212" s="635"/>
      <c r="UR212" s="635"/>
      <c r="US212" s="635"/>
      <c r="UT212" s="635"/>
      <c r="UU212" s="635"/>
      <c r="UV212" s="635"/>
      <c r="UW212" s="635"/>
      <c r="UX212" s="635"/>
      <c r="UY212" s="635"/>
      <c r="UZ212" s="635"/>
      <c r="VA212" s="635"/>
      <c r="VB212" s="635"/>
      <c r="VC212" s="635"/>
      <c r="VD212" s="635"/>
      <c r="VE212" s="635"/>
      <c r="VF212" s="635"/>
      <c r="VG212" s="635"/>
      <c r="VH212" s="635"/>
      <c r="VI212" s="635"/>
      <c r="VJ212" s="635"/>
      <c r="VK212" s="635"/>
      <c r="VL212" s="635"/>
      <c r="VM212" s="635"/>
      <c r="VN212" s="635"/>
      <c r="VO212" s="635"/>
      <c r="VP212" s="635"/>
      <c r="VQ212" s="635"/>
      <c r="VR212" s="635"/>
      <c r="VS212" s="635"/>
      <c r="VT212" s="635"/>
      <c r="VU212" s="635"/>
      <c r="VV212" s="635"/>
      <c r="VW212" s="635"/>
      <c r="VX212" s="635"/>
      <c r="VY212" s="635"/>
      <c r="VZ212" s="635"/>
      <c r="WA212" s="635"/>
      <c r="WB212" s="635"/>
      <c r="WC212" s="635"/>
      <c r="WD212" s="635"/>
      <c r="WE212" s="635"/>
      <c r="WF212" s="635"/>
      <c r="WG212" s="635"/>
      <c r="WH212" s="635"/>
      <c r="WI212" s="635"/>
      <c r="WJ212" s="635"/>
      <c r="WK212" s="635"/>
      <c r="WL212" s="635"/>
      <c r="WM212" s="635"/>
      <c r="WN212" s="635"/>
      <c r="WO212" s="635"/>
      <c r="WP212" s="635"/>
      <c r="WQ212" s="635"/>
      <c r="WR212" s="635"/>
      <c r="WS212" s="635"/>
      <c r="WT212" s="635"/>
      <c r="WU212" s="635"/>
      <c r="WV212" s="635"/>
      <c r="WW212" s="635"/>
      <c r="WX212" s="635"/>
      <c r="WY212" s="635"/>
      <c r="WZ212" s="635"/>
      <c r="XA212" s="635"/>
      <c r="XB212" s="635"/>
      <c r="XC212" s="635"/>
      <c r="XD212" s="635"/>
      <c r="XE212" s="635"/>
      <c r="XF212" s="635"/>
      <c r="XG212" s="635"/>
      <c r="XH212" s="635"/>
      <c r="XI212" s="635"/>
      <c r="XJ212" s="635"/>
      <c r="XK212" s="635"/>
      <c r="XL212" s="635"/>
      <c r="XM212" s="635"/>
      <c r="XN212" s="635"/>
      <c r="XO212" s="635"/>
      <c r="XP212" s="635"/>
      <c r="XQ212" s="635"/>
      <c r="XR212" s="635"/>
      <c r="XS212" s="635"/>
      <c r="XT212" s="635"/>
      <c r="XU212" s="635"/>
      <c r="XV212" s="635"/>
      <c r="XW212" s="635"/>
      <c r="XX212" s="635"/>
      <c r="XY212" s="635"/>
      <c r="XZ212" s="635"/>
      <c r="YA212" s="635"/>
      <c r="YB212" s="635"/>
      <c r="YC212" s="635"/>
      <c r="YD212" s="635"/>
      <c r="YE212" s="635"/>
      <c r="YF212" s="635"/>
      <c r="YG212" s="635"/>
      <c r="YH212" s="635"/>
      <c r="YI212" s="635"/>
      <c r="YJ212" s="635"/>
      <c r="YK212" s="635"/>
      <c r="YL212" s="635"/>
      <c r="YM212" s="635"/>
      <c r="YN212" s="635"/>
      <c r="YO212" s="635"/>
      <c r="YP212" s="635"/>
      <c r="YQ212" s="635"/>
      <c r="YR212" s="635"/>
      <c r="YS212" s="635"/>
      <c r="YT212" s="635"/>
      <c r="YU212" s="635"/>
      <c r="YV212" s="635"/>
      <c r="YW212" s="635"/>
      <c r="YX212" s="635"/>
      <c r="YY212" s="635"/>
      <c r="YZ212" s="635"/>
      <c r="ZA212" s="635"/>
      <c r="ZB212" s="635"/>
      <c r="ZC212" s="635"/>
      <c r="ZD212" s="635"/>
      <c r="ZE212" s="635"/>
      <c r="ZF212" s="635"/>
      <c r="ZG212" s="635"/>
      <c r="ZH212" s="635"/>
      <c r="ZI212" s="635"/>
      <c r="ZJ212" s="635"/>
      <c r="ZK212" s="635"/>
      <c r="ZL212" s="635"/>
      <c r="ZM212" s="635"/>
      <c r="ZN212" s="635"/>
      <c r="ZO212" s="635"/>
      <c r="ZP212" s="635"/>
      <c r="ZQ212" s="635"/>
      <c r="ZR212" s="635"/>
      <c r="ZS212" s="635"/>
      <c r="ZT212" s="635"/>
      <c r="ZU212" s="635"/>
      <c r="ZV212" s="635"/>
      <c r="ZW212" s="635"/>
      <c r="ZX212" s="635"/>
      <c r="ZY212" s="638"/>
      <c r="ZZ212" s="119"/>
      <c r="AAA212" s="588"/>
      <c r="AAD212" s="112"/>
      <c r="AAE212" s="551" t="s">
        <v>245</v>
      </c>
      <c r="AAF212" s="583" t="s">
        <v>174</v>
      </c>
      <c r="AAG212" s="78">
        <f>G21</f>
        <v>41369</v>
      </c>
      <c r="AAH212" s="78">
        <f>WORKDAY(S.SubmitNoticeToSOS+2,1,S.DDL_DEQClosed)</f>
        <v>41533</v>
      </c>
      <c r="AAI212" s="77"/>
      <c r="AAJ212" s="77"/>
      <c r="AAK212" s="77"/>
      <c r="AAL212" s="79"/>
      <c r="AAM212" s="112"/>
      <c r="AAN212"/>
      <c r="AAT212" s="23"/>
      <c r="AAU212" s="44"/>
    </row>
    <row r="213" spans="1:732" ht="6" hidden="1" customHeight="1">
      <c r="A213" s="558"/>
      <c r="B213" s="206"/>
      <c r="C213" s="688"/>
      <c r="D213" s="180"/>
      <c r="E213" s="181"/>
      <c r="F213" s="181"/>
      <c r="G213" s="180"/>
      <c r="H213" s="180"/>
      <c r="I213" s="588"/>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588"/>
      <c r="AAD213" s="112"/>
      <c r="AAE213" s="552" t="s">
        <v>20</v>
      </c>
      <c r="AAF213" s="583" t="s">
        <v>174</v>
      </c>
      <c r="AAG213" s="63"/>
      <c r="AAH213" s="63"/>
      <c r="AAI213" s="77"/>
      <c r="AAJ213" s="77"/>
      <c r="AAK213" s="77"/>
      <c r="AAL213" s="80"/>
      <c r="AAM213" s="112"/>
      <c r="AAN213"/>
      <c r="AAT213" s="23"/>
      <c r="AAU213" s="44"/>
      <c r="AAV213" s="23"/>
      <c r="AAW213" s="23"/>
      <c r="AAX213" s="23"/>
      <c r="AAY213" s="23"/>
      <c r="AAZ213" s="23"/>
      <c r="ABA213" s="23"/>
      <c r="ABB213" s="23"/>
      <c r="ABC213" s="23"/>
      <c r="ABD213" s="23"/>
    </row>
    <row r="214" spans="1:732" ht="15" hidden="1" outlineLevel="1">
      <c r="A214" s="558"/>
      <c r="B214" s="254" t="s">
        <v>137</v>
      </c>
      <c r="C214" s="168"/>
      <c r="D214" s="498" t="s">
        <v>359</v>
      </c>
      <c r="E214" s="491">
        <f>NETWORKDAYS(G214,H214,S.DDL_DEQClosed)</f>
        <v>1</v>
      </c>
      <c r="F214" s="372">
        <f ca="1">NETWORKDAYS(TODAY(),H214)</f>
        <v>-90</v>
      </c>
      <c r="G214" s="369">
        <f>AAG214</f>
        <v>41369</v>
      </c>
      <c r="H214" s="369">
        <f>AAH214</f>
        <v>41369</v>
      </c>
      <c r="I214" s="627"/>
      <c r="J214" s="640"/>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c r="BF214" s="641"/>
      <c r="BG214" s="641"/>
      <c r="BH214" s="641"/>
      <c r="BI214" s="641"/>
      <c r="BJ214" s="641"/>
      <c r="BK214" s="641"/>
      <c r="BL214" s="641"/>
      <c r="BM214" s="641"/>
      <c r="BN214" s="641"/>
      <c r="BO214" s="641"/>
      <c r="BP214" s="641"/>
      <c r="BQ214" s="641"/>
      <c r="BR214" s="641"/>
      <c r="BS214" s="641"/>
      <c r="BT214" s="641"/>
      <c r="BU214" s="641"/>
      <c r="BV214" s="641"/>
      <c r="BW214" s="641"/>
      <c r="BX214" s="641"/>
      <c r="BY214" s="641"/>
      <c r="BZ214" s="641"/>
      <c r="CA214" s="641"/>
      <c r="CB214" s="641"/>
      <c r="CC214" s="641"/>
      <c r="CD214" s="641"/>
      <c r="CE214" s="641"/>
      <c r="CF214" s="641"/>
      <c r="CG214" s="641"/>
      <c r="CH214" s="641"/>
      <c r="CI214" s="641"/>
      <c r="CJ214" s="641"/>
      <c r="CK214" s="641"/>
      <c r="CL214" s="641"/>
      <c r="CM214" s="641"/>
      <c r="CN214" s="641"/>
      <c r="CO214" s="641"/>
      <c r="CP214" s="641"/>
      <c r="CQ214" s="641"/>
      <c r="CR214" s="641"/>
      <c r="CS214" s="641"/>
      <c r="CT214" s="641"/>
      <c r="CU214" s="641"/>
      <c r="CV214" s="641"/>
      <c r="CW214" s="641"/>
      <c r="CX214" s="641"/>
      <c r="CY214" s="641"/>
      <c r="CZ214" s="641"/>
      <c r="DA214" s="641"/>
      <c r="DB214" s="641"/>
      <c r="DC214" s="641"/>
      <c r="DD214" s="641"/>
      <c r="DE214" s="641"/>
      <c r="DF214" s="641"/>
      <c r="DG214" s="641"/>
      <c r="DH214" s="641"/>
      <c r="DI214" s="641"/>
      <c r="DJ214" s="641"/>
      <c r="DK214" s="641"/>
      <c r="DL214" s="641"/>
      <c r="DM214" s="641"/>
      <c r="DN214" s="641"/>
      <c r="DO214" s="641"/>
      <c r="DP214" s="641"/>
      <c r="DQ214" s="641"/>
      <c r="DR214" s="641"/>
      <c r="DS214" s="641"/>
      <c r="DT214" s="641"/>
      <c r="DU214" s="641"/>
      <c r="DV214" s="641"/>
      <c r="DW214" s="641"/>
      <c r="DX214" s="641"/>
      <c r="DY214" s="641"/>
      <c r="DZ214" s="641"/>
      <c r="EA214" s="641"/>
      <c r="EB214" s="641"/>
      <c r="EC214" s="641"/>
      <c r="ED214" s="641"/>
      <c r="EE214" s="641"/>
      <c r="EF214" s="641"/>
      <c r="EG214" s="641"/>
      <c r="EH214" s="641"/>
      <c r="EI214" s="641"/>
      <c r="EJ214" s="641"/>
      <c r="EK214" s="641"/>
      <c r="EL214" s="641"/>
      <c r="EM214" s="641"/>
      <c r="EN214" s="641"/>
      <c r="EO214" s="641"/>
      <c r="EP214" s="641"/>
      <c r="EQ214" s="641"/>
      <c r="ER214" s="641"/>
      <c r="ES214" s="641"/>
      <c r="ET214" s="641"/>
      <c r="EU214" s="641"/>
      <c r="EV214" s="641"/>
      <c r="EW214" s="641"/>
      <c r="EX214" s="641"/>
      <c r="EY214" s="641"/>
      <c r="EZ214" s="641"/>
      <c r="FA214" s="641"/>
      <c r="FB214" s="641"/>
      <c r="FC214" s="641"/>
      <c r="FD214" s="641"/>
      <c r="FE214" s="641"/>
      <c r="FF214" s="641"/>
      <c r="FG214" s="641"/>
      <c r="FH214" s="641"/>
      <c r="FI214" s="641"/>
      <c r="FJ214" s="641"/>
      <c r="FK214" s="641"/>
      <c r="FL214" s="641"/>
      <c r="FM214" s="641"/>
      <c r="FN214" s="641"/>
      <c r="FO214" s="641"/>
      <c r="FP214" s="641"/>
      <c r="FQ214" s="641"/>
      <c r="FR214" s="641"/>
      <c r="FS214" s="641"/>
      <c r="FT214" s="641"/>
      <c r="FU214" s="641"/>
      <c r="FV214" s="641"/>
      <c r="FW214" s="641"/>
      <c r="FX214" s="641"/>
      <c r="FY214" s="641"/>
      <c r="FZ214" s="641"/>
      <c r="GA214" s="641"/>
      <c r="GB214" s="641"/>
      <c r="GC214" s="641"/>
      <c r="GD214" s="641"/>
      <c r="GE214" s="641"/>
      <c r="GF214" s="641"/>
      <c r="GG214" s="641"/>
      <c r="GH214" s="641"/>
      <c r="GI214" s="641"/>
      <c r="GJ214" s="641"/>
      <c r="GK214" s="641"/>
      <c r="GL214" s="641"/>
      <c r="GM214" s="641"/>
      <c r="GN214" s="641"/>
      <c r="GO214" s="641"/>
      <c r="GP214" s="641"/>
      <c r="GQ214" s="641"/>
      <c r="GR214" s="641"/>
      <c r="GS214" s="641"/>
      <c r="GT214" s="641"/>
      <c r="GU214" s="641"/>
      <c r="GV214" s="641"/>
      <c r="GW214" s="641"/>
      <c r="GX214" s="641"/>
      <c r="GY214" s="641"/>
      <c r="GZ214" s="641"/>
      <c r="HA214" s="641"/>
      <c r="HB214" s="641"/>
      <c r="HC214" s="641"/>
      <c r="HD214" s="641"/>
      <c r="HE214" s="641"/>
      <c r="HF214" s="641"/>
      <c r="HG214" s="641"/>
      <c r="HH214" s="641"/>
      <c r="HI214" s="641"/>
      <c r="HJ214" s="641"/>
      <c r="HK214" s="641"/>
      <c r="HL214" s="641"/>
      <c r="HM214" s="641"/>
      <c r="HN214" s="641"/>
      <c r="HO214" s="641"/>
      <c r="HP214" s="641"/>
      <c r="HQ214" s="641"/>
      <c r="HR214" s="641"/>
      <c r="HS214" s="641"/>
      <c r="HT214" s="641"/>
      <c r="HU214" s="641"/>
      <c r="HV214" s="641"/>
      <c r="HW214" s="641"/>
      <c r="HX214" s="641"/>
      <c r="HY214" s="641"/>
      <c r="HZ214" s="641"/>
      <c r="IA214" s="641"/>
      <c r="IB214" s="641"/>
      <c r="IC214" s="641"/>
      <c r="ID214" s="641"/>
      <c r="IE214" s="641"/>
      <c r="IF214" s="641"/>
      <c r="IG214" s="641"/>
      <c r="IH214" s="641"/>
      <c r="II214" s="641"/>
      <c r="IJ214" s="641"/>
      <c r="IK214" s="641"/>
      <c r="IL214" s="641"/>
      <c r="IM214" s="641"/>
      <c r="IN214" s="641"/>
      <c r="IO214" s="641"/>
      <c r="IP214" s="641"/>
      <c r="IQ214" s="641"/>
      <c r="IR214" s="641"/>
      <c r="IS214" s="641"/>
      <c r="IT214" s="641"/>
      <c r="IU214" s="641"/>
      <c r="IV214" s="641"/>
      <c r="IW214" s="641"/>
      <c r="IX214" s="641"/>
      <c r="IY214" s="641"/>
      <c r="IZ214" s="641"/>
      <c r="JA214" s="641"/>
      <c r="JB214" s="641"/>
      <c r="JC214" s="641"/>
      <c r="JD214" s="641"/>
      <c r="JE214" s="641"/>
      <c r="JF214" s="641"/>
      <c r="JG214" s="641"/>
      <c r="JH214" s="641"/>
      <c r="JI214" s="641"/>
      <c r="JJ214" s="641"/>
      <c r="JK214" s="641"/>
      <c r="JL214" s="641"/>
      <c r="JM214" s="641"/>
      <c r="JN214" s="641"/>
      <c r="JO214" s="641"/>
      <c r="JP214" s="641"/>
      <c r="JQ214" s="641"/>
      <c r="JR214" s="641"/>
      <c r="JS214" s="641"/>
      <c r="JT214" s="641"/>
      <c r="JU214" s="641"/>
      <c r="JV214" s="641"/>
      <c r="JW214" s="641"/>
      <c r="JX214" s="641"/>
      <c r="JY214" s="641"/>
      <c r="JZ214" s="641"/>
      <c r="KA214" s="641"/>
      <c r="KB214" s="641"/>
      <c r="KC214" s="641"/>
      <c r="KD214" s="641"/>
      <c r="KE214" s="641"/>
      <c r="KF214" s="641"/>
      <c r="KG214" s="641"/>
      <c r="KH214" s="641"/>
      <c r="KI214" s="641"/>
      <c r="KJ214" s="641"/>
      <c r="KK214" s="641"/>
      <c r="KL214" s="641"/>
      <c r="KM214" s="641"/>
      <c r="KN214" s="641"/>
      <c r="KO214" s="641"/>
      <c r="KP214" s="641"/>
      <c r="KQ214" s="641"/>
      <c r="KR214" s="641"/>
      <c r="KS214" s="641"/>
      <c r="KT214" s="641"/>
      <c r="KU214" s="641"/>
      <c r="KV214" s="641"/>
      <c r="KW214" s="641"/>
      <c r="KX214" s="641"/>
      <c r="KY214" s="641"/>
      <c r="KZ214" s="641"/>
      <c r="LA214" s="641"/>
      <c r="LB214" s="641"/>
      <c r="LC214" s="641"/>
      <c r="LD214" s="641"/>
      <c r="LE214" s="641"/>
      <c r="LF214" s="641"/>
      <c r="LG214" s="641"/>
      <c r="LH214" s="641"/>
      <c r="LI214" s="641"/>
      <c r="LJ214" s="641"/>
      <c r="LK214" s="641"/>
      <c r="LL214" s="641"/>
      <c r="LM214" s="641"/>
      <c r="LN214" s="641"/>
      <c r="LO214" s="641"/>
      <c r="LP214" s="641"/>
      <c r="LQ214" s="641"/>
      <c r="LR214" s="641"/>
      <c r="LS214" s="641"/>
      <c r="LT214" s="641"/>
      <c r="LU214" s="641"/>
      <c r="LV214" s="641"/>
      <c r="LW214" s="641"/>
      <c r="LX214" s="641"/>
      <c r="LY214" s="641"/>
      <c r="LZ214" s="641"/>
      <c r="MA214" s="641"/>
      <c r="MB214" s="641"/>
      <c r="MC214" s="641"/>
      <c r="MD214" s="641"/>
      <c r="ME214" s="641"/>
      <c r="MF214" s="641"/>
      <c r="MG214" s="641"/>
      <c r="MH214" s="641"/>
      <c r="MI214" s="641"/>
      <c r="MJ214" s="641"/>
      <c r="MK214" s="641"/>
      <c r="ML214" s="641"/>
      <c r="MM214" s="641"/>
      <c r="MN214" s="641"/>
      <c r="MO214" s="641"/>
      <c r="MP214" s="641"/>
      <c r="MQ214" s="641"/>
      <c r="MR214" s="641"/>
      <c r="MS214" s="641"/>
      <c r="MT214" s="641"/>
      <c r="MU214" s="641"/>
      <c r="MV214" s="641"/>
      <c r="MW214" s="641"/>
      <c r="MX214" s="641"/>
      <c r="MY214" s="641"/>
      <c r="MZ214" s="641"/>
      <c r="NA214" s="641"/>
      <c r="NB214" s="641"/>
      <c r="NC214" s="641"/>
      <c r="ND214" s="641"/>
      <c r="NE214" s="641"/>
      <c r="NF214" s="641"/>
      <c r="NG214" s="641"/>
      <c r="NH214" s="641"/>
      <c r="NI214" s="641"/>
      <c r="NJ214" s="641"/>
      <c r="NK214" s="641"/>
      <c r="NL214" s="641"/>
      <c r="NM214" s="641"/>
      <c r="NN214" s="641"/>
      <c r="NO214" s="641"/>
      <c r="NP214" s="641"/>
      <c r="NQ214" s="641"/>
      <c r="NR214" s="641"/>
      <c r="NS214" s="641"/>
      <c r="NT214" s="641"/>
      <c r="NU214" s="641"/>
      <c r="NV214" s="641"/>
      <c r="NW214" s="641"/>
      <c r="NX214" s="641"/>
      <c r="NY214" s="641"/>
      <c r="NZ214" s="641"/>
      <c r="OA214" s="641"/>
      <c r="OB214" s="641"/>
      <c r="OC214" s="641"/>
      <c r="OD214" s="641"/>
      <c r="OE214" s="641"/>
      <c r="OF214" s="641"/>
      <c r="OG214" s="641"/>
      <c r="OH214" s="641"/>
      <c r="OI214" s="641"/>
      <c r="OJ214" s="641"/>
      <c r="OK214" s="641"/>
      <c r="OL214" s="641"/>
      <c r="OM214" s="641"/>
      <c r="ON214" s="641"/>
      <c r="OO214" s="641"/>
      <c r="OP214" s="641"/>
      <c r="OQ214" s="641"/>
      <c r="OR214" s="641"/>
      <c r="OS214" s="641"/>
      <c r="OT214" s="641"/>
      <c r="OU214" s="641"/>
      <c r="OV214" s="641"/>
      <c r="OW214" s="641"/>
      <c r="OX214" s="641"/>
      <c r="OY214" s="641"/>
      <c r="OZ214" s="641"/>
      <c r="PA214" s="641"/>
      <c r="PB214" s="641"/>
      <c r="PC214" s="641"/>
      <c r="PD214" s="641"/>
      <c r="PE214" s="641"/>
      <c r="PF214" s="641"/>
      <c r="PG214" s="641"/>
      <c r="PH214" s="641"/>
      <c r="PI214" s="641"/>
      <c r="PJ214" s="641"/>
      <c r="PK214" s="641"/>
      <c r="PL214" s="641"/>
      <c r="PM214" s="641"/>
      <c r="PN214" s="641"/>
      <c r="PO214" s="641"/>
      <c r="PP214" s="641"/>
      <c r="PQ214" s="641"/>
      <c r="PR214" s="641"/>
      <c r="PS214" s="641"/>
      <c r="PT214" s="641"/>
      <c r="PU214" s="641"/>
      <c r="PV214" s="641"/>
      <c r="PW214" s="641"/>
      <c r="PX214" s="641"/>
      <c r="PY214" s="641"/>
      <c r="PZ214" s="641"/>
      <c r="QA214" s="641"/>
      <c r="QB214" s="641"/>
      <c r="QC214" s="641"/>
      <c r="QD214" s="641"/>
      <c r="QE214" s="641"/>
      <c r="QF214" s="641"/>
      <c r="QG214" s="641"/>
      <c r="QH214" s="641"/>
      <c r="QI214" s="641"/>
      <c r="QJ214" s="641"/>
      <c r="QK214" s="641"/>
      <c r="QL214" s="641"/>
      <c r="QM214" s="641"/>
      <c r="QN214" s="641"/>
      <c r="QO214" s="641"/>
      <c r="QP214" s="641"/>
      <c r="QQ214" s="641"/>
      <c r="QR214" s="641"/>
      <c r="QS214" s="641"/>
      <c r="QT214" s="641"/>
      <c r="QU214" s="641"/>
      <c r="QV214" s="641"/>
      <c r="QW214" s="641"/>
      <c r="QX214" s="641"/>
      <c r="QY214" s="641"/>
      <c r="QZ214" s="641"/>
      <c r="RA214" s="641"/>
      <c r="RB214" s="641"/>
      <c r="RC214" s="641"/>
      <c r="RD214" s="641"/>
      <c r="RE214" s="641"/>
      <c r="RF214" s="641"/>
      <c r="RG214" s="641"/>
      <c r="RH214" s="641"/>
      <c r="RI214" s="641"/>
      <c r="RJ214" s="641"/>
      <c r="RK214" s="641"/>
      <c r="RL214" s="641"/>
      <c r="RM214" s="641"/>
      <c r="RN214" s="641"/>
      <c r="RO214" s="641"/>
      <c r="RP214" s="641"/>
      <c r="RQ214" s="641"/>
      <c r="RR214" s="641"/>
      <c r="RS214" s="641"/>
      <c r="RT214" s="641"/>
      <c r="RU214" s="641"/>
      <c r="RV214" s="641"/>
      <c r="RW214" s="641"/>
      <c r="RX214" s="641"/>
      <c r="RY214" s="641"/>
      <c r="RZ214" s="641"/>
      <c r="SA214" s="641"/>
      <c r="SB214" s="641"/>
      <c r="SC214" s="641"/>
      <c r="SD214" s="641"/>
      <c r="SE214" s="641"/>
      <c r="SF214" s="641"/>
      <c r="SG214" s="641"/>
      <c r="SH214" s="641"/>
      <c r="SI214" s="641"/>
      <c r="SJ214" s="641"/>
      <c r="SK214" s="641"/>
      <c r="SL214" s="641"/>
      <c r="SM214" s="641"/>
      <c r="SN214" s="641"/>
      <c r="SO214" s="641"/>
      <c r="SP214" s="641"/>
      <c r="SQ214" s="641"/>
      <c r="SR214" s="641"/>
      <c r="SS214" s="641"/>
      <c r="ST214" s="641"/>
      <c r="SU214" s="641"/>
      <c r="SV214" s="641"/>
      <c r="SW214" s="641"/>
      <c r="SX214" s="641"/>
      <c r="SY214" s="641"/>
      <c r="SZ214" s="641"/>
      <c r="TA214" s="641"/>
      <c r="TB214" s="641"/>
      <c r="TC214" s="641"/>
      <c r="TD214" s="641"/>
      <c r="TE214" s="641"/>
      <c r="TF214" s="641"/>
      <c r="TG214" s="641"/>
      <c r="TH214" s="641"/>
      <c r="TI214" s="641"/>
      <c r="TJ214" s="641"/>
      <c r="TK214" s="641"/>
      <c r="TL214" s="641"/>
      <c r="TM214" s="641"/>
      <c r="TN214" s="641"/>
      <c r="TO214" s="641"/>
      <c r="TP214" s="641"/>
      <c r="TQ214" s="641"/>
      <c r="TR214" s="641"/>
      <c r="TS214" s="641"/>
      <c r="TT214" s="641"/>
      <c r="TU214" s="641"/>
      <c r="TV214" s="641"/>
      <c r="TW214" s="641"/>
      <c r="TX214" s="641"/>
      <c r="TY214" s="641"/>
      <c r="TZ214" s="641"/>
      <c r="UA214" s="641"/>
      <c r="UB214" s="641"/>
      <c r="UC214" s="641"/>
      <c r="UD214" s="641"/>
      <c r="UE214" s="641"/>
      <c r="UF214" s="641"/>
      <c r="UG214" s="641"/>
      <c r="UH214" s="641"/>
      <c r="UI214" s="641"/>
      <c r="UJ214" s="641"/>
      <c r="UK214" s="641"/>
      <c r="UL214" s="641"/>
      <c r="UM214" s="641"/>
      <c r="UN214" s="641"/>
      <c r="UO214" s="641"/>
      <c r="UP214" s="641"/>
      <c r="UQ214" s="641"/>
      <c r="UR214" s="641"/>
      <c r="US214" s="641"/>
      <c r="UT214" s="641"/>
      <c r="UU214" s="641"/>
      <c r="UV214" s="641"/>
      <c r="UW214" s="641"/>
      <c r="UX214" s="641"/>
      <c r="UY214" s="641"/>
      <c r="UZ214" s="641"/>
      <c r="VA214" s="641"/>
      <c r="VB214" s="641"/>
      <c r="VC214" s="641"/>
      <c r="VD214" s="641"/>
      <c r="VE214" s="641"/>
      <c r="VF214" s="641"/>
      <c r="VG214" s="641"/>
      <c r="VH214" s="641"/>
      <c r="VI214" s="641"/>
      <c r="VJ214" s="641"/>
      <c r="VK214" s="641"/>
      <c r="VL214" s="641"/>
      <c r="VM214" s="641"/>
      <c r="VN214" s="641"/>
      <c r="VO214" s="641"/>
      <c r="VP214" s="641"/>
      <c r="VQ214" s="641"/>
      <c r="VR214" s="641"/>
      <c r="VS214" s="641"/>
      <c r="VT214" s="641"/>
      <c r="VU214" s="641"/>
      <c r="VV214" s="641"/>
      <c r="VW214" s="641"/>
      <c r="VX214" s="641"/>
      <c r="VY214" s="641"/>
      <c r="VZ214" s="641"/>
      <c r="WA214" s="641"/>
      <c r="WB214" s="641"/>
      <c r="WC214" s="641"/>
      <c r="WD214" s="641"/>
      <c r="WE214" s="641"/>
      <c r="WF214" s="641"/>
      <c r="WG214" s="641"/>
      <c r="WH214" s="641"/>
      <c r="WI214" s="641"/>
      <c r="WJ214" s="641"/>
      <c r="WK214" s="641"/>
      <c r="WL214" s="641"/>
      <c r="WM214" s="641"/>
      <c r="WN214" s="641"/>
      <c r="WO214" s="641"/>
      <c r="WP214" s="641"/>
      <c r="WQ214" s="641"/>
      <c r="WR214" s="641"/>
      <c r="WS214" s="641"/>
      <c r="WT214" s="641"/>
      <c r="WU214" s="641"/>
      <c r="WV214" s="641"/>
      <c r="WW214" s="641"/>
      <c r="WX214" s="641"/>
      <c r="WY214" s="641"/>
      <c r="WZ214" s="641"/>
      <c r="XA214" s="641"/>
      <c r="XB214" s="641"/>
      <c r="XC214" s="641"/>
      <c r="XD214" s="641"/>
      <c r="XE214" s="641"/>
      <c r="XF214" s="641"/>
      <c r="XG214" s="641"/>
      <c r="XH214" s="641"/>
      <c r="XI214" s="641"/>
      <c r="XJ214" s="641"/>
      <c r="XK214" s="641"/>
      <c r="XL214" s="641"/>
      <c r="XM214" s="641"/>
      <c r="XN214" s="641"/>
      <c r="XO214" s="641"/>
      <c r="XP214" s="641"/>
      <c r="XQ214" s="641"/>
      <c r="XR214" s="641"/>
      <c r="XS214" s="641"/>
      <c r="XT214" s="641"/>
      <c r="XU214" s="641"/>
      <c r="XV214" s="641"/>
      <c r="XW214" s="641"/>
      <c r="XX214" s="641"/>
      <c r="XY214" s="641"/>
      <c r="XZ214" s="641"/>
      <c r="YA214" s="641"/>
      <c r="YB214" s="641"/>
      <c r="YC214" s="641"/>
      <c r="YD214" s="641"/>
      <c r="YE214" s="641"/>
      <c r="YF214" s="641"/>
      <c r="YG214" s="641"/>
      <c r="YH214" s="641"/>
      <c r="YI214" s="641"/>
      <c r="YJ214" s="641"/>
      <c r="YK214" s="641"/>
      <c r="YL214" s="641"/>
      <c r="YM214" s="641"/>
      <c r="YN214" s="641"/>
      <c r="YO214" s="641"/>
      <c r="YP214" s="641"/>
      <c r="YQ214" s="641"/>
      <c r="YR214" s="641"/>
      <c r="YS214" s="641"/>
      <c r="YT214" s="641"/>
      <c r="YU214" s="641"/>
      <c r="YV214" s="641"/>
      <c r="YW214" s="641"/>
      <c r="YX214" s="641"/>
      <c r="YY214" s="641"/>
      <c r="YZ214" s="641"/>
      <c r="ZA214" s="641"/>
      <c r="ZB214" s="641"/>
      <c r="ZC214" s="641"/>
      <c r="ZD214" s="641"/>
      <c r="ZE214" s="641"/>
      <c r="ZF214" s="641"/>
      <c r="ZG214" s="641"/>
      <c r="ZH214" s="641"/>
      <c r="ZI214" s="641"/>
      <c r="ZJ214" s="641"/>
      <c r="ZK214" s="641"/>
      <c r="ZL214" s="641"/>
      <c r="ZM214" s="641"/>
      <c r="ZN214" s="641"/>
      <c r="ZO214" s="641"/>
      <c r="ZP214" s="641"/>
      <c r="ZQ214" s="641"/>
      <c r="ZR214" s="641"/>
      <c r="ZS214" s="641"/>
      <c r="ZT214" s="641"/>
      <c r="ZU214" s="641"/>
      <c r="ZV214" s="641"/>
      <c r="ZW214" s="641"/>
      <c r="ZX214" s="641"/>
      <c r="ZY214" s="50"/>
      <c r="ZZ214" s="50"/>
      <c r="AAA214" s="588"/>
      <c r="AAD214" s="112"/>
      <c r="AAE214" s="551">
        <f>IF(S.InvolveFee=TRUE,1,0)</f>
        <v>0</v>
      </c>
      <c r="AAF214" s="112" t="s">
        <v>0</v>
      </c>
      <c r="AAG214" s="78">
        <f>S.BANNER.FeeStart</f>
        <v>41369</v>
      </c>
      <c r="AAH214" s="78">
        <f>G214</f>
        <v>41369</v>
      </c>
      <c r="AAI214" s="77"/>
      <c r="AAJ214" s="77"/>
      <c r="AAK214" s="77"/>
      <c r="AAL214" s="80"/>
      <c r="AAM214" s="112"/>
      <c r="AAN214"/>
      <c r="AAT214" s="23"/>
      <c r="AAU214" s="44"/>
      <c r="AAV214" s="23"/>
      <c r="AAW214" s="23"/>
      <c r="AAX214" s="23"/>
      <c r="AAY214" s="23"/>
      <c r="AAZ214" s="23"/>
      <c r="ABA214" s="23"/>
      <c r="ABB214" s="23"/>
      <c r="ABC214" s="23"/>
      <c r="ABD214" s="23"/>
    </row>
    <row r="215" spans="1:732" s="23" customFormat="1" ht="15" hidden="1" customHeight="1" outlineLevel="1">
      <c r="A215" s="558"/>
      <c r="B215" s="532" t="str">
        <f>AAL215</f>
        <v>No DAS involvement</v>
      </c>
      <c r="C215" s="531"/>
      <c r="D215" s="498" t="s">
        <v>359</v>
      </c>
      <c r="E215" s="491">
        <f t="shared" ref="E215" si="892">NETWORKDAYS(G215,H215,S.DDL_DEQClosed)</f>
        <v>111</v>
      </c>
      <c r="F215" s="372">
        <f ca="1">NETWORKDAYS(TODAY(),H215)</f>
        <v>27</v>
      </c>
      <c r="G215" s="369">
        <f>AAG215</f>
        <v>41369</v>
      </c>
      <c r="H215" s="369">
        <f>AAH215</f>
        <v>41530</v>
      </c>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174</v>
      </c>
      <c r="AAG215" s="78">
        <f>S.BANNER.FeeStart</f>
        <v>41369</v>
      </c>
      <c r="AAH215" s="78">
        <f>S.SubmitNoticeToSOS</f>
        <v>41530</v>
      </c>
      <c r="AAI215" s="77"/>
      <c r="AAJ215" s="77"/>
      <c r="AAK215" s="77"/>
      <c r="AAL215" s="89" t="str">
        <f>IF(S.DASApprovalRequired=TRUE,"See DAS approval sequence below",IF(S.InvolveFee=TRUE,"DAS notice required","No DAS involvement"))</f>
        <v>No DAS involvement</v>
      </c>
      <c r="AAM215" s="112"/>
      <c r="AAU215" s="44"/>
      <c r="AAV215"/>
      <c r="AAW215"/>
      <c r="AAX215"/>
      <c r="AAY215"/>
      <c r="AAZ215"/>
      <c r="ABA215"/>
      <c r="ABB215"/>
      <c r="ABC215"/>
      <c r="ABD215"/>
    </row>
    <row r="216" spans="1:732" s="23" customFormat="1" ht="15" hidden="1" outlineLevel="1">
      <c r="A216" s="558"/>
      <c r="B216" s="255" t="s">
        <v>138</v>
      </c>
      <c r="C216" s="173"/>
      <c r="D216" s="188"/>
      <c r="E216" s="160"/>
      <c r="F216" s="160"/>
      <c r="G216" s="174"/>
      <c r="H216" s="174"/>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B216"/>
      <c r="AAC216"/>
      <c r="AAD216" s="112"/>
      <c r="AAE216" s="551">
        <f>IF(AND(S.InvolveFee=TRUE,S.DASApprovalRequired=FALSE),1,0)</f>
        <v>0</v>
      </c>
      <c r="AAF216" s="583" t="s">
        <v>174</v>
      </c>
      <c r="AAG216" s="63"/>
      <c r="AAH216" s="63"/>
      <c r="AAI216" s="77"/>
      <c r="AAJ216" s="77"/>
      <c r="AAK216" s="77"/>
      <c r="AAL216" s="89" t="str">
        <f>"a. "&amp;S.CodeName&amp;"FEE.ANALYSIS (blank in folder 3)"</f>
        <v>a. FEE.ANALYSIS (blank in folder 3)</v>
      </c>
      <c r="AAM216" s="112"/>
      <c r="AAU216" s="44"/>
      <c r="AAV216"/>
      <c r="AAW216"/>
      <c r="AAX216"/>
      <c r="AAY216"/>
      <c r="AAZ216"/>
      <c r="ABA216"/>
      <c r="ABB216"/>
      <c r="ABC216"/>
      <c r="ABD216"/>
    </row>
    <row r="217" spans="1:732" ht="15" hidden="1" outlineLevel="1">
      <c r="A217" s="558"/>
      <c r="B217" s="256" t="str">
        <f>AAL216</f>
        <v>a. FEE.ANALYSIS (blank in folder 3)</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174</v>
      </c>
      <c r="AAG217" s="76"/>
      <c r="AAH217" s="76"/>
      <c r="AAI217" s="77"/>
      <c r="AAJ217" s="77"/>
      <c r="AAK217" s="77"/>
      <c r="AAL217" s="89" t="str">
        <f>"b. "&amp;S.CodeName&amp;"FEE.SUPPORT.DOCS"</f>
        <v>b. FEE.SUPPORT.DOCS</v>
      </c>
      <c r="AAM217" s="112"/>
      <c r="AAN217"/>
      <c r="AAT217" s="23"/>
      <c r="AAU217" s="44"/>
    </row>
    <row r="218" spans="1:732" ht="15" hidden="1" outlineLevel="1">
      <c r="A218" s="558"/>
      <c r="B218" s="256" t="str">
        <f>AAL217</f>
        <v>b. FEE.SUPPORT.DOCS</v>
      </c>
      <c r="C218" s="168"/>
      <c r="D218" s="397"/>
      <c r="E218" s="176"/>
      <c r="F218" s="176"/>
      <c r="G218" s="161"/>
      <c r="H218" s="161"/>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174</v>
      </c>
      <c r="AAG218" s="76"/>
      <c r="AAH218" s="76"/>
      <c r="AAI218" s="76"/>
      <c r="AAJ218" s="57"/>
      <c r="AAK218" s="57"/>
      <c r="AAL218" s="80"/>
      <c r="AAM218" s="112"/>
      <c r="AAN218"/>
      <c r="AAT218" s="23"/>
      <c r="AAU218" s="44"/>
    </row>
    <row r="219" spans="1:732" ht="15" hidden="1" outlineLevel="1">
      <c r="A219" s="558"/>
      <c r="B219" s="257" t="s">
        <v>181</v>
      </c>
      <c r="C219" s="173"/>
      <c r="D219" s="499"/>
      <c r="E219" s="191"/>
      <c r="F219" s="191"/>
      <c r="G219" s="177"/>
      <c r="H219" s="177"/>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8"/>
      <c r="ZZ219" s="36"/>
      <c r="AAA219" s="588"/>
      <c r="AAD219" s="112"/>
      <c r="AAE219" s="551">
        <f>IF(AND(S.InvolveFee=TRUE,S.DASApprovalRequired=FALSE),1,0)</f>
        <v>0</v>
      </c>
      <c r="AAF219" s="583" t="s">
        <v>174</v>
      </c>
      <c r="AAG219" s="76"/>
      <c r="AAH219" s="76"/>
      <c r="AAI219" s="76"/>
      <c r="AAJ219" s="57"/>
      <c r="AAK219" s="57"/>
      <c r="AAL219" s="80"/>
      <c r="AAM219" s="112"/>
      <c r="AAN219"/>
      <c r="AAT219" s="23"/>
      <c r="AAU219" s="44"/>
      <c r="AAV219" s="23"/>
      <c r="AAW219" s="23"/>
      <c r="AAX219" s="23"/>
      <c r="AAY219" s="23"/>
      <c r="AAZ219" s="23"/>
      <c r="ABA219" s="23"/>
      <c r="ABB219" s="23"/>
      <c r="ABC219" s="23"/>
      <c r="ABD219" s="23"/>
    </row>
    <row r="220" spans="1:732" ht="18" hidden="1" customHeight="1" outlineLevel="1">
      <c r="A220" s="558"/>
      <c r="B220" s="532" t="str">
        <f>AAL220</f>
        <v>No DAS involvement</v>
      </c>
      <c r="C220" s="531"/>
      <c r="D220" s="498" t="s">
        <v>359</v>
      </c>
      <c r="E220" s="491">
        <f t="shared" ref="E220:E226" si="893">NETWORKDAYS(G220,H220,S.DDL_DEQClosed)</f>
        <v>90</v>
      </c>
      <c r="F220" s="372">
        <f ca="1">NETWORKDAYS(TODAY(),H220)</f>
        <v>5</v>
      </c>
      <c r="G220" s="369">
        <f>AAG220</f>
        <v>41369</v>
      </c>
      <c r="H220" s="369">
        <f>AAH220</f>
        <v>41500</v>
      </c>
      <c r="I220" s="627"/>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88"/>
      <c r="AAD220" s="112"/>
      <c r="AAE220" s="551">
        <f t="shared" ref="AAE220:AAE248" si="894">IF(AND(S.InvolveFee=TRUE,S.DASApprovalRequired=TRUE),1,0)</f>
        <v>0</v>
      </c>
      <c r="AAF220" s="112" t="s">
        <v>0</v>
      </c>
      <c r="AAG220" s="78">
        <f>S.BANNER.FeeStart</f>
        <v>41369</v>
      </c>
      <c r="AAH220" s="78">
        <f>WORKDAY(S.SubmitNoticeToSOS-29,-1,S.DDL_DEQClosed)</f>
        <v>41500</v>
      </c>
      <c r="AAI220" s="77"/>
      <c r="AAJ220" s="77"/>
      <c r="AAK220" s="77"/>
      <c r="AAL220" s="89" t="str">
        <f>IF(S.DASApprovalRequired=TRUE,"DAS Fee approval sequence",IF(S.InvolveFee=TRUE,"DAS notice required above","No DAS involvement"))</f>
        <v>No DAS involvement</v>
      </c>
      <c r="AAM220" s="112"/>
      <c r="AAN220"/>
      <c r="AAT220" s="23"/>
      <c r="AAU220" s="44"/>
    </row>
    <row r="221" spans="1:732" s="23" customFormat="1" ht="15" hidden="1" outlineLevel="1">
      <c r="A221" s="558"/>
      <c r="B221" s="255" t="s">
        <v>252</v>
      </c>
      <c r="C221" s="173"/>
      <c r="D221" s="281"/>
      <c r="E221" s="123"/>
      <c r="F221" s="124"/>
      <c r="G221" s="178"/>
      <c r="H221" s="178"/>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B221"/>
      <c r="AAC221"/>
      <c r="AAD221" s="112"/>
      <c r="AAE221" s="551">
        <f t="shared" si="894"/>
        <v>0</v>
      </c>
      <c r="AAF221" s="583" t="s">
        <v>174</v>
      </c>
      <c r="AAG221" s="76"/>
      <c r="AAH221" s="63"/>
      <c r="AAI221" s="77"/>
      <c r="AAJ221" s="77"/>
      <c r="AAK221" s="77"/>
      <c r="AAL221" s="89" t="str">
        <f>"a. "&amp;S.CodeName&amp;"FEE.ANALYSIS (blank in folder 3)"</f>
        <v>a. FEE.ANALYSIS (blank in folder 3)</v>
      </c>
      <c r="AAM221" s="112"/>
      <c r="AAU221" s="44"/>
      <c r="AAV221"/>
      <c r="AAW221"/>
      <c r="AAX221"/>
      <c r="AAY221"/>
      <c r="AAZ221"/>
      <c r="ABA221"/>
      <c r="ABB221"/>
      <c r="ABC221"/>
      <c r="ABD221"/>
    </row>
    <row r="222" spans="1:732" ht="15" hidden="1" customHeight="1" outlineLevel="1">
      <c r="A222" s="558"/>
      <c r="B222" s="256" t="str">
        <f>AAL221</f>
        <v>a. FEE.ANALYSIS (blank in folder 3)</v>
      </c>
      <c r="C222" s="168"/>
      <c r="D222" s="500"/>
      <c r="E222" s="176"/>
      <c r="F222" s="176"/>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174</v>
      </c>
      <c r="AAG222" s="76"/>
      <c r="AAH222" s="76"/>
      <c r="AAI222" s="77"/>
      <c r="AAJ222" s="77"/>
      <c r="AAK222" s="77"/>
      <c r="AAL222" s="89" t="str">
        <f>"b. "&amp;S.CodeName&amp;"FEE.SUPPORT.DOCS"</f>
        <v>b. FEE.SUPPORT.DOCS</v>
      </c>
      <c r="AAM222" s="112"/>
      <c r="AAN222"/>
      <c r="AAT222" s="23"/>
      <c r="AAU222" s="44"/>
    </row>
    <row r="223" spans="1:732" ht="15" hidden="1" customHeight="1" outlineLevel="1">
      <c r="A223" s="558"/>
      <c r="B223" s="256" t="str">
        <f>AAL222</f>
        <v>b. FEE.SUPPORT.DOCS</v>
      </c>
      <c r="C223" s="168"/>
      <c r="D223" s="500"/>
      <c r="E223" s="176"/>
      <c r="F223" s="160"/>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174</v>
      </c>
      <c r="AAG223" s="76"/>
      <c r="AAH223" s="76"/>
      <c r="AAI223" s="77"/>
      <c r="AAJ223" s="77"/>
      <c r="AAK223" s="77"/>
      <c r="AAL223" s="89" t="str">
        <f>"a. "&amp;S.CodeName&amp;"FEE.APPROVAL (link through FEE.ANALYSIS)"</f>
        <v>a. FEE.APPROVAL (link through FEE.ANALYSIS)</v>
      </c>
      <c r="AAM223" s="112"/>
      <c r="AAN223"/>
      <c r="AAT223" s="23"/>
      <c r="AAU223" s="44"/>
    </row>
    <row r="224" spans="1:732" ht="15" hidden="1" customHeight="1" outlineLevel="1">
      <c r="A224" s="558"/>
      <c r="B224" s="256" t="str">
        <f>AAL223</f>
        <v>a. FEE.APPROVAL (link through FEE.ANALYSIS)</v>
      </c>
      <c r="C224" s="168"/>
      <c r="D224" s="500" t="s">
        <v>0</v>
      </c>
      <c r="E224" s="176"/>
      <c r="F224" s="176"/>
      <c r="G224" s="161"/>
      <c r="H224" s="161"/>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174</v>
      </c>
      <c r="AAG224" s="76"/>
      <c r="AAH224" s="76"/>
      <c r="AAI224" s="77"/>
      <c r="AAJ224" s="77"/>
      <c r="AAK224" s="77"/>
      <c r="AAL224" s="89" t="str">
        <f>"b. "&amp;S.CodeName&amp;"FEE.DETAIL (link through FEE.ANALYSIS)"</f>
        <v>b. FEE.DETAIL (link through FEE.ANALYSIS)</v>
      </c>
      <c r="AAM224" s="112"/>
      <c r="AAN224"/>
      <c r="AAT224" s="23"/>
      <c r="AAU224" s="44"/>
    </row>
    <row r="225" spans="1:732" ht="15" hidden="1" customHeight="1" outlineLevel="1">
      <c r="A225" s="558"/>
      <c r="B225" s="256" t="str">
        <f>AAL224</f>
        <v>b. FEE.DETAIL (link through FEE.ANALYSIS)</v>
      </c>
      <c r="C225" s="168"/>
      <c r="D225" s="500"/>
      <c r="E225" s="400"/>
      <c r="F225" s="400"/>
      <c r="G225" s="356"/>
      <c r="H225" s="356"/>
      <c r="I225" s="588"/>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618"/>
      <c r="ZZ225" s="36"/>
      <c r="AAA225" s="588"/>
      <c r="AAD225" s="112"/>
      <c r="AAE225" s="551">
        <f t="shared" si="894"/>
        <v>0</v>
      </c>
      <c r="AAF225" s="583" t="s">
        <v>174</v>
      </c>
      <c r="AAG225" s="76"/>
      <c r="AAH225" s="76"/>
      <c r="AAI225" s="77"/>
      <c r="AAJ225" s="77"/>
      <c r="AAK225" s="77"/>
      <c r="AAL225" s="80"/>
      <c r="AAM225" s="112"/>
      <c r="AAN225"/>
      <c r="AAT225" s="23"/>
      <c r="AAU225" s="44"/>
    </row>
    <row r="226" spans="1:732" ht="15" hidden="1" outlineLevel="1">
      <c r="A226" s="558"/>
      <c r="B226" s="258" t="s">
        <v>253</v>
      </c>
      <c r="C226" s="239"/>
      <c r="D226" s="501" t="s">
        <v>359</v>
      </c>
      <c r="E226" s="491">
        <f t="shared" si="893"/>
        <v>1</v>
      </c>
      <c r="F226" s="372">
        <f t="shared" ref="F226:F230" ca="1" si="895">NETWORKDAYS(TODAY(),H226)</f>
        <v>5</v>
      </c>
      <c r="G226" s="369">
        <f>AAG226</f>
        <v>41500</v>
      </c>
      <c r="H226" s="369">
        <f t="shared" ref="H226:H230" si="896">AAH226</f>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H220</f>
        <v>41500</v>
      </c>
      <c r="AAH226" s="78">
        <f>G226</f>
        <v>41500</v>
      </c>
      <c r="AAI226" s="77"/>
      <c r="AAJ226" s="77"/>
      <c r="AAK226" s="77"/>
      <c r="AAL226" s="80"/>
      <c r="AAM226" s="112"/>
      <c r="AAN226"/>
      <c r="AAT226" s="23"/>
      <c r="AAU226" s="44"/>
    </row>
    <row r="227" spans="1:732" ht="22.5" hidden="1" outlineLevel="1">
      <c r="A227" s="558"/>
      <c r="B227" s="259" t="s">
        <v>111</v>
      </c>
      <c r="C227" s="239"/>
      <c r="D227" s="279" t="s">
        <v>376</v>
      </c>
      <c r="E227" s="491">
        <f>NETWORKDAYS(G227,H227,S.DDL_DEQClosed)</f>
        <v>1</v>
      </c>
      <c r="F227" s="372">
        <f t="shared" ca="1" si="895"/>
        <v>5</v>
      </c>
      <c r="G227" s="369">
        <f t="shared" ref="G227:G230" si="897">AAG227</f>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H226</f>
        <v>41500</v>
      </c>
      <c r="AAH227" s="78">
        <f t="shared" ref="AAH227:AAH230" si="898">G227</f>
        <v>41500</v>
      </c>
      <c r="AAI227" s="77"/>
      <c r="AAJ227" s="77"/>
      <c r="AAK227" s="77"/>
      <c r="AAL227" s="80"/>
      <c r="AAM227" s="112"/>
      <c r="AAN227"/>
      <c r="AAT227" s="23"/>
      <c r="AAU227" s="44"/>
    </row>
    <row r="228" spans="1:732" ht="22.5" hidden="1" outlineLevel="1">
      <c r="A228" s="558"/>
      <c r="B228" s="261" t="s">
        <v>112</v>
      </c>
      <c r="C228" s="239"/>
      <c r="D228" s="279" t="s">
        <v>376</v>
      </c>
      <c r="E228" s="491">
        <f>NETWORKDAYS(G228,H228,S.DDL_DEQClosed)</f>
        <v>1</v>
      </c>
      <c r="F228" s="372">
        <f t="shared" ca="1" si="895"/>
        <v>5</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ref="AAG228:AAG230" si="899">H227</f>
        <v>41500</v>
      </c>
      <c r="AAH228" s="78">
        <f t="shared" si="898"/>
        <v>41500</v>
      </c>
      <c r="AAI228" s="77"/>
      <c r="AAJ228" s="77"/>
      <c r="AAK228" s="77"/>
      <c r="AAL228" s="80"/>
      <c r="AAM228" s="112"/>
      <c r="AAN228"/>
      <c r="AAT228" s="23"/>
      <c r="AAU228" s="44"/>
    </row>
    <row r="229" spans="1:732" ht="22.5" hidden="1" outlineLevel="1">
      <c r="A229" s="558"/>
      <c r="B229" s="262" t="s">
        <v>113</v>
      </c>
      <c r="C229" s="239"/>
      <c r="D229" s="279" t="s">
        <v>376</v>
      </c>
      <c r="E229" s="491">
        <f>NETWORKDAYS(G229,H229,S.DDL_DEQClosed)</f>
        <v>1</v>
      </c>
      <c r="F229" s="372">
        <f t="shared" ca="1" si="895"/>
        <v>5</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22.5" hidden="1" outlineLevel="1">
      <c r="A230" s="558"/>
      <c r="B230" s="263" t="s">
        <v>114</v>
      </c>
      <c r="C230" s="239"/>
      <c r="D230" s="279" t="s">
        <v>376</v>
      </c>
      <c r="E230" s="491">
        <f>NETWORKDAYS(G230,H230,S.DDL_DEQClosed)</f>
        <v>1</v>
      </c>
      <c r="F230" s="372">
        <f t="shared" ca="1" si="895"/>
        <v>5</v>
      </c>
      <c r="G230" s="369">
        <f t="shared" si="897"/>
        <v>41500</v>
      </c>
      <c r="H230" s="369">
        <f t="shared" si="896"/>
        <v>41500</v>
      </c>
      <c r="I230" s="627"/>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50"/>
      <c r="ZZ230" s="50"/>
      <c r="AAA230" s="588"/>
      <c r="AAD230" s="112"/>
      <c r="AAE230" s="551">
        <f t="shared" si="894"/>
        <v>0</v>
      </c>
      <c r="AAF230" s="112"/>
      <c r="AAG230" s="78">
        <f t="shared" si="899"/>
        <v>41500</v>
      </c>
      <c r="AAH230" s="78">
        <f t="shared" si="898"/>
        <v>41500</v>
      </c>
      <c r="AAI230" s="77"/>
      <c r="AAJ230" s="77"/>
      <c r="AAK230" s="77"/>
      <c r="AAL230" s="80"/>
      <c r="AAM230" s="112"/>
      <c r="AAN230"/>
      <c r="AAT230" s="23"/>
      <c r="AAU230" s="44"/>
    </row>
    <row r="231" spans="1:732" ht="82.5" hidden="1" customHeight="1" outlineLevel="1">
      <c r="A231" s="558"/>
      <c r="B231" s="765" t="s">
        <v>342</v>
      </c>
      <c r="C231" s="765"/>
      <c r="D231" s="765"/>
      <c r="E231" s="765"/>
      <c r="F231" s="765"/>
      <c r="G231" s="765"/>
      <c r="H231" s="765"/>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174</v>
      </c>
      <c r="AAG231" s="63"/>
      <c r="AAH231" s="63"/>
      <c r="AAI231" s="77"/>
      <c r="AAJ231" s="77"/>
      <c r="AAK231" s="77"/>
      <c r="AAL231" s="80"/>
      <c r="AAM231" s="112"/>
      <c r="AAN231"/>
      <c r="AAT231" s="23"/>
      <c r="AAU231" s="44"/>
    </row>
    <row r="232" spans="1:732" ht="15" hidden="1" outlineLevel="1">
      <c r="A232" s="558"/>
      <c r="B232" s="264" t="s">
        <v>21</v>
      </c>
      <c r="C232" s="264"/>
      <c r="D232" s="161"/>
      <c r="E232" s="160"/>
      <c r="F232" s="160"/>
      <c r="G232" s="161"/>
      <c r="H232" s="161"/>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174</v>
      </c>
      <c r="AAG232" s="63"/>
      <c r="AAH232" s="63"/>
      <c r="AAI232" s="77"/>
      <c r="AAJ232" s="77"/>
      <c r="AAK232" s="77"/>
      <c r="AAL232" s="80"/>
      <c r="AAM232" s="112"/>
      <c r="AAN232"/>
      <c r="AAT232" s="23"/>
      <c r="AAU232" s="44"/>
    </row>
    <row r="233" spans="1:732" ht="15.75" hidden="1" outlineLevel="1">
      <c r="A233" s="558"/>
      <c r="B233" s="769" t="s">
        <v>110</v>
      </c>
      <c r="C233" s="769"/>
      <c r="D233" s="190" t="s">
        <v>0</v>
      </c>
      <c r="E233" s="495" t="s">
        <v>0</v>
      </c>
      <c r="F233" s="366" t="s">
        <v>0</v>
      </c>
      <c r="G233" s="494"/>
      <c r="H233" s="494"/>
      <c r="I233" s="588"/>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618"/>
      <c r="ZZ233" s="36"/>
      <c r="AAA233" s="588"/>
      <c r="AAD233" s="112"/>
      <c r="AAE233" s="551">
        <f t="shared" si="894"/>
        <v>0</v>
      </c>
      <c r="AAF233" s="583" t="s">
        <v>174</v>
      </c>
      <c r="AAG233" s="76"/>
      <c r="AAH233" s="76"/>
      <c r="AAI233" s="77"/>
      <c r="AAJ233" s="77"/>
      <c r="AAK233" s="77"/>
      <c r="AAL233" s="80"/>
      <c r="AAM233" s="112"/>
      <c r="AAN233"/>
      <c r="AAT233" s="23"/>
      <c r="AAU233" s="44"/>
    </row>
    <row r="234" spans="1:732" ht="15" hidden="1" outlineLevel="1">
      <c r="A234" s="558"/>
      <c r="B234" s="265" t="s">
        <v>136</v>
      </c>
      <c r="C234" s="712"/>
      <c r="D234" s="278" t="s">
        <v>161</v>
      </c>
      <c r="E234" s="491">
        <f>NETWORKDAYS(G234,H234,S.DDL_DEQClosed)</f>
        <v>1</v>
      </c>
      <c r="F234" s="372">
        <f ca="1">NETWORKDAYS(TODAY(),H234)</f>
        <v>5</v>
      </c>
      <c r="G234" s="369">
        <f t="shared" ref="G234:H235" si="900">AAG234</f>
        <v>41500</v>
      </c>
      <c r="H234" s="370">
        <f>AAH234</f>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H230</f>
        <v>41500</v>
      </c>
      <c r="AAH234" s="78">
        <f>G234</f>
        <v>41500</v>
      </c>
      <c r="AAI234" s="77"/>
      <c r="AAJ234" s="77"/>
      <c r="AAK234" s="77"/>
      <c r="AAL234" s="80"/>
      <c r="AAM234" s="112"/>
      <c r="AAN234"/>
      <c r="AAT234" s="23"/>
      <c r="AAU234" s="44"/>
    </row>
    <row r="235" spans="1:732" ht="15" hidden="1" outlineLevel="1">
      <c r="A235" s="558"/>
      <c r="B235" s="265" t="s">
        <v>51</v>
      </c>
      <c r="C235" s="712"/>
      <c r="D235" s="278" t="s">
        <v>360</v>
      </c>
      <c r="E235" s="491">
        <f>NETWORKDAYS(G235,H235,S.DDL_DEQClosed)</f>
        <v>1</v>
      </c>
      <c r="F235" s="372">
        <f ca="1">NETWORKDAYS(TODAY(),H235)</f>
        <v>5</v>
      </c>
      <c r="G235" s="369">
        <f t="shared" si="900"/>
        <v>41500</v>
      </c>
      <c r="H235" s="369">
        <f t="shared" si="900"/>
        <v>41500</v>
      </c>
      <c r="I235" s="627"/>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50"/>
      <c r="ZZ235" s="50"/>
      <c r="AAA235" s="588"/>
      <c r="AAD235" s="112"/>
      <c r="AAE235" s="551">
        <f t="shared" si="894"/>
        <v>0</v>
      </c>
      <c r="AAF235" s="112"/>
      <c r="AAG235" s="78">
        <f>H234</f>
        <v>41500</v>
      </c>
      <c r="AAH235" s="78">
        <f>G235</f>
        <v>41500</v>
      </c>
      <c r="AAI235" s="77"/>
      <c r="AAJ235" s="77"/>
      <c r="AAK235" s="77"/>
      <c r="AAL235" s="80"/>
      <c r="AAM235" s="112"/>
      <c r="AAN235"/>
      <c r="AAT235" s="23"/>
      <c r="AAU235" s="44"/>
    </row>
    <row r="236" spans="1:732" ht="15" hidden="1" outlineLevel="1">
      <c r="A236" s="558"/>
      <c r="B236" s="770" t="s">
        <v>102</v>
      </c>
      <c r="C236" s="770"/>
      <c r="D236" s="177" t="s">
        <v>0</v>
      </c>
      <c r="E236" s="495" t="s">
        <v>0</v>
      </c>
      <c r="F236" s="366" t="s">
        <v>0</v>
      </c>
      <c r="G236" s="494"/>
      <c r="H236" s="494"/>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174</v>
      </c>
      <c r="AAG236" s="76"/>
      <c r="AAH236" s="76"/>
      <c r="AAI236" s="76"/>
      <c r="AAJ236" s="57"/>
      <c r="AAK236" s="57"/>
      <c r="AAL236" s="80"/>
      <c r="AAM236" s="112"/>
      <c r="AAN236"/>
      <c r="AAT236" s="23"/>
      <c r="AAU236" s="44"/>
      <c r="AAV236" s="43"/>
      <c r="AAW236" s="43"/>
      <c r="AAX236" s="43"/>
      <c r="AAY236" s="43"/>
      <c r="AAZ236" s="43"/>
      <c r="ABA236" s="43"/>
      <c r="ABB236" s="43"/>
      <c r="ABC236" s="43"/>
      <c r="ABD236" s="43"/>
    </row>
    <row r="237" spans="1:732" ht="15" hidden="1" outlineLevel="1">
      <c r="A237" s="558"/>
      <c r="B237" s="768" t="s">
        <v>278</v>
      </c>
      <c r="C237" s="768"/>
      <c r="D237" s="177"/>
      <c r="E237" s="400"/>
      <c r="F237" s="400"/>
      <c r="G237" s="356"/>
      <c r="H237" s="356"/>
      <c r="I237" s="588"/>
      <c r="J237" s="592"/>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618"/>
      <c r="ZZ237" s="36"/>
      <c r="AAA237" s="588"/>
      <c r="AAD237" s="112"/>
      <c r="AAE237" s="551">
        <f t="shared" si="894"/>
        <v>0</v>
      </c>
      <c r="AAF237" s="583" t="s">
        <v>174</v>
      </c>
      <c r="AAG237" s="76"/>
      <c r="AAH237" s="76"/>
      <c r="AAI237" s="76"/>
      <c r="AAJ237" s="57"/>
      <c r="AAK237" s="57"/>
      <c r="AAL237" s="80"/>
      <c r="AAM237" s="112"/>
      <c r="AAN237"/>
      <c r="AAO237" s="43"/>
      <c r="AAP237" s="43"/>
      <c r="AAQ237" s="43"/>
      <c r="AAR237" s="43"/>
      <c r="AAS237" s="43"/>
      <c r="AAT237" s="43"/>
      <c r="AAU237" s="44"/>
    </row>
    <row r="238" spans="1:732" s="43" customFormat="1" ht="15.75" hidden="1" customHeight="1" outlineLevel="1">
      <c r="A238" s="600"/>
      <c r="B238" s="266" t="str">
        <f>AAL238</f>
        <v>Send DAS.EMAILS.pdf</v>
      </c>
      <c r="C238" s="168"/>
      <c r="D238" s="278" t="s">
        <v>187</v>
      </c>
      <c r="E238" s="491">
        <f t="shared" ref="E238:E239" si="901">NETWORKDAYS(G238,H238,S.DDL_DEQClosed)</f>
        <v>1</v>
      </c>
      <c r="F238" s="372">
        <f ca="1">NETWORKDAYS(TODAY(),G238)</f>
        <v>-90</v>
      </c>
      <c r="G238" s="656">
        <f>AAG238</f>
        <v>41369</v>
      </c>
      <c r="H238" s="370">
        <f>AAH238</f>
        <v>41369</v>
      </c>
      <c r="I238" s="627"/>
      <c r="J238" s="595"/>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c r="JE238" s="51"/>
      <c r="JF238" s="51"/>
      <c r="JG238" s="51"/>
      <c r="JH238" s="51"/>
      <c r="JI238" s="51"/>
      <c r="JJ238" s="51"/>
      <c r="JK238" s="51"/>
      <c r="JL238" s="51"/>
      <c r="JM238" s="51"/>
      <c r="JN238" s="51"/>
      <c r="JO238" s="51"/>
      <c r="JP238" s="51"/>
      <c r="JQ238" s="51"/>
      <c r="JR238" s="51"/>
      <c r="JS238" s="51"/>
      <c r="JT238" s="51"/>
      <c r="JU238" s="51"/>
      <c r="JV238" s="51"/>
      <c r="JW238" s="51"/>
      <c r="JX238" s="51"/>
      <c r="JY238" s="51"/>
      <c r="JZ238" s="51"/>
      <c r="KA238" s="51"/>
      <c r="KB238" s="51"/>
      <c r="KC238" s="51"/>
      <c r="KD238" s="51"/>
      <c r="KE238" s="51"/>
      <c r="KF238" s="51"/>
      <c r="KG238" s="51"/>
      <c r="KH238" s="51"/>
      <c r="KI238" s="51"/>
      <c r="KJ238" s="51"/>
      <c r="KK238" s="51"/>
      <c r="KL238" s="51"/>
      <c r="KM238" s="51"/>
      <c r="KN238" s="51"/>
      <c r="KO238" s="51"/>
      <c r="KP238" s="51"/>
      <c r="KQ238" s="51"/>
      <c r="KR238" s="51"/>
      <c r="KS238" s="51"/>
      <c r="KT238" s="51"/>
      <c r="KU238" s="51"/>
      <c r="KV238" s="51"/>
      <c r="KW238" s="51"/>
      <c r="KX238" s="51"/>
      <c r="KY238" s="51"/>
      <c r="KZ238" s="51"/>
      <c r="LA238" s="51"/>
      <c r="LB238" s="51"/>
      <c r="LC238" s="51"/>
      <c r="LD238" s="51"/>
      <c r="LE238" s="51"/>
      <c r="LF238" s="51"/>
      <c r="LG238" s="51"/>
      <c r="LH238" s="51"/>
      <c r="LI238" s="51"/>
      <c r="LJ238" s="51"/>
      <c r="LK238" s="51"/>
      <c r="LL238" s="51"/>
      <c r="LM238" s="51"/>
      <c r="LN238" s="51"/>
      <c r="LO238" s="51"/>
      <c r="LP238" s="51"/>
      <c r="LQ238" s="51"/>
      <c r="LR238" s="51"/>
      <c r="LS238" s="51"/>
      <c r="LT238" s="51"/>
      <c r="LU238" s="51"/>
      <c r="LV238" s="51"/>
      <c r="LW238" s="51"/>
      <c r="LX238" s="51"/>
      <c r="LY238" s="51"/>
      <c r="LZ238" s="51"/>
      <c r="MA238" s="51"/>
      <c r="MB238" s="51"/>
      <c r="MC238" s="51"/>
      <c r="MD238" s="51"/>
      <c r="ME238" s="51"/>
      <c r="MF238" s="51"/>
      <c r="MG238" s="51"/>
      <c r="MH238" s="51"/>
      <c r="MI238" s="51"/>
      <c r="MJ238" s="51"/>
      <c r="MK238" s="51"/>
      <c r="ML238" s="51"/>
      <c r="MM238" s="51"/>
      <c r="MN238" s="51"/>
      <c r="MO238" s="51"/>
      <c r="MP238" s="51"/>
      <c r="MQ238" s="51"/>
      <c r="MR238" s="51"/>
      <c r="MS238" s="51"/>
      <c r="MT238" s="51"/>
      <c r="MU238" s="51"/>
      <c r="MV238" s="51"/>
      <c r="MW238" s="51"/>
      <c r="MX238" s="51"/>
      <c r="MY238" s="51"/>
      <c r="MZ238" s="51"/>
      <c r="NA238" s="51"/>
      <c r="NB238" s="51"/>
      <c r="NC238" s="51"/>
      <c r="ND238" s="51"/>
      <c r="NE238" s="51"/>
      <c r="NF238" s="51"/>
      <c r="NG238" s="51"/>
      <c r="NH238" s="51"/>
      <c r="NI238" s="51"/>
      <c r="NJ238" s="51"/>
      <c r="NK238" s="51"/>
      <c r="NL238" s="51"/>
      <c r="NM238" s="51"/>
      <c r="NN238" s="51"/>
      <c r="NO238" s="51"/>
      <c r="NP238" s="51"/>
      <c r="NQ238" s="51"/>
      <c r="NR238" s="51"/>
      <c r="NS238" s="51"/>
      <c r="NT238" s="51"/>
      <c r="NU238" s="51"/>
      <c r="NV238" s="51"/>
      <c r="NW238" s="51"/>
      <c r="NX238" s="51"/>
      <c r="NY238" s="51"/>
      <c r="NZ238" s="51"/>
      <c r="OA238" s="51"/>
      <c r="OB238" s="51"/>
      <c r="OC238" s="51"/>
      <c r="OD238" s="51"/>
      <c r="OE238" s="51"/>
      <c r="OF238" s="51"/>
      <c r="OG238" s="51"/>
      <c r="OH238" s="51"/>
      <c r="OI238" s="51"/>
      <c r="OJ238" s="51"/>
      <c r="OK238" s="51"/>
      <c r="OL238" s="51"/>
      <c r="OM238" s="51"/>
      <c r="ON238" s="51"/>
      <c r="OO238" s="51"/>
      <c r="OP238" s="51"/>
      <c r="OQ238" s="51"/>
      <c r="OR238" s="51"/>
      <c r="OS238" s="51"/>
      <c r="OT238" s="51"/>
      <c r="OU238" s="51"/>
      <c r="OV238" s="51"/>
      <c r="OW238" s="51"/>
      <c r="OX238" s="51"/>
      <c r="OY238" s="51"/>
      <c r="OZ238" s="51"/>
      <c r="PA238" s="51"/>
      <c r="PB238" s="51"/>
      <c r="PC238" s="51"/>
      <c r="PD238" s="51"/>
      <c r="PE238" s="51"/>
      <c r="PF238" s="51"/>
      <c r="PG238" s="51"/>
      <c r="PH238" s="51"/>
      <c r="PI238" s="51"/>
      <c r="PJ238" s="51"/>
      <c r="PK238" s="51"/>
      <c r="PL238" s="51"/>
      <c r="PM238" s="51"/>
      <c r="PN238" s="51"/>
      <c r="PO238" s="51"/>
      <c r="PP238" s="51"/>
      <c r="PQ238" s="51"/>
      <c r="PR238" s="51"/>
      <c r="PS238" s="51"/>
      <c r="PT238" s="51"/>
      <c r="PU238" s="51"/>
      <c r="PV238" s="51"/>
      <c r="PW238" s="51"/>
      <c r="PX238" s="51"/>
      <c r="PY238" s="51"/>
      <c r="PZ238" s="51"/>
      <c r="QA238" s="51"/>
      <c r="QB238" s="51"/>
      <c r="QC238" s="51"/>
      <c r="QD238" s="51"/>
      <c r="QE238" s="51"/>
      <c r="QF238" s="51"/>
      <c r="QG238" s="51"/>
      <c r="QH238" s="51"/>
      <c r="QI238" s="51"/>
      <c r="QJ238" s="51"/>
      <c r="QK238" s="51"/>
      <c r="QL238" s="51"/>
      <c r="QM238" s="51"/>
      <c r="QN238" s="51"/>
      <c r="QO238" s="51"/>
      <c r="QP238" s="51"/>
      <c r="QQ238" s="51"/>
      <c r="QR238" s="51"/>
      <c r="QS238" s="51"/>
      <c r="QT238" s="51"/>
      <c r="QU238" s="51"/>
      <c r="QV238" s="51"/>
      <c r="QW238" s="51"/>
      <c r="QX238" s="51"/>
      <c r="QY238" s="51"/>
      <c r="QZ238" s="51"/>
      <c r="RA238" s="51"/>
      <c r="RB238" s="51"/>
      <c r="RC238" s="51"/>
      <c r="RD238" s="51"/>
      <c r="RE238" s="51"/>
      <c r="RF238" s="51"/>
      <c r="RG238" s="51"/>
      <c r="RH238" s="51"/>
      <c r="RI238" s="51"/>
      <c r="RJ238" s="51"/>
      <c r="RK238" s="51"/>
      <c r="RL238" s="51"/>
      <c r="RM238" s="51"/>
      <c r="RN238" s="51"/>
      <c r="RO238" s="51"/>
      <c r="RP238" s="51"/>
      <c r="RQ238" s="51"/>
      <c r="RR238" s="51"/>
      <c r="RS238" s="51"/>
      <c r="RT238" s="51"/>
      <c r="RU238" s="51"/>
      <c r="RV238" s="51"/>
      <c r="RW238" s="51"/>
      <c r="RX238" s="51"/>
      <c r="RY238" s="51"/>
      <c r="RZ238" s="51"/>
      <c r="SA238" s="51"/>
      <c r="SB238" s="51"/>
      <c r="SC238" s="51"/>
      <c r="SD238" s="51"/>
      <c r="SE238" s="51"/>
      <c r="SF238" s="51"/>
      <c r="SG238" s="51"/>
      <c r="SH238" s="51"/>
      <c r="SI238" s="51"/>
      <c r="SJ238" s="51"/>
      <c r="SK238" s="51"/>
      <c r="SL238" s="51"/>
      <c r="SM238" s="51"/>
      <c r="SN238" s="51"/>
      <c r="SO238" s="51"/>
      <c r="SP238" s="51"/>
      <c r="SQ238" s="51"/>
      <c r="SR238" s="51"/>
      <c r="SS238" s="51"/>
      <c r="ST238" s="51"/>
      <c r="SU238" s="51"/>
      <c r="SV238" s="51"/>
      <c r="SW238" s="51"/>
      <c r="SX238" s="51"/>
      <c r="SY238" s="51"/>
      <c r="SZ238" s="51"/>
      <c r="TA238" s="51"/>
      <c r="TB238" s="51"/>
      <c r="TC238" s="51"/>
      <c r="TD238" s="51"/>
      <c r="TE238" s="51"/>
      <c r="TF238" s="51"/>
      <c r="TG238" s="51"/>
      <c r="TH238" s="51"/>
      <c r="TI238" s="51"/>
      <c r="TJ238" s="51"/>
      <c r="TK238" s="51"/>
      <c r="TL238" s="51"/>
      <c r="TM238" s="51"/>
      <c r="TN238" s="51"/>
      <c r="TO238" s="51"/>
      <c r="TP238" s="51"/>
      <c r="TQ238" s="51"/>
      <c r="TR238" s="51"/>
      <c r="TS238" s="51"/>
      <c r="TT238" s="51"/>
      <c r="TU238" s="51"/>
      <c r="TV238" s="51"/>
      <c r="TW238" s="51"/>
      <c r="TX238" s="51"/>
      <c r="TY238" s="51"/>
      <c r="TZ238" s="51"/>
      <c r="UA238" s="51"/>
      <c r="UB238" s="51"/>
      <c r="UC238" s="51"/>
      <c r="UD238" s="51"/>
      <c r="UE238" s="51"/>
      <c r="UF238" s="51"/>
      <c r="UG238" s="51"/>
      <c r="UH238" s="51"/>
      <c r="UI238" s="51"/>
      <c r="UJ238" s="51"/>
      <c r="UK238" s="51"/>
      <c r="UL238" s="51"/>
      <c r="UM238" s="51"/>
      <c r="UN238" s="51"/>
      <c r="UO238" s="51"/>
      <c r="UP238" s="51"/>
      <c r="UQ238" s="51"/>
      <c r="UR238" s="51"/>
      <c r="US238" s="51"/>
      <c r="UT238" s="51"/>
      <c r="UU238" s="51"/>
      <c r="UV238" s="51"/>
      <c r="UW238" s="51"/>
      <c r="UX238" s="51"/>
      <c r="UY238" s="51"/>
      <c r="UZ238" s="51"/>
      <c r="VA238" s="51"/>
      <c r="VB238" s="51"/>
      <c r="VC238" s="51"/>
      <c r="VD238" s="51"/>
      <c r="VE238" s="51"/>
      <c r="VF238" s="51"/>
      <c r="VG238" s="51"/>
      <c r="VH238" s="51"/>
      <c r="VI238" s="51"/>
      <c r="VJ238" s="51"/>
      <c r="VK238" s="51"/>
      <c r="VL238" s="51"/>
      <c r="VM238" s="51"/>
      <c r="VN238" s="51"/>
      <c r="VO238" s="51"/>
      <c r="VP238" s="51"/>
      <c r="VQ238" s="51"/>
      <c r="VR238" s="51"/>
      <c r="VS238" s="51"/>
      <c r="VT238" s="51"/>
      <c r="VU238" s="51"/>
      <c r="VV238" s="51"/>
      <c r="VW238" s="51"/>
      <c r="VX238" s="51"/>
      <c r="VY238" s="51"/>
      <c r="VZ238" s="51"/>
      <c r="WA238" s="51"/>
      <c r="WB238" s="51"/>
      <c r="WC238" s="51"/>
      <c r="WD238" s="51"/>
      <c r="WE238" s="51"/>
      <c r="WF238" s="51"/>
      <c r="WG238" s="51"/>
      <c r="WH238" s="51"/>
      <c r="WI238" s="51"/>
      <c r="WJ238" s="51"/>
      <c r="WK238" s="51"/>
      <c r="WL238" s="51"/>
      <c r="WM238" s="51"/>
      <c r="WN238" s="51"/>
      <c r="WO238" s="51"/>
      <c r="WP238" s="51"/>
      <c r="WQ238" s="51"/>
      <c r="WR238" s="51"/>
      <c r="WS238" s="51"/>
      <c r="WT238" s="51"/>
      <c r="WU238" s="51"/>
      <c r="WV238" s="51"/>
      <c r="WW238" s="51"/>
      <c r="WX238" s="51"/>
      <c r="WY238" s="51"/>
      <c r="WZ238" s="51"/>
      <c r="XA238" s="51"/>
      <c r="XB238" s="51"/>
      <c r="XC238" s="51"/>
      <c r="XD238" s="51"/>
      <c r="XE238" s="51"/>
      <c r="XF238" s="51"/>
      <c r="XG238" s="51"/>
      <c r="XH238" s="51"/>
      <c r="XI238" s="51"/>
      <c r="XJ238" s="51"/>
      <c r="XK238" s="51"/>
      <c r="XL238" s="51"/>
      <c r="XM238" s="51"/>
      <c r="XN238" s="51"/>
      <c r="XO238" s="51"/>
      <c r="XP238" s="51"/>
      <c r="XQ238" s="51"/>
      <c r="XR238" s="51"/>
      <c r="XS238" s="51"/>
      <c r="XT238" s="51"/>
      <c r="XU238" s="51"/>
      <c r="XV238" s="51"/>
      <c r="XW238" s="51"/>
      <c r="XX238" s="51"/>
      <c r="XY238" s="51"/>
      <c r="XZ238" s="51"/>
      <c r="YA238" s="51"/>
      <c r="YB238" s="51"/>
      <c r="YC238" s="51"/>
      <c r="YD238" s="51"/>
      <c r="YE238" s="51"/>
      <c r="YF238" s="51"/>
      <c r="YG238" s="51"/>
      <c r="YH238" s="51"/>
      <c r="YI238" s="51"/>
      <c r="YJ238" s="51"/>
      <c r="YK238" s="51"/>
      <c r="YL238" s="51"/>
      <c r="YM238" s="51"/>
      <c r="YN238" s="51"/>
      <c r="YO238" s="51"/>
      <c r="YP238" s="51"/>
      <c r="YQ238" s="51"/>
      <c r="YR238" s="51"/>
      <c r="YS238" s="51"/>
      <c r="YT238" s="51"/>
      <c r="YU238" s="51"/>
      <c r="YV238" s="51"/>
      <c r="YW238" s="51"/>
      <c r="YX238" s="51"/>
      <c r="YY238" s="51"/>
      <c r="YZ238" s="51"/>
      <c r="ZA238" s="51"/>
      <c r="ZB238" s="51"/>
      <c r="ZC238" s="51"/>
      <c r="ZD238" s="51"/>
      <c r="ZE238" s="51"/>
      <c r="ZF238" s="51"/>
      <c r="ZG238" s="51"/>
      <c r="ZH238" s="51"/>
      <c r="ZI238" s="51"/>
      <c r="ZJ238" s="51"/>
      <c r="ZK238" s="51"/>
      <c r="ZL238" s="51"/>
      <c r="ZM238" s="51"/>
      <c r="ZN238" s="51"/>
      <c r="ZO238" s="51"/>
      <c r="ZP238" s="51"/>
      <c r="ZQ238" s="51"/>
      <c r="ZR238" s="51"/>
      <c r="ZS238" s="51"/>
      <c r="ZT238" s="51"/>
      <c r="ZU238" s="51"/>
      <c r="ZV238" s="51"/>
      <c r="ZW238" s="51"/>
      <c r="ZX238" s="51"/>
      <c r="ZY238" s="50"/>
      <c r="ZZ238" s="50"/>
      <c r="AAA238" s="588"/>
      <c r="AAB238"/>
      <c r="AAC238"/>
      <c r="AAD238" s="112"/>
      <c r="AAE238" s="551">
        <f t="shared" si="894"/>
        <v>0</v>
      </c>
      <c r="AAF238" s="112"/>
      <c r="AAG238" s="78">
        <f>S.SubmitFeeToDAS</f>
        <v>41369</v>
      </c>
      <c r="AAH238" s="78">
        <f>S.SubmitFeeToDAS</f>
        <v>41369</v>
      </c>
      <c r="AAI238" s="77"/>
      <c r="AAJ238" s="77"/>
      <c r="AAK238" s="77"/>
      <c r="AAL238" s="89" t="str">
        <f>"Send "&amp;S.CodeName&amp;"DAS.EMAILS.pdf"</f>
        <v>Send DAS.EMAILS.pdf</v>
      </c>
      <c r="AAM238" s="112"/>
      <c r="AAO238" s="23"/>
      <c r="AAP238" s="23"/>
      <c r="AAQ238" s="23"/>
      <c r="AAR238" s="23"/>
      <c r="AAS238" s="23"/>
      <c r="AAT238" s="23"/>
      <c r="AAU238" s="44"/>
      <c r="AAV238" s="23"/>
      <c r="AAW238" s="23"/>
      <c r="AAX238" s="23"/>
      <c r="AAY238" s="23"/>
      <c r="AAZ238" s="23"/>
      <c r="ABA238" s="23"/>
      <c r="ABB238" s="23"/>
      <c r="ABC238" s="23"/>
      <c r="ABD238" s="23"/>
    </row>
    <row r="239" spans="1:732" ht="15" hidden="1" outlineLevel="1">
      <c r="A239" s="558"/>
      <c r="B239" s="233" t="s">
        <v>50</v>
      </c>
      <c r="C239" s="168"/>
      <c r="D239" s="278" t="s">
        <v>71</v>
      </c>
      <c r="E239" s="491">
        <f t="shared" si="901"/>
        <v>1</v>
      </c>
      <c r="F239" s="372">
        <f t="shared" ref="F239:F245" ca="1" si="902">NETWORKDAYS(TODAY(),H239)</f>
        <v>-84</v>
      </c>
      <c r="G239" s="369">
        <f>AAG239</f>
        <v>41379</v>
      </c>
      <c r="H239" s="370">
        <f t="shared" ref="G239:H248" si="903">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D239" s="112"/>
      <c r="AAE239" s="551">
        <f t="shared" si="894"/>
        <v>0</v>
      </c>
      <c r="AAF239" s="112"/>
      <c r="AAG239" s="78">
        <f>WORKDAY(G238+9,1,S.DDL_DEQClosed)</f>
        <v>41379</v>
      </c>
      <c r="AAH239" s="78">
        <f t="shared" ref="AAH239:AAH245" si="904">G239</f>
        <v>41379</v>
      </c>
      <c r="AAI239" s="77"/>
      <c r="AAJ239" s="77"/>
      <c r="AAK239" s="77"/>
      <c r="AAL239" s="80"/>
      <c r="AAM239" s="112"/>
      <c r="AAN239"/>
      <c r="AAT239" s="23"/>
      <c r="AAU239" s="44"/>
    </row>
    <row r="240" spans="1:732" s="23" customFormat="1" ht="15" hidden="1" outlineLevel="1">
      <c r="A240" s="558"/>
      <c r="B240" s="230" t="s">
        <v>168</v>
      </c>
      <c r="C240" s="168"/>
      <c r="D240" s="278" t="s">
        <v>187</v>
      </c>
      <c r="E240" s="491">
        <f>NETWORKDAYS(G240,H240,S.DDL_DEQClosed)</f>
        <v>1</v>
      </c>
      <c r="F240" s="372">
        <f t="shared" ref="F240" ca="1" si="905">NETWORKDAYS(TODAY(),H240)</f>
        <v>-84</v>
      </c>
      <c r="G240" s="497">
        <f>AAG240</f>
        <v>41379</v>
      </c>
      <c r="H240" s="496">
        <f t="shared" ref="H240" si="906">AAH240</f>
        <v>41379</v>
      </c>
      <c r="I240" s="627"/>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8"/>
      <c r="AAB240"/>
      <c r="AAC240"/>
      <c r="AAD240" s="112"/>
      <c r="AAE240" s="551">
        <f t="shared" si="894"/>
        <v>0</v>
      </c>
      <c r="AAF240" s="112"/>
      <c r="AAG240" s="78">
        <f>H239</f>
        <v>41379</v>
      </c>
      <c r="AAH240" s="78">
        <f t="shared" ref="AAH240" si="907">G240</f>
        <v>41379</v>
      </c>
      <c r="AAI240" s="77"/>
      <c r="AAJ240" s="77"/>
      <c r="AAK240" s="77"/>
      <c r="AAL240" s="80"/>
      <c r="AAM240" s="112"/>
      <c r="AAU240" s="44"/>
      <c r="AAV240"/>
      <c r="AAW240"/>
      <c r="AAX240"/>
      <c r="AAY240"/>
      <c r="AAZ240"/>
      <c r="ABA240"/>
      <c r="ABB240"/>
      <c r="ABC240"/>
      <c r="ABD240"/>
    </row>
    <row r="241" spans="1:732" ht="18" hidden="1" customHeight="1" outlineLevel="1">
      <c r="A241" s="558"/>
      <c r="B241" s="766" t="s">
        <v>281</v>
      </c>
      <c r="C241" s="767"/>
      <c r="D241" s="153"/>
      <c r="E241" s="352"/>
      <c r="F241" s="352"/>
      <c r="G241" s="351"/>
      <c r="H241" s="351"/>
      <c r="I241" s="588"/>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618"/>
      <c r="ZZ241" s="36"/>
      <c r="AAA241" s="588"/>
      <c r="AAD241" s="112"/>
      <c r="AAE241" s="551">
        <f t="shared" si="894"/>
        <v>0</v>
      </c>
      <c r="AAF241" s="583" t="s">
        <v>174</v>
      </c>
      <c r="AAG241" s="76"/>
      <c r="AAH241" s="76"/>
      <c r="AAI241" s="77"/>
      <c r="AAJ241" s="77"/>
      <c r="AAK241" s="77"/>
      <c r="AAL241" s="80"/>
      <c r="AAM241" s="112"/>
      <c r="AAN241"/>
      <c r="AAT241" s="23"/>
      <c r="AAU241" s="44"/>
    </row>
    <row r="242" spans="1:732" ht="24" hidden="1" outlineLevel="1">
      <c r="A242" s="558"/>
      <c r="B242" s="259" t="s">
        <v>90</v>
      </c>
      <c r="C242" s="239"/>
      <c r="D242" s="260" t="s">
        <v>377</v>
      </c>
      <c r="E242" s="491">
        <f>NETWORKDAYS(G242,H242,S.DDL_DEQClosed)</f>
        <v>1</v>
      </c>
      <c r="F242" s="372">
        <f t="shared" ca="1" si="902"/>
        <v>-84</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H240</f>
        <v>41379</v>
      </c>
      <c r="AAH242" s="78">
        <f t="shared" si="904"/>
        <v>41379</v>
      </c>
      <c r="AAI242" s="77"/>
      <c r="AAJ242" s="77"/>
      <c r="AAK242" s="77"/>
      <c r="AAL242" s="80"/>
      <c r="AAM242" s="112"/>
      <c r="AAN242"/>
      <c r="AAT242" s="23"/>
      <c r="AAU242" s="44"/>
    </row>
    <row r="243" spans="1:732" ht="24" hidden="1" outlineLevel="1">
      <c r="A243" s="558"/>
      <c r="B243" s="261" t="s">
        <v>91</v>
      </c>
      <c r="C243" s="239"/>
      <c r="D243" s="260" t="s">
        <v>377</v>
      </c>
      <c r="E243" s="491">
        <f>NETWORKDAYS(G243,H243,S.DDL_DEQClosed)</f>
        <v>1</v>
      </c>
      <c r="F243" s="372">
        <f t="shared" ca="1" si="902"/>
        <v>-84</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ref="AAG243:AAG245" si="908">H242</f>
        <v>41379</v>
      </c>
      <c r="AAH243" s="78">
        <f t="shared" si="904"/>
        <v>41379</v>
      </c>
      <c r="AAI243" s="77"/>
      <c r="AAJ243" s="77"/>
      <c r="AAK243" s="77"/>
      <c r="AAL243" s="80"/>
      <c r="AAM243" s="112"/>
      <c r="AAN243"/>
      <c r="AAT243" s="23"/>
      <c r="AAU243" s="44"/>
    </row>
    <row r="244" spans="1:732" ht="24" hidden="1" outlineLevel="1">
      <c r="A244" s="558"/>
      <c r="B244" s="262" t="s">
        <v>92</v>
      </c>
      <c r="C244" s="239"/>
      <c r="D244" s="260" t="s">
        <v>377</v>
      </c>
      <c r="E244" s="491">
        <f>NETWORKDAYS(G244,H244,S.DDL_DEQClosed)</f>
        <v>1</v>
      </c>
      <c r="F244" s="372">
        <f t="shared" ca="1" si="902"/>
        <v>-84</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c r="AAV244" s="23"/>
      <c r="AAW244" s="23"/>
      <c r="AAX244" s="23"/>
      <c r="AAY244" s="23"/>
      <c r="AAZ244" s="23"/>
      <c r="ABA244" s="23"/>
      <c r="ABB244" s="23"/>
      <c r="ABC244" s="23"/>
      <c r="ABD244" s="23"/>
    </row>
    <row r="245" spans="1:732" ht="24" hidden="1" outlineLevel="1">
      <c r="A245" s="558"/>
      <c r="B245" s="267" t="s">
        <v>93</v>
      </c>
      <c r="C245" s="239"/>
      <c r="D245" s="260" t="s">
        <v>377</v>
      </c>
      <c r="E245" s="491">
        <f>NETWORKDAYS(G245,H245,S.DDL_DEQClosed)</f>
        <v>1</v>
      </c>
      <c r="F245" s="372">
        <f t="shared" ca="1" si="902"/>
        <v>-84</v>
      </c>
      <c r="G245" s="369">
        <f t="shared" si="903"/>
        <v>41379</v>
      </c>
      <c r="H245" s="369">
        <f t="shared" si="903"/>
        <v>41379</v>
      </c>
      <c r="I245" s="627"/>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50"/>
      <c r="ZZ245" s="50"/>
      <c r="AAA245" s="588"/>
      <c r="AAD245" s="112"/>
      <c r="AAE245" s="551">
        <f t="shared" si="894"/>
        <v>0</v>
      </c>
      <c r="AAF245" s="112"/>
      <c r="AAG245" s="78">
        <f t="shared" si="908"/>
        <v>41379</v>
      </c>
      <c r="AAH245" s="78">
        <f t="shared" si="904"/>
        <v>41379</v>
      </c>
      <c r="AAI245" s="77"/>
      <c r="AAJ245" s="77"/>
      <c r="AAK245" s="77"/>
      <c r="AAL245" s="80"/>
      <c r="AAM245" s="112"/>
      <c r="AAN245"/>
      <c r="AAT245" s="23"/>
      <c r="AAU245" s="44"/>
    </row>
    <row r="246" spans="1:732" s="23" customFormat="1" ht="87" hidden="1" customHeight="1" outlineLevel="1">
      <c r="A246" s="558"/>
      <c r="B246" s="765" t="s">
        <v>342</v>
      </c>
      <c r="C246" s="765"/>
      <c r="D246" s="765"/>
      <c r="E246" s="765"/>
      <c r="F246" s="765"/>
      <c r="G246" s="765"/>
      <c r="H246" s="765"/>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B246"/>
      <c r="AAC246"/>
      <c r="AAD246" s="112"/>
      <c r="AAE246" s="551">
        <f t="shared" si="894"/>
        <v>0</v>
      </c>
      <c r="AAF246" s="583" t="s">
        <v>174</v>
      </c>
      <c r="AAG246" s="63"/>
      <c r="AAH246" s="63"/>
      <c r="AAI246" s="77"/>
      <c r="AAJ246" s="77"/>
      <c r="AAK246" s="77"/>
      <c r="AAL246" s="80"/>
      <c r="AAM246" s="112"/>
      <c r="AAU246" s="44"/>
      <c r="AAV246"/>
      <c r="AAW246"/>
      <c r="AAX246"/>
      <c r="AAY246"/>
      <c r="AAZ246"/>
      <c r="ABA246"/>
      <c r="ABB246"/>
      <c r="ABC246"/>
      <c r="ABD246"/>
    </row>
    <row r="247" spans="1:732" ht="15" hidden="1" outlineLevel="1">
      <c r="A247" s="558"/>
      <c r="B247" s="264" t="s">
        <v>21</v>
      </c>
      <c r="C247" s="264"/>
      <c r="D247" s="175"/>
      <c r="E247" s="176"/>
      <c r="F247" s="176"/>
      <c r="G247" s="161"/>
      <c r="H247" s="161"/>
      <c r="I247" s="588"/>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8"/>
      <c r="ZZ247" s="36"/>
      <c r="AAA247" s="588"/>
      <c r="AAD247" s="112"/>
      <c r="AAE247" s="551">
        <f t="shared" si="894"/>
        <v>0</v>
      </c>
      <c r="AAF247" s="583" t="s">
        <v>174</v>
      </c>
      <c r="AAG247" s="76"/>
      <c r="AAH247" s="76"/>
      <c r="AAI247" s="77"/>
      <c r="AAJ247" s="77"/>
      <c r="AAK247" s="77"/>
      <c r="AAL247" s="80"/>
      <c r="AAM247" s="112"/>
      <c r="AAN247"/>
      <c r="AAT247" s="23"/>
      <c r="AAU247" s="44"/>
    </row>
    <row r="248" spans="1:732" ht="18" hidden="1" customHeight="1" outlineLevel="1">
      <c r="A248" s="558"/>
      <c r="B248" s="766" t="s">
        <v>309</v>
      </c>
      <c r="C248" s="767"/>
      <c r="D248" s="278" t="s">
        <v>157</v>
      </c>
      <c r="E248" s="491">
        <f>NETWORKDAYS(G248,H248,S.DDL_DEQClosed)</f>
        <v>1</v>
      </c>
      <c r="F248" s="372">
        <f ca="1">NETWORKDAYS(TODAY(),H248)</f>
        <v>-84</v>
      </c>
      <c r="G248" s="370">
        <f>AAG248</f>
        <v>41379</v>
      </c>
      <c r="H248" s="496">
        <f t="shared" si="903"/>
        <v>41379</v>
      </c>
      <c r="I248" s="627"/>
      <c r="J248" s="59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50"/>
      <c r="ZZ248" s="50"/>
      <c r="AAA248" s="588"/>
      <c r="AAD248" s="112"/>
      <c r="AAE248" s="551">
        <f t="shared" si="894"/>
        <v>0</v>
      </c>
      <c r="AAF248" s="112"/>
      <c r="AAG248" s="78">
        <f>H245</f>
        <v>41379</v>
      </c>
      <c r="AAH248" s="78">
        <f>G248</f>
        <v>41379</v>
      </c>
      <c r="AAI248" s="77"/>
      <c r="AAJ248" s="77"/>
      <c r="AAK248" s="77"/>
      <c r="AAL248" s="80"/>
      <c r="AAM248" s="112"/>
      <c r="AAN248"/>
      <c r="AAT248" s="23"/>
      <c r="AAU248" s="44"/>
    </row>
    <row r="249" spans="1:732" ht="6" customHeight="1" collapsed="1">
      <c r="A249" s="558"/>
      <c r="B249" s="268"/>
      <c r="C249" s="269"/>
      <c r="D249" s="195"/>
      <c r="E249" s="146"/>
      <c r="F249" s="146"/>
      <c r="G249" s="270"/>
      <c r="H249" s="271"/>
      <c r="I249" s="588"/>
      <c r="J249" s="633"/>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c r="IW249" s="50"/>
      <c r="IX249" s="50"/>
      <c r="IY249" s="50"/>
      <c r="IZ249" s="50"/>
      <c r="JA249" s="50"/>
      <c r="JB249" s="50"/>
      <c r="JC249" s="50"/>
      <c r="JD249" s="50"/>
      <c r="JE249" s="50"/>
      <c r="JF249" s="50"/>
      <c r="JG249" s="50"/>
      <c r="JH249" s="50"/>
      <c r="JI249" s="50"/>
      <c r="JJ249" s="50"/>
      <c r="JK249" s="50"/>
      <c r="JL249" s="50"/>
      <c r="JM249" s="50"/>
      <c r="JN249" s="50"/>
      <c r="JO249" s="50"/>
      <c r="JP249" s="50"/>
      <c r="JQ249" s="50"/>
      <c r="JR249" s="50"/>
      <c r="JS249" s="50"/>
      <c r="JT249" s="50"/>
      <c r="JU249" s="50"/>
      <c r="JV249" s="50"/>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c r="OO249" s="50"/>
      <c r="OP249" s="50"/>
      <c r="OQ249" s="50"/>
      <c r="OR249" s="50"/>
      <c r="OS249" s="50"/>
      <c r="OT249" s="50"/>
      <c r="OU249" s="50"/>
      <c r="OV249" s="50"/>
      <c r="OW249" s="50"/>
      <c r="OX249" s="50"/>
      <c r="OY249" s="50"/>
      <c r="OZ249" s="50"/>
      <c r="PA249" s="50"/>
      <c r="PB249" s="50"/>
      <c r="PC249" s="50"/>
      <c r="PD249" s="50"/>
      <c r="PE249" s="50"/>
      <c r="PF249" s="50"/>
      <c r="PG249" s="50"/>
      <c r="PH249" s="50"/>
      <c r="PI249" s="50"/>
      <c r="PJ249" s="50"/>
      <c r="PK249" s="50"/>
      <c r="PL249" s="50"/>
      <c r="PM249" s="50"/>
      <c r="PN249" s="50"/>
      <c r="PO249" s="50"/>
      <c r="PP249" s="50"/>
      <c r="PQ249" s="50"/>
      <c r="PR249" s="50"/>
      <c r="PS249" s="50"/>
      <c r="PT249" s="50"/>
      <c r="PU249" s="50"/>
      <c r="PV249" s="50"/>
      <c r="PW249" s="50"/>
      <c r="PX249" s="50"/>
      <c r="PY249" s="50"/>
      <c r="PZ249" s="50"/>
      <c r="QA249" s="50"/>
      <c r="QB249" s="50"/>
      <c r="QC249" s="50"/>
      <c r="QD249" s="50"/>
      <c r="QE249" s="50"/>
      <c r="QF249" s="50"/>
      <c r="QG249" s="50"/>
      <c r="QH249" s="50"/>
      <c r="QI249" s="50"/>
      <c r="QJ249" s="50"/>
      <c r="QK249" s="50"/>
      <c r="QL249" s="50"/>
      <c r="QM249" s="50"/>
      <c r="QN249" s="50"/>
      <c r="QO249" s="50"/>
      <c r="QP249" s="50"/>
      <c r="QQ249" s="50"/>
      <c r="QR249" s="50"/>
      <c r="QS249" s="50"/>
      <c r="QT249" s="50"/>
      <c r="QU249" s="50"/>
      <c r="QV249" s="50"/>
      <c r="QW249" s="50"/>
      <c r="QX249" s="50"/>
      <c r="QY249" s="50"/>
      <c r="QZ249" s="50"/>
      <c r="RA249" s="50"/>
      <c r="RB249" s="50"/>
      <c r="RC249" s="50"/>
      <c r="RD249" s="50"/>
      <c r="RE249" s="50"/>
      <c r="RF249" s="50"/>
      <c r="RG249" s="50"/>
      <c r="RH249" s="50"/>
      <c r="RI249" s="50"/>
      <c r="RJ249" s="50"/>
      <c r="RK249" s="50"/>
      <c r="RL249" s="50"/>
      <c r="RM249" s="50"/>
      <c r="RN249" s="50"/>
      <c r="RO249" s="50"/>
      <c r="RP249" s="50"/>
      <c r="RQ249" s="50"/>
      <c r="RR249" s="50"/>
      <c r="RS249" s="50"/>
      <c r="RT249" s="50"/>
      <c r="RU249" s="50"/>
      <c r="RV249" s="50"/>
      <c r="RW249" s="50"/>
      <c r="RX249" s="50"/>
      <c r="RY249" s="50"/>
      <c r="RZ249" s="50"/>
      <c r="SA249" s="50"/>
      <c r="SB249" s="50"/>
      <c r="SC249" s="50"/>
      <c r="SD249" s="50"/>
      <c r="SE249" s="50"/>
      <c r="SF249" s="50"/>
      <c r="SG249" s="50"/>
      <c r="SH249" s="50"/>
      <c r="SI249" s="50"/>
      <c r="SJ249" s="50"/>
      <c r="SK249" s="50"/>
      <c r="SL249" s="50"/>
      <c r="SM249" s="50"/>
      <c r="SN249" s="50"/>
      <c r="SO249" s="50"/>
      <c r="SP249" s="50"/>
      <c r="SQ249" s="50"/>
      <c r="SR249" s="50"/>
      <c r="SS249" s="50"/>
      <c r="ST249" s="50"/>
      <c r="SU249" s="50"/>
      <c r="SV249" s="50"/>
      <c r="SW249" s="50"/>
      <c r="SX249" s="50"/>
      <c r="SY249" s="50"/>
      <c r="SZ249" s="50"/>
      <c r="TA249" s="50"/>
      <c r="TB249" s="50"/>
      <c r="TC249" s="50"/>
      <c r="TD249" s="50"/>
      <c r="TE249" s="50"/>
      <c r="TF249" s="50"/>
      <c r="TG249" s="50"/>
      <c r="TH249" s="50"/>
      <c r="TI249" s="50"/>
      <c r="TJ249" s="50"/>
      <c r="TK249" s="50"/>
      <c r="TL249" s="50"/>
      <c r="TM249" s="50"/>
      <c r="TN249" s="50"/>
      <c r="TO249" s="50"/>
      <c r="TP249" s="50"/>
      <c r="TQ249" s="50"/>
      <c r="TR249" s="50"/>
      <c r="TS249" s="50"/>
      <c r="TT249" s="50"/>
      <c r="TU249" s="50"/>
      <c r="TV249" s="50"/>
      <c r="TW249" s="50"/>
      <c r="TX249" s="50"/>
      <c r="TY249" s="50"/>
      <c r="TZ249" s="50"/>
      <c r="UA249" s="50"/>
      <c r="UB249" s="50"/>
      <c r="UC249" s="50"/>
      <c r="UD249" s="50"/>
      <c r="UE249" s="50"/>
      <c r="UF249" s="50"/>
      <c r="UG249" s="50"/>
      <c r="UH249" s="50"/>
      <c r="UI249" s="50"/>
      <c r="UJ249" s="50"/>
      <c r="UK249" s="50"/>
      <c r="UL249" s="50"/>
      <c r="UM249" s="50"/>
      <c r="UN249" s="50"/>
      <c r="UO249" s="50"/>
      <c r="UP249" s="50"/>
      <c r="UQ249" s="50"/>
      <c r="UR249" s="50"/>
      <c r="US249" s="50"/>
      <c r="UT249" s="50"/>
      <c r="UU249" s="50"/>
      <c r="UV249" s="50"/>
      <c r="UW249" s="50"/>
      <c r="UX249" s="50"/>
      <c r="UY249" s="50"/>
      <c r="UZ249" s="50"/>
      <c r="VA249" s="50"/>
      <c r="VB249" s="50"/>
      <c r="VC249" s="50"/>
      <c r="VD249" s="50"/>
      <c r="VE249" s="50"/>
      <c r="VF249" s="50"/>
      <c r="VG249" s="50"/>
      <c r="VH249" s="50"/>
      <c r="VI249" s="50"/>
      <c r="VJ249" s="50"/>
      <c r="VK249" s="50"/>
      <c r="VL249" s="50"/>
      <c r="VM249" s="50"/>
      <c r="VN249" s="50"/>
      <c r="VO249" s="50"/>
      <c r="VP249" s="50"/>
      <c r="VQ249" s="50"/>
      <c r="VR249" s="50"/>
      <c r="VS249" s="50"/>
      <c r="VT249" s="50"/>
      <c r="VU249" s="50"/>
      <c r="VV249" s="50"/>
      <c r="VW249" s="50"/>
      <c r="VX249" s="50"/>
      <c r="VY249" s="50"/>
      <c r="VZ249" s="50"/>
      <c r="WA249" s="50"/>
      <c r="WB249" s="50"/>
      <c r="WC249" s="50"/>
      <c r="WD249" s="50"/>
      <c r="WE249" s="50"/>
      <c r="WF249" s="50"/>
      <c r="WG249" s="50"/>
      <c r="WH249" s="50"/>
      <c r="WI249" s="50"/>
      <c r="WJ249" s="50"/>
      <c r="WK249" s="50"/>
      <c r="WL249" s="50"/>
      <c r="WM249" s="50"/>
      <c r="WN249" s="50"/>
      <c r="WO249" s="50"/>
      <c r="WP249" s="50"/>
      <c r="WQ249" s="50"/>
      <c r="WR249" s="50"/>
      <c r="WS249" s="50"/>
      <c r="WT249" s="50"/>
      <c r="WU249" s="50"/>
      <c r="WV249" s="50"/>
      <c r="WW249" s="50"/>
      <c r="WX249" s="50"/>
      <c r="WY249" s="50"/>
      <c r="WZ249" s="50"/>
      <c r="XA249" s="50"/>
      <c r="XB249" s="50"/>
      <c r="XC249" s="50"/>
      <c r="XD249" s="50"/>
      <c r="XE249" s="50"/>
      <c r="XF249" s="50"/>
      <c r="XG249" s="50"/>
      <c r="XH249" s="50"/>
      <c r="XI249" s="50"/>
      <c r="XJ249" s="50"/>
      <c r="XK249" s="50"/>
      <c r="XL249" s="50"/>
      <c r="XM249" s="50"/>
      <c r="XN249" s="50"/>
      <c r="XO249" s="50"/>
      <c r="XP249" s="50"/>
      <c r="XQ249" s="50"/>
      <c r="XR249" s="50"/>
      <c r="XS249" s="50"/>
      <c r="XT249" s="50"/>
      <c r="XU249" s="50"/>
      <c r="XV249" s="50"/>
      <c r="XW249" s="50"/>
      <c r="XX249" s="50"/>
      <c r="XY249" s="50"/>
      <c r="XZ249" s="50"/>
      <c r="YA249" s="50"/>
      <c r="YB249" s="50"/>
      <c r="YC249" s="50"/>
      <c r="YD249" s="50"/>
      <c r="YE249" s="50"/>
      <c r="YF249" s="50"/>
      <c r="YG249" s="50"/>
      <c r="YH249" s="50"/>
      <c r="YI249" s="50"/>
      <c r="YJ249" s="50"/>
      <c r="YK249" s="50"/>
      <c r="YL249" s="50"/>
      <c r="YM249" s="50"/>
      <c r="YN249" s="50"/>
      <c r="YO249" s="50"/>
      <c r="YP249" s="50"/>
      <c r="YQ249" s="50"/>
      <c r="YR249" s="50"/>
      <c r="YS249" s="50"/>
      <c r="YT249" s="50"/>
      <c r="YU249" s="50"/>
      <c r="YV249" s="50"/>
      <c r="YW249" s="50"/>
      <c r="YX249" s="50"/>
      <c r="YY249" s="50"/>
      <c r="YZ249" s="50"/>
      <c r="ZA249" s="50"/>
      <c r="ZB249" s="50"/>
      <c r="ZC249" s="50"/>
      <c r="ZD249" s="50"/>
      <c r="ZE249" s="50"/>
      <c r="ZF249" s="50"/>
      <c r="ZG249" s="50"/>
      <c r="ZH249" s="50"/>
      <c r="ZI249" s="50"/>
      <c r="ZJ249" s="50"/>
      <c r="ZK249" s="50"/>
      <c r="ZL249" s="50"/>
      <c r="ZM249" s="50"/>
      <c r="ZN249" s="50"/>
      <c r="ZO249" s="50"/>
      <c r="ZP249" s="50"/>
      <c r="ZQ249" s="50"/>
      <c r="ZR249" s="50"/>
      <c r="ZS249" s="50"/>
      <c r="ZT249" s="50"/>
      <c r="ZU249" s="50"/>
      <c r="ZV249" s="50"/>
      <c r="ZW249" s="50"/>
      <c r="ZX249" s="50"/>
      <c r="ZY249" s="618"/>
      <c r="ZZ249" s="36"/>
      <c r="AAA249" s="588"/>
      <c r="AAD249" s="112"/>
      <c r="AAE249" s="551" t="s">
        <v>26</v>
      </c>
      <c r="AAF249" s="583" t="s">
        <v>174</v>
      </c>
      <c r="AAG249" s="63"/>
      <c r="AAH249" s="63"/>
      <c r="AAI249" s="77"/>
      <c r="AAJ249" s="77"/>
      <c r="AAK249" s="77"/>
      <c r="AAL249" s="80"/>
      <c r="AAM249" s="112"/>
      <c r="AAN249"/>
      <c r="AAT249" s="23"/>
      <c r="AAU249" s="44"/>
    </row>
    <row r="250" spans="1:732" s="23" customFormat="1" ht="18" customHeight="1">
      <c r="A250" s="558"/>
      <c r="B250" s="777" t="str">
        <f>AAL25</f>
        <v>4-Public Notice WITH hearing</v>
      </c>
      <c r="C250" s="777"/>
      <c r="D250" s="777"/>
      <c r="E250" s="777"/>
      <c r="F250" s="777"/>
      <c r="G250" s="777"/>
      <c r="H250" s="777"/>
      <c r="I250" s="588"/>
      <c r="J250" s="63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27</v>
      </c>
      <c r="AAF250" s="583" t="s">
        <v>174</v>
      </c>
      <c r="AAG250" s="112"/>
      <c r="AAH250" s="112"/>
      <c r="AAI250" s="77"/>
      <c r="AAJ250" s="90"/>
      <c r="AAK250" s="90"/>
      <c r="AAL250" s="76"/>
      <c r="AAM250" s="112"/>
      <c r="AAU250" s="44"/>
    </row>
    <row r="251" spans="1:732" s="23" customFormat="1" ht="18" customHeight="1">
      <c r="A251" s="558"/>
      <c r="B251" s="272" t="s">
        <v>15</v>
      </c>
      <c r="C251" s="703"/>
      <c r="D251" s="150" t="s">
        <v>241</v>
      </c>
      <c r="E251" s="151" t="s">
        <v>15</v>
      </c>
      <c r="F251" s="235" t="s">
        <v>2</v>
      </c>
      <c r="G251" s="152" t="s">
        <v>85</v>
      </c>
      <c r="H251" s="152" t="s">
        <v>86</v>
      </c>
      <c r="I251" s="627"/>
      <c r="J251" s="593"/>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619"/>
      <c r="ZZ251" s="119"/>
      <c r="AAA251" s="588"/>
      <c r="AAB251"/>
      <c r="AAC251"/>
      <c r="AAD251" s="112"/>
      <c r="AAE251" s="551" t="s">
        <v>245</v>
      </c>
      <c r="AAF251" s="583" t="s">
        <v>174</v>
      </c>
      <c r="AAG251" s="112"/>
      <c r="AAH251" s="112"/>
      <c r="AAI251" s="77"/>
      <c r="AAJ251" s="90"/>
      <c r="AAK251" s="90"/>
      <c r="AAL251" s="76"/>
      <c r="AAM251" s="112"/>
      <c r="AAU251" s="44"/>
    </row>
    <row r="252" spans="1:732" ht="18" customHeight="1">
      <c r="A252" s="558"/>
      <c r="B252" s="273"/>
      <c r="C252" s="704"/>
      <c r="D252" s="236"/>
      <c r="E252" s="236"/>
      <c r="F252" s="405">
        <f>NETWORKDAYS(S.BANNER.NoticeStart,S.BANNER.NoticeEnd,S.DDL_DEQClosed)</f>
        <v>155</v>
      </c>
      <c r="G252" s="253">
        <f>AAG252</f>
        <v>41369</v>
      </c>
      <c r="H252" s="663">
        <f>AAH252</f>
        <v>41593</v>
      </c>
      <c r="I252" s="627"/>
      <c r="J252" s="629"/>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c r="CF252" s="635"/>
      <c r="CG252" s="635"/>
      <c r="CH252" s="635"/>
      <c r="CI252" s="635"/>
      <c r="CJ252" s="635"/>
      <c r="CK252" s="635"/>
      <c r="CL252" s="635"/>
      <c r="CM252" s="635"/>
      <c r="CN252" s="635"/>
      <c r="CO252" s="635"/>
      <c r="CP252" s="635"/>
      <c r="CQ252" s="635"/>
      <c r="CR252" s="635"/>
      <c r="CS252" s="635"/>
      <c r="CT252" s="635"/>
      <c r="CU252" s="635"/>
      <c r="CV252" s="635"/>
      <c r="CW252" s="635"/>
      <c r="CX252" s="635"/>
      <c r="CY252" s="635"/>
      <c r="CZ252" s="635"/>
      <c r="DA252" s="635"/>
      <c r="DB252" s="635"/>
      <c r="DC252" s="635"/>
      <c r="DD252" s="635"/>
      <c r="DE252" s="635"/>
      <c r="DF252" s="635"/>
      <c r="DG252" s="635"/>
      <c r="DH252" s="635"/>
      <c r="DI252" s="635"/>
      <c r="DJ252" s="635"/>
      <c r="DK252" s="635"/>
      <c r="DL252" s="635"/>
      <c r="DM252" s="635"/>
      <c r="DN252" s="635"/>
      <c r="DO252" s="635"/>
      <c r="DP252" s="635"/>
      <c r="DQ252" s="635"/>
      <c r="DR252" s="635"/>
      <c r="DS252" s="635"/>
      <c r="DT252" s="635"/>
      <c r="DU252" s="635"/>
      <c r="DV252" s="635"/>
      <c r="DW252" s="635"/>
      <c r="DX252" s="635"/>
      <c r="DY252" s="635"/>
      <c r="DZ252" s="635"/>
      <c r="EA252" s="635"/>
      <c r="EB252" s="635"/>
      <c r="EC252" s="635"/>
      <c r="ED252" s="635"/>
      <c r="EE252" s="635"/>
      <c r="EF252" s="635"/>
      <c r="EG252" s="635"/>
      <c r="EH252" s="635"/>
      <c r="EI252" s="635"/>
      <c r="EJ252" s="635"/>
      <c r="EK252" s="635"/>
      <c r="EL252" s="635"/>
      <c r="EM252" s="635"/>
      <c r="EN252" s="635"/>
      <c r="EO252" s="635"/>
      <c r="EP252" s="635"/>
      <c r="EQ252" s="635"/>
      <c r="ER252" s="635"/>
      <c r="ES252" s="635"/>
      <c r="ET252" s="635"/>
      <c r="EU252" s="635"/>
      <c r="EV252" s="635"/>
      <c r="EW252" s="635"/>
      <c r="EX252" s="635"/>
      <c r="EY252" s="635"/>
      <c r="EZ252" s="635"/>
      <c r="FA252" s="635"/>
      <c r="FB252" s="635"/>
      <c r="FC252" s="635"/>
      <c r="FD252" s="635"/>
      <c r="FE252" s="635"/>
      <c r="FF252" s="635"/>
      <c r="FG252" s="635"/>
      <c r="FH252" s="635"/>
      <c r="FI252" s="635"/>
      <c r="FJ252" s="635"/>
      <c r="FK252" s="635"/>
      <c r="FL252" s="635"/>
      <c r="FM252" s="635"/>
      <c r="FN252" s="635"/>
      <c r="FO252" s="635"/>
      <c r="FP252" s="635"/>
      <c r="FQ252" s="635"/>
      <c r="FR252" s="635"/>
      <c r="FS252" s="635"/>
      <c r="FT252" s="635"/>
      <c r="FU252" s="635"/>
      <c r="FV252" s="635"/>
      <c r="FW252" s="635"/>
      <c r="FX252" s="635"/>
      <c r="FY252" s="635"/>
      <c r="FZ252" s="635"/>
      <c r="GA252" s="635"/>
      <c r="GB252" s="635"/>
      <c r="GC252" s="635"/>
      <c r="GD252" s="635"/>
      <c r="GE252" s="635"/>
      <c r="GF252" s="635"/>
      <c r="GG252" s="635"/>
      <c r="GH252" s="635"/>
      <c r="GI252" s="635"/>
      <c r="GJ252" s="635"/>
      <c r="GK252" s="635"/>
      <c r="GL252" s="635"/>
      <c r="GM252" s="635"/>
      <c r="GN252" s="635"/>
      <c r="GO252" s="635"/>
      <c r="GP252" s="635"/>
      <c r="GQ252" s="635"/>
      <c r="GR252" s="635"/>
      <c r="GS252" s="635"/>
      <c r="GT252" s="635"/>
      <c r="GU252" s="635"/>
      <c r="GV252" s="635"/>
      <c r="GW252" s="635"/>
      <c r="GX252" s="635"/>
      <c r="GY252" s="635"/>
      <c r="GZ252" s="635"/>
      <c r="HA252" s="635"/>
      <c r="HB252" s="635"/>
      <c r="HC252" s="635"/>
      <c r="HD252" s="635"/>
      <c r="HE252" s="635"/>
      <c r="HF252" s="635"/>
      <c r="HG252" s="635"/>
      <c r="HH252" s="635"/>
      <c r="HI252" s="635"/>
      <c r="HJ252" s="635"/>
      <c r="HK252" s="635"/>
      <c r="HL252" s="635"/>
      <c r="HM252" s="635"/>
      <c r="HN252" s="635"/>
      <c r="HO252" s="635"/>
      <c r="HP252" s="635"/>
      <c r="HQ252" s="635"/>
      <c r="HR252" s="635"/>
      <c r="HS252" s="635"/>
      <c r="HT252" s="635"/>
      <c r="HU252" s="635"/>
      <c r="HV252" s="635"/>
      <c r="HW252" s="635"/>
      <c r="HX252" s="635"/>
      <c r="HY252" s="635"/>
      <c r="HZ252" s="635"/>
      <c r="IA252" s="635"/>
      <c r="IB252" s="635"/>
      <c r="IC252" s="635"/>
      <c r="ID252" s="635"/>
      <c r="IE252" s="635"/>
      <c r="IF252" s="635"/>
      <c r="IG252" s="635"/>
      <c r="IH252" s="635"/>
      <c r="II252" s="635"/>
      <c r="IJ252" s="635"/>
      <c r="IK252" s="635"/>
      <c r="IL252" s="635"/>
      <c r="IM252" s="635"/>
      <c r="IN252" s="635"/>
      <c r="IO252" s="635"/>
      <c r="IP252" s="635"/>
      <c r="IQ252" s="635"/>
      <c r="IR252" s="635"/>
      <c r="IS252" s="635"/>
      <c r="IT252" s="635"/>
      <c r="IU252" s="635"/>
      <c r="IV252" s="635"/>
      <c r="IW252" s="635"/>
      <c r="IX252" s="635"/>
      <c r="IY252" s="635"/>
      <c r="IZ252" s="635"/>
      <c r="JA252" s="635"/>
      <c r="JB252" s="635"/>
      <c r="JC252" s="635"/>
      <c r="JD252" s="635"/>
      <c r="JE252" s="635"/>
      <c r="JF252" s="635"/>
      <c r="JG252" s="635"/>
      <c r="JH252" s="635"/>
      <c r="JI252" s="635"/>
      <c r="JJ252" s="635"/>
      <c r="JK252" s="635"/>
      <c r="JL252" s="635"/>
      <c r="JM252" s="635"/>
      <c r="JN252" s="635"/>
      <c r="JO252" s="635"/>
      <c r="JP252" s="635"/>
      <c r="JQ252" s="635"/>
      <c r="JR252" s="635"/>
      <c r="JS252" s="635"/>
      <c r="JT252" s="635"/>
      <c r="JU252" s="635"/>
      <c r="JV252" s="635"/>
      <c r="JW252" s="635"/>
      <c r="JX252" s="635"/>
      <c r="JY252" s="635"/>
      <c r="JZ252" s="635"/>
      <c r="KA252" s="635"/>
      <c r="KB252" s="635"/>
      <c r="KC252" s="635"/>
      <c r="KD252" s="635"/>
      <c r="KE252" s="635"/>
      <c r="KF252" s="635"/>
      <c r="KG252" s="635"/>
      <c r="KH252" s="635"/>
      <c r="KI252" s="635"/>
      <c r="KJ252" s="635"/>
      <c r="KK252" s="635"/>
      <c r="KL252" s="635"/>
      <c r="KM252" s="635"/>
      <c r="KN252" s="635"/>
      <c r="KO252" s="635"/>
      <c r="KP252" s="635"/>
      <c r="KQ252" s="635"/>
      <c r="KR252" s="635"/>
      <c r="KS252" s="635"/>
      <c r="KT252" s="635"/>
      <c r="KU252" s="635"/>
      <c r="KV252" s="635"/>
      <c r="KW252" s="635"/>
      <c r="KX252" s="635"/>
      <c r="KY252" s="635"/>
      <c r="KZ252" s="635"/>
      <c r="LA252" s="635"/>
      <c r="LB252" s="635"/>
      <c r="LC252" s="635"/>
      <c r="LD252" s="635"/>
      <c r="LE252" s="635"/>
      <c r="LF252" s="635"/>
      <c r="LG252" s="635"/>
      <c r="LH252" s="635"/>
      <c r="LI252" s="635"/>
      <c r="LJ252" s="635"/>
      <c r="LK252" s="635"/>
      <c r="LL252" s="635"/>
      <c r="LM252" s="635"/>
      <c r="LN252" s="635"/>
      <c r="LO252" s="635"/>
      <c r="LP252" s="635"/>
      <c r="LQ252" s="635"/>
      <c r="LR252" s="635"/>
      <c r="LS252" s="635"/>
      <c r="LT252" s="635"/>
      <c r="LU252" s="635"/>
      <c r="LV252" s="635"/>
      <c r="LW252" s="635"/>
      <c r="LX252" s="635"/>
      <c r="LY252" s="635"/>
      <c r="LZ252" s="635"/>
      <c r="MA252" s="635"/>
      <c r="MB252" s="635"/>
      <c r="MC252" s="635"/>
      <c r="MD252" s="635"/>
      <c r="ME252" s="635"/>
      <c r="MF252" s="635"/>
      <c r="MG252" s="635"/>
      <c r="MH252" s="635"/>
      <c r="MI252" s="635"/>
      <c r="MJ252" s="635"/>
      <c r="MK252" s="635"/>
      <c r="ML252" s="635"/>
      <c r="MM252" s="635"/>
      <c r="MN252" s="635"/>
      <c r="MO252" s="635"/>
      <c r="MP252" s="635"/>
      <c r="MQ252" s="635"/>
      <c r="MR252" s="635"/>
      <c r="MS252" s="635"/>
      <c r="MT252" s="635"/>
      <c r="MU252" s="635"/>
      <c r="MV252" s="635"/>
      <c r="MW252" s="635"/>
      <c r="MX252" s="635"/>
      <c r="MY252" s="635"/>
      <c r="MZ252" s="635"/>
      <c r="NA252" s="635"/>
      <c r="NB252" s="635"/>
      <c r="NC252" s="635"/>
      <c r="ND252" s="635"/>
      <c r="NE252" s="635"/>
      <c r="NF252" s="635"/>
      <c r="NG252" s="635"/>
      <c r="NH252" s="635"/>
      <c r="NI252" s="635"/>
      <c r="NJ252" s="635"/>
      <c r="NK252" s="635"/>
      <c r="NL252" s="635"/>
      <c r="NM252" s="635"/>
      <c r="NN252" s="635"/>
      <c r="NO252" s="635"/>
      <c r="NP252" s="635"/>
      <c r="NQ252" s="635"/>
      <c r="NR252" s="635"/>
      <c r="NS252" s="635"/>
      <c r="NT252" s="635"/>
      <c r="NU252" s="635"/>
      <c r="NV252" s="635"/>
      <c r="NW252" s="635"/>
      <c r="NX252" s="635"/>
      <c r="NY252" s="635"/>
      <c r="NZ252" s="635"/>
      <c r="OA252" s="635"/>
      <c r="OB252" s="635"/>
      <c r="OC252" s="635"/>
      <c r="OD252" s="635"/>
      <c r="OE252" s="635"/>
      <c r="OF252" s="635"/>
      <c r="OG252" s="635"/>
      <c r="OH252" s="635"/>
      <c r="OI252" s="635"/>
      <c r="OJ252" s="635"/>
      <c r="OK252" s="635"/>
      <c r="OL252" s="635"/>
      <c r="OM252" s="635"/>
      <c r="ON252" s="635"/>
      <c r="OO252" s="635"/>
      <c r="OP252" s="635"/>
      <c r="OQ252" s="635"/>
      <c r="OR252" s="635"/>
      <c r="OS252" s="635"/>
      <c r="OT252" s="635"/>
      <c r="OU252" s="635"/>
      <c r="OV252" s="635"/>
      <c r="OW252" s="635"/>
      <c r="OX252" s="635"/>
      <c r="OY252" s="635"/>
      <c r="OZ252" s="635"/>
      <c r="PA252" s="635"/>
      <c r="PB252" s="635"/>
      <c r="PC252" s="635"/>
      <c r="PD252" s="635"/>
      <c r="PE252" s="635"/>
      <c r="PF252" s="635"/>
      <c r="PG252" s="635"/>
      <c r="PH252" s="635"/>
      <c r="PI252" s="635"/>
      <c r="PJ252" s="635"/>
      <c r="PK252" s="635"/>
      <c r="PL252" s="635"/>
      <c r="PM252" s="635"/>
      <c r="PN252" s="635"/>
      <c r="PO252" s="635"/>
      <c r="PP252" s="635"/>
      <c r="PQ252" s="635"/>
      <c r="PR252" s="635"/>
      <c r="PS252" s="635"/>
      <c r="PT252" s="635"/>
      <c r="PU252" s="635"/>
      <c r="PV252" s="635"/>
      <c r="PW252" s="635"/>
      <c r="PX252" s="635"/>
      <c r="PY252" s="635"/>
      <c r="PZ252" s="635"/>
      <c r="QA252" s="635"/>
      <c r="QB252" s="635"/>
      <c r="QC252" s="635"/>
      <c r="QD252" s="635"/>
      <c r="QE252" s="635"/>
      <c r="QF252" s="635"/>
      <c r="QG252" s="635"/>
      <c r="QH252" s="635"/>
      <c r="QI252" s="635"/>
      <c r="QJ252" s="635"/>
      <c r="QK252" s="635"/>
      <c r="QL252" s="635"/>
      <c r="QM252" s="635"/>
      <c r="QN252" s="635"/>
      <c r="QO252" s="635"/>
      <c r="QP252" s="635"/>
      <c r="QQ252" s="635"/>
      <c r="QR252" s="635"/>
      <c r="QS252" s="635"/>
      <c r="QT252" s="635"/>
      <c r="QU252" s="635"/>
      <c r="QV252" s="635"/>
      <c r="QW252" s="635"/>
      <c r="QX252" s="635"/>
      <c r="QY252" s="635"/>
      <c r="QZ252" s="635"/>
      <c r="RA252" s="635"/>
      <c r="RB252" s="635"/>
      <c r="RC252" s="635"/>
      <c r="RD252" s="635"/>
      <c r="RE252" s="635"/>
      <c r="RF252" s="635"/>
      <c r="RG252" s="635"/>
      <c r="RH252" s="635"/>
      <c r="RI252" s="635"/>
      <c r="RJ252" s="635"/>
      <c r="RK252" s="635"/>
      <c r="RL252" s="635"/>
      <c r="RM252" s="635"/>
      <c r="RN252" s="635"/>
      <c r="RO252" s="635"/>
      <c r="RP252" s="635"/>
      <c r="RQ252" s="635"/>
      <c r="RR252" s="635"/>
      <c r="RS252" s="635"/>
      <c r="RT252" s="635"/>
      <c r="RU252" s="635"/>
      <c r="RV252" s="635"/>
      <c r="RW252" s="635"/>
      <c r="RX252" s="635"/>
      <c r="RY252" s="635"/>
      <c r="RZ252" s="635"/>
      <c r="SA252" s="635"/>
      <c r="SB252" s="635"/>
      <c r="SC252" s="635"/>
      <c r="SD252" s="635"/>
      <c r="SE252" s="635"/>
      <c r="SF252" s="635"/>
      <c r="SG252" s="635"/>
      <c r="SH252" s="635"/>
      <c r="SI252" s="635"/>
      <c r="SJ252" s="635"/>
      <c r="SK252" s="635"/>
      <c r="SL252" s="635"/>
      <c r="SM252" s="635"/>
      <c r="SN252" s="635"/>
      <c r="SO252" s="635"/>
      <c r="SP252" s="635"/>
      <c r="SQ252" s="635"/>
      <c r="SR252" s="635"/>
      <c r="SS252" s="635"/>
      <c r="ST252" s="635"/>
      <c r="SU252" s="635"/>
      <c r="SV252" s="635"/>
      <c r="SW252" s="635"/>
      <c r="SX252" s="635"/>
      <c r="SY252" s="635"/>
      <c r="SZ252" s="635"/>
      <c r="TA252" s="635"/>
      <c r="TB252" s="635"/>
      <c r="TC252" s="635"/>
      <c r="TD252" s="635"/>
      <c r="TE252" s="635"/>
      <c r="TF252" s="635"/>
      <c r="TG252" s="635"/>
      <c r="TH252" s="635"/>
      <c r="TI252" s="635"/>
      <c r="TJ252" s="635"/>
      <c r="TK252" s="635"/>
      <c r="TL252" s="635"/>
      <c r="TM252" s="635"/>
      <c r="TN252" s="635"/>
      <c r="TO252" s="635"/>
      <c r="TP252" s="635"/>
      <c r="TQ252" s="635"/>
      <c r="TR252" s="635"/>
      <c r="TS252" s="635"/>
      <c r="TT252" s="635"/>
      <c r="TU252" s="635"/>
      <c r="TV252" s="635"/>
      <c r="TW252" s="635"/>
      <c r="TX252" s="635"/>
      <c r="TY252" s="635"/>
      <c r="TZ252" s="635"/>
      <c r="UA252" s="635"/>
      <c r="UB252" s="635"/>
      <c r="UC252" s="635"/>
      <c r="UD252" s="635"/>
      <c r="UE252" s="635"/>
      <c r="UF252" s="635"/>
      <c r="UG252" s="635"/>
      <c r="UH252" s="635"/>
      <c r="UI252" s="635"/>
      <c r="UJ252" s="635"/>
      <c r="UK252" s="635"/>
      <c r="UL252" s="635"/>
      <c r="UM252" s="635"/>
      <c r="UN252" s="635"/>
      <c r="UO252" s="635"/>
      <c r="UP252" s="635"/>
      <c r="UQ252" s="635"/>
      <c r="UR252" s="635"/>
      <c r="US252" s="635"/>
      <c r="UT252" s="635"/>
      <c r="UU252" s="635"/>
      <c r="UV252" s="635"/>
      <c r="UW252" s="635"/>
      <c r="UX252" s="635"/>
      <c r="UY252" s="635"/>
      <c r="UZ252" s="635"/>
      <c r="VA252" s="635"/>
      <c r="VB252" s="635"/>
      <c r="VC252" s="635"/>
      <c r="VD252" s="635"/>
      <c r="VE252" s="635"/>
      <c r="VF252" s="635"/>
      <c r="VG252" s="635"/>
      <c r="VH252" s="635"/>
      <c r="VI252" s="635"/>
      <c r="VJ252" s="635"/>
      <c r="VK252" s="635"/>
      <c r="VL252" s="635"/>
      <c r="VM252" s="635"/>
      <c r="VN252" s="635"/>
      <c r="VO252" s="635"/>
      <c r="VP252" s="635"/>
      <c r="VQ252" s="635"/>
      <c r="VR252" s="635"/>
      <c r="VS252" s="635"/>
      <c r="VT252" s="635"/>
      <c r="VU252" s="635"/>
      <c r="VV252" s="635"/>
      <c r="VW252" s="635"/>
      <c r="VX252" s="635"/>
      <c r="VY252" s="635"/>
      <c r="VZ252" s="635"/>
      <c r="WA252" s="635"/>
      <c r="WB252" s="635"/>
      <c r="WC252" s="635"/>
      <c r="WD252" s="635"/>
      <c r="WE252" s="635"/>
      <c r="WF252" s="635"/>
      <c r="WG252" s="635"/>
      <c r="WH252" s="635"/>
      <c r="WI252" s="635"/>
      <c r="WJ252" s="635"/>
      <c r="WK252" s="635"/>
      <c r="WL252" s="635"/>
      <c r="WM252" s="635"/>
      <c r="WN252" s="635"/>
      <c r="WO252" s="635"/>
      <c r="WP252" s="635"/>
      <c r="WQ252" s="635"/>
      <c r="WR252" s="635"/>
      <c r="WS252" s="635"/>
      <c r="WT252" s="635"/>
      <c r="WU252" s="635"/>
      <c r="WV252" s="635"/>
      <c r="WW252" s="635"/>
      <c r="WX252" s="635"/>
      <c r="WY252" s="635"/>
      <c r="WZ252" s="635"/>
      <c r="XA252" s="635"/>
      <c r="XB252" s="635"/>
      <c r="XC252" s="635"/>
      <c r="XD252" s="635"/>
      <c r="XE252" s="635"/>
      <c r="XF252" s="635"/>
      <c r="XG252" s="635"/>
      <c r="XH252" s="635"/>
      <c r="XI252" s="635"/>
      <c r="XJ252" s="635"/>
      <c r="XK252" s="635"/>
      <c r="XL252" s="635"/>
      <c r="XM252" s="635"/>
      <c r="XN252" s="635"/>
      <c r="XO252" s="635"/>
      <c r="XP252" s="635"/>
      <c r="XQ252" s="635"/>
      <c r="XR252" s="635"/>
      <c r="XS252" s="635"/>
      <c r="XT252" s="635"/>
      <c r="XU252" s="635"/>
      <c r="XV252" s="635"/>
      <c r="XW252" s="635"/>
      <c r="XX252" s="635"/>
      <c r="XY252" s="635"/>
      <c r="XZ252" s="635"/>
      <c r="YA252" s="635"/>
      <c r="YB252" s="635"/>
      <c r="YC252" s="635"/>
      <c r="YD252" s="635"/>
      <c r="YE252" s="635"/>
      <c r="YF252" s="635"/>
      <c r="YG252" s="635"/>
      <c r="YH252" s="635"/>
      <c r="YI252" s="635"/>
      <c r="YJ252" s="635"/>
      <c r="YK252" s="635"/>
      <c r="YL252" s="635"/>
      <c r="YM252" s="635"/>
      <c r="YN252" s="635"/>
      <c r="YO252" s="635"/>
      <c r="YP252" s="635"/>
      <c r="YQ252" s="635"/>
      <c r="YR252" s="635"/>
      <c r="YS252" s="635"/>
      <c r="YT252" s="635"/>
      <c r="YU252" s="635"/>
      <c r="YV252" s="635"/>
      <c r="YW252" s="635"/>
      <c r="YX252" s="635"/>
      <c r="YY252" s="635"/>
      <c r="YZ252" s="635"/>
      <c r="ZA252" s="635"/>
      <c r="ZB252" s="635"/>
      <c r="ZC252" s="635"/>
      <c r="ZD252" s="635"/>
      <c r="ZE252" s="635"/>
      <c r="ZF252" s="635"/>
      <c r="ZG252" s="635"/>
      <c r="ZH252" s="635"/>
      <c r="ZI252" s="635"/>
      <c r="ZJ252" s="635"/>
      <c r="ZK252" s="635"/>
      <c r="ZL252" s="635"/>
      <c r="ZM252" s="635"/>
      <c r="ZN252" s="635"/>
      <c r="ZO252" s="635"/>
      <c r="ZP252" s="635"/>
      <c r="ZQ252" s="635"/>
      <c r="ZR252" s="635"/>
      <c r="ZS252" s="635"/>
      <c r="ZT252" s="635"/>
      <c r="ZU252" s="635"/>
      <c r="ZV252" s="635"/>
      <c r="ZW252" s="635"/>
      <c r="ZX252" s="635"/>
      <c r="ZY252" s="638"/>
      <c r="ZZ252" s="119"/>
      <c r="AAA252" s="588"/>
      <c r="AAD252" s="112"/>
      <c r="AAE252" s="551" t="s">
        <v>245</v>
      </c>
      <c r="AAF252" s="583" t="s">
        <v>174</v>
      </c>
      <c r="AAG252" s="78">
        <f>S.BANNER.PlanningStart</f>
        <v>41369</v>
      </c>
      <c r="AAH252" s="78">
        <f>S.CloseComment</f>
        <v>41593</v>
      </c>
      <c r="AAI252" s="77"/>
      <c r="AAJ252" s="77"/>
      <c r="AAK252" s="77"/>
      <c r="AAL252" s="79"/>
      <c r="AAM252" s="112"/>
      <c r="AAN252"/>
      <c r="AAT252" s="23"/>
      <c r="AAU252" s="44"/>
      <c r="AAV252" s="23"/>
      <c r="AAW252" s="23"/>
      <c r="AAX252" s="23"/>
      <c r="AAY252" s="23"/>
      <c r="AAZ252" s="23"/>
      <c r="ABA252" s="23"/>
      <c r="ABB252" s="23"/>
      <c r="ABC252" s="23"/>
      <c r="ABD252" s="23"/>
    </row>
    <row r="253" spans="1:732" ht="6" customHeight="1">
      <c r="A253" s="558">
        <v>111</v>
      </c>
      <c r="B253" s="275"/>
      <c r="C253" s="688"/>
      <c r="D253" s="180"/>
      <c r="E253" s="181"/>
      <c r="F253" s="181"/>
      <c r="G253" s="180"/>
      <c r="H253" s="180"/>
      <c r="I253" s="588"/>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588"/>
      <c r="AAD253" s="112"/>
      <c r="AAE253" s="551" t="s">
        <v>20</v>
      </c>
      <c r="AAF253" s="583" t="s">
        <v>174</v>
      </c>
      <c r="AAG253" s="63"/>
      <c r="AAH253" s="63"/>
      <c r="AAI253" s="63"/>
      <c r="AAJ253" s="57"/>
      <c r="AAK253" s="57"/>
      <c r="AAL253" s="57"/>
      <c r="AAM253" s="112"/>
      <c r="AAN253"/>
      <c r="AAT253" s="23"/>
      <c r="AAU253" s="44"/>
      <c r="AAV253" s="23"/>
      <c r="AAW253" s="23"/>
      <c r="AAX253" s="23"/>
      <c r="AAY253" s="23"/>
      <c r="AAZ253" s="23"/>
      <c r="ABA253" s="23"/>
      <c r="ABB253" s="23"/>
      <c r="ABC253" s="23"/>
      <c r="ABD253" s="23"/>
    </row>
    <row r="254" spans="1:732" s="23" customFormat="1" ht="23.25" customHeight="1">
      <c r="A254" s="558"/>
      <c r="B254" s="276" t="str">
        <f>AAL254</f>
        <v>Enter hearing dates</v>
      </c>
      <c r="C254" s="713"/>
      <c r="D254" s="122"/>
      <c r="E254" s="122"/>
      <c r="F254" s="122"/>
      <c r="G254" s="122"/>
      <c r="H254" s="122"/>
      <c r="I254" s="588"/>
      <c r="J254" s="637"/>
      <c r="K254" s="636"/>
      <c r="L254" s="636"/>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636"/>
      <c r="DT254" s="636"/>
      <c r="DU254" s="636"/>
      <c r="DV254" s="636"/>
      <c r="DW254" s="636"/>
      <c r="DX254" s="636"/>
      <c r="DY254" s="636"/>
      <c r="DZ254" s="636"/>
      <c r="EA254" s="636"/>
      <c r="EB254" s="636"/>
      <c r="EC254" s="636"/>
      <c r="ED254" s="636"/>
      <c r="EE254" s="636"/>
      <c r="EF254" s="636"/>
      <c r="EG254" s="636"/>
      <c r="EH254" s="636"/>
      <c r="EI254" s="636"/>
      <c r="EJ254" s="636"/>
      <c r="EK254" s="636"/>
      <c r="EL254" s="636"/>
      <c r="EM254" s="636"/>
      <c r="EN254" s="636"/>
      <c r="EO254" s="636"/>
      <c r="EP254" s="636"/>
      <c r="EQ254" s="636"/>
      <c r="ER254" s="636"/>
      <c r="ES254" s="636"/>
      <c r="ET254" s="636"/>
      <c r="EU254" s="636"/>
      <c r="EV254" s="636"/>
      <c r="EW254" s="636"/>
      <c r="EX254" s="636"/>
      <c r="EY254" s="636"/>
      <c r="EZ254" s="636"/>
      <c r="FA254" s="636"/>
      <c r="FB254" s="636"/>
      <c r="FC254" s="636"/>
      <c r="FD254" s="636"/>
      <c r="FE254" s="636"/>
      <c r="FF254" s="636"/>
      <c r="FG254" s="636"/>
      <c r="FH254" s="636"/>
      <c r="FI254" s="636"/>
      <c r="FJ254" s="636"/>
      <c r="FK254" s="636"/>
      <c r="FL254" s="636"/>
      <c r="FM254" s="636"/>
      <c r="FN254" s="636"/>
      <c r="FO254" s="636"/>
      <c r="FP254" s="636"/>
      <c r="FQ254" s="636"/>
      <c r="FR254" s="636"/>
      <c r="FS254" s="636"/>
      <c r="FT254" s="636"/>
      <c r="FU254" s="636"/>
      <c r="FV254" s="636"/>
      <c r="FW254" s="636"/>
      <c r="FX254" s="636"/>
      <c r="FY254" s="636"/>
      <c r="FZ254" s="636"/>
      <c r="GA254" s="636"/>
      <c r="GB254" s="636"/>
      <c r="GC254" s="636"/>
      <c r="GD254" s="636"/>
      <c r="GE254" s="636"/>
      <c r="GF254" s="636"/>
      <c r="GG254" s="636"/>
      <c r="GH254" s="636"/>
      <c r="GI254" s="636"/>
      <c r="GJ254" s="636"/>
      <c r="GK254" s="636"/>
      <c r="GL254" s="636"/>
      <c r="GM254" s="636"/>
      <c r="GN254" s="636"/>
      <c r="GO254" s="636"/>
      <c r="GP254" s="636"/>
      <c r="GQ254" s="636"/>
      <c r="GR254" s="636"/>
      <c r="GS254" s="636"/>
      <c r="GT254" s="636"/>
      <c r="GU254" s="636"/>
      <c r="GV254" s="636"/>
      <c r="GW254" s="636"/>
      <c r="GX254" s="636"/>
      <c r="GY254" s="636"/>
      <c r="GZ254" s="636"/>
      <c r="HA254" s="636"/>
      <c r="HB254" s="636"/>
      <c r="HC254" s="636"/>
      <c r="HD254" s="636"/>
      <c r="HE254" s="636"/>
      <c r="HF254" s="636"/>
      <c r="HG254" s="636"/>
      <c r="HH254" s="636"/>
      <c r="HI254" s="636"/>
      <c r="HJ254" s="636"/>
      <c r="HK254" s="636"/>
      <c r="HL254" s="636"/>
      <c r="HM254" s="636"/>
      <c r="HN254" s="636"/>
      <c r="HO254" s="636"/>
      <c r="HP254" s="636"/>
      <c r="HQ254" s="636"/>
      <c r="HR254" s="636"/>
      <c r="HS254" s="636"/>
      <c r="HT254" s="636"/>
      <c r="HU254" s="636"/>
      <c r="HV254" s="636"/>
      <c r="HW254" s="636"/>
      <c r="HX254" s="636"/>
      <c r="HY254" s="636"/>
      <c r="HZ254" s="636"/>
      <c r="IA254" s="636"/>
      <c r="IB254" s="636"/>
      <c r="IC254" s="636"/>
      <c r="ID254" s="636"/>
      <c r="IE254" s="636"/>
      <c r="IF254" s="636"/>
      <c r="IG254" s="636"/>
      <c r="IH254" s="636"/>
      <c r="II254" s="636"/>
      <c r="IJ254" s="636"/>
      <c r="IK254" s="636"/>
      <c r="IL254" s="636"/>
      <c r="IM254" s="636"/>
      <c r="IN254" s="636"/>
      <c r="IO254" s="636"/>
      <c r="IP254" s="636"/>
      <c r="IQ254" s="636"/>
      <c r="IR254" s="636"/>
      <c r="IS254" s="636"/>
      <c r="IT254" s="636"/>
      <c r="IU254" s="636"/>
      <c r="IV254" s="636"/>
      <c r="IW254" s="636"/>
      <c r="IX254" s="636"/>
      <c r="IY254" s="636"/>
      <c r="IZ254" s="636"/>
      <c r="JA254" s="636"/>
      <c r="JB254" s="636"/>
      <c r="JC254" s="636"/>
      <c r="JD254" s="636"/>
      <c r="JE254" s="636"/>
      <c r="JF254" s="636"/>
      <c r="JG254" s="636"/>
      <c r="JH254" s="636"/>
      <c r="JI254" s="636"/>
      <c r="JJ254" s="636"/>
      <c r="JK254" s="636"/>
      <c r="JL254" s="636"/>
      <c r="JM254" s="636"/>
      <c r="JN254" s="636"/>
      <c r="JO254" s="636"/>
      <c r="JP254" s="636"/>
      <c r="JQ254" s="636"/>
      <c r="JR254" s="636"/>
      <c r="JS254" s="636"/>
      <c r="JT254" s="636"/>
      <c r="JU254" s="636"/>
      <c r="JV254" s="636"/>
      <c r="JW254" s="636"/>
      <c r="JX254" s="636"/>
      <c r="JY254" s="636"/>
      <c r="JZ254" s="636"/>
      <c r="KA254" s="636"/>
      <c r="KB254" s="636"/>
      <c r="KC254" s="636"/>
      <c r="KD254" s="636"/>
      <c r="KE254" s="636"/>
      <c r="KF254" s="636"/>
      <c r="KG254" s="636"/>
      <c r="KH254" s="636"/>
      <c r="KI254" s="636"/>
      <c r="KJ254" s="636"/>
      <c r="KK254" s="636"/>
      <c r="KL254" s="636"/>
      <c r="KM254" s="636"/>
      <c r="KN254" s="636"/>
      <c r="KO254" s="636"/>
      <c r="KP254" s="636"/>
      <c r="KQ254" s="636"/>
      <c r="KR254" s="636"/>
      <c r="KS254" s="636"/>
      <c r="KT254" s="636"/>
      <c r="KU254" s="636"/>
      <c r="KV254" s="636"/>
      <c r="KW254" s="636"/>
      <c r="KX254" s="636"/>
      <c r="KY254" s="636"/>
      <c r="KZ254" s="636"/>
      <c r="LA254" s="636"/>
      <c r="LB254" s="636"/>
      <c r="LC254" s="636"/>
      <c r="LD254" s="636"/>
      <c r="LE254" s="636"/>
      <c r="LF254" s="636"/>
      <c r="LG254" s="636"/>
      <c r="LH254" s="636"/>
      <c r="LI254" s="636"/>
      <c r="LJ254" s="636"/>
      <c r="LK254" s="636"/>
      <c r="LL254" s="636"/>
      <c r="LM254" s="636"/>
      <c r="LN254" s="636"/>
      <c r="LO254" s="636"/>
      <c r="LP254" s="636"/>
      <c r="LQ254" s="636"/>
      <c r="LR254" s="636"/>
      <c r="LS254" s="636"/>
      <c r="LT254" s="636"/>
      <c r="LU254" s="636"/>
      <c r="LV254" s="636"/>
      <c r="LW254" s="636"/>
      <c r="LX254" s="636"/>
      <c r="LY254" s="636"/>
      <c r="LZ254" s="636"/>
      <c r="MA254" s="636"/>
      <c r="MB254" s="636"/>
      <c r="MC254" s="636"/>
      <c r="MD254" s="636"/>
      <c r="ME254" s="636"/>
      <c r="MF254" s="636"/>
      <c r="MG254" s="636"/>
      <c r="MH254" s="636"/>
      <c r="MI254" s="636"/>
      <c r="MJ254" s="636"/>
      <c r="MK254" s="636"/>
      <c r="ML254" s="636"/>
      <c r="MM254" s="636"/>
      <c r="MN254" s="636"/>
      <c r="MO254" s="636"/>
      <c r="MP254" s="636"/>
      <c r="MQ254" s="636"/>
      <c r="MR254" s="636"/>
      <c r="MS254" s="636"/>
      <c r="MT254" s="636"/>
      <c r="MU254" s="636"/>
      <c r="MV254" s="636"/>
      <c r="MW254" s="636"/>
      <c r="MX254" s="636"/>
      <c r="MY254" s="636"/>
      <c r="MZ254" s="636"/>
      <c r="NA254" s="636"/>
      <c r="NB254" s="636"/>
      <c r="NC254" s="636"/>
      <c r="ND254" s="636"/>
      <c r="NE254" s="636"/>
      <c r="NF254" s="636"/>
      <c r="NG254" s="636"/>
      <c r="NH254" s="636"/>
      <c r="NI254" s="636"/>
      <c r="NJ254" s="636"/>
      <c r="NK254" s="636"/>
      <c r="NL254" s="636"/>
      <c r="NM254" s="636"/>
      <c r="NN254" s="636"/>
      <c r="NO254" s="636"/>
      <c r="NP254" s="636"/>
      <c r="NQ254" s="636"/>
      <c r="NR254" s="636"/>
      <c r="NS254" s="636"/>
      <c r="NT254" s="636"/>
      <c r="NU254" s="636"/>
      <c r="NV254" s="636"/>
      <c r="NW254" s="636"/>
      <c r="NX254" s="636"/>
      <c r="NY254" s="636"/>
      <c r="NZ254" s="636"/>
      <c r="OA254" s="636"/>
      <c r="OB254" s="636"/>
      <c r="OC254" s="636"/>
      <c r="OD254" s="636"/>
      <c r="OE254" s="636"/>
      <c r="OF254" s="636"/>
      <c r="OG254" s="636"/>
      <c r="OH254" s="636"/>
      <c r="OI254" s="636"/>
      <c r="OJ254" s="636"/>
      <c r="OK254" s="636"/>
      <c r="OL254" s="636"/>
      <c r="OM254" s="636"/>
      <c r="ON254" s="636"/>
      <c r="OO254" s="636"/>
      <c r="OP254" s="636"/>
      <c r="OQ254" s="636"/>
      <c r="OR254" s="636"/>
      <c r="OS254" s="636"/>
      <c r="OT254" s="636"/>
      <c r="OU254" s="636"/>
      <c r="OV254" s="636"/>
      <c r="OW254" s="636"/>
      <c r="OX254" s="636"/>
      <c r="OY254" s="636"/>
      <c r="OZ254" s="636"/>
      <c r="PA254" s="636"/>
      <c r="PB254" s="636"/>
      <c r="PC254" s="636"/>
      <c r="PD254" s="636"/>
      <c r="PE254" s="636"/>
      <c r="PF254" s="636"/>
      <c r="PG254" s="636"/>
      <c r="PH254" s="636"/>
      <c r="PI254" s="636"/>
      <c r="PJ254" s="636"/>
      <c r="PK254" s="636"/>
      <c r="PL254" s="636"/>
      <c r="PM254" s="636"/>
      <c r="PN254" s="636"/>
      <c r="PO254" s="636"/>
      <c r="PP254" s="636"/>
      <c r="PQ254" s="636"/>
      <c r="PR254" s="636"/>
      <c r="PS254" s="636"/>
      <c r="PT254" s="636"/>
      <c r="PU254" s="636"/>
      <c r="PV254" s="636"/>
      <c r="PW254" s="636"/>
      <c r="PX254" s="636"/>
      <c r="PY254" s="636"/>
      <c r="PZ254" s="636"/>
      <c r="QA254" s="636"/>
      <c r="QB254" s="636"/>
      <c r="QC254" s="636"/>
      <c r="QD254" s="636"/>
      <c r="QE254" s="636"/>
      <c r="QF254" s="636"/>
      <c r="QG254" s="636"/>
      <c r="QH254" s="636"/>
      <c r="QI254" s="636"/>
      <c r="QJ254" s="636"/>
      <c r="QK254" s="636"/>
      <c r="QL254" s="636"/>
      <c r="QM254" s="636"/>
      <c r="QN254" s="636"/>
      <c r="QO254" s="636"/>
      <c r="QP254" s="636"/>
      <c r="QQ254" s="636"/>
      <c r="QR254" s="636"/>
      <c r="QS254" s="636"/>
      <c r="QT254" s="636"/>
      <c r="QU254" s="636"/>
      <c r="QV254" s="636"/>
      <c r="QW254" s="636"/>
      <c r="QX254" s="636"/>
      <c r="QY254" s="636"/>
      <c r="QZ254" s="636"/>
      <c r="RA254" s="636"/>
      <c r="RB254" s="636"/>
      <c r="RC254" s="636"/>
      <c r="RD254" s="636"/>
      <c r="RE254" s="636"/>
      <c r="RF254" s="636"/>
      <c r="RG254" s="636"/>
      <c r="RH254" s="636"/>
      <c r="RI254" s="636"/>
      <c r="RJ254" s="636"/>
      <c r="RK254" s="636"/>
      <c r="RL254" s="636"/>
      <c r="RM254" s="636"/>
      <c r="RN254" s="636"/>
      <c r="RO254" s="636"/>
      <c r="RP254" s="636"/>
      <c r="RQ254" s="636"/>
      <c r="RR254" s="636"/>
      <c r="RS254" s="636"/>
      <c r="RT254" s="636"/>
      <c r="RU254" s="636"/>
      <c r="RV254" s="636"/>
      <c r="RW254" s="636"/>
      <c r="RX254" s="636"/>
      <c r="RY254" s="636"/>
      <c r="RZ254" s="636"/>
      <c r="SA254" s="636"/>
      <c r="SB254" s="636"/>
      <c r="SC254" s="636"/>
      <c r="SD254" s="636"/>
      <c r="SE254" s="636"/>
      <c r="SF254" s="636"/>
      <c r="SG254" s="636"/>
      <c r="SH254" s="636"/>
      <c r="SI254" s="636"/>
      <c r="SJ254" s="636"/>
      <c r="SK254" s="636"/>
      <c r="SL254" s="636"/>
      <c r="SM254" s="636"/>
      <c r="SN254" s="636"/>
      <c r="SO254" s="636"/>
      <c r="SP254" s="636"/>
      <c r="SQ254" s="636"/>
      <c r="SR254" s="636"/>
      <c r="SS254" s="636"/>
      <c r="ST254" s="636"/>
      <c r="SU254" s="636"/>
      <c r="SV254" s="636"/>
      <c r="SW254" s="636"/>
      <c r="SX254" s="636"/>
      <c r="SY254" s="636"/>
      <c r="SZ254" s="636"/>
      <c r="TA254" s="636"/>
      <c r="TB254" s="636"/>
      <c r="TC254" s="636"/>
      <c r="TD254" s="636"/>
      <c r="TE254" s="636"/>
      <c r="TF254" s="636"/>
      <c r="TG254" s="636"/>
      <c r="TH254" s="636"/>
      <c r="TI254" s="636"/>
      <c r="TJ254" s="636"/>
      <c r="TK254" s="636"/>
      <c r="TL254" s="636"/>
      <c r="TM254" s="636"/>
      <c r="TN254" s="636"/>
      <c r="TO254" s="636"/>
      <c r="TP254" s="636"/>
      <c r="TQ254" s="636"/>
      <c r="TR254" s="636"/>
      <c r="TS254" s="636"/>
      <c r="TT254" s="636"/>
      <c r="TU254" s="636"/>
      <c r="TV254" s="636"/>
      <c r="TW254" s="636"/>
      <c r="TX254" s="636"/>
      <c r="TY254" s="636"/>
      <c r="TZ254" s="636"/>
      <c r="UA254" s="636"/>
      <c r="UB254" s="636"/>
      <c r="UC254" s="636"/>
      <c r="UD254" s="636"/>
      <c r="UE254" s="636"/>
      <c r="UF254" s="636"/>
      <c r="UG254" s="636"/>
      <c r="UH254" s="636"/>
      <c r="UI254" s="636"/>
      <c r="UJ254" s="636"/>
      <c r="UK254" s="636"/>
      <c r="UL254" s="636"/>
      <c r="UM254" s="636"/>
      <c r="UN254" s="636"/>
      <c r="UO254" s="636"/>
      <c r="UP254" s="636"/>
      <c r="UQ254" s="636"/>
      <c r="UR254" s="636"/>
      <c r="US254" s="636"/>
      <c r="UT254" s="636"/>
      <c r="UU254" s="636"/>
      <c r="UV254" s="636"/>
      <c r="UW254" s="636"/>
      <c r="UX254" s="636"/>
      <c r="UY254" s="636"/>
      <c r="UZ254" s="636"/>
      <c r="VA254" s="636"/>
      <c r="VB254" s="636"/>
      <c r="VC254" s="636"/>
      <c r="VD254" s="636"/>
      <c r="VE254" s="636"/>
      <c r="VF254" s="636"/>
      <c r="VG254" s="636"/>
      <c r="VH254" s="636"/>
      <c r="VI254" s="636"/>
      <c r="VJ254" s="636"/>
      <c r="VK254" s="636"/>
      <c r="VL254" s="636"/>
      <c r="VM254" s="636"/>
      <c r="VN254" s="636"/>
      <c r="VO254" s="636"/>
      <c r="VP254" s="636"/>
      <c r="VQ254" s="636"/>
      <c r="VR254" s="636"/>
      <c r="VS254" s="636"/>
      <c r="VT254" s="636"/>
      <c r="VU254" s="636"/>
      <c r="VV254" s="636"/>
      <c r="VW254" s="636"/>
      <c r="VX254" s="636"/>
      <c r="VY254" s="636"/>
      <c r="VZ254" s="636"/>
      <c r="WA254" s="636"/>
      <c r="WB254" s="636"/>
      <c r="WC254" s="636"/>
      <c r="WD254" s="636"/>
      <c r="WE254" s="636"/>
      <c r="WF254" s="636"/>
      <c r="WG254" s="636"/>
      <c r="WH254" s="636"/>
      <c r="WI254" s="636"/>
      <c r="WJ254" s="636"/>
      <c r="WK254" s="636"/>
      <c r="WL254" s="636"/>
      <c r="WM254" s="636"/>
      <c r="WN254" s="636"/>
      <c r="WO254" s="636"/>
      <c r="WP254" s="636"/>
      <c r="WQ254" s="636"/>
      <c r="WR254" s="636"/>
      <c r="WS254" s="636"/>
      <c r="WT254" s="636"/>
      <c r="WU254" s="636"/>
      <c r="WV254" s="636"/>
      <c r="WW254" s="636"/>
      <c r="WX254" s="636"/>
      <c r="WY254" s="636"/>
      <c r="WZ254" s="636"/>
      <c r="XA254" s="636"/>
      <c r="XB254" s="636"/>
      <c r="XC254" s="636"/>
      <c r="XD254" s="636"/>
      <c r="XE254" s="636"/>
      <c r="XF254" s="636"/>
      <c r="XG254" s="636"/>
      <c r="XH254" s="636"/>
      <c r="XI254" s="636"/>
      <c r="XJ254" s="636"/>
      <c r="XK254" s="636"/>
      <c r="XL254" s="636"/>
      <c r="XM254" s="636"/>
      <c r="XN254" s="636"/>
      <c r="XO254" s="636"/>
      <c r="XP254" s="636"/>
      <c r="XQ254" s="636"/>
      <c r="XR254" s="636"/>
      <c r="XS254" s="636"/>
      <c r="XT254" s="636"/>
      <c r="XU254" s="636"/>
      <c r="XV254" s="636"/>
      <c r="XW254" s="636"/>
      <c r="XX254" s="636"/>
      <c r="XY254" s="636"/>
      <c r="XZ254" s="636"/>
      <c r="YA254" s="636"/>
      <c r="YB254" s="636"/>
      <c r="YC254" s="636"/>
      <c r="YD254" s="636"/>
      <c r="YE254" s="636"/>
      <c r="YF254" s="636"/>
      <c r="YG254" s="636"/>
      <c r="YH254" s="636"/>
      <c r="YI254" s="636"/>
      <c r="YJ254" s="636"/>
      <c r="YK254" s="636"/>
      <c r="YL254" s="636"/>
      <c r="YM254" s="636"/>
      <c r="YN254" s="636"/>
      <c r="YO254" s="636"/>
      <c r="YP254" s="636"/>
      <c r="YQ254" s="636"/>
      <c r="YR254" s="636"/>
      <c r="YS254" s="636"/>
      <c r="YT254" s="636"/>
      <c r="YU254" s="636"/>
      <c r="YV254" s="636"/>
      <c r="YW254" s="636"/>
      <c r="YX254" s="636"/>
      <c r="YY254" s="636"/>
      <c r="YZ254" s="636"/>
      <c r="ZA254" s="636"/>
      <c r="ZB254" s="636"/>
      <c r="ZC254" s="636"/>
      <c r="ZD254" s="636"/>
      <c r="ZE254" s="636"/>
      <c r="ZF254" s="636"/>
      <c r="ZG254" s="636"/>
      <c r="ZH254" s="636"/>
      <c r="ZI254" s="636"/>
      <c r="ZJ254" s="636"/>
      <c r="ZK254" s="636"/>
      <c r="ZL254" s="636"/>
      <c r="ZM254" s="636"/>
      <c r="ZN254" s="636"/>
      <c r="ZO254" s="636"/>
      <c r="ZP254" s="636"/>
      <c r="ZQ254" s="636"/>
      <c r="ZR254" s="636"/>
      <c r="ZS254" s="636"/>
      <c r="ZT254" s="636"/>
      <c r="ZU254" s="636"/>
      <c r="ZV254" s="636"/>
      <c r="ZW254" s="636"/>
      <c r="ZX254" s="636"/>
      <c r="ZY254" s="639"/>
      <c r="ZZ254" s="622"/>
      <c r="AAA254" s="588"/>
      <c r="AAB254"/>
      <c r="AAC254"/>
      <c r="AAD254" s="112"/>
      <c r="AAE254" s="551">
        <f t="shared" ref="AAE254:AAE263" si="909">IF(S.InvolveHearing=TRUE,1,0)</f>
        <v>1</v>
      </c>
      <c r="AAF254" s="583" t="s">
        <v>174</v>
      </c>
      <c r="AAG254" s="77"/>
      <c r="AAH254" s="77"/>
      <c r="AAI254" s="77"/>
      <c r="AAJ254" s="77"/>
      <c r="AAK254" s="77"/>
      <c r="AAL254" s="83" t="str">
        <f>IF(S.InvolveHearing=TRUE,"Enter hearing dates","No hearings planned")</f>
        <v>Enter hearing dates</v>
      </c>
      <c r="AAM254" s="112"/>
      <c r="AAU254" s="44"/>
    </row>
    <row r="255" spans="1:732" s="23" customFormat="1" ht="18" customHeight="1">
      <c r="A255" s="558"/>
      <c r="B255" s="428" t="s">
        <v>279</v>
      </c>
      <c r="C255" s="168"/>
      <c r="D255" s="764" t="s">
        <v>280</v>
      </c>
      <c r="E255" s="764"/>
      <c r="F255" s="764"/>
      <c r="G255" s="668">
        <f>AAG255</f>
        <v>41585</v>
      </c>
      <c r="H255" s="527" t="s">
        <v>274</v>
      </c>
      <c r="I255" s="627"/>
      <c r="J255" s="591"/>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617"/>
      <c r="ZZ255" s="50"/>
      <c r="AAA255" s="588"/>
      <c r="AAB255"/>
      <c r="AAC255"/>
      <c r="AAD255" s="112"/>
      <c r="AAE255" s="551">
        <f t="shared" si="909"/>
        <v>1</v>
      </c>
      <c r="AAF255" s="583" t="s">
        <v>174</v>
      </c>
      <c r="AAG255" s="78">
        <f>S.FirstHearingDate</f>
        <v>41585</v>
      </c>
      <c r="AAH255" s="39" t="s">
        <v>0</v>
      </c>
      <c r="AAI255" s="39"/>
      <c r="AAJ255" s="56"/>
      <c r="AAK255" s="56"/>
      <c r="AAL255" s="56"/>
      <c r="AAM255" s="112"/>
      <c r="AAU255" s="44"/>
    </row>
    <row r="256" spans="1:732" s="23" customFormat="1" ht="15" outlineLevel="1">
      <c r="A256" s="558"/>
      <c r="B256" s="488" t="s">
        <v>201</v>
      </c>
      <c r="C256" s="168"/>
      <c r="D256" s="764" t="s">
        <v>280</v>
      </c>
      <c r="E256" s="764"/>
      <c r="F256" s="764"/>
      <c r="G256" s="528">
        <f>AAG256</f>
        <v>41585</v>
      </c>
      <c r="H256" s="528" t="str">
        <f>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174</v>
      </c>
      <c r="AAG256" s="78">
        <f>G255</f>
        <v>41585</v>
      </c>
      <c r="AAH256" s="530" t="str">
        <f>H255</f>
        <v>5 p.m.</v>
      </c>
      <c r="AAI256" s="77"/>
      <c r="AAJ256" s="77"/>
      <c r="AAK256" s="77"/>
      <c r="AAL256" s="79"/>
      <c r="AAM256" s="112"/>
      <c r="AAU256" s="44"/>
    </row>
    <row r="257" spans="1:732" s="23" customFormat="1" ht="15" outlineLevel="1">
      <c r="A257" s="558"/>
      <c r="B257" s="488" t="s">
        <v>202</v>
      </c>
      <c r="C257" s="168"/>
      <c r="D257" s="764" t="s">
        <v>280</v>
      </c>
      <c r="E257" s="764"/>
      <c r="F257" s="764"/>
      <c r="G257" s="528">
        <f t="shared" ref="G257:G262" si="910">AAG257</f>
        <v>41585</v>
      </c>
      <c r="H257" s="528" t="str">
        <f t="shared" ref="H257:H261" si="911">AAH257</f>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174</v>
      </c>
      <c r="AAG257" s="78">
        <f>G255</f>
        <v>41585</v>
      </c>
      <c r="AAH257" s="530" t="str">
        <f>H255</f>
        <v>5 p.m.</v>
      </c>
      <c r="AAI257" s="77"/>
      <c r="AAJ257" s="57"/>
      <c r="AAK257" s="57"/>
      <c r="AAL257" s="80"/>
      <c r="AAM257" s="112"/>
      <c r="AAU257" s="44"/>
    </row>
    <row r="258" spans="1:732" s="23" customFormat="1" ht="15" outlineLevel="1">
      <c r="A258" s="558"/>
      <c r="B258" s="488" t="s">
        <v>203</v>
      </c>
      <c r="C258" s="168"/>
      <c r="D258" s="764" t="s">
        <v>280</v>
      </c>
      <c r="E258" s="764"/>
      <c r="F258" s="764"/>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174</v>
      </c>
      <c r="AAG258" s="78">
        <f>G255</f>
        <v>41585</v>
      </c>
      <c r="AAH258" s="530" t="str">
        <f>H255</f>
        <v>5 p.m.</v>
      </c>
      <c r="AAI258" s="77"/>
      <c r="AAJ258" s="57"/>
      <c r="AAK258" s="57"/>
      <c r="AAL258" s="80"/>
      <c r="AAM258" s="112"/>
      <c r="AAU258" s="44"/>
    </row>
    <row r="259" spans="1:732" s="23" customFormat="1" ht="15" outlineLevel="1">
      <c r="A259" s="558"/>
      <c r="B259" s="488" t="s">
        <v>204</v>
      </c>
      <c r="C259" s="168"/>
      <c r="D259" s="764" t="s">
        <v>280</v>
      </c>
      <c r="E259" s="764"/>
      <c r="F259" s="764"/>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174</v>
      </c>
      <c r="AAG259" s="78">
        <f>G255</f>
        <v>41585</v>
      </c>
      <c r="AAH259" s="530" t="str">
        <f>H255</f>
        <v>5 p.m.</v>
      </c>
      <c r="AAI259" s="77"/>
      <c r="AAJ259" s="57"/>
      <c r="AAK259" s="57"/>
      <c r="AAL259" s="80"/>
      <c r="AAM259" s="112"/>
      <c r="AAU259" s="44"/>
    </row>
    <row r="260" spans="1:732" s="23" customFormat="1" ht="15" outlineLevel="1">
      <c r="A260" s="558"/>
      <c r="B260" s="488" t="s">
        <v>205</v>
      </c>
      <c r="C260" s="168"/>
      <c r="D260" s="764" t="s">
        <v>280</v>
      </c>
      <c r="E260" s="764"/>
      <c r="F260" s="764"/>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174</v>
      </c>
      <c r="AAG260" s="78">
        <f>G255</f>
        <v>41585</v>
      </c>
      <c r="AAH260" s="530" t="str">
        <f>H255</f>
        <v>5 p.m.</v>
      </c>
      <c r="AAI260" s="77"/>
      <c r="AAJ260" s="57"/>
      <c r="AAK260" s="57"/>
      <c r="AAL260" s="80"/>
      <c r="AAM260" s="112"/>
      <c r="AAU260" s="44"/>
    </row>
    <row r="261" spans="1:732" s="23" customFormat="1" ht="15" outlineLevel="1">
      <c r="A261" s="558"/>
      <c r="B261" s="488" t="s">
        <v>206</v>
      </c>
      <c r="C261" s="168"/>
      <c r="D261" s="764" t="s">
        <v>280</v>
      </c>
      <c r="E261" s="764"/>
      <c r="F261" s="764"/>
      <c r="G261" s="528">
        <f t="shared" si="910"/>
        <v>41585</v>
      </c>
      <c r="H261" s="528" t="str">
        <f t="shared" si="911"/>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174</v>
      </c>
      <c r="AAG261" s="78">
        <f>G255</f>
        <v>41585</v>
      </c>
      <c r="AAH261" s="530" t="str">
        <f>H255</f>
        <v>5 p.m.</v>
      </c>
      <c r="AAI261" s="77"/>
      <c r="AAJ261" s="57"/>
      <c r="AAK261" s="57"/>
      <c r="AAL261" s="80"/>
      <c r="AAM261" s="112"/>
      <c r="AAU261" s="44"/>
    </row>
    <row r="262" spans="1:732" s="23" customFormat="1" ht="15">
      <c r="A262" s="558"/>
      <c r="B262" s="489" t="s">
        <v>207</v>
      </c>
      <c r="C262" s="168"/>
      <c r="D262" s="764" t="s">
        <v>280</v>
      </c>
      <c r="E262" s="764"/>
      <c r="F262" s="764"/>
      <c r="G262" s="528">
        <f t="shared" si="910"/>
        <v>41585</v>
      </c>
      <c r="H262" s="529" t="str">
        <f>H255</f>
        <v>5 p.m.</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583" t="s">
        <v>174</v>
      </c>
      <c r="AAG262" s="78">
        <f>G255</f>
        <v>41585</v>
      </c>
      <c r="AAH262" s="530" t="str">
        <f>H255</f>
        <v>5 p.m.</v>
      </c>
      <c r="AAI262" s="77"/>
      <c r="AAJ262" s="57"/>
      <c r="AAK262" s="57"/>
      <c r="AAL262" s="80"/>
      <c r="AAM262" s="112"/>
      <c r="AAU262" s="44"/>
      <c r="AAV262"/>
      <c r="AAW262"/>
      <c r="AAX262"/>
      <c r="AAY262"/>
      <c r="AAZ262"/>
      <c r="ABA262"/>
      <c r="ABB262"/>
      <c r="ABC262"/>
      <c r="ABD262"/>
    </row>
    <row r="263" spans="1:732" s="23" customFormat="1" ht="15" outlineLevel="1">
      <c r="A263" s="558"/>
      <c r="B263" s="410" t="s">
        <v>169</v>
      </c>
      <c r="C263" s="168"/>
      <c r="D263" s="277" t="s">
        <v>157</v>
      </c>
      <c r="E263" s="368">
        <f>NETWORKDAYS(G263,H263,S.DDL_DEQClosed)</f>
        <v>1</v>
      </c>
      <c r="F263" s="492">
        <f t="shared" ref="F263" ca="1" si="912">NETWORKDAYS(TODAY(),H263)</f>
        <v>-90</v>
      </c>
      <c r="G263" s="526">
        <f t="shared" ref="G263:H276" si="913">AAG263</f>
        <v>41369</v>
      </c>
      <c r="H263" s="526">
        <f t="shared" si="913"/>
        <v>41369</v>
      </c>
      <c r="I263" s="627"/>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50"/>
      <c r="AAA263" s="588"/>
      <c r="AAB263"/>
      <c r="AAC263"/>
      <c r="AAD263" s="112"/>
      <c r="AAE263" s="551">
        <f t="shared" si="909"/>
        <v>1</v>
      </c>
      <c r="AAF263" s="112"/>
      <c r="AAG263" s="78">
        <f t="shared" ref="AAG263" si="914">S.BANNER.NoticeStart</f>
        <v>41369</v>
      </c>
      <c r="AAH263" s="78">
        <f>G263</f>
        <v>41369</v>
      </c>
      <c r="AAI263" s="63"/>
      <c r="AAJ263" s="57"/>
      <c r="AAK263" s="57"/>
      <c r="AAL263" s="57"/>
      <c r="AAM263" s="112"/>
      <c r="AAU263" s="44"/>
      <c r="AAV263"/>
      <c r="AAW263"/>
      <c r="AAX263"/>
      <c r="AAY263"/>
      <c r="AAZ263"/>
      <c r="ABA263"/>
      <c r="ABB263"/>
      <c r="ABC263"/>
      <c r="ABD263"/>
    </row>
    <row r="264" spans="1:732" ht="15" outlineLevel="2">
      <c r="A264" s="558"/>
      <c r="B264" s="429" t="s">
        <v>166</v>
      </c>
      <c r="C264" s="714"/>
      <c r="D264" s="177" t="s">
        <v>0</v>
      </c>
      <c r="E264" s="345" t="s">
        <v>0</v>
      </c>
      <c r="F264" s="214" t="s">
        <v>0</v>
      </c>
      <c r="G264" s="502"/>
      <c r="H264" s="356"/>
      <c r="I264" s="588"/>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36"/>
      <c r="AAA264" s="588"/>
      <c r="AAD264" s="112"/>
      <c r="AAE264" s="551">
        <f t="shared" ref="AAE264:AAE282" si="915">IF(S.InvolveNotice=TRUE,1,0)</f>
        <v>1</v>
      </c>
      <c r="AAF264" s="583" t="s">
        <v>174</v>
      </c>
      <c r="AAG264" s="76" t="s">
        <v>0</v>
      </c>
      <c r="AAH264" s="76"/>
      <c r="AAI264" s="76"/>
      <c r="AAJ264" s="87"/>
      <c r="AAK264" s="87"/>
      <c r="AAL264" s="57"/>
      <c r="AAM264" s="112"/>
      <c r="AAN264"/>
      <c r="AAT264" s="23"/>
      <c r="AAU264" s="44"/>
    </row>
    <row r="265" spans="1:732" ht="15" outlineLevel="2">
      <c r="A265" s="558"/>
      <c r="B265" s="430" t="s">
        <v>338</v>
      </c>
      <c r="C265" s="490"/>
      <c r="D265" s="278" t="s">
        <v>361</v>
      </c>
      <c r="E265" s="368">
        <f t="shared" ref="E265:E270" si="916">NETWORKDAYS(G265,H265,S.DDL_DEQClosed)</f>
        <v>1</v>
      </c>
      <c r="F265" s="492">
        <f t="shared" ref="F265:F270" ca="1" si="917">NETWORKDAYS(TODAY(),H265)</f>
        <v>-90</v>
      </c>
      <c r="G265" s="526">
        <f t="shared" si="913"/>
        <v>41369</v>
      </c>
      <c r="H265" s="369">
        <f t="shared" ref="H265:H270" si="918">AAH265</f>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H263</f>
        <v>41369</v>
      </c>
      <c r="AAH265" s="78">
        <f>G265</f>
        <v>41369</v>
      </c>
      <c r="AAI265" s="63"/>
      <c r="AAJ265" s="57"/>
      <c r="AAK265" s="57"/>
      <c r="AAL265" s="57" t="s">
        <v>0</v>
      </c>
      <c r="AAM265" s="112"/>
      <c r="AAN265"/>
      <c r="AAT265" s="23"/>
      <c r="AAU265" s="44"/>
    </row>
    <row r="266" spans="1:732" ht="22.5" outlineLevel="2">
      <c r="A266" s="558"/>
      <c r="B266" s="430" t="s">
        <v>96</v>
      </c>
      <c r="C266" s="490"/>
      <c r="D266" s="278" t="s">
        <v>389</v>
      </c>
      <c r="E266" s="368">
        <f t="shared" si="916"/>
        <v>1</v>
      </c>
      <c r="F266" s="492">
        <f t="shared" ca="1" si="917"/>
        <v>-90</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H265</f>
        <v>41369</v>
      </c>
      <c r="AAH266" s="78">
        <f t="shared" ref="AAH266:AAH270" si="919">G266</f>
        <v>41369</v>
      </c>
      <c r="AAI266" s="63"/>
      <c r="AAJ266" s="57"/>
      <c r="AAK266" s="57"/>
      <c r="AAL266" s="57"/>
      <c r="AAM266" s="112"/>
      <c r="AAN266"/>
      <c r="AAT266" s="23"/>
      <c r="AAU266" s="44"/>
    </row>
    <row r="267" spans="1:732" ht="15" outlineLevel="2">
      <c r="A267" s="558"/>
      <c r="B267" s="431" t="s">
        <v>97</v>
      </c>
      <c r="C267" s="490"/>
      <c r="D267" s="279" t="s">
        <v>378</v>
      </c>
      <c r="E267" s="368">
        <f t="shared" si="916"/>
        <v>1</v>
      </c>
      <c r="F267" s="492">
        <f t="shared" ca="1" si="917"/>
        <v>-90</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ref="AAG267:AAG270" si="920">H266</f>
        <v>41369</v>
      </c>
      <c r="AAH267" s="78">
        <f t="shared" si="919"/>
        <v>41369</v>
      </c>
      <c r="AAI267" s="63"/>
      <c r="AAJ267" s="57"/>
      <c r="AAK267" s="57"/>
      <c r="AAL267" s="57"/>
      <c r="AAM267" s="112"/>
      <c r="AAN267"/>
      <c r="AAT267" s="23"/>
      <c r="AAU267" s="44"/>
    </row>
    <row r="268" spans="1:732" ht="15" outlineLevel="2">
      <c r="A268" s="558"/>
      <c r="B268" s="432" t="s">
        <v>98</v>
      </c>
      <c r="C268" s="490"/>
      <c r="D268" s="279" t="s">
        <v>378</v>
      </c>
      <c r="E268" s="368">
        <f t="shared" si="916"/>
        <v>1</v>
      </c>
      <c r="F268" s="492">
        <f t="shared" ca="1" si="917"/>
        <v>-90</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3" t="s">
        <v>99</v>
      </c>
      <c r="C269" s="490"/>
      <c r="D269" s="279" t="s">
        <v>378</v>
      </c>
      <c r="E269" s="368">
        <f t="shared" si="916"/>
        <v>1</v>
      </c>
      <c r="F269" s="492">
        <f t="shared" ca="1" si="917"/>
        <v>-90</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4" t="s">
        <v>100</v>
      </c>
      <c r="C270" s="490"/>
      <c r="D270" s="279" t="s">
        <v>378</v>
      </c>
      <c r="E270" s="368">
        <f t="shared" si="916"/>
        <v>1</v>
      </c>
      <c r="F270" s="492">
        <f t="shared" ca="1" si="917"/>
        <v>-90</v>
      </c>
      <c r="G270" s="526">
        <f t="shared" si="913"/>
        <v>41369</v>
      </c>
      <c r="H270" s="369">
        <f t="shared" si="918"/>
        <v>41369</v>
      </c>
      <c r="I270" s="627"/>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50"/>
      <c r="AAA270" s="588"/>
      <c r="AAD270" s="112"/>
      <c r="AAE270" s="551">
        <f t="shared" si="915"/>
        <v>1</v>
      </c>
      <c r="AAF270" s="112"/>
      <c r="AAG270" s="78">
        <f t="shared" si="920"/>
        <v>41369</v>
      </c>
      <c r="AAH270" s="78">
        <f t="shared" si="919"/>
        <v>41369</v>
      </c>
      <c r="AAI270" s="63"/>
      <c r="AAJ270" s="57"/>
      <c r="AAK270" s="57"/>
      <c r="AAL270" s="57"/>
      <c r="AAM270" s="112"/>
      <c r="AAN270"/>
      <c r="AAT270" s="23"/>
      <c r="AAU270" s="44"/>
    </row>
    <row r="271" spans="1:732" ht="15" outlineLevel="2">
      <c r="A271" s="558"/>
      <c r="B271" s="435" t="s">
        <v>165</v>
      </c>
      <c r="C271" s="714"/>
      <c r="D271" s="195"/>
      <c r="E271" s="345"/>
      <c r="F271" s="366"/>
      <c r="G271" s="452"/>
      <c r="H271" s="367"/>
      <c r="I271" s="588"/>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36"/>
      <c r="AAA271" s="588"/>
      <c r="AAD271" s="112"/>
      <c r="AAE271" s="551">
        <f t="shared" si="915"/>
        <v>1</v>
      </c>
      <c r="AAF271" s="583" t="s">
        <v>174</v>
      </c>
      <c r="AAG271" s="63"/>
      <c r="AAH271" s="63"/>
      <c r="AAI271" s="63"/>
      <c r="AAJ271" s="57"/>
      <c r="AAK271" s="57"/>
      <c r="AAL271" s="57"/>
      <c r="AAM271" s="112"/>
      <c r="AAN271"/>
      <c r="AAT271" s="23"/>
      <c r="AAU271" s="44"/>
    </row>
    <row r="272" spans="1:732" ht="15" outlineLevel="1">
      <c r="A272" s="558"/>
      <c r="B272" s="415" t="s">
        <v>270</v>
      </c>
      <c r="C272" s="168"/>
      <c r="D272" s="277" t="s">
        <v>151</v>
      </c>
      <c r="E272" s="368">
        <f>NETWORKDAYS(G272,H272,S.DDL_DEQClosed)</f>
        <v>91</v>
      </c>
      <c r="F272" s="492">
        <f t="shared" ref="F272:F289" ca="1" si="921">NETWORKDAYS(TODAY(),H272)</f>
        <v>6</v>
      </c>
      <c r="G272" s="369">
        <f t="shared" si="913"/>
        <v>41369</v>
      </c>
      <c r="H272" s="369">
        <f>AAH272</f>
        <v>41501</v>
      </c>
      <c r="I272" s="627"/>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50"/>
      <c r="AAA272" s="588"/>
      <c r="AAD272" s="112"/>
      <c r="AAE272" s="551">
        <f t="shared" si="915"/>
        <v>1</v>
      </c>
      <c r="AAF272" s="112"/>
      <c r="AAG272" s="78">
        <f>S.BANNER.NoticeStart</f>
        <v>41369</v>
      </c>
      <c r="AAH272" s="78">
        <f>G301</f>
        <v>41501</v>
      </c>
      <c r="AAI272" s="63"/>
      <c r="AAJ272" s="57"/>
      <c r="AAK272" s="57"/>
      <c r="AAL272" s="57"/>
      <c r="AAM272" s="112"/>
      <c r="AAN272"/>
      <c r="AAT272" s="23"/>
      <c r="AAU272" s="44"/>
    </row>
    <row r="273" spans="1:732" ht="87.75" customHeight="1" outlineLevel="1">
      <c r="A273" s="558"/>
      <c r="B273" s="790" t="s">
        <v>341</v>
      </c>
      <c r="C273" s="790"/>
      <c r="D273" s="790"/>
      <c r="E273" s="790"/>
      <c r="F273" s="790"/>
      <c r="G273" s="790"/>
      <c r="H273" s="790"/>
      <c r="I273" s="588"/>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36"/>
      <c r="AAA273" s="588"/>
      <c r="AAD273" s="112"/>
      <c r="AAE273" s="551">
        <f t="shared" si="915"/>
        <v>1</v>
      </c>
      <c r="AAF273" s="583" t="s">
        <v>174</v>
      </c>
      <c r="AAG273" s="63"/>
      <c r="AAH273" s="63"/>
      <c r="AAI273" s="63"/>
      <c r="AAJ273" s="57"/>
      <c r="AAK273" s="57"/>
      <c r="AAL273" s="95"/>
      <c r="AAM273" s="112"/>
      <c r="AAN273"/>
      <c r="AAT273" s="23"/>
      <c r="AAU273" s="44"/>
    </row>
    <row r="274" spans="1:732" ht="15" outlineLevel="1">
      <c r="A274" s="558"/>
      <c r="B274" s="410" t="str">
        <f>AAL274</f>
        <v>a. INVITATION.TO.COMMENT (blank in folder 4)</v>
      </c>
      <c r="C274" s="168"/>
      <c r="D274" s="277" t="s">
        <v>359</v>
      </c>
      <c r="E274" s="368">
        <f t="shared" ref="E274:E277" si="922">NETWORKDAYS(G274,H274,S.DDL_DEQClosed)</f>
        <v>33</v>
      </c>
      <c r="F274" s="492">
        <f t="shared" ca="1" si="921"/>
        <v>6</v>
      </c>
      <c r="G274" s="369">
        <v>41456</v>
      </c>
      <c r="H274" s="369">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G272</f>
        <v>41369</v>
      </c>
      <c r="AAH274" s="78">
        <f>H272</f>
        <v>41501</v>
      </c>
      <c r="AAI274" s="77"/>
      <c r="AAJ274" s="77"/>
      <c r="AAK274" s="77"/>
      <c r="AAL274" s="89" t="str">
        <f>"a. "&amp;S.CodeName&amp;"INVITATION.TO.COMMENT (blank in folder 4)"</f>
        <v>a. INVITATION.TO.COMMENT (blank in folder 4)</v>
      </c>
      <c r="AAM274" s="112"/>
      <c r="AAN274"/>
      <c r="AAT274" s="23"/>
      <c r="AAU274" s="44"/>
      <c r="AAV274" s="23"/>
      <c r="AAW274" s="23"/>
      <c r="AAX274" s="23"/>
      <c r="AAY274" s="23"/>
      <c r="AAZ274" s="23"/>
      <c r="ABA274" s="23"/>
      <c r="ABB274" s="23"/>
      <c r="ABC274" s="23"/>
      <c r="ABD274" s="23"/>
    </row>
    <row r="275" spans="1:732" ht="15" outlineLevel="1">
      <c r="A275" s="558"/>
      <c r="B275" s="410" t="str">
        <f>AAL275</f>
        <v>b. PROPOSED.RULES</v>
      </c>
      <c r="C275" s="231" t="s">
        <v>69</v>
      </c>
      <c r="D275" s="277" t="s">
        <v>151</v>
      </c>
      <c r="E275" s="368">
        <f t="shared" si="922"/>
        <v>91</v>
      </c>
      <c r="F275" s="492">
        <f t="shared" ca="1" si="921"/>
        <v>6</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D275" s="112"/>
      <c r="AAE275" s="551">
        <f t="shared" si="915"/>
        <v>1</v>
      </c>
      <c r="AAF275" s="112"/>
      <c r="AAG275" s="78">
        <f>G272</f>
        <v>41369</v>
      </c>
      <c r="AAH275" s="78">
        <f>H272</f>
        <v>41501</v>
      </c>
      <c r="AAI275" s="77"/>
      <c r="AAJ275" s="77"/>
      <c r="AAK275" s="77"/>
      <c r="AAL275" s="89" t="str">
        <f>"b. "&amp;S.CodeName&amp;"PROPOSED.RULES"</f>
        <v>b. PROPOSED.RULES</v>
      </c>
      <c r="AAM275" s="112"/>
      <c r="AAN275"/>
      <c r="AAT275" s="23"/>
      <c r="AAU275" s="44"/>
    </row>
    <row r="276" spans="1:732" s="23" customFormat="1" ht="15" outlineLevel="1">
      <c r="A276" s="558"/>
      <c r="B276" s="417" t="s">
        <v>177</v>
      </c>
      <c r="C276" s="168"/>
      <c r="D276" s="278" t="s">
        <v>151</v>
      </c>
      <c r="E276" s="368">
        <f t="shared" si="922"/>
        <v>91</v>
      </c>
      <c r="F276" s="492">
        <f t="shared" ref="F276" ca="1" si="923">NETWORKDAYS(TODAY(),H276)</f>
        <v>6</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B276"/>
      <c r="AAC276"/>
      <c r="AAD276" s="112"/>
      <c r="AAE276" s="551">
        <f t="shared" si="915"/>
        <v>1</v>
      </c>
      <c r="AAF276" s="112"/>
      <c r="AAG276" s="78">
        <f>G272</f>
        <v>41369</v>
      </c>
      <c r="AAH276" s="78">
        <f>H272</f>
        <v>41501</v>
      </c>
      <c r="AAI276" s="77"/>
      <c r="AAJ276" s="77"/>
      <c r="AAK276" s="77"/>
      <c r="AAL276" s="57"/>
      <c r="AAM276" s="112"/>
      <c r="AAU276" s="44"/>
      <c r="AAV276"/>
      <c r="AAW276"/>
      <c r="AAX276"/>
      <c r="AAY276"/>
      <c r="AAZ276"/>
      <c r="ABA276"/>
      <c r="ABB276"/>
      <c r="ABC276"/>
      <c r="ABD276"/>
    </row>
    <row r="277" spans="1:732" ht="15" outlineLevel="1">
      <c r="A277" s="558"/>
      <c r="B277" s="418" t="s">
        <v>369</v>
      </c>
      <c r="C277" s="168"/>
      <c r="D277" s="277" t="s">
        <v>359</v>
      </c>
      <c r="E277" s="368">
        <f t="shared" si="922"/>
        <v>33</v>
      </c>
      <c r="F277" s="492">
        <f t="shared" ca="1" si="921"/>
        <v>6</v>
      </c>
      <c r="G277" s="369">
        <v>41456</v>
      </c>
      <c r="H277" s="369">
        <f>AAH277</f>
        <v>41501</v>
      </c>
      <c r="I277" s="627"/>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50"/>
      <c r="AAA277" s="588"/>
      <c r="AAD277" s="112"/>
      <c r="AAE277" s="551">
        <f t="shared" si="915"/>
        <v>1</v>
      </c>
      <c r="AAF277" s="112"/>
      <c r="AAG277" s="78">
        <f>G272</f>
        <v>41369</v>
      </c>
      <c r="AAH277" s="78">
        <f>H272</f>
        <v>41501</v>
      </c>
      <c r="AAI277" s="77"/>
      <c r="AAJ277" s="77"/>
      <c r="AAK277" s="77"/>
      <c r="AAL277" s="57"/>
      <c r="AAM277" s="112"/>
      <c r="AAN277"/>
      <c r="AAT277" s="23"/>
      <c r="AAU277" s="44"/>
    </row>
    <row r="278" spans="1:732" ht="15" outlineLevel="1">
      <c r="A278" s="558"/>
      <c r="B278" s="327" t="s">
        <v>35</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174</v>
      </c>
      <c r="AAG278" s="76"/>
      <c r="AAH278" s="76"/>
      <c r="AAI278" s="77"/>
      <c r="AAJ278" s="77"/>
      <c r="AAK278" s="77"/>
      <c r="AAL278" s="57"/>
      <c r="AAM278" s="112"/>
      <c r="AAN278"/>
      <c r="AAT278" s="23"/>
      <c r="AAU278" s="44"/>
    </row>
    <row r="279" spans="1:732" ht="15" outlineLevel="1">
      <c r="A279" s="558"/>
      <c r="B279" s="327" t="s">
        <v>39</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174</v>
      </c>
      <c r="AAG279" s="76"/>
      <c r="AAH279" s="76"/>
      <c r="AAI279" s="76"/>
      <c r="AAJ279" s="57"/>
      <c r="AAK279" s="57"/>
      <c r="AAL279" s="57"/>
      <c r="AAM279" s="112"/>
      <c r="AAN279"/>
      <c r="AAT279" s="23"/>
      <c r="AAU279" s="44"/>
    </row>
    <row r="280" spans="1:732" ht="15" outlineLevel="1">
      <c r="A280" s="558"/>
      <c r="B280" s="327" t="s">
        <v>38</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174</v>
      </c>
      <c r="AAG280" s="76"/>
      <c r="AAH280" s="76"/>
      <c r="AAI280" s="76"/>
      <c r="AAJ280" s="57"/>
      <c r="AAK280" s="57"/>
      <c r="AAL280" s="57"/>
      <c r="AAM280" s="112"/>
      <c r="AAN280"/>
      <c r="AAT280" s="23"/>
      <c r="AAU280" s="44"/>
    </row>
    <row r="281" spans="1:732" ht="16.5" customHeight="1" outlineLevel="1">
      <c r="A281" s="558"/>
      <c r="B281" s="327" t="s">
        <v>150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174</v>
      </c>
      <c r="AAG281" s="76"/>
      <c r="AAH281" s="76"/>
      <c r="AAI281" s="76" t="s">
        <v>0</v>
      </c>
      <c r="AAJ281" s="57"/>
      <c r="AAK281" s="57"/>
      <c r="AAL281" s="57"/>
      <c r="AAM281" s="112"/>
      <c r="AAN281"/>
      <c r="AAT281" s="23"/>
      <c r="AAU281" s="44"/>
    </row>
    <row r="282" spans="1:732" ht="15" outlineLevel="1">
      <c r="A282" s="558"/>
      <c r="B282" s="327" t="s">
        <v>119</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 t="shared" si="915"/>
        <v>1</v>
      </c>
      <c r="AAF282" s="583" t="s">
        <v>174</v>
      </c>
      <c r="AAG282" s="76"/>
      <c r="AAH282" s="76"/>
      <c r="AAI282" s="76"/>
      <c r="AAJ282" s="57"/>
      <c r="AAK282" s="57"/>
      <c r="AAL282" s="57"/>
      <c r="AAM282" s="112"/>
      <c r="AAN282"/>
      <c r="AAT282" s="23"/>
      <c r="AAU282" s="44"/>
    </row>
    <row r="283" spans="1:732" ht="15" outlineLevel="1">
      <c r="A283" s="558"/>
      <c r="B283" s="419" t="s">
        <v>347</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IF(S.InvolveFee=TRUE,1,0)</f>
        <v>0</v>
      </c>
      <c r="AAF283" s="583" t="s">
        <v>174</v>
      </c>
      <c r="AAG283" s="76"/>
      <c r="AAH283" s="76"/>
      <c r="AAI283" s="76"/>
      <c r="AAJ283" s="57"/>
      <c r="AAK283" s="57"/>
      <c r="AAL283" s="88" t="str">
        <f>IF(S.InvolveFee=TRUE,"Integrate FEE.INSERT","Delete Fee section")</f>
        <v>Delete Fee section</v>
      </c>
      <c r="AAM283" s="112"/>
      <c r="AAN283"/>
      <c r="AAT283" s="23"/>
      <c r="AAU283" s="44"/>
    </row>
    <row r="284" spans="1:732" ht="15" outlineLevel="1">
      <c r="A284" s="558"/>
      <c r="B284" s="420" t="s">
        <v>36</v>
      </c>
      <c r="C284" s="168"/>
      <c r="D284" s="174"/>
      <c r="E284" s="182"/>
      <c r="F284" s="182"/>
      <c r="G284" s="174"/>
      <c r="H284" s="174"/>
      <c r="I284" s="588"/>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36"/>
      <c r="AAA284" s="588"/>
      <c r="AAD284" s="112"/>
      <c r="AAE284" s="551">
        <f>IF(S.InvolveNotice=TRUE,1,0)</f>
        <v>1</v>
      </c>
      <c r="AAF284" s="583" t="s">
        <v>174</v>
      </c>
      <c r="AAG284" s="76"/>
      <c r="AAH284" s="76"/>
      <c r="AAI284" s="76"/>
      <c r="AAJ284" s="57"/>
      <c r="AAK284" s="57"/>
      <c r="AAL284" s="57"/>
      <c r="AAM284" s="112"/>
      <c r="AAN284"/>
      <c r="AAT284" s="23"/>
      <c r="AAU284" s="44"/>
    </row>
    <row r="285" spans="1:732" ht="15" outlineLevel="1">
      <c r="A285" s="558"/>
      <c r="B285" s="410" t="str">
        <f>AAL285</f>
        <v>d. SUPPORTING.DOCS</v>
      </c>
      <c r="C285" s="168"/>
      <c r="D285" s="277" t="s">
        <v>359</v>
      </c>
      <c r="E285" s="368">
        <f>NETWORKDAYS(G285,H285,S.DDL_DEQClosed)</f>
        <v>91</v>
      </c>
      <c r="F285" s="492">
        <f t="shared" ca="1" si="921"/>
        <v>6</v>
      </c>
      <c r="G285" s="369">
        <f t="shared" ref="G285" si="924">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IF(S.InvolveNotice=TRUE,1,0)</f>
        <v>1</v>
      </c>
      <c r="AAF285" s="112"/>
      <c r="AAG285" s="78">
        <f>G272</f>
        <v>41369</v>
      </c>
      <c r="AAH285" s="78">
        <f>H272</f>
        <v>41501</v>
      </c>
      <c r="AAI285" s="77"/>
      <c r="AAJ285" s="77"/>
      <c r="AAK285" s="77"/>
      <c r="AAL285" s="89" t="str">
        <f>"d. "&amp;S.CodeName&amp;"SUPPORTING.DOCS"</f>
        <v>d. SUPPORTING.DOCS</v>
      </c>
      <c r="AAM285" s="112"/>
      <c r="AAN285"/>
      <c r="AAT285" s="23"/>
      <c r="AAU285" s="44"/>
    </row>
    <row r="286" spans="1:732" ht="15" outlineLevel="1">
      <c r="A286" s="558"/>
      <c r="B286" s="410" t="str">
        <f>AAL286</f>
        <v>e. SIP</v>
      </c>
      <c r="C286" s="168"/>
      <c r="D286" s="277" t="s">
        <v>392</v>
      </c>
      <c r="E286" s="368">
        <f t="shared" ref="E286:E289" si="925">NETWORKDAYS(G286,H286,S.DDL_DEQClosed)</f>
        <v>91</v>
      </c>
      <c r="F286" s="492">
        <f t="shared" ca="1" si="921"/>
        <v>6</v>
      </c>
      <c r="G286" s="369">
        <f t="shared" ref="G286:G288" si="926">AAG286</f>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IF(S.InvolveSIP=TRUE,1,0)</f>
        <v>1</v>
      </c>
      <c r="AAF286" s="112"/>
      <c r="AAG286" s="78">
        <f>G272</f>
        <v>41369</v>
      </c>
      <c r="AAH286" s="78">
        <f>H272</f>
        <v>41501</v>
      </c>
      <c r="AAI286" s="77"/>
      <c r="AAJ286" s="77"/>
      <c r="AAK286" s="77"/>
      <c r="AAL286" s="89" t="str">
        <f>IF(S.InvolveSIP=TRUE,"e. "&amp;S.CodeName&amp;"SIP","SIP not involved")</f>
        <v>e. SIP</v>
      </c>
      <c r="AAM286" s="112"/>
      <c r="AAN286"/>
      <c r="AAT286" s="23"/>
      <c r="AAU286" s="44"/>
    </row>
    <row r="287" spans="1:732" ht="15" outlineLevel="1">
      <c r="A287" s="558"/>
      <c r="B287" s="416" t="str">
        <f>AAL287</f>
        <v>Draft ##AD if needed</v>
      </c>
      <c r="C287" s="231" t="s">
        <v>69</v>
      </c>
      <c r="D287" s="277" t="s">
        <v>362</v>
      </c>
      <c r="E287" s="368">
        <f t="shared" si="925"/>
        <v>91</v>
      </c>
      <c r="F287" s="492">
        <f t="shared" ca="1" si="921"/>
        <v>6</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IF(S.InvolveNotice=TRUE,1,0)</f>
        <v>1</v>
      </c>
      <c r="AAF287" s="112"/>
      <c r="AAG287" s="78">
        <f>G272</f>
        <v>41369</v>
      </c>
      <c r="AAH287" s="78">
        <f>H272</f>
        <v>41501</v>
      </c>
      <c r="AAI287" s="77"/>
      <c r="AAJ287" s="77"/>
      <c r="AAK287" s="77"/>
      <c r="AAL287" s="89" t="str">
        <f>"Draft "&amp;S.CodeName&amp;"##AD if needed"</f>
        <v>Draft ##AD if needed</v>
      </c>
      <c r="AAM287" s="112"/>
      <c r="AAN287"/>
      <c r="AAT287" s="23"/>
      <c r="AAU287" s="44"/>
    </row>
    <row r="288" spans="1:732" ht="15" outlineLevel="1">
      <c r="A288" s="558"/>
      <c r="B288" s="416" t="s">
        <v>101</v>
      </c>
      <c r="C288" s="168"/>
      <c r="D288" s="278" t="s">
        <v>151</v>
      </c>
      <c r="E288" s="368">
        <f t="shared" si="925"/>
        <v>91</v>
      </c>
      <c r="F288" s="492">
        <f t="shared" ca="1" si="921"/>
        <v>6</v>
      </c>
      <c r="G288" s="369">
        <f t="shared" si="926"/>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IF(S.InvolveHearing=TRUE,1,0)</f>
        <v>1</v>
      </c>
      <c r="AAF288" s="112"/>
      <c r="AAG288" s="78">
        <f>G272</f>
        <v>41369</v>
      </c>
      <c r="AAH288" s="78">
        <f>H272</f>
        <v>41501</v>
      </c>
      <c r="AAI288" s="77"/>
      <c r="AAJ288" s="77"/>
      <c r="AAK288" s="77"/>
      <c r="AAL288" s="88" t="str">
        <f>IF(S.InvolveHearing=TRUE,"Display advertisements, if needed","Display advertisements not involved")</f>
        <v>Display advertisements, if needed</v>
      </c>
      <c r="AAM288" s="112"/>
      <c r="AAN288"/>
      <c r="AAT288" s="23"/>
      <c r="AAU288" s="44"/>
    </row>
    <row r="289" spans="1:732" ht="15.75" customHeight="1" outlineLevel="1">
      <c r="A289" s="558"/>
      <c r="B289" s="421" t="s">
        <v>300</v>
      </c>
      <c r="C289" s="239"/>
      <c r="D289" s="277" t="s">
        <v>151</v>
      </c>
      <c r="E289" s="368">
        <f t="shared" si="925"/>
        <v>91</v>
      </c>
      <c r="F289" s="492">
        <f t="shared" ca="1" si="921"/>
        <v>6</v>
      </c>
      <c r="G289" s="369">
        <f t="shared" ref="G289" si="927">AAG289</f>
        <v>41369</v>
      </c>
      <c r="H289" s="369">
        <f>AAH289</f>
        <v>41501</v>
      </c>
      <c r="I289" s="627"/>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50"/>
      <c r="AAA289" s="588"/>
      <c r="AAD289" s="112"/>
      <c r="AAE289" s="551">
        <f>IF(S.InvolveNotice=TRUE,1,0)</f>
        <v>1</v>
      </c>
      <c r="AAF289" s="112"/>
      <c r="AAG289" s="78">
        <f>G272</f>
        <v>41369</v>
      </c>
      <c r="AAH289" s="78">
        <f>H272</f>
        <v>41501</v>
      </c>
      <c r="AAI289" s="77"/>
      <c r="AAJ289" s="662" t="s">
        <v>0</v>
      </c>
      <c r="AAK289" s="77"/>
      <c r="AAL289" s="57"/>
      <c r="AAM289" s="112"/>
      <c r="AAN289"/>
      <c r="AAT289" s="23"/>
      <c r="AAU289" s="44"/>
    </row>
    <row r="290" spans="1:732" ht="15.75" customHeight="1" outlineLevel="1">
      <c r="A290" s="558"/>
      <c r="B290" s="422" t="s">
        <v>267</v>
      </c>
      <c r="C290" s="183"/>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IF(S.InvolveCommittee=TRUE,1,0)</f>
        <v>0</v>
      </c>
      <c r="AAF290" s="583"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8"/>
      <c r="B291" s="422" t="s">
        <v>397</v>
      </c>
      <c r="C291" s="183" t="s">
        <v>0</v>
      </c>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IF(S.InvolveNotice=TRUE,1,0)</f>
        <v>1</v>
      </c>
      <c r="AAF291" s="583" t="s">
        <v>174</v>
      </c>
      <c r="AAG291" s="76"/>
      <c r="AAH291" s="76"/>
      <c r="AAI291" s="77"/>
      <c r="AAJ291" s="77"/>
      <c r="AAK291" s="77"/>
      <c r="AAL291" s="96" t="str">
        <f>IF(S.InvolveCommittee=TRUE,"2. Fiscal impact statement","Fiscal impact statement")</f>
        <v>Fiscal impact statement</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IF(S.InvolveSIP=TRUE,1,0)</f>
        <v>1</v>
      </c>
      <c r="AAF292" s="583" t="s">
        <v>174</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2" t="s">
        <v>269</v>
      </c>
      <c r="C293" s="183"/>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ref="AAE293:AAE311" si="928">IF(S.InvolveNotice=TRUE,1,0)</f>
        <v>1</v>
      </c>
      <c r="AAF293" s="583" t="s">
        <v>174</v>
      </c>
      <c r="AAG293" s="76"/>
      <c r="AAH293" s="76"/>
      <c r="AAI293" s="77"/>
      <c r="AAJ293" s="77"/>
      <c r="AAK293" s="77"/>
      <c r="AAL293" s="96" t="str">
        <f>IF(S.InvolveHearing=TRUE,"Proposal, invitation to comment, notice, display ads","Proposal, invitation to comment, notice")</f>
        <v>Proposal, invitation to comment, notice, display ads</v>
      </c>
      <c r="AAM293" s="112"/>
      <c r="AAN293"/>
      <c r="AAT293" s="23"/>
      <c r="AAU293" s="44"/>
    </row>
    <row r="294" spans="1:732" ht="15.75" customHeight="1" outlineLevel="1">
      <c r="A294" s="558"/>
      <c r="B294" s="423" t="s">
        <v>299</v>
      </c>
      <c r="C294" s="184"/>
      <c r="D294" s="153"/>
      <c r="E294" s="154"/>
      <c r="F294" s="154"/>
      <c r="G294" s="153"/>
      <c r="H294" s="153"/>
      <c r="I294" s="588"/>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36"/>
      <c r="AAA294" s="588"/>
      <c r="AAD294" s="112"/>
      <c r="AAE294" s="551">
        <f t="shared" si="928"/>
        <v>1</v>
      </c>
      <c r="AAF294" s="583" t="s">
        <v>174</v>
      </c>
      <c r="AAG294" s="76"/>
      <c r="AAH294" s="76"/>
      <c r="AAI294" s="77"/>
      <c r="AAJ294" s="77"/>
      <c r="AAK294" s="77"/>
      <c r="AAL294" s="80"/>
      <c r="AAM294" s="112"/>
      <c r="AAN294"/>
      <c r="AAT294" s="23"/>
      <c r="AAU294" s="44"/>
    </row>
    <row r="295" spans="1:732" ht="15.75" customHeight="1" outlineLevel="1">
      <c r="A295" s="558"/>
      <c r="B295" s="424" t="s">
        <v>396</v>
      </c>
      <c r="C295" s="239"/>
      <c r="D295" s="279" t="s">
        <v>378</v>
      </c>
      <c r="E295" s="368">
        <f>NETWORKDAYS(G295,H295,S.DDL_DEQClosed)</f>
        <v>1</v>
      </c>
      <c r="F295" s="492">
        <f ca="1">NETWORKDAYS(TODAY(),H295)</f>
        <v>6</v>
      </c>
      <c r="G295" s="369">
        <f t="shared" ref="G295:G298" si="929">AAG295</f>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H289</f>
        <v>41501</v>
      </c>
      <c r="AAH295" s="78">
        <f t="shared" ref="AAH295:AAH298" si="930">G295</f>
        <v>41501</v>
      </c>
      <c r="AAI295" s="77"/>
      <c r="AAJ295" s="77"/>
      <c r="AAK295" s="77"/>
      <c r="AAL295" s="57"/>
      <c r="AAM295" s="112"/>
      <c r="AAN295"/>
      <c r="AAT295" s="23"/>
      <c r="AAU295" s="44"/>
    </row>
    <row r="296" spans="1:732" ht="15.75" customHeight="1" outlineLevel="1">
      <c r="A296" s="558"/>
      <c r="B296" s="425" t="s">
        <v>76</v>
      </c>
      <c r="C296" s="239"/>
      <c r="D296" s="279" t="s">
        <v>378</v>
      </c>
      <c r="E296" s="368">
        <f>NETWORKDAYS(G296,H296,S.DDL_DEQClosed)</f>
        <v>1</v>
      </c>
      <c r="F296" s="492">
        <f ca="1">NETWORKDAYS(TODAY(),H296)</f>
        <v>6</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6" t="s">
        <v>77</v>
      </c>
      <c r="C297" s="239"/>
      <c r="D297" s="279" t="s">
        <v>378</v>
      </c>
      <c r="E297" s="368">
        <f>NETWORKDAYS(G297,H297,S.DDL_DEQClosed)</f>
        <v>1</v>
      </c>
      <c r="F297" s="492">
        <f ca="1">NETWORKDAYS(TODAY(),H297)</f>
        <v>6</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15.75" customHeight="1" outlineLevel="1">
      <c r="A298" s="558"/>
      <c r="B298" s="427" t="s">
        <v>395</v>
      </c>
      <c r="C298" s="239"/>
      <c r="D298" s="279" t="s">
        <v>378</v>
      </c>
      <c r="E298" s="368">
        <f>NETWORKDAYS(G298,H298,S.DDL_DEQClosed)</f>
        <v>1</v>
      </c>
      <c r="F298" s="492">
        <f ca="1">NETWORKDAYS(TODAY(),H298)</f>
        <v>6</v>
      </c>
      <c r="G298" s="369">
        <f t="shared" si="929"/>
        <v>41501</v>
      </c>
      <c r="H298" s="369">
        <f>AAH298</f>
        <v>41501</v>
      </c>
      <c r="I298" s="627"/>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50"/>
      <c r="AAA298" s="588"/>
      <c r="AAD298" s="112"/>
      <c r="AAE298" s="551">
        <f t="shared" si="928"/>
        <v>1</v>
      </c>
      <c r="AAF298" s="112"/>
      <c r="AAG298" s="78">
        <f>H297</f>
        <v>41501</v>
      </c>
      <c r="AAH298" s="78">
        <f t="shared" si="930"/>
        <v>41501</v>
      </c>
      <c r="AAI298" s="77"/>
      <c r="AAJ298" s="77"/>
      <c r="AAK298" s="77"/>
      <c r="AAL298" s="57"/>
      <c r="AAM298" s="112"/>
      <c r="AAN298"/>
      <c r="AAT298" s="23"/>
      <c r="AAU298" s="44"/>
    </row>
    <row r="299" spans="1:732" ht="86.25" customHeight="1" outlineLevel="1">
      <c r="A299" s="558"/>
      <c r="B299" s="791" t="s">
        <v>340</v>
      </c>
      <c r="C299" s="791"/>
      <c r="D299" s="791"/>
      <c r="E299" s="791"/>
      <c r="F299" s="791"/>
      <c r="G299" s="791"/>
      <c r="H299" s="791"/>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174</v>
      </c>
      <c r="AAG299" s="63"/>
      <c r="AAH299" s="63"/>
      <c r="AAI299" s="77"/>
      <c r="AAJ299" s="77"/>
      <c r="AAK299" s="77"/>
      <c r="AAL299" s="57"/>
      <c r="AAM299" s="112"/>
      <c r="AAN299"/>
      <c r="AAT299" s="23"/>
      <c r="AAU299" s="44"/>
    </row>
    <row r="300" spans="1:732" ht="15.75" outlineLevel="1">
      <c r="A300" s="558"/>
      <c r="B300" s="395" t="s">
        <v>49</v>
      </c>
      <c r="C300" s="240"/>
      <c r="D300" s="281" t="s">
        <v>0</v>
      </c>
      <c r="E300" s="282"/>
      <c r="F300" s="282"/>
      <c r="G300" s="283"/>
      <c r="H300" s="283"/>
      <c r="I300" s="588"/>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36"/>
      <c r="AAA300" s="588"/>
      <c r="AAD300" s="112"/>
      <c r="AAE300" s="551">
        <f t="shared" si="928"/>
        <v>1</v>
      </c>
      <c r="AAF300" s="583" t="s">
        <v>174</v>
      </c>
      <c r="AAG300" s="63"/>
      <c r="AAH300" s="63"/>
      <c r="AAI300" s="77"/>
      <c r="AAJ300" s="77"/>
      <c r="AAK300" s="77"/>
      <c r="AAL300" s="57"/>
      <c r="AAM300" s="112"/>
      <c r="AAN300"/>
      <c r="AAT300" s="23"/>
      <c r="AAU300" s="44"/>
      <c r="AAV300" s="23"/>
      <c r="AAW300" s="23"/>
      <c r="AAX300" s="23"/>
      <c r="AAY300" s="23"/>
      <c r="AAZ300" s="23"/>
      <c r="ABA300" s="23"/>
      <c r="ABB300" s="23"/>
      <c r="ABC300" s="23"/>
      <c r="ABD300" s="23"/>
    </row>
    <row r="301" spans="1:732" ht="15" outlineLevel="1">
      <c r="A301" s="558"/>
      <c r="B301" s="375" t="s">
        <v>393</v>
      </c>
      <c r="C301" s="168"/>
      <c r="D301" s="279" t="s">
        <v>382</v>
      </c>
      <c r="E301" s="368">
        <f>NETWORKDAYS(G301,H301,S.DDL_DEQClosed)</f>
        <v>1</v>
      </c>
      <c r="F301" s="492">
        <f ca="1">NETWORKDAYS(TODAY(),H301)</f>
        <v>6</v>
      </c>
      <c r="G301" s="740">
        <f t="shared" ref="G301:H301" si="931">AAG301</f>
        <v>41501</v>
      </c>
      <c r="H301" s="370">
        <f t="shared" si="931"/>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D301" s="112"/>
      <c r="AAE301" s="551">
        <f t="shared" si="928"/>
        <v>1</v>
      </c>
      <c r="AAF301" s="112"/>
      <c r="AAG301" s="78">
        <f>G302</f>
        <v>41501</v>
      </c>
      <c r="AAH301" s="78">
        <f>G301</f>
        <v>41501</v>
      </c>
      <c r="AAI301" s="77"/>
      <c r="AAJ301" s="662" t="s">
        <v>0</v>
      </c>
      <c r="AAK301" s="77"/>
      <c r="AAL301" s="57"/>
      <c r="AAM301" s="112"/>
      <c r="AAN301"/>
      <c r="AAT301" s="23"/>
      <c r="AAU301" s="44"/>
    </row>
    <row r="302" spans="1:732" s="23" customFormat="1" ht="15" outlineLevel="1">
      <c r="A302" s="558"/>
      <c r="B302" s="412" t="s">
        <v>164</v>
      </c>
      <c r="C302" s="168"/>
      <c r="D302" s="277" t="s">
        <v>383</v>
      </c>
      <c r="E302" s="368">
        <f>NETWORKDAYS(G302,H302,S.DDL_DEQClosed)</f>
        <v>1</v>
      </c>
      <c r="F302" s="492">
        <f ca="1">NETWORKDAYS(TODAY(),H302)</f>
        <v>6</v>
      </c>
      <c r="G302" s="496">
        <f>AAG302</f>
        <v>41501</v>
      </c>
      <c r="H302" s="497">
        <f>AAH302</f>
        <v>41501</v>
      </c>
      <c r="I302" s="627"/>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50"/>
      <c r="AAA302" s="588"/>
      <c r="AAB302"/>
      <c r="AAC302"/>
      <c r="AAD302" s="112"/>
      <c r="AAE302" s="551">
        <f t="shared" si="928"/>
        <v>1</v>
      </c>
      <c r="AAF302" s="112"/>
      <c r="AAG302" s="78">
        <f>WORKDAY(S.SubmitNoticeToSOS,-20,S.DDL_DEQClosed)</f>
        <v>41501</v>
      </c>
      <c r="AAH302" s="78">
        <f>G302</f>
        <v>41501</v>
      </c>
      <c r="AAI302" s="77"/>
      <c r="AAJ302" s="77"/>
      <c r="AAK302" s="77"/>
      <c r="AAL302" s="57"/>
      <c r="AAM302" s="112"/>
      <c r="AAU302" s="44"/>
      <c r="AAV302"/>
      <c r="AAW302"/>
      <c r="AAX302"/>
      <c r="AAY302"/>
      <c r="AAZ302"/>
      <c r="ABA302"/>
      <c r="ABB302"/>
      <c r="ABC302"/>
      <c r="ABD302"/>
    </row>
    <row r="303" spans="1:732" ht="15" outlineLevel="1">
      <c r="A303" s="558"/>
      <c r="B303" s="413" t="s">
        <v>31</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174</v>
      </c>
      <c r="AAG303" s="76"/>
      <c r="AAH303" s="76"/>
      <c r="AAI303" s="77"/>
      <c r="AAJ303" s="77"/>
      <c r="AAK303" s="77"/>
      <c r="AAL303" s="57"/>
      <c r="AAM303" s="112"/>
      <c r="AAN303"/>
      <c r="AAT303" s="23"/>
      <c r="AAU303" s="44"/>
    </row>
    <row r="304" spans="1:732" ht="15.75" customHeight="1" outlineLevel="1">
      <c r="A304" s="558"/>
      <c r="B304" s="413" t="s">
        <v>148</v>
      </c>
      <c r="C304" s="691"/>
      <c r="D304" s="153"/>
      <c r="E304" s="660"/>
      <c r="F304" s="660"/>
      <c r="G304" s="661"/>
      <c r="H304" s="661"/>
      <c r="I304" s="588"/>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36"/>
      <c r="AAA304" s="588"/>
      <c r="AAD304" s="112"/>
      <c r="AAE304" s="551">
        <f t="shared" si="928"/>
        <v>1</v>
      </c>
      <c r="AAF304" s="583" t="s">
        <v>174</v>
      </c>
      <c r="AAG304" s="76"/>
      <c r="AAH304" s="76"/>
      <c r="AAI304" s="77" t="s">
        <v>0</v>
      </c>
      <c r="AAJ304" s="77"/>
      <c r="AAK304" s="77"/>
      <c r="AAL304" s="57"/>
      <c r="AAM304" s="112"/>
      <c r="AAN304"/>
      <c r="AAT304" s="23"/>
      <c r="AAU304" s="44"/>
    </row>
    <row r="305" spans="1:732" ht="15" outlineLevel="1">
      <c r="A305" s="558"/>
      <c r="B305" s="414" t="s">
        <v>394</v>
      </c>
      <c r="C305" s="168"/>
      <c r="D305" s="278" t="s">
        <v>151</v>
      </c>
      <c r="E305" s="368">
        <f>NETWORKDAYS(G305,H305,S.DDL_DEQClosed)</f>
        <v>1</v>
      </c>
      <c r="F305" s="492">
        <f ca="1">NETWORKDAYS(TODAY(),H305)</f>
        <v>11</v>
      </c>
      <c r="G305" s="497">
        <f t="shared" ref="G305:H307" si="932">AAG305</f>
        <v>41508</v>
      </c>
      <c r="H305" s="741">
        <f t="shared" si="932"/>
        <v>41508</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H305</f>
        <v>41508</v>
      </c>
      <c r="AAH305" s="78">
        <f>WORKDAY(G302,5,S.DDL_DEQClosed)</f>
        <v>41508</v>
      </c>
      <c r="AAI305" s="77"/>
      <c r="AAJ305" s="77"/>
      <c r="AAK305" s="77"/>
      <c r="AAL305" s="57"/>
      <c r="AAM305" s="112"/>
      <c r="AAN305"/>
      <c r="AAT305" s="23"/>
      <c r="AAU305" s="44"/>
    </row>
    <row r="306" spans="1:732" ht="15" outlineLevel="1">
      <c r="A306" s="558"/>
      <c r="B306" s="415" t="s">
        <v>65</v>
      </c>
      <c r="C306" s="168"/>
      <c r="D306" s="277" t="s">
        <v>359</v>
      </c>
      <c r="E306" s="368">
        <f>NETWORKDAYS(G306,H306,S.DDL_DEQClosed)</f>
        <v>12</v>
      </c>
      <c r="F306" s="492">
        <f ca="1">NETWORKDAYS(TODAY(),H306)</f>
        <v>23</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H305</f>
        <v>41508</v>
      </c>
      <c r="AAH306" s="78">
        <f>G309</f>
        <v>41526</v>
      </c>
      <c r="AAI306" s="77"/>
      <c r="AAJ306" s="77"/>
      <c r="AAK306" s="77"/>
      <c r="AAL306" s="57"/>
      <c r="AAM306" s="112"/>
      <c r="AAN306"/>
      <c r="AAT306" s="23"/>
      <c r="AAU306" s="44"/>
    </row>
    <row r="307" spans="1:732" ht="15" outlineLevel="1">
      <c r="A307" s="558"/>
      <c r="B307" s="415" t="s">
        <v>48</v>
      </c>
      <c r="C307" s="168"/>
      <c r="D307" s="277" t="s">
        <v>151</v>
      </c>
      <c r="E307" s="368">
        <f>NETWORKDAYS(G307,H307,S.DDL_DEQClosed)</f>
        <v>12</v>
      </c>
      <c r="F307" s="492">
        <f ca="1">NETWORKDAYS(TODAY(),H307)</f>
        <v>23</v>
      </c>
      <c r="G307" s="496">
        <f t="shared" si="932"/>
        <v>41508</v>
      </c>
      <c r="H307" s="496">
        <f t="shared" si="932"/>
        <v>41526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H305</f>
        <v>41508</v>
      </c>
      <c r="AAH307" s="78">
        <f>G310</f>
        <v>41526</v>
      </c>
      <c r="AAI307" s="77"/>
      <c r="AAJ307" s="77"/>
      <c r="AAK307" s="77"/>
      <c r="AAL307" s="57"/>
      <c r="AAM307" s="112"/>
      <c r="AAN307"/>
      <c r="AAT307" s="23"/>
      <c r="AAU307" s="44"/>
    </row>
    <row r="308" spans="1:732" ht="25.5" outlineLevel="1">
      <c r="A308" s="558"/>
      <c r="B308" s="734" t="s">
        <v>373</v>
      </c>
      <c r="C308" s="168"/>
      <c r="D308" s="277" t="s">
        <v>151</v>
      </c>
      <c r="E308" s="368">
        <f t="shared" ref="E308:E310" si="933">NETWORKDAYS(G308,H308,S.DDL_DEQClosed)</f>
        <v>3</v>
      </c>
      <c r="F308" s="492">
        <f t="shared" ref="F308:F313" ca="1" si="934">NETWORKDAYS(TODAY(),H308)</f>
        <v>25</v>
      </c>
      <c r="G308" s="369">
        <f t="shared" ref="G308:H310" si="935">AAG308</f>
        <v>41526</v>
      </c>
      <c r="H308" s="369">
        <f>AAH308</f>
        <v>41528</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WORKDAY(S.MgrNoticeApproval,-2,S.DDL_DEQClosed)</f>
        <v>41526</v>
      </c>
      <c r="AAH308" s="78">
        <f>S.MgrNoticeApproval</f>
        <v>41528</v>
      </c>
      <c r="AAI308" s="77"/>
      <c r="AAJ308" s="77"/>
      <c r="AAK308" s="77"/>
      <c r="AAL308" s="89" t="str">
        <f>"Obtain "&amp;S.CodeName&amp;" BUDGET-REVIEW.FISCAL.4.00"</f>
        <v>Obtain  BUDGET-REVIEW.FISCAL.4.00</v>
      </c>
      <c r="AAM308" s="112"/>
      <c r="AAN308"/>
      <c r="AAT308" s="23"/>
      <c r="AAU308" s="44"/>
    </row>
    <row r="309" spans="1:732" ht="15" outlineLevel="1">
      <c r="A309" s="558"/>
      <c r="B309" s="416" t="s">
        <v>324</v>
      </c>
      <c r="C309" s="168"/>
      <c r="D309" s="277" t="s">
        <v>151</v>
      </c>
      <c r="E309" s="368">
        <f t="shared" si="933"/>
        <v>1</v>
      </c>
      <c r="F309" s="492">
        <f t="shared" ca="1" si="934"/>
        <v>23</v>
      </c>
      <c r="G309" s="369">
        <f t="shared" si="935"/>
        <v>41526</v>
      </c>
      <c r="H309" s="370">
        <f t="shared" si="935"/>
        <v>41526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AAG308</f>
        <v>41526</v>
      </c>
      <c r="AAH309" s="78">
        <f t="shared" ref="AAH309:AAH311" si="936">G309</f>
        <v>41526</v>
      </c>
      <c r="AAI309" s="77"/>
      <c r="AAJ309" s="77"/>
      <c r="AAK309" s="77"/>
      <c r="AAL309" s="89" t="str">
        <f>"Verify "&amp;S.CodeName&amp;"compilation of PROPOSED.RULES"</f>
        <v>Verify compilation of PROPOSED.RULES</v>
      </c>
      <c r="AAM309" s="112"/>
      <c r="AAN309"/>
      <c r="AAT309" s="23"/>
      <c r="AAU309" s="44"/>
    </row>
    <row r="310" spans="1:732" ht="22.5" outlineLevel="1">
      <c r="A310" s="558"/>
      <c r="B310" s="659" t="s">
        <v>301</v>
      </c>
      <c r="C310" s="168"/>
      <c r="D310" s="279" t="s">
        <v>374</v>
      </c>
      <c r="E310" s="368">
        <f t="shared" si="933"/>
        <v>3</v>
      </c>
      <c r="F310" s="492">
        <f t="shared" ca="1" si="934"/>
        <v>25</v>
      </c>
      <c r="G310" s="369">
        <f>AAG310</f>
        <v>41526</v>
      </c>
      <c r="H310" s="369">
        <f t="shared" si="935"/>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WORKDAY(AAG311,-2,S.DDL_DEQClosed)</f>
        <v>41526</v>
      </c>
      <c r="AAH310" s="78">
        <f>G311</f>
        <v>41528</v>
      </c>
      <c r="AAI310" s="77"/>
      <c r="AAJ310" s="77"/>
      <c r="AAK310" s="77"/>
      <c r="AAL310" s="57"/>
      <c r="AAM310" s="112"/>
      <c r="AAN310"/>
      <c r="AAT310" s="23"/>
      <c r="AAU310" s="44"/>
    </row>
    <row r="311" spans="1:732" ht="15.75" customHeight="1" outlineLevel="1">
      <c r="A311" s="558"/>
      <c r="B311" s="415" t="s">
        <v>275</v>
      </c>
      <c r="C311" s="168"/>
      <c r="D311" s="277" t="s">
        <v>151</v>
      </c>
      <c r="E311" s="448">
        <f>NETWORKDAYS(G311,H311,S.DDL_DEQClosed)</f>
        <v>1</v>
      </c>
      <c r="F311" s="492">
        <f t="shared" ca="1" si="934"/>
        <v>25</v>
      </c>
      <c r="G311" s="369">
        <f>AAG311</f>
        <v>41528</v>
      </c>
      <c r="H311" s="370">
        <f>AAH311</f>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 t="shared" si="928"/>
        <v>1</v>
      </c>
      <c r="AAF311" s="112"/>
      <c r="AAG311" s="78">
        <f>WORKDAY(S.SubmitNoticeToSOS,-2,S.DDL_DEQClosed)</f>
        <v>41528</v>
      </c>
      <c r="AAH311" s="78">
        <f t="shared" si="936"/>
        <v>41528</v>
      </c>
      <c r="AAI311" s="77"/>
      <c r="AAJ311" s="77"/>
      <c r="AAK311" s="77"/>
      <c r="AAL311" s="57"/>
      <c r="AAM311" s="112"/>
      <c r="AAN311"/>
      <c r="AAT311" s="23"/>
      <c r="AAU311" s="44"/>
    </row>
    <row r="312" spans="1:732" ht="15" outlineLevel="1">
      <c r="A312" s="558"/>
      <c r="B312" s="343" t="s">
        <v>47</v>
      </c>
      <c r="C312" s="168"/>
      <c r="D312" s="277" t="s">
        <v>392</v>
      </c>
      <c r="E312" s="448">
        <f t="shared" ref="E312" si="937">NETWORKDAYS(G312,H312,S.DDL_DEQClosed)</f>
        <v>1</v>
      </c>
      <c r="F312" s="492">
        <f t="shared" ca="1" si="934"/>
        <v>25</v>
      </c>
      <c r="G312" s="472">
        <f t="shared" ref="G312:H313" si="938">AAG312</f>
        <v>41528</v>
      </c>
      <c r="H312" s="369">
        <f t="shared" si="938"/>
        <v>41528</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IF(S.InvolveSIP=TRUE,1,0)</f>
        <v>1</v>
      </c>
      <c r="AAF312" s="112"/>
      <c r="AAG312" s="78">
        <f>H311</f>
        <v>41528</v>
      </c>
      <c r="AAH312" s="78">
        <f t="shared" ref="AAH312" si="939">G312</f>
        <v>41528</v>
      </c>
      <c r="AAI312" s="77"/>
      <c r="AAJ312" s="77"/>
      <c r="AAK312" s="77"/>
      <c r="AAL312" s="57" t="s">
        <v>0</v>
      </c>
      <c r="AAM312" s="112"/>
      <c r="AAN312"/>
      <c r="AAT312" s="23"/>
      <c r="AAU312" s="44"/>
    </row>
    <row r="313" spans="1:732" ht="15" outlineLevel="1">
      <c r="A313" s="558"/>
      <c r="B313" s="343" t="s">
        <v>215</v>
      </c>
      <c r="C313" s="168"/>
      <c r="D313" s="277" t="s">
        <v>365</v>
      </c>
      <c r="E313" s="448">
        <f>NETWORKDAYS(G313,H313,S.DDL_DEQClosed)</f>
        <v>3</v>
      </c>
      <c r="F313" s="492">
        <f t="shared" ca="1" si="934"/>
        <v>27</v>
      </c>
      <c r="G313" s="369">
        <f t="shared" si="938"/>
        <v>41528</v>
      </c>
      <c r="H313" s="656">
        <f t="shared" si="938"/>
        <v>41530</v>
      </c>
      <c r="I313" s="627"/>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50"/>
      <c r="AAA313" s="588"/>
      <c r="AAD313" s="112"/>
      <c r="AAE313" s="551">
        <f t="shared" ref="AAE313:AAE320" si="940">IF(S.InvolveNotice=TRUE,1,0)</f>
        <v>1</v>
      </c>
      <c r="AAF313" s="112"/>
      <c r="AAG313" s="78">
        <f>G311</f>
        <v>41528</v>
      </c>
      <c r="AAH313" s="78">
        <f>S.SubmitNoticeToSOS</f>
        <v>41530</v>
      </c>
      <c r="AAI313" s="77"/>
      <c r="AAJ313" s="77"/>
      <c r="AAK313" s="77"/>
      <c r="AAL313" s="57"/>
      <c r="AAM313" s="112"/>
      <c r="AAN313"/>
      <c r="AAT313" s="23"/>
      <c r="AAU313" s="44"/>
      <c r="AAV313" s="23"/>
      <c r="AAW313" s="23"/>
      <c r="AAX313" s="23"/>
      <c r="AAY313" s="23"/>
      <c r="AAZ313" s="23"/>
      <c r="ABA313" s="23"/>
      <c r="ABB313" s="23"/>
      <c r="ABC313" s="23"/>
      <c r="ABD313" s="23"/>
    </row>
    <row r="314" spans="1:732" ht="18" outlineLevel="1">
      <c r="A314" s="558"/>
      <c r="B314" s="284" t="s">
        <v>46</v>
      </c>
      <c r="C314" s="285"/>
      <c r="D314" s="281" t="s">
        <v>0</v>
      </c>
      <c r="E314" s="400"/>
      <c r="F314" s="400"/>
      <c r="G314" s="493"/>
      <c r="H314" s="470"/>
      <c r="I314" s="588"/>
      <c r="J314" s="592"/>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8"/>
      <c r="ZZ314" s="36"/>
      <c r="AAA314" s="588"/>
      <c r="AAD314" s="112"/>
      <c r="AAE314" s="551">
        <f t="shared" si="940"/>
        <v>1</v>
      </c>
      <c r="AAF314" s="583" t="s">
        <v>174</v>
      </c>
      <c r="AAG314" s="63" t="s">
        <v>0</v>
      </c>
      <c r="AAH314" s="63" t="s">
        <v>0</v>
      </c>
      <c r="AAI314" s="63"/>
      <c r="AAJ314" s="57"/>
      <c r="AAK314" s="57"/>
      <c r="AAL314" s="97" t="s">
        <v>0</v>
      </c>
      <c r="AAM314" s="112"/>
      <c r="AAN314"/>
      <c r="AAT314" s="23"/>
      <c r="AAU314" s="44"/>
    </row>
    <row r="315" spans="1:732" s="23" customFormat="1" ht="15.75" customHeight="1" outlineLevel="1">
      <c r="A315" s="558"/>
      <c r="B315" s="132" t="s">
        <v>266</v>
      </c>
      <c r="C315" s="231" t="s">
        <v>69</v>
      </c>
      <c r="D315" s="229" t="s">
        <v>188</v>
      </c>
      <c r="E315" s="372">
        <f t="shared" ref="E315" si="941">NETWORKDAYS(G315,H315,S.DDL_DEQClosed)</f>
        <v>13</v>
      </c>
      <c r="F315" s="492">
        <f t="shared" ref="F315" ca="1" si="942">NETWORKDAYS(TODAY(),H315,S.DDL_DEQClosed)</f>
        <v>38</v>
      </c>
      <c r="G315" s="665">
        <f>AAG315</f>
        <v>41530</v>
      </c>
      <c r="H315" s="664">
        <f>AAH315</f>
        <v>41548</v>
      </c>
      <c r="I315" s="627"/>
      <c r="J315" s="591"/>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618"/>
      <c r="ZZ315" s="50"/>
      <c r="AAA315" s="588"/>
      <c r="AAB315"/>
      <c r="AAC315"/>
      <c r="AAD315" s="112"/>
      <c r="AAE315" s="551">
        <f t="shared" si="940"/>
        <v>1</v>
      </c>
      <c r="AAF315" s="112" t="s">
        <v>0</v>
      </c>
      <c r="AAG315" s="78">
        <f>S.SubmitNoticeToSOS</f>
        <v>41530</v>
      </c>
      <c r="AAH315" s="78">
        <f>S.PublicNoticeInBulletin</f>
        <v>41548</v>
      </c>
      <c r="AAI315" s="77"/>
      <c r="AAJ315" s="77"/>
      <c r="AAK315" s="77"/>
      <c r="AAL315" s="83" t="str">
        <f>IF(S.InvolveNotice=TRUE,"Submit/publish notice in SOS Bulletin","Notice not involved")</f>
        <v>Submit/publish notice in SOS Bulletin</v>
      </c>
      <c r="AAM315" s="112"/>
      <c r="AAU315" s="44"/>
      <c r="AAV315"/>
      <c r="AAW315"/>
      <c r="AAX315"/>
      <c r="AAY315"/>
      <c r="AAZ315"/>
      <c r="ABA315"/>
      <c r="ABB315"/>
      <c r="ABC315"/>
      <c r="ABD315"/>
    </row>
    <row r="316" spans="1:732" ht="15" outlineLevel="1">
      <c r="A316" s="558"/>
      <c r="B316" s="411" t="str">
        <f>AAL316</f>
        <v>SOS.EMAIL.PROOF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174</v>
      </c>
      <c r="AAG316" s="76"/>
      <c r="AAH316" s="76"/>
      <c r="AAI316" s="77"/>
      <c r="AAJ316" s="77"/>
      <c r="AAK316" s="77"/>
      <c r="AAL316" s="89" t="str">
        <f>S.CodeName&amp;"SOS.EMAIL.PROOF"</f>
        <v>SOS.EMAIL.PROOF</v>
      </c>
      <c r="AAM316" s="112"/>
      <c r="AAN316"/>
      <c r="AAT316" s="23"/>
      <c r="AAU316" s="44"/>
    </row>
    <row r="317" spans="1:732" ht="15" outlineLevel="1">
      <c r="A317" s="558"/>
      <c r="B317" s="411" t="str">
        <f>AAL317</f>
        <v>SOS.NOTICE.PROOF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174</v>
      </c>
      <c r="AAG317" s="76"/>
      <c r="AAH317" s="76"/>
      <c r="AAI317" s="77"/>
      <c r="AAJ317" s="77"/>
      <c r="AAK317" s="77"/>
      <c r="AAL317" s="89" t="str">
        <f>S.CodeName&amp;"SOS.NOTICE.PROOF"</f>
        <v>SOS.NOTICE.PROOF</v>
      </c>
      <c r="AAM317" s="112"/>
      <c r="AAN317"/>
      <c r="AAT317" s="23"/>
      <c r="AAU317" s="44"/>
    </row>
    <row r="318" spans="1:732" ht="15" outlineLevel="1">
      <c r="A318" s="558"/>
      <c r="B318" s="411" t="str">
        <f>AAL318</f>
        <v>SOS.FISCAL.PROOF</v>
      </c>
      <c r="C318" s="17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174</v>
      </c>
      <c r="AAG318" s="76"/>
      <c r="AAH318" s="76"/>
      <c r="AAI318" s="77"/>
      <c r="AAJ318" s="77"/>
      <c r="AAK318" s="77"/>
      <c r="AAL318" s="89" t="str">
        <f>S.CodeName&amp;"SOS.FISCAL.PROOF"</f>
        <v>SOS.FISCAL.PROOF</v>
      </c>
      <c r="AAM318" s="112"/>
      <c r="AAN318"/>
      <c r="AAT318" s="23"/>
      <c r="AAU318" s="44"/>
      <c r="AAV318" s="23"/>
      <c r="AAW318" s="23"/>
      <c r="AAX318" s="23"/>
      <c r="AAY318" s="23"/>
      <c r="AAZ318" s="23"/>
      <c r="ABA318" s="23"/>
      <c r="ABB318" s="23"/>
      <c r="ABC318" s="23"/>
      <c r="ABD318" s="23"/>
    </row>
    <row r="319" spans="1:732" ht="15.75" customHeight="1" outlineLevel="1">
      <c r="A319" s="558"/>
      <c r="B319" s="411" t="str">
        <f>AAL319</f>
        <v>SOS.HOUSING.COSTS</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D319" s="112"/>
      <c r="AAE319" s="551">
        <f t="shared" si="940"/>
        <v>1</v>
      </c>
      <c r="AAF319" s="583" t="s">
        <v>174</v>
      </c>
      <c r="AAG319" s="76"/>
      <c r="AAH319" s="76"/>
      <c r="AAI319" s="77"/>
      <c r="AAJ319" s="77"/>
      <c r="AAK319" s="77"/>
      <c r="AAL319" s="89" t="str">
        <f>S.CodeName&amp;"SOS.HOUSING.COSTS"</f>
        <v>SOS.HOUSING.COSTS</v>
      </c>
      <c r="AAM319" s="112"/>
      <c r="AAN319"/>
      <c r="AAT319" s="23"/>
      <c r="AAU319" s="44"/>
      <c r="AAV319" s="23"/>
      <c r="AAW319" s="23"/>
      <c r="AAX319" s="23"/>
      <c r="AAY319" s="23"/>
      <c r="AAZ319" s="23"/>
      <c r="ABA319" s="23"/>
      <c r="ABB319" s="23"/>
      <c r="ABC319" s="23"/>
      <c r="ABD319" s="23"/>
    </row>
    <row r="320" spans="1:732" s="23" customFormat="1" ht="15.75" customHeight="1" outlineLevel="1">
      <c r="A320" s="558"/>
      <c r="B320" s="411" t="str">
        <f>AAL320</f>
        <v>LC.NOTICE</v>
      </c>
      <c r="C320" s="713"/>
      <c r="D320" s="161"/>
      <c r="E320" s="160"/>
      <c r="F320" s="160"/>
      <c r="G320" s="161"/>
      <c r="H320" s="161"/>
      <c r="I320" s="588"/>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 t="shared" si="940"/>
        <v>1</v>
      </c>
      <c r="AAF320" s="583" t="s">
        <v>174</v>
      </c>
      <c r="AAG320" s="76"/>
      <c r="AAH320" s="76"/>
      <c r="AAI320" s="77"/>
      <c r="AAJ320" s="77"/>
      <c r="AAK320" s="77"/>
      <c r="AAL320" s="89" t="str">
        <f>S.CodeName&amp;"LC.NOTICE"</f>
        <v>LC.NOTICE</v>
      </c>
      <c r="AAM320" s="112"/>
      <c r="AAU320" s="44"/>
      <c r="AAV320"/>
      <c r="AAW320"/>
      <c r="AAX320"/>
      <c r="AAY320"/>
      <c r="AAZ320"/>
      <c r="ABA320"/>
      <c r="ABB320"/>
      <c r="ABC320"/>
      <c r="ABD320"/>
    </row>
    <row r="321" spans="1:732" s="23" customFormat="1" ht="15.75" customHeight="1" outlineLevel="1">
      <c r="A321" s="558"/>
      <c r="B321" s="533" t="str">
        <f>AAL324</f>
        <v>No DAS involvement</v>
      </c>
      <c r="C321" s="19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B321"/>
      <c r="AAC321"/>
      <c r="AAD321" s="112"/>
      <c r="AAE321" s="551">
        <f>IF(AND(S.InvolveFee=TRUE,S.DASApprovalRequired=FALSE),1,0)</f>
        <v>0</v>
      </c>
      <c r="AAF321" s="583" t="s">
        <v>174</v>
      </c>
      <c r="AAG321" s="76"/>
      <c r="AAH321" s="76"/>
      <c r="AAI321" s="77"/>
      <c r="AAJ321" s="77"/>
      <c r="AAK321" s="77"/>
      <c r="AAL321" s="89" t="str">
        <f>S.CodeName&amp;"LC.NOTICE.PROOF"</f>
        <v>LC.NOTICE.PROOF</v>
      </c>
      <c r="AAM321" s="112"/>
      <c r="AAU321" s="44"/>
      <c r="AAV321"/>
      <c r="AAW321"/>
      <c r="AAX321"/>
      <c r="AAY321"/>
      <c r="AAZ321"/>
      <c r="ABA321"/>
      <c r="ABB321"/>
      <c r="ABC321"/>
      <c r="ABD321"/>
    </row>
    <row r="322" spans="1:732" ht="15" outlineLevel="1">
      <c r="A322" s="558"/>
      <c r="B322" s="328" t="str">
        <f>AAL322</f>
        <v>DAS.EXEMPT.EMAIL</v>
      </c>
      <c r="C322" s="71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18"/>
      <c r="ZZ322" s="36"/>
      <c r="AAA322" s="588"/>
      <c r="AAD322" s="112"/>
      <c r="AAE322" s="551">
        <f>IF(AND(S.InvolveFee=TRUE,S.DASApprovalRequired=FALSE),1,0)</f>
        <v>0</v>
      </c>
      <c r="AAF322" s="583" t="s">
        <v>174</v>
      </c>
      <c r="AAG322" s="76"/>
      <c r="AAH322" s="76"/>
      <c r="AAI322" s="77"/>
      <c r="AAJ322" s="77"/>
      <c r="AAK322" s="77"/>
      <c r="AAL322" s="89" t="str">
        <f>S.CodeName&amp;"DAS.EXEMPT.EMAIL"</f>
        <v>DAS.EXEMPT.EMAIL</v>
      </c>
      <c r="AAM322" s="112"/>
      <c r="AAN322"/>
      <c r="AAT322" s="23"/>
      <c r="AAU322" s="44"/>
    </row>
    <row r="323" spans="1:732" ht="15" outlineLevel="1">
      <c r="A323" s="558"/>
      <c r="B323" s="328" t="str">
        <f>AAL323</f>
        <v>DAS.EXEMPT.EMAIL.PROOF</v>
      </c>
      <c r="C323" s="173"/>
      <c r="D323" s="161"/>
      <c r="E323" s="160"/>
      <c r="F323" s="160"/>
      <c r="G323" s="161"/>
      <c r="H323" s="161"/>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7"/>
      <c r="ZZ323" s="36"/>
      <c r="AAA323" s="588"/>
      <c r="AAD323" s="112"/>
      <c r="AAE323" s="551">
        <f>IF(AND(S.InvolveFee=TRUE,S.DASApprovalRequired=FALSE),1,0)</f>
        <v>0</v>
      </c>
      <c r="AAF323" s="583" t="s">
        <v>174</v>
      </c>
      <c r="AAG323" s="76"/>
      <c r="AAH323" s="76"/>
      <c r="AAI323" s="77"/>
      <c r="AAJ323" s="77"/>
      <c r="AAK323" s="77"/>
      <c r="AAL323" s="89" t="str">
        <f>S.CodeName&amp;"DAS.EXEMPT.EMAIL.PROOF"</f>
        <v>DAS.EXEMPT.EMAIL.PROOF</v>
      </c>
      <c r="AAM323" s="112"/>
      <c r="AAN323"/>
      <c r="AAT323" s="23"/>
      <c r="AAU323" s="44"/>
    </row>
    <row r="324" spans="1:732" ht="15" outlineLevel="1">
      <c r="A324" s="558"/>
      <c r="B324" s="407" t="s">
        <v>163</v>
      </c>
      <c r="C324" s="168"/>
      <c r="D324" s="277" t="s">
        <v>159</v>
      </c>
      <c r="E324" s="448">
        <f t="shared" ref="E324" si="943">NETWORKDAYS(G324,H324,S.DDL_DEQClosed)</f>
        <v>1</v>
      </c>
      <c r="F324" s="492">
        <f t="shared" ref="F324" ca="1" si="944">NETWORKDAYS(TODAY(),H324)</f>
        <v>27</v>
      </c>
      <c r="G324" s="472">
        <f t="shared" ref="G324:H324" si="945">AAG324</f>
        <v>41530</v>
      </c>
      <c r="H324" s="369">
        <f t="shared" si="945"/>
        <v>41530</v>
      </c>
      <c r="I324" s="627"/>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88"/>
      <c r="AAD324" s="112"/>
      <c r="AAE324" s="551">
        <f>IF(S.InvolveNotice=TRUE,1,0)</f>
        <v>1</v>
      </c>
      <c r="AAF324" s="112"/>
      <c r="AAG324" s="78">
        <f t="shared" ref="AAG324:AAG333" si="946">S.SubmitNoticeToSOS</f>
        <v>41530</v>
      </c>
      <c r="AAH324" s="78">
        <f>G324</f>
        <v>41530</v>
      </c>
      <c r="AAI324" s="77"/>
      <c r="AAJ324" s="77"/>
      <c r="AAK324" s="77"/>
      <c r="AAL324" s="89" t="str">
        <f>IF(S.DASApprovalRequired=TRUE,"No DAS involvement at this point",IF(S.InvolveFee=TRUE,"DAS notification for fees that don't require approval","No DAS involvement"))</f>
        <v>No DAS involvement</v>
      </c>
      <c r="AAM324" s="112"/>
      <c r="AAN324"/>
      <c r="AAT324" s="23"/>
      <c r="AAU324" s="44"/>
    </row>
    <row r="325" spans="1:732" ht="15" outlineLevel="1">
      <c r="A325" s="558"/>
      <c r="B325" s="362" t="s">
        <v>265</v>
      </c>
      <c r="C325" s="287" t="s">
        <v>88</v>
      </c>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42"/>
      <c r="ZZ325" s="36"/>
      <c r="AAA325" s="588"/>
      <c r="AAD325" s="112"/>
      <c r="AAE325" s="551">
        <f>IF(S.InvolveNotice=TRUE,1,0)</f>
        <v>1</v>
      </c>
      <c r="AAF325" s="583" t="s">
        <v>174</v>
      </c>
      <c r="AAG325" s="76"/>
      <c r="AAH325" s="76"/>
      <c r="AAI325" s="77"/>
      <c r="AAJ325" s="77"/>
      <c r="AAK325" s="77"/>
      <c r="AAL325" s="57"/>
      <c r="AAM325" s="112"/>
      <c r="AAN325"/>
      <c r="AAT325" s="23"/>
      <c r="AAU325" s="44"/>
    </row>
    <row r="326" spans="1:732" ht="15" outlineLevel="1">
      <c r="A326" s="558"/>
      <c r="B326" s="408" t="s">
        <v>103</v>
      </c>
      <c r="C326" s="168"/>
      <c r="D326" s="185"/>
      <c r="E326" s="186"/>
      <c r="F326" s="186"/>
      <c r="G326" s="185"/>
      <c r="H326" s="185"/>
      <c r="I326" s="588"/>
      <c r="J326" s="592"/>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618"/>
      <c r="ZZ326" s="36"/>
      <c r="AAA326" s="588"/>
      <c r="AAD326" s="112"/>
      <c r="AAE326" s="551">
        <f>IF(S.InvolveNotice=TRUE,1,0)</f>
        <v>1</v>
      </c>
      <c r="AAF326" s="583" t="s">
        <v>174</v>
      </c>
      <c r="AAG326" s="76"/>
      <c r="AAH326" s="76"/>
      <c r="AAI326" s="77"/>
      <c r="AAJ326" s="77"/>
      <c r="AAK326" s="77"/>
      <c r="AAL326" s="57"/>
      <c r="AAM326" s="112"/>
      <c r="AAN326"/>
      <c r="AAT326" s="23"/>
      <c r="AAU326" s="44"/>
    </row>
    <row r="327" spans="1:732" ht="15" outlineLevel="1">
      <c r="A327" s="558"/>
      <c r="B327" s="408" t="s">
        <v>118</v>
      </c>
      <c r="C327" s="228" t="s">
        <v>88</v>
      </c>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IF(S.InvolveHearing=TRUE,1,0)</f>
        <v>1</v>
      </c>
      <c r="AAF327" s="583" t="s">
        <v>174</v>
      </c>
      <c r="AAG327" s="76"/>
      <c r="AAH327" s="76"/>
      <c r="AAI327" s="77"/>
      <c r="AAJ327" s="77"/>
      <c r="AAK327" s="77"/>
      <c r="AAL327" s="57"/>
      <c r="AAM327" s="112"/>
      <c r="AAN327"/>
      <c r="AAT327" s="23"/>
      <c r="AAU327" s="44"/>
    </row>
    <row r="328" spans="1:732" ht="15" outlineLevel="1">
      <c r="A328" s="558"/>
      <c r="B328" s="408" t="s">
        <v>105</v>
      </c>
      <c r="C328" s="168"/>
      <c r="D328" s="185"/>
      <c r="E328" s="186"/>
      <c r="F328" s="186"/>
      <c r="G328" s="185"/>
      <c r="H328" s="185"/>
      <c r="I328" s="588"/>
      <c r="J328" s="596"/>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c r="IS328" s="52"/>
      <c r="IT328" s="52"/>
      <c r="IU328" s="52"/>
      <c r="IV328" s="52"/>
      <c r="IW328" s="52"/>
      <c r="IX328" s="52"/>
      <c r="IY328" s="52"/>
      <c r="IZ328" s="52"/>
      <c r="JA328" s="52"/>
      <c r="JB328" s="52"/>
      <c r="JC328" s="52"/>
      <c r="JD328" s="52"/>
      <c r="JE328" s="52"/>
      <c r="JF328" s="52"/>
      <c r="JG328" s="52"/>
      <c r="JH328" s="52"/>
      <c r="JI328" s="52"/>
      <c r="JJ328" s="52"/>
      <c r="JK328" s="52"/>
      <c r="JL328" s="52"/>
      <c r="JM328" s="52"/>
      <c r="JN328" s="52"/>
      <c r="JO328" s="52"/>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52"/>
      <c r="KR328" s="52"/>
      <c r="KS328" s="52"/>
      <c r="KT328" s="52"/>
      <c r="KU328" s="52"/>
      <c r="KV328" s="52"/>
      <c r="KW328" s="52"/>
      <c r="KX328" s="52"/>
      <c r="KY328" s="52"/>
      <c r="KZ328" s="52"/>
      <c r="LA328" s="52"/>
      <c r="LB328" s="52"/>
      <c r="LC328" s="52"/>
      <c r="LD328" s="52"/>
      <c r="LE328" s="52"/>
      <c r="LF328" s="52"/>
      <c r="LG328" s="52"/>
      <c r="LH328" s="52"/>
      <c r="LI328" s="52"/>
      <c r="LJ328" s="52"/>
      <c r="LK328" s="52"/>
      <c r="LL328" s="52"/>
      <c r="LM328" s="52"/>
      <c r="LN328" s="52"/>
      <c r="LO328" s="52"/>
      <c r="LP328" s="52"/>
      <c r="LQ328" s="52"/>
      <c r="LR328" s="52"/>
      <c r="LS328" s="52"/>
      <c r="LT328" s="52"/>
      <c r="LU328" s="52"/>
      <c r="LV328" s="52"/>
      <c r="LW328" s="52"/>
      <c r="LX328" s="52"/>
      <c r="LY328" s="52"/>
      <c r="LZ328" s="52"/>
      <c r="MA328" s="52"/>
      <c r="MB328" s="52"/>
      <c r="MC328" s="52"/>
      <c r="MD328" s="52"/>
      <c r="ME328" s="52"/>
      <c r="MF328" s="52"/>
      <c r="MG328" s="52"/>
      <c r="MH328" s="52"/>
      <c r="MI328" s="52"/>
      <c r="MJ328" s="52"/>
      <c r="MK328" s="52"/>
      <c r="ML328" s="52"/>
      <c r="MM328" s="52"/>
      <c r="MN328" s="52"/>
      <c r="MO328" s="52"/>
      <c r="MP328" s="52"/>
      <c r="MQ328" s="52"/>
      <c r="MR328" s="52"/>
      <c r="MS328" s="52"/>
      <c r="MT328" s="52"/>
      <c r="MU328" s="52"/>
      <c r="MV328" s="52"/>
      <c r="MW328" s="52"/>
      <c r="MX328" s="52"/>
      <c r="MY328" s="52"/>
      <c r="MZ328" s="52"/>
      <c r="NA328" s="52"/>
      <c r="NB328" s="52"/>
      <c r="NC328" s="52"/>
      <c r="ND328" s="52"/>
      <c r="NE328" s="52"/>
      <c r="NF328" s="52"/>
      <c r="NG328" s="52"/>
      <c r="NH328" s="52"/>
      <c r="NI328" s="52"/>
      <c r="NJ328" s="52"/>
      <c r="NK328" s="52"/>
      <c r="NL328" s="52"/>
      <c r="NM328" s="52"/>
      <c r="NN328" s="52"/>
      <c r="NO328" s="52"/>
      <c r="NP328" s="52"/>
      <c r="NQ328" s="52"/>
      <c r="NR328" s="52"/>
      <c r="NS328" s="52"/>
      <c r="NT328" s="52"/>
      <c r="NU328" s="52"/>
      <c r="NV328" s="52"/>
      <c r="NW328" s="52"/>
      <c r="NX328" s="52"/>
      <c r="NY328" s="52"/>
      <c r="NZ328" s="52"/>
      <c r="OA328" s="52"/>
      <c r="OB328" s="52"/>
      <c r="OC328" s="52"/>
      <c r="OD328" s="52"/>
      <c r="OE328" s="52"/>
      <c r="OF328" s="52"/>
      <c r="OG328" s="52"/>
      <c r="OH328" s="52"/>
      <c r="OI328" s="52"/>
      <c r="OJ328" s="52"/>
      <c r="OK328" s="52"/>
      <c r="OL328" s="52"/>
      <c r="OM328" s="52"/>
      <c r="ON328" s="52"/>
      <c r="OO328" s="52"/>
      <c r="OP328" s="52"/>
      <c r="OQ328" s="52"/>
      <c r="OR328" s="52"/>
      <c r="OS328" s="52"/>
      <c r="OT328" s="52"/>
      <c r="OU328" s="52"/>
      <c r="OV328" s="52"/>
      <c r="OW328" s="52"/>
      <c r="OX328" s="52"/>
      <c r="OY328" s="52"/>
      <c r="OZ328" s="52"/>
      <c r="PA328" s="52"/>
      <c r="PB328" s="52"/>
      <c r="PC328" s="52"/>
      <c r="PD328" s="52"/>
      <c r="PE328" s="52"/>
      <c r="PF328" s="52"/>
      <c r="PG328" s="52"/>
      <c r="PH328" s="52"/>
      <c r="PI328" s="52"/>
      <c r="PJ328" s="52"/>
      <c r="PK328" s="52"/>
      <c r="PL328" s="52"/>
      <c r="PM328" s="52"/>
      <c r="PN328" s="52"/>
      <c r="PO328" s="52"/>
      <c r="PP328" s="52"/>
      <c r="PQ328" s="52"/>
      <c r="PR328" s="52"/>
      <c r="PS328" s="52"/>
      <c r="PT328" s="52"/>
      <c r="PU328" s="52"/>
      <c r="PV328" s="52"/>
      <c r="PW328" s="52"/>
      <c r="PX328" s="52"/>
      <c r="PY328" s="52"/>
      <c r="PZ328" s="52"/>
      <c r="QA328" s="52"/>
      <c r="QB328" s="52"/>
      <c r="QC328" s="52"/>
      <c r="QD328" s="52"/>
      <c r="QE328" s="52"/>
      <c r="QF328" s="52"/>
      <c r="QG328" s="52"/>
      <c r="QH328" s="52"/>
      <c r="QI328" s="52"/>
      <c r="QJ328" s="52"/>
      <c r="QK328" s="52"/>
      <c r="QL328" s="52"/>
      <c r="QM328" s="52"/>
      <c r="QN328" s="52"/>
      <c r="QO328" s="52"/>
      <c r="QP328" s="52"/>
      <c r="QQ328" s="52"/>
      <c r="QR328" s="52"/>
      <c r="QS328" s="52"/>
      <c r="QT328" s="52"/>
      <c r="QU328" s="52"/>
      <c r="QV328" s="52"/>
      <c r="QW328" s="52"/>
      <c r="QX328" s="52"/>
      <c r="QY328" s="52"/>
      <c r="QZ328" s="52"/>
      <c r="RA328" s="52"/>
      <c r="RB328" s="52"/>
      <c r="RC328" s="52"/>
      <c r="RD328" s="52"/>
      <c r="RE328" s="52"/>
      <c r="RF328" s="52"/>
      <c r="RG328" s="52"/>
      <c r="RH328" s="52"/>
      <c r="RI328" s="52"/>
      <c r="RJ328" s="52"/>
      <c r="RK328" s="52"/>
      <c r="RL328" s="52"/>
      <c r="RM328" s="52"/>
      <c r="RN328" s="52"/>
      <c r="RO328" s="52"/>
      <c r="RP328" s="52"/>
      <c r="RQ328" s="52"/>
      <c r="RR328" s="52"/>
      <c r="RS328" s="52"/>
      <c r="RT328" s="52"/>
      <c r="RU328" s="52"/>
      <c r="RV328" s="52"/>
      <c r="RW328" s="52"/>
      <c r="RX328" s="52"/>
      <c r="RY328" s="52"/>
      <c r="RZ328" s="52"/>
      <c r="SA328" s="52"/>
      <c r="SB328" s="52"/>
      <c r="SC328" s="52"/>
      <c r="SD328" s="52"/>
      <c r="SE328" s="52"/>
      <c r="SF328" s="52"/>
      <c r="SG328" s="52"/>
      <c r="SH328" s="52"/>
      <c r="SI328" s="52"/>
      <c r="SJ328" s="52"/>
      <c r="SK328" s="52"/>
      <c r="SL328" s="52"/>
      <c r="SM328" s="52"/>
      <c r="SN328" s="52"/>
      <c r="SO328" s="52"/>
      <c r="SP328" s="52"/>
      <c r="SQ328" s="52"/>
      <c r="SR328" s="52"/>
      <c r="SS328" s="52"/>
      <c r="ST328" s="52"/>
      <c r="SU328" s="52"/>
      <c r="SV328" s="52"/>
      <c r="SW328" s="52"/>
      <c r="SX328" s="52"/>
      <c r="SY328" s="52"/>
      <c r="SZ328" s="52"/>
      <c r="TA328" s="52"/>
      <c r="TB328" s="52"/>
      <c r="TC328" s="52"/>
      <c r="TD328" s="52"/>
      <c r="TE328" s="52"/>
      <c r="TF328" s="52"/>
      <c r="TG328" s="52"/>
      <c r="TH328" s="52"/>
      <c r="TI328" s="52"/>
      <c r="TJ328" s="52"/>
      <c r="TK328" s="52"/>
      <c r="TL328" s="52"/>
      <c r="TM328" s="52"/>
      <c r="TN328" s="52"/>
      <c r="TO328" s="52"/>
      <c r="TP328" s="52"/>
      <c r="TQ328" s="52"/>
      <c r="TR328" s="52"/>
      <c r="TS328" s="52"/>
      <c r="TT328" s="52"/>
      <c r="TU328" s="52"/>
      <c r="TV328" s="52"/>
      <c r="TW328" s="52"/>
      <c r="TX328" s="52"/>
      <c r="TY328" s="52"/>
      <c r="TZ328" s="52"/>
      <c r="UA328" s="52"/>
      <c r="UB328" s="52"/>
      <c r="UC328" s="52"/>
      <c r="UD328" s="52"/>
      <c r="UE328" s="52"/>
      <c r="UF328" s="52"/>
      <c r="UG328" s="52"/>
      <c r="UH328" s="52"/>
      <c r="UI328" s="52"/>
      <c r="UJ328" s="52"/>
      <c r="UK328" s="52"/>
      <c r="UL328" s="52"/>
      <c r="UM328" s="52"/>
      <c r="UN328" s="52"/>
      <c r="UO328" s="52"/>
      <c r="UP328" s="52"/>
      <c r="UQ328" s="52"/>
      <c r="UR328" s="52"/>
      <c r="US328" s="52"/>
      <c r="UT328" s="52"/>
      <c r="UU328" s="52"/>
      <c r="UV328" s="52"/>
      <c r="UW328" s="52"/>
      <c r="UX328" s="52"/>
      <c r="UY328" s="52"/>
      <c r="UZ328" s="52"/>
      <c r="VA328" s="52"/>
      <c r="VB328" s="52"/>
      <c r="VC328" s="52"/>
      <c r="VD328" s="52"/>
      <c r="VE328" s="52"/>
      <c r="VF328" s="52"/>
      <c r="VG328" s="52"/>
      <c r="VH328" s="52"/>
      <c r="VI328" s="52"/>
      <c r="VJ328" s="52"/>
      <c r="VK328" s="52"/>
      <c r="VL328" s="52"/>
      <c r="VM328" s="52"/>
      <c r="VN328" s="52"/>
      <c r="VO328" s="52"/>
      <c r="VP328" s="52"/>
      <c r="VQ328" s="52"/>
      <c r="VR328" s="52"/>
      <c r="VS328" s="52"/>
      <c r="VT328" s="52"/>
      <c r="VU328" s="52"/>
      <c r="VV328" s="52"/>
      <c r="VW328" s="52"/>
      <c r="VX328" s="52"/>
      <c r="VY328" s="52"/>
      <c r="VZ328" s="52"/>
      <c r="WA328" s="52"/>
      <c r="WB328" s="52"/>
      <c r="WC328" s="52"/>
      <c r="WD328" s="52"/>
      <c r="WE328" s="52"/>
      <c r="WF328" s="52"/>
      <c r="WG328" s="52"/>
      <c r="WH328" s="52"/>
      <c r="WI328" s="52"/>
      <c r="WJ328" s="52"/>
      <c r="WK328" s="52"/>
      <c r="WL328" s="52"/>
      <c r="WM328" s="52"/>
      <c r="WN328" s="52"/>
      <c r="WO328" s="52"/>
      <c r="WP328" s="52"/>
      <c r="WQ328" s="52"/>
      <c r="WR328" s="52"/>
      <c r="WS328" s="52"/>
      <c r="WT328" s="52"/>
      <c r="WU328" s="52"/>
      <c r="WV328" s="52"/>
      <c r="WW328" s="52"/>
      <c r="WX328" s="52"/>
      <c r="WY328" s="52"/>
      <c r="WZ328" s="52"/>
      <c r="XA328" s="52"/>
      <c r="XB328" s="52"/>
      <c r="XC328" s="52"/>
      <c r="XD328" s="52"/>
      <c r="XE328" s="52"/>
      <c r="XF328" s="52"/>
      <c r="XG328" s="52"/>
      <c r="XH328" s="52"/>
      <c r="XI328" s="52"/>
      <c r="XJ328" s="52"/>
      <c r="XK328" s="52"/>
      <c r="XL328" s="52"/>
      <c r="XM328" s="52"/>
      <c r="XN328" s="52"/>
      <c r="XO328" s="52"/>
      <c r="XP328" s="52"/>
      <c r="XQ328" s="52"/>
      <c r="XR328" s="52"/>
      <c r="XS328" s="52"/>
      <c r="XT328" s="52"/>
      <c r="XU328" s="52"/>
      <c r="XV328" s="52"/>
      <c r="XW328" s="52"/>
      <c r="XX328" s="52"/>
      <c r="XY328" s="52"/>
      <c r="XZ328" s="52"/>
      <c r="YA328" s="52"/>
      <c r="YB328" s="52"/>
      <c r="YC328" s="52"/>
      <c r="YD328" s="52"/>
      <c r="YE328" s="52"/>
      <c r="YF328" s="52"/>
      <c r="YG328" s="52"/>
      <c r="YH328" s="52"/>
      <c r="YI328" s="52"/>
      <c r="YJ328" s="52"/>
      <c r="YK328" s="52"/>
      <c r="YL328" s="52"/>
      <c r="YM328" s="52"/>
      <c r="YN328" s="52"/>
      <c r="YO328" s="52"/>
      <c r="YP328" s="52"/>
      <c r="YQ328" s="52"/>
      <c r="YR328" s="52"/>
      <c r="YS328" s="52"/>
      <c r="YT328" s="52"/>
      <c r="YU328" s="52"/>
      <c r="YV328" s="52"/>
      <c r="YW328" s="52"/>
      <c r="YX328" s="52"/>
      <c r="YY328" s="52"/>
      <c r="YZ328" s="52"/>
      <c r="ZA328" s="52"/>
      <c r="ZB328" s="52"/>
      <c r="ZC328" s="52"/>
      <c r="ZD328" s="52"/>
      <c r="ZE328" s="52"/>
      <c r="ZF328" s="52"/>
      <c r="ZG328" s="52"/>
      <c r="ZH328" s="52"/>
      <c r="ZI328" s="52"/>
      <c r="ZJ328" s="52"/>
      <c r="ZK328" s="52"/>
      <c r="ZL328" s="52"/>
      <c r="ZM328" s="52"/>
      <c r="ZN328" s="52"/>
      <c r="ZO328" s="52"/>
      <c r="ZP328" s="52"/>
      <c r="ZQ328" s="52"/>
      <c r="ZR328" s="52"/>
      <c r="ZS328" s="52"/>
      <c r="ZT328" s="52"/>
      <c r="ZU328" s="52"/>
      <c r="ZV328" s="52"/>
      <c r="ZW328" s="52"/>
      <c r="ZX328" s="52"/>
      <c r="ZY328" s="620"/>
      <c r="ZZ328" s="623"/>
      <c r="AAA328" s="588"/>
      <c r="AAD328" s="112"/>
      <c r="AAE328" s="551">
        <f t="shared" ref="AAE328:AAE339" si="947">IF(S.InvolveNotice=TRUE,1,0)</f>
        <v>1</v>
      </c>
      <c r="AAF328" s="583" t="s">
        <v>174</v>
      </c>
      <c r="AAG328" s="76"/>
      <c r="AAH328" s="76"/>
      <c r="AAI328" s="77"/>
      <c r="AAJ328" s="77"/>
      <c r="AAK328" s="77"/>
      <c r="AAL328" s="57"/>
      <c r="AAM328" s="112"/>
      <c r="AAN328"/>
      <c r="AAT328" s="23"/>
      <c r="AAU328" s="44"/>
    </row>
    <row r="329" spans="1:732" ht="15" outlineLevel="1">
      <c r="A329" s="558"/>
      <c r="B329" s="408" t="s">
        <v>104</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174</v>
      </c>
      <c r="AAG329" s="76"/>
      <c r="AAH329" s="76"/>
      <c r="AAI329" s="77"/>
      <c r="AAJ329" s="77"/>
      <c r="AAK329" s="77"/>
      <c r="AAL329" s="57"/>
      <c r="AAM329" s="112"/>
      <c r="AAN329"/>
      <c r="AAT329" s="23"/>
      <c r="AAU329" s="44"/>
    </row>
    <row r="330" spans="1:732" ht="15" outlineLevel="1">
      <c r="A330" s="558"/>
      <c r="B330" s="409" t="str">
        <f>AAL330</f>
        <v>GOV.DELIVERY.CONTENT"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174</v>
      </c>
      <c r="AAG330" s="76"/>
      <c r="AAH330" s="76"/>
      <c r="AAI330" s="77"/>
      <c r="AAJ330" s="77"/>
      <c r="AAK330" s="77"/>
      <c r="AAL330" s="89" t="s">
        <v>310</v>
      </c>
      <c r="AAM330" s="112"/>
      <c r="AAN330"/>
      <c r="AAT330" s="23"/>
      <c r="AAU330" s="44"/>
    </row>
    <row r="331" spans="1:732" ht="15" outlineLevel="1">
      <c r="A331" s="558"/>
      <c r="B331" s="409" t="str">
        <f>AAL331</f>
        <v>Save AGENCY.MAILING.LIST</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174</v>
      </c>
      <c r="AAG331" s="76"/>
      <c r="AAH331" s="76"/>
      <c r="AAI331" s="77"/>
      <c r="AAJ331" s="77"/>
      <c r="AAK331" s="77"/>
      <c r="AAL331" s="89" t="str">
        <f>"Save "&amp;S.CodeName&amp;"AGENCY.MAILING.LIST"</f>
        <v>Save AGENCY.MAILING.LIST</v>
      </c>
      <c r="AAM331" s="112"/>
      <c r="AAN331"/>
      <c r="AAT331" s="23"/>
      <c r="AAU331" s="44"/>
    </row>
    <row r="332" spans="1:732" ht="15" outlineLevel="1">
      <c r="A332" s="558"/>
      <c r="B332" s="328" t="str">
        <f>AAL332</f>
        <v>Save PROOF.OF.DELIVERY</v>
      </c>
      <c r="C332" s="168"/>
      <c r="D332" s="161"/>
      <c r="E332" s="160"/>
      <c r="F332" s="160"/>
      <c r="G332" s="161"/>
      <c r="H332" s="161"/>
      <c r="I332" s="588"/>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8"/>
      <c r="ZZ332" s="36"/>
      <c r="AAA332" s="588"/>
      <c r="AAD332" s="112"/>
      <c r="AAE332" s="551">
        <f t="shared" si="947"/>
        <v>1</v>
      </c>
      <c r="AAF332" s="583" t="s">
        <v>174</v>
      </c>
      <c r="AAG332" s="76"/>
      <c r="AAH332" s="76"/>
      <c r="AAI332" s="77"/>
      <c r="AAJ332" s="77"/>
      <c r="AAK332" s="77"/>
      <c r="AAL332" s="89" t="str">
        <f>"Save "&amp;S.CodeName&amp;"PROOF.OF.DELIVERY"</f>
        <v>Save PROOF.OF.DELIVERY</v>
      </c>
      <c r="AAM332" s="112"/>
      <c r="AAN332"/>
      <c r="AAT332" s="23"/>
      <c r="AAU332" s="44"/>
    </row>
    <row r="333" spans="1:732" ht="15" outlineLevel="1">
      <c r="A333" s="558"/>
      <c r="B333" s="407" t="s">
        <v>162</v>
      </c>
      <c r="C333" s="168"/>
      <c r="D333" s="277" t="s">
        <v>161</v>
      </c>
      <c r="E333" s="448">
        <f t="shared" ref="E333" si="948">NETWORKDAYS(G333,H333,S.DDL_DEQClosed)</f>
        <v>1</v>
      </c>
      <c r="F333" s="492">
        <f t="shared" ref="F333" ca="1" si="949">NETWORKDAYS(TODAY(),H333)</f>
        <v>27</v>
      </c>
      <c r="G333" s="472">
        <f t="shared" ref="G333:H333" si="950">AAG333</f>
        <v>41530</v>
      </c>
      <c r="H333" s="369">
        <f t="shared" si="950"/>
        <v>41530</v>
      </c>
      <c r="I333" s="627"/>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50"/>
      <c r="ZZ333" s="50"/>
      <c r="AAA333" s="588"/>
      <c r="AAD333" s="112"/>
      <c r="AAE333" s="551">
        <f t="shared" si="947"/>
        <v>1</v>
      </c>
      <c r="AAF333" s="112"/>
      <c r="AAG333" s="78">
        <f t="shared" si="946"/>
        <v>41530</v>
      </c>
      <c r="AAH333" s="78">
        <f>G333</f>
        <v>41530</v>
      </c>
      <c r="AAI333" s="77"/>
      <c r="AAJ333" s="77"/>
      <c r="AAK333" s="77"/>
      <c r="AAL333" s="57"/>
      <c r="AAM333" s="112"/>
      <c r="AAN333"/>
      <c r="AAT333" s="23"/>
      <c r="AAU333" s="44"/>
    </row>
    <row r="334" spans="1:732" ht="15" outlineLevel="1">
      <c r="A334" s="558"/>
      <c r="B334" s="410" t="str">
        <f>AAL334</f>
        <v>Send KEY.LEG.NOTICE</v>
      </c>
      <c r="C334" s="715"/>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174</v>
      </c>
      <c r="AAG334" s="76"/>
      <c r="AAH334" s="76"/>
      <c r="AAI334" s="77"/>
      <c r="AAJ334" s="77"/>
      <c r="AAK334" s="77"/>
      <c r="AAL334" s="89" t="str">
        <f>"Send "&amp;S.CodeName&amp;"KEY.LEG.NOTICE"</f>
        <v>Send KEY.LEG.NOTICE</v>
      </c>
      <c r="AAM334" s="112"/>
      <c r="AAN334"/>
      <c r="AAT334" s="23"/>
      <c r="AAU334" s="44"/>
    </row>
    <row r="335" spans="1:732" ht="15" outlineLevel="1">
      <c r="A335" s="558"/>
      <c r="B335" s="328" t="str">
        <f>AAL335</f>
        <v>Save KEY.LEG.PROOF</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174</v>
      </c>
      <c r="AAG335" s="76"/>
      <c r="AAH335" s="76"/>
      <c r="AAI335" s="77"/>
      <c r="AAJ335" s="77"/>
      <c r="AAK335" s="77"/>
      <c r="AAL335" s="89" t="str">
        <f>"Save "&amp;S.CodeName&amp;"KEY.LEG.PROOF"</f>
        <v>Save KEY.LEG.PROOF</v>
      </c>
      <c r="AAM335" s="112"/>
      <c r="AAN335"/>
      <c r="AAT335" s="23"/>
      <c r="AAU335" s="44"/>
    </row>
    <row r="336" spans="1:732" ht="15" outlineLevel="1">
      <c r="A336" s="558"/>
      <c r="B336" s="362" t="s">
        <v>176</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174</v>
      </c>
      <c r="AAG336" s="76"/>
      <c r="AAH336" s="76"/>
      <c r="AAI336" s="77"/>
      <c r="AAJ336" s="77"/>
      <c r="AAK336" s="77"/>
      <c r="AAL336" s="57"/>
      <c r="AAM336" s="112"/>
      <c r="AAN336"/>
      <c r="AAT336" s="23"/>
      <c r="AAU336" s="44"/>
    </row>
    <row r="337" spans="1:732" ht="15" outlineLevel="1">
      <c r="A337" s="558"/>
      <c r="B337" s="328" t="str">
        <f>AAL337</f>
        <v>Save ##PRINT.PROOF</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174</v>
      </c>
      <c r="AAG337" s="76"/>
      <c r="AAH337" s="76"/>
      <c r="AAI337" s="77"/>
      <c r="AAJ337" s="77"/>
      <c r="AAK337" s="77"/>
      <c r="AAL337" s="89" t="str">
        <f>"Save "&amp;S.CodeName&amp;"##PRINT.PROOF"</f>
        <v>Save ##PRINT.PROOF</v>
      </c>
      <c r="AAM337" s="112"/>
      <c r="AAN337"/>
      <c r="AAT337" s="23"/>
      <c r="AAU337" s="44"/>
    </row>
    <row r="338" spans="1:732" ht="15.75" customHeight="1" outlineLevel="1">
      <c r="A338" s="558"/>
      <c r="B338" s="408" t="s">
        <v>45</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174</v>
      </c>
      <c r="AAG338" s="76"/>
      <c r="AAH338" s="76"/>
      <c r="AAI338" s="77"/>
      <c r="AAJ338" s="77"/>
      <c r="AAK338" s="77"/>
      <c r="AAL338" s="57"/>
      <c r="AAM338" s="112"/>
      <c r="AAN338"/>
      <c r="AAT338" s="23"/>
      <c r="AAU338" s="44"/>
    </row>
    <row r="339" spans="1:732" ht="15" outlineLevel="1">
      <c r="A339" s="558"/>
      <c r="B339" s="286" t="str">
        <f>AAL339</f>
        <v>Save BULLETIN.PROOF</v>
      </c>
      <c r="C339" s="168"/>
      <c r="D339" s="161"/>
      <c r="E339" s="160"/>
      <c r="F339" s="160"/>
      <c r="G339" s="161"/>
      <c r="H339" s="161"/>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f t="shared" si="947"/>
        <v>1</v>
      </c>
      <c r="AAF339" s="583" t="s">
        <v>174</v>
      </c>
      <c r="AAG339" s="76"/>
      <c r="AAH339" s="76"/>
      <c r="AAI339" s="77"/>
      <c r="AAJ339" s="77"/>
      <c r="AAK339" s="77"/>
      <c r="AAL339" s="89" t="str">
        <f>"Save "&amp;S.CodeName&amp;"BULLETIN.PROOF"</f>
        <v>Save BULLETIN.PROOF</v>
      </c>
      <c r="AAM339" s="112"/>
      <c r="AAN339"/>
      <c r="AAT339" s="23"/>
      <c r="AAU339" s="44"/>
    </row>
    <row r="340" spans="1:732" ht="6" customHeight="1">
      <c r="A340" s="558"/>
      <c r="B340" s="288"/>
      <c r="C340" s="289"/>
      <c r="D340" s="290"/>
      <c r="E340" s="291" t="s">
        <v>0</v>
      </c>
      <c r="F340" s="291" t="s">
        <v>0</v>
      </c>
      <c r="G340" s="292"/>
      <c r="H340" s="292"/>
      <c r="I340" s="588"/>
      <c r="J340" s="592"/>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c r="EL340" s="50"/>
      <c r="EM340" s="50"/>
      <c r="EN340" s="50"/>
      <c r="EO340" s="50"/>
      <c r="EP340" s="50"/>
      <c r="EQ340" s="50"/>
      <c r="ER340" s="50"/>
      <c r="ES340" s="50"/>
      <c r="ET340" s="50"/>
      <c r="EU340" s="50"/>
      <c r="EV340" s="50"/>
      <c r="EW340" s="50"/>
      <c r="EX340" s="50"/>
      <c r="EY340" s="50"/>
      <c r="EZ340" s="50"/>
      <c r="FA340" s="50"/>
      <c r="FB340" s="50"/>
      <c r="FC340" s="50"/>
      <c r="FD340" s="50"/>
      <c r="FE340" s="50"/>
      <c r="FF340" s="50"/>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c r="IE340" s="50"/>
      <c r="IF340" s="50"/>
      <c r="IG340" s="50"/>
      <c r="IH340" s="50"/>
      <c r="II340" s="50"/>
      <c r="IJ340" s="50"/>
      <c r="IK340" s="50"/>
      <c r="IL340" s="50"/>
      <c r="IM340" s="50"/>
      <c r="IN340" s="50"/>
      <c r="IO340" s="50"/>
      <c r="IP340" s="50"/>
      <c r="IQ340" s="50"/>
      <c r="IR340" s="50"/>
      <c r="IS340" s="50"/>
      <c r="IT340" s="50"/>
      <c r="IU340" s="50"/>
      <c r="IV340" s="50"/>
      <c r="IW340" s="50"/>
      <c r="IX340" s="50"/>
      <c r="IY340" s="50"/>
      <c r="IZ340" s="50"/>
      <c r="JA340" s="50"/>
      <c r="JB340" s="50"/>
      <c r="JC340" s="50"/>
      <c r="JD340" s="50"/>
      <c r="JE340" s="50"/>
      <c r="JF340" s="50"/>
      <c r="JG340" s="50"/>
      <c r="JH340" s="50"/>
      <c r="JI340" s="50"/>
      <c r="JJ340" s="50"/>
      <c r="JK340" s="50"/>
      <c r="JL340" s="50"/>
      <c r="JM340" s="50"/>
      <c r="JN340" s="50"/>
      <c r="JO340" s="50"/>
      <c r="JP340" s="50"/>
      <c r="JQ340" s="50"/>
      <c r="JR340" s="50"/>
      <c r="JS340" s="50"/>
      <c r="JT340" s="50"/>
      <c r="JU340" s="50"/>
      <c r="JV340" s="50"/>
      <c r="JW340" s="50"/>
      <c r="JX340" s="50"/>
      <c r="JY340" s="50"/>
      <c r="JZ340" s="50"/>
      <c r="KA340" s="50"/>
      <c r="KB340" s="50"/>
      <c r="KC340" s="50"/>
      <c r="KD340" s="50"/>
      <c r="KE340" s="50"/>
      <c r="KF340" s="50"/>
      <c r="KG340" s="50"/>
      <c r="KH340" s="50"/>
      <c r="KI340" s="50"/>
      <c r="KJ340" s="50"/>
      <c r="KK340" s="50"/>
      <c r="KL340" s="50"/>
      <c r="KM340" s="50"/>
      <c r="KN340" s="50"/>
      <c r="KO340" s="50"/>
      <c r="KP340" s="50"/>
      <c r="KQ340" s="50"/>
      <c r="KR340" s="50"/>
      <c r="KS340" s="50"/>
      <c r="KT340" s="50"/>
      <c r="KU340" s="50"/>
      <c r="KV340" s="50"/>
      <c r="KW340" s="50"/>
      <c r="KX340" s="50"/>
      <c r="KY340" s="50"/>
      <c r="KZ340" s="50"/>
      <c r="LA340" s="50"/>
      <c r="LB340" s="50"/>
      <c r="LC340" s="50"/>
      <c r="LD340" s="50"/>
      <c r="LE340" s="50"/>
      <c r="LF340" s="50"/>
      <c r="LG340" s="50"/>
      <c r="LH340" s="50"/>
      <c r="LI340" s="50"/>
      <c r="LJ340" s="50"/>
      <c r="LK340" s="50"/>
      <c r="LL340" s="50"/>
      <c r="LM340" s="50"/>
      <c r="LN340" s="50"/>
      <c r="LO340" s="50"/>
      <c r="LP340" s="50"/>
      <c r="LQ340" s="50"/>
      <c r="LR340" s="50"/>
      <c r="LS340" s="50"/>
      <c r="LT340" s="50"/>
      <c r="LU340" s="50"/>
      <c r="LV340" s="50"/>
      <c r="LW340" s="50"/>
      <c r="LX340" s="50"/>
      <c r="LY340" s="50"/>
      <c r="LZ340" s="50"/>
      <c r="MA340" s="50"/>
      <c r="MB340" s="50"/>
      <c r="MC340" s="50"/>
      <c r="MD340" s="50"/>
      <c r="ME340" s="50"/>
      <c r="MF340" s="50"/>
      <c r="MG340" s="50"/>
      <c r="MH340" s="50"/>
      <c r="MI340" s="50"/>
      <c r="MJ340" s="50"/>
      <c r="MK340" s="50"/>
      <c r="ML340" s="50"/>
      <c r="MM340" s="50"/>
      <c r="MN340" s="50"/>
      <c r="MO340" s="50"/>
      <c r="MP340" s="50"/>
      <c r="MQ340" s="50"/>
      <c r="MR340" s="50"/>
      <c r="MS340" s="50"/>
      <c r="MT340" s="50"/>
      <c r="MU340" s="50"/>
      <c r="MV340" s="50"/>
      <c r="MW340" s="50"/>
      <c r="MX340" s="50"/>
      <c r="MY340" s="50"/>
      <c r="MZ340" s="50"/>
      <c r="NA340" s="50"/>
      <c r="NB340" s="50"/>
      <c r="NC340" s="50"/>
      <c r="ND340" s="50"/>
      <c r="NE340" s="50"/>
      <c r="NF340" s="50"/>
      <c r="NG340" s="50"/>
      <c r="NH340" s="50"/>
      <c r="NI340" s="50"/>
      <c r="NJ340" s="50"/>
      <c r="NK340" s="50"/>
      <c r="NL340" s="50"/>
      <c r="NM340" s="50"/>
      <c r="NN340" s="50"/>
      <c r="NO340" s="50"/>
      <c r="NP340" s="50"/>
      <c r="NQ340" s="50"/>
      <c r="NR340" s="50"/>
      <c r="NS340" s="50"/>
      <c r="NT340" s="50"/>
      <c r="NU340" s="50"/>
      <c r="NV340" s="50"/>
      <c r="NW340" s="50"/>
      <c r="NX340" s="50"/>
      <c r="NY340" s="50"/>
      <c r="NZ340" s="50"/>
      <c r="OA340" s="50"/>
      <c r="OB340" s="50"/>
      <c r="OC340" s="50"/>
      <c r="OD340" s="50"/>
      <c r="OE340" s="50"/>
      <c r="OF340" s="50"/>
      <c r="OG340" s="50"/>
      <c r="OH340" s="50"/>
      <c r="OI340" s="50"/>
      <c r="OJ340" s="50"/>
      <c r="OK340" s="50"/>
      <c r="OL340" s="50"/>
      <c r="OM340" s="50"/>
      <c r="ON340" s="50"/>
      <c r="OO340" s="50"/>
      <c r="OP340" s="50"/>
      <c r="OQ340" s="50"/>
      <c r="OR340" s="50"/>
      <c r="OS340" s="50"/>
      <c r="OT340" s="50"/>
      <c r="OU340" s="50"/>
      <c r="OV340" s="50"/>
      <c r="OW340" s="50"/>
      <c r="OX340" s="50"/>
      <c r="OY340" s="50"/>
      <c r="OZ340" s="50"/>
      <c r="PA340" s="50"/>
      <c r="PB340" s="50"/>
      <c r="PC340" s="50"/>
      <c r="PD340" s="50"/>
      <c r="PE340" s="50"/>
      <c r="PF340" s="50"/>
      <c r="PG340" s="50"/>
      <c r="PH340" s="50"/>
      <c r="PI340" s="50"/>
      <c r="PJ340" s="50"/>
      <c r="PK340" s="50"/>
      <c r="PL340" s="50"/>
      <c r="PM340" s="50"/>
      <c r="PN340" s="50"/>
      <c r="PO340" s="50"/>
      <c r="PP340" s="50"/>
      <c r="PQ340" s="50"/>
      <c r="PR340" s="50"/>
      <c r="PS340" s="50"/>
      <c r="PT340" s="50"/>
      <c r="PU340" s="50"/>
      <c r="PV340" s="50"/>
      <c r="PW340" s="50"/>
      <c r="PX340" s="50"/>
      <c r="PY340" s="50"/>
      <c r="PZ340" s="50"/>
      <c r="QA340" s="50"/>
      <c r="QB340" s="50"/>
      <c r="QC340" s="50"/>
      <c r="QD340" s="50"/>
      <c r="QE340" s="50"/>
      <c r="QF340" s="50"/>
      <c r="QG340" s="50"/>
      <c r="QH340" s="50"/>
      <c r="QI340" s="50"/>
      <c r="QJ340" s="50"/>
      <c r="QK340" s="50"/>
      <c r="QL340" s="50"/>
      <c r="QM340" s="50"/>
      <c r="QN340" s="50"/>
      <c r="QO340" s="50"/>
      <c r="QP340" s="50"/>
      <c r="QQ340" s="50"/>
      <c r="QR340" s="50"/>
      <c r="QS340" s="50"/>
      <c r="QT340" s="50"/>
      <c r="QU340" s="50"/>
      <c r="QV340" s="50"/>
      <c r="QW340" s="50"/>
      <c r="QX340" s="50"/>
      <c r="QY340" s="50"/>
      <c r="QZ340" s="50"/>
      <c r="RA340" s="50"/>
      <c r="RB340" s="50"/>
      <c r="RC340" s="50"/>
      <c r="RD340" s="50"/>
      <c r="RE340" s="50"/>
      <c r="RF340" s="50"/>
      <c r="RG340" s="50"/>
      <c r="RH340" s="50"/>
      <c r="RI340" s="50"/>
      <c r="RJ340" s="50"/>
      <c r="RK340" s="50"/>
      <c r="RL340" s="50"/>
      <c r="RM340" s="50"/>
      <c r="RN340" s="50"/>
      <c r="RO340" s="50"/>
      <c r="RP340" s="50"/>
      <c r="RQ340" s="50"/>
      <c r="RR340" s="50"/>
      <c r="RS340" s="50"/>
      <c r="RT340" s="50"/>
      <c r="RU340" s="50"/>
      <c r="RV340" s="50"/>
      <c r="RW340" s="50"/>
      <c r="RX340" s="50"/>
      <c r="RY340" s="50"/>
      <c r="RZ340" s="50"/>
      <c r="SA340" s="50"/>
      <c r="SB340" s="50"/>
      <c r="SC340" s="50"/>
      <c r="SD340" s="50"/>
      <c r="SE340" s="50"/>
      <c r="SF340" s="50"/>
      <c r="SG340" s="50"/>
      <c r="SH340" s="50"/>
      <c r="SI340" s="50"/>
      <c r="SJ340" s="50"/>
      <c r="SK340" s="50"/>
      <c r="SL340" s="50"/>
      <c r="SM340" s="50"/>
      <c r="SN340" s="50"/>
      <c r="SO340" s="50"/>
      <c r="SP340" s="50"/>
      <c r="SQ340" s="50"/>
      <c r="SR340" s="50"/>
      <c r="SS340" s="50"/>
      <c r="ST340" s="50"/>
      <c r="SU340" s="50"/>
      <c r="SV340" s="50"/>
      <c r="SW340" s="50"/>
      <c r="SX340" s="50"/>
      <c r="SY340" s="50"/>
      <c r="SZ340" s="50"/>
      <c r="TA340" s="50"/>
      <c r="TB340" s="50"/>
      <c r="TC340" s="50"/>
      <c r="TD340" s="50"/>
      <c r="TE340" s="50"/>
      <c r="TF340" s="50"/>
      <c r="TG340" s="50"/>
      <c r="TH340" s="50"/>
      <c r="TI340" s="50"/>
      <c r="TJ340" s="50"/>
      <c r="TK340" s="50"/>
      <c r="TL340" s="50"/>
      <c r="TM340" s="50"/>
      <c r="TN340" s="50"/>
      <c r="TO340" s="50"/>
      <c r="TP340" s="50"/>
      <c r="TQ340" s="50"/>
      <c r="TR340" s="50"/>
      <c r="TS340" s="50"/>
      <c r="TT340" s="50"/>
      <c r="TU340" s="50"/>
      <c r="TV340" s="50"/>
      <c r="TW340" s="50"/>
      <c r="TX340" s="50"/>
      <c r="TY340" s="50"/>
      <c r="TZ340" s="50"/>
      <c r="UA340" s="50"/>
      <c r="UB340" s="50"/>
      <c r="UC340" s="50"/>
      <c r="UD340" s="50"/>
      <c r="UE340" s="50"/>
      <c r="UF340" s="50"/>
      <c r="UG340" s="50"/>
      <c r="UH340" s="50"/>
      <c r="UI340" s="50"/>
      <c r="UJ340" s="50"/>
      <c r="UK340" s="50"/>
      <c r="UL340" s="50"/>
      <c r="UM340" s="50"/>
      <c r="UN340" s="50"/>
      <c r="UO340" s="50"/>
      <c r="UP340" s="50"/>
      <c r="UQ340" s="50"/>
      <c r="UR340" s="50"/>
      <c r="US340" s="50"/>
      <c r="UT340" s="50"/>
      <c r="UU340" s="50"/>
      <c r="UV340" s="50"/>
      <c r="UW340" s="50"/>
      <c r="UX340" s="50"/>
      <c r="UY340" s="50"/>
      <c r="UZ340" s="50"/>
      <c r="VA340" s="50"/>
      <c r="VB340" s="50"/>
      <c r="VC340" s="50"/>
      <c r="VD340" s="50"/>
      <c r="VE340" s="50"/>
      <c r="VF340" s="50"/>
      <c r="VG340" s="50"/>
      <c r="VH340" s="50"/>
      <c r="VI340" s="50"/>
      <c r="VJ340" s="50"/>
      <c r="VK340" s="50"/>
      <c r="VL340" s="50"/>
      <c r="VM340" s="50"/>
      <c r="VN340" s="50"/>
      <c r="VO340" s="50"/>
      <c r="VP340" s="50"/>
      <c r="VQ340" s="50"/>
      <c r="VR340" s="50"/>
      <c r="VS340" s="50"/>
      <c r="VT340" s="50"/>
      <c r="VU340" s="50"/>
      <c r="VV340" s="50"/>
      <c r="VW340" s="50"/>
      <c r="VX340" s="50"/>
      <c r="VY340" s="50"/>
      <c r="VZ340" s="50"/>
      <c r="WA340" s="50"/>
      <c r="WB340" s="50"/>
      <c r="WC340" s="50"/>
      <c r="WD340" s="50"/>
      <c r="WE340" s="50"/>
      <c r="WF340" s="50"/>
      <c r="WG340" s="50"/>
      <c r="WH340" s="50"/>
      <c r="WI340" s="50"/>
      <c r="WJ340" s="50"/>
      <c r="WK340" s="50"/>
      <c r="WL340" s="50"/>
      <c r="WM340" s="50"/>
      <c r="WN340" s="50"/>
      <c r="WO340" s="50"/>
      <c r="WP340" s="50"/>
      <c r="WQ340" s="50"/>
      <c r="WR340" s="50"/>
      <c r="WS340" s="50"/>
      <c r="WT340" s="50"/>
      <c r="WU340" s="50"/>
      <c r="WV340" s="50"/>
      <c r="WW340" s="50"/>
      <c r="WX340" s="50"/>
      <c r="WY340" s="50"/>
      <c r="WZ340" s="50"/>
      <c r="XA340" s="50"/>
      <c r="XB340" s="50"/>
      <c r="XC340" s="50"/>
      <c r="XD340" s="50"/>
      <c r="XE340" s="50"/>
      <c r="XF340" s="50"/>
      <c r="XG340" s="50"/>
      <c r="XH340" s="50"/>
      <c r="XI340" s="50"/>
      <c r="XJ340" s="50"/>
      <c r="XK340" s="50"/>
      <c r="XL340" s="50"/>
      <c r="XM340" s="50"/>
      <c r="XN340" s="50"/>
      <c r="XO340" s="50"/>
      <c r="XP340" s="50"/>
      <c r="XQ340" s="50"/>
      <c r="XR340" s="50"/>
      <c r="XS340" s="50"/>
      <c r="XT340" s="50"/>
      <c r="XU340" s="50"/>
      <c r="XV340" s="50"/>
      <c r="XW340" s="50"/>
      <c r="XX340" s="50"/>
      <c r="XY340" s="50"/>
      <c r="XZ340" s="50"/>
      <c r="YA340" s="50"/>
      <c r="YB340" s="50"/>
      <c r="YC340" s="50"/>
      <c r="YD340" s="50"/>
      <c r="YE340" s="50"/>
      <c r="YF340" s="50"/>
      <c r="YG340" s="50"/>
      <c r="YH340" s="50"/>
      <c r="YI340" s="50"/>
      <c r="YJ340" s="50"/>
      <c r="YK340" s="50"/>
      <c r="YL340" s="50"/>
      <c r="YM340" s="50"/>
      <c r="YN340" s="50"/>
      <c r="YO340" s="50"/>
      <c r="YP340" s="50"/>
      <c r="YQ340" s="50"/>
      <c r="YR340" s="50"/>
      <c r="YS340" s="50"/>
      <c r="YT340" s="50"/>
      <c r="YU340" s="50"/>
      <c r="YV340" s="50"/>
      <c r="YW340" s="50"/>
      <c r="YX340" s="50"/>
      <c r="YY340" s="50"/>
      <c r="YZ340" s="50"/>
      <c r="ZA340" s="50"/>
      <c r="ZB340" s="50"/>
      <c r="ZC340" s="50"/>
      <c r="ZD340" s="50"/>
      <c r="ZE340" s="50"/>
      <c r="ZF340" s="50"/>
      <c r="ZG340" s="50"/>
      <c r="ZH340" s="50"/>
      <c r="ZI340" s="50"/>
      <c r="ZJ340" s="50"/>
      <c r="ZK340" s="50"/>
      <c r="ZL340" s="50"/>
      <c r="ZM340" s="50"/>
      <c r="ZN340" s="50"/>
      <c r="ZO340" s="50"/>
      <c r="ZP340" s="50"/>
      <c r="ZQ340" s="50"/>
      <c r="ZR340" s="50"/>
      <c r="ZS340" s="50"/>
      <c r="ZT340" s="50"/>
      <c r="ZU340" s="50"/>
      <c r="ZV340" s="50"/>
      <c r="ZW340" s="50"/>
      <c r="ZX340" s="50"/>
      <c r="ZY340" s="618"/>
      <c r="ZZ340" s="36"/>
      <c r="AAA340" s="588"/>
      <c r="AAD340" s="112"/>
      <c r="AAE340" s="551" t="s">
        <v>26</v>
      </c>
      <c r="AAF340" s="583" t="s">
        <v>174</v>
      </c>
      <c r="AAG340" s="63"/>
      <c r="AAH340" s="63"/>
      <c r="AAI340" s="77"/>
      <c r="AAJ340" s="77"/>
      <c r="AAK340" s="77"/>
      <c r="AAL340" s="57"/>
      <c r="AAM340" s="112"/>
      <c r="AAN340"/>
      <c r="AAT340" s="23"/>
      <c r="AAU340" s="44"/>
    </row>
    <row r="341" spans="1:732" s="23" customFormat="1" ht="18" customHeight="1">
      <c r="A341" s="558"/>
      <c r="B341" s="789" t="str">
        <f>AAL341</f>
        <v>5-Public Comment and Testimony</v>
      </c>
      <c r="C341" s="789"/>
      <c r="D341" s="789"/>
      <c r="E341" s="789"/>
      <c r="F341" s="789"/>
      <c r="G341" s="789"/>
      <c r="H341" s="789"/>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27</v>
      </c>
      <c r="AAF341" s="583" t="s">
        <v>174</v>
      </c>
      <c r="AAG341" s="112"/>
      <c r="AAH341" s="112"/>
      <c r="AAI341" s="77"/>
      <c r="AAJ341" s="90"/>
      <c r="AAK341" s="90"/>
      <c r="AAL341" s="89" t="str">
        <f>IF(S.InvolveNotice=TRUE,"5-Public Comment and Testimony","5-Public comment is not involved.")</f>
        <v>5-Public Comment and Testimony</v>
      </c>
      <c r="AAM341" s="112"/>
      <c r="AAU341" s="44"/>
    </row>
    <row r="342" spans="1:732" s="23" customFormat="1" ht="18" customHeight="1">
      <c r="A342" s="558"/>
      <c r="B342" s="234" t="s">
        <v>15</v>
      </c>
      <c r="C342" s="703"/>
      <c r="D342" s="150"/>
      <c r="E342" s="151" t="s">
        <v>15</v>
      </c>
      <c r="F342" s="235" t="s">
        <v>2</v>
      </c>
      <c r="G342" s="152" t="s">
        <v>85</v>
      </c>
      <c r="H342" s="152" t="s">
        <v>86</v>
      </c>
      <c r="I342" s="627"/>
      <c r="J342" s="593"/>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c r="IX342" s="48"/>
      <c r="IY342" s="48"/>
      <c r="IZ342" s="48"/>
      <c r="JA342" s="48"/>
      <c r="JB342" s="48"/>
      <c r="JC342" s="48"/>
      <c r="JD342" s="48"/>
      <c r="JE342" s="48"/>
      <c r="JF342" s="48"/>
      <c r="JG342" s="48"/>
      <c r="JH342" s="48"/>
      <c r="JI342" s="48"/>
      <c r="JJ342" s="48"/>
      <c r="JK342" s="48"/>
      <c r="JL342" s="48"/>
      <c r="JM342" s="48"/>
      <c r="JN342" s="48"/>
      <c r="JO342" s="48"/>
      <c r="JP342" s="48"/>
      <c r="JQ342" s="48"/>
      <c r="JR342" s="48"/>
      <c r="JS342" s="48"/>
      <c r="JT342" s="48"/>
      <c r="JU342" s="48"/>
      <c r="JV342" s="48"/>
      <c r="JW342" s="48"/>
      <c r="JX342" s="48"/>
      <c r="JY342" s="48"/>
      <c r="JZ342" s="48"/>
      <c r="KA342" s="48"/>
      <c r="KB342" s="48"/>
      <c r="KC342" s="48"/>
      <c r="KD342" s="48"/>
      <c r="KE342" s="48"/>
      <c r="KF342" s="48"/>
      <c r="KG342" s="48"/>
      <c r="KH342" s="48"/>
      <c r="KI342" s="48"/>
      <c r="KJ342" s="48"/>
      <c r="KK342" s="48"/>
      <c r="KL342" s="48"/>
      <c r="KM342" s="48"/>
      <c r="KN342" s="48"/>
      <c r="KO342" s="48"/>
      <c r="KP342" s="48"/>
      <c r="KQ342" s="48"/>
      <c r="KR342" s="48"/>
      <c r="KS342" s="48"/>
      <c r="KT342" s="48"/>
      <c r="KU342" s="48"/>
      <c r="KV342" s="48"/>
      <c r="KW342" s="48"/>
      <c r="KX342" s="48"/>
      <c r="KY342" s="48"/>
      <c r="KZ342" s="48"/>
      <c r="LA342" s="48"/>
      <c r="LB342" s="48"/>
      <c r="LC342" s="48"/>
      <c r="LD342" s="48"/>
      <c r="LE342" s="48"/>
      <c r="LF342" s="48"/>
      <c r="LG342" s="48"/>
      <c r="LH342" s="48"/>
      <c r="LI342" s="48"/>
      <c r="LJ342" s="48"/>
      <c r="LK342" s="48"/>
      <c r="LL342" s="48"/>
      <c r="LM342" s="48"/>
      <c r="LN342" s="48"/>
      <c r="LO342" s="48"/>
      <c r="LP342" s="48"/>
      <c r="LQ342" s="48"/>
      <c r="LR342" s="48"/>
      <c r="LS342" s="48"/>
      <c r="LT342" s="48"/>
      <c r="LU342" s="48"/>
      <c r="LV342" s="48"/>
      <c r="LW342" s="48"/>
      <c r="LX342" s="48"/>
      <c r="LY342" s="48"/>
      <c r="LZ342" s="48"/>
      <c r="MA342" s="48"/>
      <c r="MB342" s="48"/>
      <c r="MC342" s="48"/>
      <c r="MD342" s="48"/>
      <c r="ME342" s="48"/>
      <c r="MF342" s="48"/>
      <c r="MG342" s="48"/>
      <c r="MH342" s="48"/>
      <c r="MI342" s="48"/>
      <c r="MJ342" s="48"/>
      <c r="MK342" s="48"/>
      <c r="ML342" s="48"/>
      <c r="MM342" s="48"/>
      <c r="MN342" s="48"/>
      <c r="MO342" s="48"/>
      <c r="MP342" s="48"/>
      <c r="MQ342" s="48"/>
      <c r="MR342" s="48"/>
      <c r="MS342" s="48"/>
      <c r="MT342" s="48"/>
      <c r="MU342" s="48"/>
      <c r="MV342" s="48"/>
      <c r="MW342" s="48"/>
      <c r="MX342" s="48"/>
      <c r="MY342" s="48"/>
      <c r="MZ342" s="48"/>
      <c r="NA342" s="48"/>
      <c r="NB342" s="48"/>
      <c r="NC342" s="48"/>
      <c r="ND342" s="48"/>
      <c r="NE342" s="48"/>
      <c r="NF342" s="48"/>
      <c r="NG342" s="48"/>
      <c r="NH342" s="48"/>
      <c r="NI342" s="48"/>
      <c r="NJ342" s="48"/>
      <c r="NK342" s="48"/>
      <c r="NL342" s="48"/>
      <c r="NM342" s="48"/>
      <c r="NN342" s="48"/>
      <c r="NO342" s="48"/>
      <c r="NP342" s="48"/>
      <c r="NQ342" s="48"/>
      <c r="NR342" s="48"/>
      <c r="NS342" s="48"/>
      <c r="NT342" s="48"/>
      <c r="NU342" s="48"/>
      <c r="NV342" s="48"/>
      <c r="NW342" s="48"/>
      <c r="NX342" s="48"/>
      <c r="NY342" s="48"/>
      <c r="NZ342" s="48"/>
      <c r="OA342" s="48"/>
      <c r="OB342" s="48"/>
      <c r="OC342" s="48"/>
      <c r="OD342" s="48"/>
      <c r="OE342" s="48"/>
      <c r="OF342" s="48"/>
      <c r="OG342" s="48"/>
      <c r="OH342" s="48"/>
      <c r="OI342" s="48"/>
      <c r="OJ342" s="48"/>
      <c r="OK342" s="48"/>
      <c r="OL342" s="48"/>
      <c r="OM342" s="48"/>
      <c r="ON342" s="48"/>
      <c r="OO342" s="48"/>
      <c r="OP342" s="48"/>
      <c r="OQ342" s="48"/>
      <c r="OR342" s="48"/>
      <c r="OS342" s="48"/>
      <c r="OT342" s="48"/>
      <c r="OU342" s="48"/>
      <c r="OV342" s="48"/>
      <c r="OW342" s="48"/>
      <c r="OX342" s="48"/>
      <c r="OY342" s="48"/>
      <c r="OZ342" s="48"/>
      <c r="PA342" s="48"/>
      <c r="PB342" s="48"/>
      <c r="PC342" s="48"/>
      <c r="PD342" s="48"/>
      <c r="PE342" s="48"/>
      <c r="PF342" s="48"/>
      <c r="PG342" s="48"/>
      <c r="PH342" s="48"/>
      <c r="PI342" s="48"/>
      <c r="PJ342" s="48"/>
      <c r="PK342" s="48"/>
      <c r="PL342" s="48"/>
      <c r="PM342" s="48"/>
      <c r="PN342" s="48"/>
      <c r="PO342" s="48"/>
      <c r="PP342" s="48"/>
      <c r="PQ342" s="48"/>
      <c r="PR342" s="48"/>
      <c r="PS342" s="48"/>
      <c r="PT342" s="48"/>
      <c r="PU342" s="48"/>
      <c r="PV342" s="48"/>
      <c r="PW342" s="48"/>
      <c r="PX342" s="48"/>
      <c r="PY342" s="48"/>
      <c r="PZ342" s="48"/>
      <c r="QA342" s="48"/>
      <c r="QB342" s="48"/>
      <c r="QC342" s="48"/>
      <c r="QD342" s="48"/>
      <c r="QE342" s="48"/>
      <c r="QF342" s="48"/>
      <c r="QG342" s="48"/>
      <c r="QH342" s="48"/>
      <c r="QI342" s="48"/>
      <c r="QJ342" s="48"/>
      <c r="QK342" s="48"/>
      <c r="QL342" s="48"/>
      <c r="QM342" s="48"/>
      <c r="QN342" s="48"/>
      <c r="QO342" s="48"/>
      <c r="QP342" s="48"/>
      <c r="QQ342" s="48"/>
      <c r="QR342" s="48"/>
      <c r="QS342" s="48"/>
      <c r="QT342" s="48"/>
      <c r="QU342" s="48"/>
      <c r="QV342" s="48"/>
      <c r="QW342" s="48"/>
      <c r="QX342" s="48"/>
      <c r="QY342" s="48"/>
      <c r="QZ342" s="48"/>
      <c r="RA342" s="48"/>
      <c r="RB342" s="48"/>
      <c r="RC342" s="48"/>
      <c r="RD342" s="48"/>
      <c r="RE342" s="48"/>
      <c r="RF342" s="48"/>
      <c r="RG342" s="48"/>
      <c r="RH342" s="48"/>
      <c r="RI342" s="48"/>
      <c r="RJ342" s="48"/>
      <c r="RK342" s="48"/>
      <c r="RL342" s="48"/>
      <c r="RM342" s="48"/>
      <c r="RN342" s="48"/>
      <c r="RO342" s="48"/>
      <c r="RP342" s="48"/>
      <c r="RQ342" s="48"/>
      <c r="RR342" s="48"/>
      <c r="RS342" s="48"/>
      <c r="RT342" s="48"/>
      <c r="RU342" s="48"/>
      <c r="RV342" s="48"/>
      <c r="RW342" s="48"/>
      <c r="RX342" s="48"/>
      <c r="RY342" s="48"/>
      <c r="RZ342" s="48"/>
      <c r="SA342" s="48"/>
      <c r="SB342" s="48"/>
      <c r="SC342" s="48"/>
      <c r="SD342" s="48"/>
      <c r="SE342" s="48"/>
      <c r="SF342" s="48"/>
      <c r="SG342" s="48"/>
      <c r="SH342" s="48"/>
      <c r="SI342" s="48"/>
      <c r="SJ342" s="48"/>
      <c r="SK342" s="48"/>
      <c r="SL342" s="48"/>
      <c r="SM342" s="48"/>
      <c r="SN342" s="48"/>
      <c r="SO342" s="48"/>
      <c r="SP342" s="48"/>
      <c r="SQ342" s="48"/>
      <c r="SR342" s="48"/>
      <c r="SS342" s="48"/>
      <c r="ST342" s="48"/>
      <c r="SU342" s="48"/>
      <c r="SV342" s="48"/>
      <c r="SW342" s="48"/>
      <c r="SX342" s="48"/>
      <c r="SY342" s="48"/>
      <c r="SZ342" s="48"/>
      <c r="TA342" s="48"/>
      <c r="TB342" s="48"/>
      <c r="TC342" s="48"/>
      <c r="TD342" s="48"/>
      <c r="TE342" s="48"/>
      <c r="TF342" s="48"/>
      <c r="TG342" s="48"/>
      <c r="TH342" s="48"/>
      <c r="TI342" s="48"/>
      <c r="TJ342" s="48"/>
      <c r="TK342" s="48"/>
      <c r="TL342" s="48"/>
      <c r="TM342" s="48"/>
      <c r="TN342" s="48"/>
      <c r="TO342" s="48"/>
      <c r="TP342" s="48"/>
      <c r="TQ342" s="48"/>
      <c r="TR342" s="48"/>
      <c r="TS342" s="48"/>
      <c r="TT342" s="48"/>
      <c r="TU342" s="48"/>
      <c r="TV342" s="48"/>
      <c r="TW342" s="48"/>
      <c r="TX342" s="48"/>
      <c r="TY342" s="48"/>
      <c r="TZ342" s="48"/>
      <c r="UA342" s="48"/>
      <c r="UB342" s="48"/>
      <c r="UC342" s="48"/>
      <c r="UD342" s="48"/>
      <c r="UE342" s="48"/>
      <c r="UF342" s="48"/>
      <c r="UG342" s="48"/>
      <c r="UH342" s="48"/>
      <c r="UI342" s="48"/>
      <c r="UJ342" s="48"/>
      <c r="UK342" s="48"/>
      <c r="UL342" s="48"/>
      <c r="UM342" s="48"/>
      <c r="UN342" s="48"/>
      <c r="UO342" s="48"/>
      <c r="UP342" s="48"/>
      <c r="UQ342" s="48"/>
      <c r="UR342" s="48"/>
      <c r="US342" s="48"/>
      <c r="UT342" s="48"/>
      <c r="UU342" s="48"/>
      <c r="UV342" s="48"/>
      <c r="UW342" s="48"/>
      <c r="UX342" s="48"/>
      <c r="UY342" s="48"/>
      <c r="UZ342" s="48"/>
      <c r="VA342" s="48"/>
      <c r="VB342" s="48"/>
      <c r="VC342" s="48"/>
      <c r="VD342" s="48"/>
      <c r="VE342" s="48"/>
      <c r="VF342" s="48"/>
      <c r="VG342" s="48"/>
      <c r="VH342" s="48"/>
      <c r="VI342" s="48"/>
      <c r="VJ342" s="48"/>
      <c r="VK342" s="48"/>
      <c r="VL342" s="48"/>
      <c r="VM342" s="48"/>
      <c r="VN342" s="48"/>
      <c r="VO342" s="48"/>
      <c r="VP342" s="48"/>
      <c r="VQ342" s="48"/>
      <c r="VR342" s="48"/>
      <c r="VS342" s="48"/>
      <c r="VT342" s="48"/>
      <c r="VU342" s="48"/>
      <c r="VV342" s="48"/>
      <c r="VW342" s="48"/>
      <c r="VX342" s="48"/>
      <c r="VY342" s="48"/>
      <c r="VZ342" s="48"/>
      <c r="WA342" s="48"/>
      <c r="WB342" s="48"/>
      <c r="WC342" s="48"/>
      <c r="WD342" s="48"/>
      <c r="WE342" s="48"/>
      <c r="WF342" s="48"/>
      <c r="WG342" s="48"/>
      <c r="WH342" s="48"/>
      <c r="WI342" s="48"/>
      <c r="WJ342" s="48"/>
      <c r="WK342" s="48"/>
      <c r="WL342" s="48"/>
      <c r="WM342" s="48"/>
      <c r="WN342" s="48"/>
      <c r="WO342" s="48"/>
      <c r="WP342" s="48"/>
      <c r="WQ342" s="48"/>
      <c r="WR342" s="48"/>
      <c r="WS342" s="48"/>
      <c r="WT342" s="48"/>
      <c r="WU342" s="48"/>
      <c r="WV342" s="48"/>
      <c r="WW342" s="48"/>
      <c r="WX342" s="48"/>
      <c r="WY342" s="48"/>
      <c r="WZ342" s="48"/>
      <c r="XA342" s="48"/>
      <c r="XB342" s="48"/>
      <c r="XC342" s="48"/>
      <c r="XD342" s="48"/>
      <c r="XE342" s="48"/>
      <c r="XF342" s="48"/>
      <c r="XG342" s="48"/>
      <c r="XH342" s="48"/>
      <c r="XI342" s="48"/>
      <c r="XJ342" s="48"/>
      <c r="XK342" s="48"/>
      <c r="XL342" s="48"/>
      <c r="XM342" s="48"/>
      <c r="XN342" s="48"/>
      <c r="XO342" s="48"/>
      <c r="XP342" s="48"/>
      <c r="XQ342" s="48"/>
      <c r="XR342" s="48"/>
      <c r="XS342" s="48"/>
      <c r="XT342" s="48"/>
      <c r="XU342" s="48"/>
      <c r="XV342" s="48"/>
      <c r="XW342" s="48"/>
      <c r="XX342" s="48"/>
      <c r="XY342" s="48"/>
      <c r="XZ342" s="48"/>
      <c r="YA342" s="48"/>
      <c r="YB342" s="48"/>
      <c r="YC342" s="48"/>
      <c r="YD342" s="48"/>
      <c r="YE342" s="48"/>
      <c r="YF342" s="48"/>
      <c r="YG342" s="48"/>
      <c r="YH342" s="48"/>
      <c r="YI342" s="48"/>
      <c r="YJ342" s="48"/>
      <c r="YK342" s="48"/>
      <c r="YL342" s="48"/>
      <c r="YM342" s="48"/>
      <c r="YN342" s="48"/>
      <c r="YO342" s="48"/>
      <c r="YP342" s="48"/>
      <c r="YQ342" s="48"/>
      <c r="YR342" s="48"/>
      <c r="YS342" s="48"/>
      <c r="YT342" s="48"/>
      <c r="YU342" s="48"/>
      <c r="YV342" s="48"/>
      <c r="YW342" s="48"/>
      <c r="YX342" s="48"/>
      <c r="YY342" s="48"/>
      <c r="YZ342" s="48"/>
      <c r="ZA342" s="48"/>
      <c r="ZB342" s="48"/>
      <c r="ZC342" s="48"/>
      <c r="ZD342" s="48"/>
      <c r="ZE342" s="48"/>
      <c r="ZF342" s="48"/>
      <c r="ZG342" s="48"/>
      <c r="ZH342" s="48"/>
      <c r="ZI342" s="48"/>
      <c r="ZJ342" s="48"/>
      <c r="ZK342" s="48"/>
      <c r="ZL342" s="48"/>
      <c r="ZM342" s="48"/>
      <c r="ZN342" s="48"/>
      <c r="ZO342" s="48"/>
      <c r="ZP342" s="48"/>
      <c r="ZQ342" s="48"/>
      <c r="ZR342" s="48"/>
      <c r="ZS342" s="48"/>
      <c r="ZT342" s="48"/>
      <c r="ZU342" s="48"/>
      <c r="ZV342" s="48"/>
      <c r="ZW342" s="48"/>
      <c r="ZX342" s="48"/>
      <c r="ZY342" s="619"/>
      <c r="ZZ342" s="119"/>
      <c r="AAA342" s="588"/>
      <c r="AAB342"/>
      <c r="AAC342"/>
      <c r="AAD342" s="112"/>
      <c r="AAE342" s="551" t="s">
        <v>245</v>
      </c>
      <c r="AAF342" s="583" t="s">
        <v>174</v>
      </c>
      <c r="AAG342" s="112"/>
      <c r="AAH342" s="112"/>
      <c r="AAI342" s="77"/>
      <c r="AAJ342" s="90"/>
      <c r="AAK342" s="90"/>
      <c r="AAL342" s="76"/>
      <c r="AAM342" s="112"/>
      <c r="AAU342" s="44"/>
    </row>
    <row r="343" spans="1:732" ht="18" customHeight="1">
      <c r="A343" s="558"/>
      <c r="B343" s="202"/>
      <c r="C343" s="716"/>
      <c r="D343" s="202"/>
      <c r="E343" s="293" t="s">
        <v>0</v>
      </c>
      <c r="F343" s="466">
        <f>NETWORKDAYS(S.BANNER.HearingStart,S.BANNER.HearingEnd,S.DDL_DEQClosed)</f>
        <v>114</v>
      </c>
      <c r="G343" s="253">
        <f>AAG343</f>
        <v>41509</v>
      </c>
      <c r="H343" s="274">
        <f>AAH343</f>
        <v>41676</v>
      </c>
      <c r="I343" s="627"/>
      <c r="J343" s="629"/>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c r="CF343" s="635"/>
      <c r="CG343" s="635"/>
      <c r="CH343" s="635"/>
      <c r="CI343" s="635"/>
      <c r="CJ343" s="635"/>
      <c r="CK343" s="635"/>
      <c r="CL343" s="635"/>
      <c r="CM343" s="635"/>
      <c r="CN343" s="635"/>
      <c r="CO343" s="635"/>
      <c r="CP343" s="635"/>
      <c r="CQ343" s="635"/>
      <c r="CR343" s="635"/>
      <c r="CS343" s="635"/>
      <c r="CT343" s="635"/>
      <c r="CU343" s="635"/>
      <c r="CV343" s="635"/>
      <c r="CW343" s="635"/>
      <c r="CX343" s="635"/>
      <c r="CY343" s="635"/>
      <c r="CZ343" s="635"/>
      <c r="DA343" s="635"/>
      <c r="DB343" s="635"/>
      <c r="DC343" s="635"/>
      <c r="DD343" s="635"/>
      <c r="DE343" s="635"/>
      <c r="DF343" s="635"/>
      <c r="DG343" s="635"/>
      <c r="DH343" s="635"/>
      <c r="DI343" s="635"/>
      <c r="DJ343" s="635"/>
      <c r="DK343" s="635"/>
      <c r="DL343" s="635"/>
      <c r="DM343" s="635"/>
      <c r="DN343" s="635"/>
      <c r="DO343" s="635"/>
      <c r="DP343" s="635"/>
      <c r="DQ343" s="635"/>
      <c r="DR343" s="635"/>
      <c r="DS343" s="635"/>
      <c r="DT343" s="635"/>
      <c r="DU343" s="635"/>
      <c r="DV343" s="635"/>
      <c r="DW343" s="635"/>
      <c r="DX343" s="635"/>
      <c r="DY343" s="635"/>
      <c r="DZ343" s="635"/>
      <c r="EA343" s="635"/>
      <c r="EB343" s="635"/>
      <c r="EC343" s="635"/>
      <c r="ED343" s="635"/>
      <c r="EE343" s="635"/>
      <c r="EF343" s="635"/>
      <c r="EG343" s="635"/>
      <c r="EH343" s="635"/>
      <c r="EI343" s="635"/>
      <c r="EJ343" s="635"/>
      <c r="EK343" s="635"/>
      <c r="EL343" s="635"/>
      <c r="EM343" s="635"/>
      <c r="EN343" s="635"/>
      <c r="EO343" s="635"/>
      <c r="EP343" s="635"/>
      <c r="EQ343" s="635"/>
      <c r="ER343" s="635"/>
      <c r="ES343" s="635"/>
      <c r="ET343" s="635"/>
      <c r="EU343" s="635"/>
      <c r="EV343" s="635"/>
      <c r="EW343" s="635"/>
      <c r="EX343" s="635"/>
      <c r="EY343" s="635"/>
      <c r="EZ343" s="635"/>
      <c r="FA343" s="635"/>
      <c r="FB343" s="635"/>
      <c r="FC343" s="635"/>
      <c r="FD343" s="635"/>
      <c r="FE343" s="635"/>
      <c r="FF343" s="635"/>
      <c r="FG343" s="635"/>
      <c r="FH343" s="635"/>
      <c r="FI343" s="635"/>
      <c r="FJ343" s="635"/>
      <c r="FK343" s="635"/>
      <c r="FL343" s="635"/>
      <c r="FM343" s="635"/>
      <c r="FN343" s="635"/>
      <c r="FO343" s="635"/>
      <c r="FP343" s="635"/>
      <c r="FQ343" s="635"/>
      <c r="FR343" s="635"/>
      <c r="FS343" s="635"/>
      <c r="FT343" s="635"/>
      <c r="FU343" s="635"/>
      <c r="FV343" s="635"/>
      <c r="FW343" s="635"/>
      <c r="FX343" s="635"/>
      <c r="FY343" s="635"/>
      <c r="FZ343" s="635"/>
      <c r="GA343" s="635"/>
      <c r="GB343" s="635"/>
      <c r="GC343" s="635"/>
      <c r="GD343" s="635"/>
      <c r="GE343" s="635"/>
      <c r="GF343" s="635"/>
      <c r="GG343" s="635"/>
      <c r="GH343" s="635"/>
      <c r="GI343" s="635"/>
      <c r="GJ343" s="635"/>
      <c r="GK343" s="635"/>
      <c r="GL343" s="635"/>
      <c r="GM343" s="635"/>
      <c r="GN343" s="635"/>
      <c r="GO343" s="635"/>
      <c r="GP343" s="635"/>
      <c r="GQ343" s="635"/>
      <c r="GR343" s="635"/>
      <c r="GS343" s="635"/>
      <c r="GT343" s="635"/>
      <c r="GU343" s="635"/>
      <c r="GV343" s="635"/>
      <c r="GW343" s="635"/>
      <c r="GX343" s="635"/>
      <c r="GY343" s="635"/>
      <c r="GZ343" s="635"/>
      <c r="HA343" s="635"/>
      <c r="HB343" s="635"/>
      <c r="HC343" s="635"/>
      <c r="HD343" s="635"/>
      <c r="HE343" s="635"/>
      <c r="HF343" s="635"/>
      <c r="HG343" s="635"/>
      <c r="HH343" s="635"/>
      <c r="HI343" s="635"/>
      <c r="HJ343" s="635"/>
      <c r="HK343" s="635"/>
      <c r="HL343" s="635"/>
      <c r="HM343" s="635"/>
      <c r="HN343" s="635"/>
      <c r="HO343" s="635"/>
      <c r="HP343" s="635"/>
      <c r="HQ343" s="635"/>
      <c r="HR343" s="635"/>
      <c r="HS343" s="635"/>
      <c r="HT343" s="635"/>
      <c r="HU343" s="635"/>
      <c r="HV343" s="635"/>
      <c r="HW343" s="635"/>
      <c r="HX343" s="635"/>
      <c r="HY343" s="635"/>
      <c r="HZ343" s="635"/>
      <c r="IA343" s="635"/>
      <c r="IB343" s="635"/>
      <c r="IC343" s="635"/>
      <c r="ID343" s="635"/>
      <c r="IE343" s="635"/>
      <c r="IF343" s="635"/>
      <c r="IG343" s="635"/>
      <c r="IH343" s="635"/>
      <c r="II343" s="635"/>
      <c r="IJ343" s="635"/>
      <c r="IK343" s="635"/>
      <c r="IL343" s="635"/>
      <c r="IM343" s="635"/>
      <c r="IN343" s="635"/>
      <c r="IO343" s="635"/>
      <c r="IP343" s="635"/>
      <c r="IQ343" s="635"/>
      <c r="IR343" s="635"/>
      <c r="IS343" s="635"/>
      <c r="IT343" s="635"/>
      <c r="IU343" s="635"/>
      <c r="IV343" s="635"/>
      <c r="IW343" s="635"/>
      <c r="IX343" s="635"/>
      <c r="IY343" s="635"/>
      <c r="IZ343" s="635"/>
      <c r="JA343" s="635"/>
      <c r="JB343" s="635"/>
      <c r="JC343" s="635"/>
      <c r="JD343" s="635"/>
      <c r="JE343" s="635"/>
      <c r="JF343" s="635"/>
      <c r="JG343" s="635"/>
      <c r="JH343" s="635"/>
      <c r="JI343" s="635"/>
      <c r="JJ343" s="635"/>
      <c r="JK343" s="635"/>
      <c r="JL343" s="635"/>
      <c r="JM343" s="635"/>
      <c r="JN343" s="635"/>
      <c r="JO343" s="635"/>
      <c r="JP343" s="635"/>
      <c r="JQ343" s="635"/>
      <c r="JR343" s="635"/>
      <c r="JS343" s="635"/>
      <c r="JT343" s="635"/>
      <c r="JU343" s="635"/>
      <c r="JV343" s="635"/>
      <c r="JW343" s="635"/>
      <c r="JX343" s="635"/>
      <c r="JY343" s="635"/>
      <c r="JZ343" s="635"/>
      <c r="KA343" s="635"/>
      <c r="KB343" s="635"/>
      <c r="KC343" s="635"/>
      <c r="KD343" s="635"/>
      <c r="KE343" s="635"/>
      <c r="KF343" s="635"/>
      <c r="KG343" s="635"/>
      <c r="KH343" s="635"/>
      <c r="KI343" s="635"/>
      <c r="KJ343" s="635"/>
      <c r="KK343" s="635"/>
      <c r="KL343" s="635"/>
      <c r="KM343" s="635"/>
      <c r="KN343" s="635"/>
      <c r="KO343" s="635"/>
      <c r="KP343" s="635"/>
      <c r="KQ343" s="635"/>
      <c r="KR343" s="635"/>
      <c r="KS343" s="635"/>
      <c r="KT343" s="635"/>
      <c r="KU343" s="635"/>
      <c r="KV343" s="635"/>
      <c r="KW343" s="635"/>
      <c r="KX343" s="635"/>
      <c r="KY343" s="635"/>
      <c r="KZ343" s="635"/>
      <c r="LA343" s="635"/>
      <c r="LB343" s="635"/>
      <c r="LC343" s="635"/>
      <c r="LD343" s="635"/>
      <c r="LE343" s="635"/>
      <c r="LF343" s="635"/>
      <c r="LG343" s="635"/>
      <c r="LH343" s="635"/>
      <c r="LI343" s="635"/>
      <c r="LJ343" s="635"/>
      <c r="LK343" s="635"/>
      <c r="LL343" s="635"/>
      <c r="LM343" s="635"/>
      <c r="LN343" s="635"/>
      <c r="LO343" s="635"/>
      <c r="LP343" s="635"/>
      <c r="LQ343" s="635"/>
      <c r="LR343" s="635"/>
      <c r="LS343" s="635"/>
      <c r="LT343" s="635"/>
      <c r="LU343" s="635"/>
      <c r="LV343" s="635"/>
      <c r="LW343" s="635"/>
      <c r="LX343" s="635"/>
      <c r="LY343" s="635"/>
      <c r="LZ343" s="635"/>
      <c r="MA343" s="635"/>
      <c r="MB343" s="635"/>
      <c r="MC343" s="635"/>
      <c r="MD343" s="635"/>
      <c r="ME343" s="635"/>
      <c r="MF343" s="635"/>
      <c r="MG343" s="635"/>
      <c r="MH343" s="635"/>
      <c r="MI343" s="635"/>
      <c r="MJ343" s="635"/>
      <c r="MK343" s="635"/>
      <c r="ML343" s="635"/>
      <c r="MM343" s="635"/>
      <c r="MN343" s="635"/>
      <c r="MO343" s="635"/>
      <c r="MP343" s="635"/>
      <c r="MQ343" s="635"/>
      <c r="MR343" s="635"/>
      <c r="MS343" s="635"/>
      <c r="MT343" s="635"/>
      <c r="MU343" s="635"/>
      <c r="MV343" s="635"/>
      <c r="MW343" s="635"/>
      <c r="MX343" s="635"/>
      <c r="MY343" s="635"/>
      <c r="MZ343" s="635"/>
      <c r="NA343" s="635"/>
      <c r="NB343" s="635"/>
      <c r="NC343" s="635"/>
      <c r="ND343" s="635"/>
      <c r="NE343" s="635"/>
      <c r="NF343" s="635"/>
      <c r="NG343" s="635"/>
      <c r="NH343" s="635"/>
      <c r="NI343" s="635"/>
      <c r="NJ343" s="635"/>
      <c r="NK343" s="635"/>
      <c r="NL343" s="635"/>
      <c r="NM343" s="635"/>
      <c r="NN343" s="635"/>
      <c r="NO343" s="635"/>
      <c r="NP343" s="635"/>
      <c r="NQ343" s="635"/>
      <c r="NR343" s="635"/>
      <c r="NS343" s="635"/>
      <c r="NT343" s="635"/>
      <c r="NU343" s="635"/>
      <c r="NV343" s="635"/>
      <c r="NW343" s="635"/>
      <c r="NX343" s="635"/>
      <c r="NY343" s="635"/>
      <c r="NZ343" s="635"/>
      <c r="OA343" s="635"/>
      <c r="OB343" s="635"/>
      <c r="OC343" s="635"/>
      <c r="OD343" s="635"/>
      <c r="OE343" s="635"/>
      <c r="OF343" s="635"/>
      <c r="OG343" s="635"/>
      <c r="OH343" s="635"/>
      <c r="OI343" s="635"/>
      <c r="OJ343" s="635"/>
      <c r="OK343" s="635"/>
      <c r="OL343" s="635"/>
      <c r="OM343" s="635"/>
      <c r="ON343" s="635"/>
      <c r="OO343" s="635"/>
      <c r="OP343" s="635"/>
      <c r="OQ343" s="635"/>
      <c r="OR343" s="635"/>
      <c r="OS343" s="635"/>
      <c r="OT343" s="635"/>
      <c r="OU343" s="635"/>
      <c r="OV343" s="635"/>
      <c r="OW343" s="635"/>
      <c r="OX343" s="635"/>
      <c r="OY343" s="635"/>
      <c r="OZ343" s="635"/>
      <c r="PA343" s="635"/>
      <c r="PB343" s="635"/>
      <c r="PC343" s="635"/>
      <c r="PD343" s="635"/>
      <c r="PE343" s="635"/>
      <c r="PF343" s="635"/>
      <c r="PG343" s="635"/>
      <c r="PH343" s="635"/>
      <c r="PI343" s="635"/>
      <c r="PJ343" s="635"/>
      <c r="PK343" s="635"/>
      <c r="PL343" s="635"/>
      <c r="PM343" s="635"/>
      <c r="PN343" s="635"/>
      <c r="PO343" s="635"/>
      <c r="PP343" s="635"/>
      <c r="PQ343" s="635"/>
      <c r="PR343" s="635"/>
      <c r="PS343" s="635"/>
      <c r="PT343" s="635"/>
      <c r="PU343" s="635"/>
      <c r="PV343" s="635"/>
      <c r="PW343" s="635"/>
      <c r="PX343" s="635"/>
      <c r="PY343" s="635"/>
      <c r="PZ343" s="635"/>
      <c r="QA343" s="635"/>
      <c r="QB343" s="635"/>
      <c r="QC343" s="635"/>
      <c r="QD343" s="635"/>
      <c r="QE343" s="635"/>
      <c r="QF343" s="635"/>
      <c r="QG343" s="635"/>
      <c r="QH343" s="635"/>
      <c r="QI343" s="635"/>
      <c r="QJ343" s="635"/>
      <c r="QK343" s="635"/>
      <c r="QL343" s="635"/>
      <c r="QM343" s="635"/>
      <c r="QN343" s="635"/>
      <c r="QO343" s="635"/>
      <c r="QP343" s="635"/>
      <c r="QQ343" s="635"/>
      <c r="QR343" s="635"/>
      <c r="QS343" s="635"/>
      <c r="QT343" s="635"/>
      <c r="QU343" s="635"/>
      <c r="QV343" s="635"/>
      <c r="QW343" s="635"/>
      <c r="QX343" s="635"/>
      <c r="QY343" s="635"/>
      <c r="QZ343" s="635"/>
      <c r="RA343" s="635"/>
      <c r="RB343" s="635"/>
      <c r="RC343" s="635"/>
      <c r="RD343" s="635"/>
      <c r="RE343" s="635"/>
      <c r="RF343" s="635"/>
      <c r="RG343" s="635"/>
      <c r="RH343" s="635"/>
      <c r="RI343" s="635"/>
      <c r="RJ343" s="635"/>
      <c r="RK343" s="635"/>
      <c r="RL343" s="635"/>
      <c r="RM343" s="635"/>
      <c r="RN343" s="635"/>
      <c r="RO343" s="635"/>
      <c r="RP343" s="635"/>
      <c r="RQ343" s="635"/>
      <c r="RR343" s="635"/>
      <c r="RS343" s="635"/>
      <c r="RT343" s="635"/>
      <c r="RU343" s="635"/>
      <c r="RV343" s="635"/>
      <c r="RW343" s="635"/>
      <c r="RX343" s="635"/>
      <c r="RY343" s="635"/>
      <c r="RZ343" s="635"/>
      <c r="SA343" s="635"/>
      <c r="SB343" s="635"/>
      <c r="SC343" s="635"/>
      <c r="SD343" s="635"/>
      <c r="SE343" s="635"/>
      <c r="SF343" s="635"/>
      <c r="SG343" s="635"/>
      <c r="SH343" s="635"/>
      <c r="SI343" s="635"/>
      <c r="SJ343" s="635"/>
      <c r="SK343" s="635"/>
      <c r="SL343" s="635"/>
      <c r="SM343" s="635"/>
      <c r="SN343" s="635"/>
      <c r="SO343" s="635"/>
      <c r="SP343" s="635"/>
      <c r="SQ343" s="635"/>
      <c r="SR343" s="635"/>
      <c r="SS343" s="635"/>
      <c r="ST343" s="635"/>
      <c r="SU343" s="635"/>
      <c r="SV343" s="635"/>
      <c r="SW343" s="635"/>
      <c r="SX343" s="635"/>
      <c r="SY343" s="635"/>
      <c r="SZ343" s="635"/>
      <c r="TA343" s="635"/>
      <c r="TB343" s="635"/>
      <c r="TC343" s="635"/>
      <c r="TD343" s="635"/>
      <c r="TE343" s="635"/>
      <c r="TF343" s="635"/>
      <c r="TG343" s="635"/>
      <c r="TH343" s="635"/>
      <c r="TI343" s="635"/>
      <c r="TJ343" s="635"/>
      <c r="TK343" s="635"/>
      <c r="TL343" s="635"/>
      <c r="TM343" s="635"/>
      <c r="TN343" s="635"/>
      <c r="TO343" s="635"/>
      <c r="TP343" s="635"/>
      <c r="TQ343" s="635"/>
      <c r="TR343" s="635"/>
      <c r="TS343" s="635"/>
      <c r="TT343" s="635"/>
      <c r="TU343" s="635"/>
      <c r="TV343" s="635"/>
      <c r="TW343" s="635"/>
      <c r="TX343" s="635"/>
      <c r="TY343" s="635"/>
      <c r="TZ343" s="635"/>
      <c r="UA343" s="635"/>
      <c r="UB343" s="635"/>
      <c r="UC343" s="635"/>
      <c r="UD343" s="635"/>
      <c r="UE343" s="635"/>
      <c r="UF343" s="635"/>
      <c r="UG343" s="635"/>
      <c r="UH343" s="635"/>
      <c r="UI343" s="635"/>
      <c r="UJ343" s="635"/>
      <c r="UK343" s="635"/>
      <c r="UL343" s="635"/>
      <c r="UM343" s="635"/>
      <c r="UN343" s="635"/>
      <c r="UO343" s="635"/>
      <c r="UP343" s="635"/>
      <c r="UQ343" s="635"/>
      <c r="UR343" s="635"/>
      <c r="US343" s="635"/>
      <c r="UT343" s="635"/>
      <c r="UU343" s="635"/>
      <c r="UV343" s="635"/>
      <c r="UW343" s="635"/>
      <c r="UX343" s="635"/>
      <c r="UY343" s="635"/>
      <c r="UZ343" s="635"/>
      <c r="VA343" s="635"/>
      <c r="VB343" s="635"/>
      <c r="VC343" s="635"/>
      <c r="VD343" s="635"/>
      <c r="VE343" s="635"/>
      <c r="VF343" s="635"/>
      <c r="VG343" s="635"/>
      <c r="VH343" s="635"/>
      <c r="VI343" s="635"/>
      <c r="VJ343" s="635"/>
      <c r="VK343" s="635"/>
      <c r="VL343" s="635"/>
      <c r="VM343" s="635"/>
      <c r="VN343" s="635"/>
      <c r="VO343" s="635"/>
      <c r="VP343" s="635"/>
      <c r="VQ343" s="635"/>
      <c r="VR343" s="635"/>
      <c r="VS343" s="635"/>
      <c r="VT343" s="635"/>
      <c r="VU343" s="635"/>
      <c r="VV343" s="635"/>
      <c r="VW343" s="635"/>
      <c r="VX343" s="635"/>
      <c r="VY343" s="635"/>
      <c r="VZ343" s="635"/>
      <c r="WA343" s="635"/>
      <c r="WB343" s="635"/>
      <c r="WC343" s="635"/>
      <c r="WD343" s="635"/>
      <c r="WE343" s="635"/>
      <c r="WF343" s="635"/>
      <c r="WG343" s="635"/>
      <c r="WH343" s="635"/>
      <c r="WI343" s="635"/>
      <c r="WJ343" s="635"/>
      <c r="WK343" s="635"/>
      <c r="WL343" s="635"/>
      <c r="WM343" s="635"/>
      <c r="WN343" s="635"/>
      <c r="WO343" s="635"/>
      <c r="WP343" s="635"/>
      <c r="WQ343" s="635"/>
      <c r="WR343" s="635"/>
      <c r="WS343" s="635"/>
      <c r="WT343" s="635"/>
      <c r="WU343" s="635"/>
      <c r="WV343" s="635"/>
      <c r="WW343" s="635"/>
      <c r="WX343" s="635"/>
      <c r="WY343" s="635"/>
      <c r="WZ343" s="635"/>
      <c r="XA343" s="635"/>
      <c r="XB343" s="635"/>
      <c r="XC343" s="635"/>
      <c r="XD343" s="635"/>
      <c r="XE343" s="635"/>
      <c r="XF343" s="635"/>
      <c r="XG343" s="635"/>
      <c r="XH343" s="635"/>
      <c r="XI343" s="635"/>
      <c r="XJ343" s="635"/>
      <c r="XK343" s="635"/>
      <c r="XL343" s="635"/>
      <c r="XM343" s="635"/>
      <c r="XN343" s="635"/>
      <c r="XO343" s="635"/>
      <c r="XP343" s="635"/>
      <c r="XQ343" s="635"/>
      <c r="XR343" s="635"/>
      <c r="XS343" s="635"/>
      <c r="XT343" s="635"/>
      <c r="XU343" s="635"/>
      <c r="XV343" s="635"/>
      <c r="XW343" s="635"/>
      <c r="XX343" s="635"/>
      <c r="XY343" s="635"/>
      <c r="XZ343" s="635"/>
      <c r="YA343" s="635"/>
      <c r="YB343" s="635"/>
      <c r="YC343" s="635"/>
      <c r="YD343" s="635"/>
      <c r="YE343" s="635"/>
      <c r="YF343" s="635"/>
      <c r="YG343" s="635"/>
      <c r="YH343" s="635"/>
      <c r="YI343" s="635"/>
      <c r="YJ343" s="635"/>
      <c r="YK343" s="635"/>
      <c r="YL343" s="635"/>
      <c r="YM343" s="635"/>
      <c r="YN343" s="635"/>
      <c r="YO343" s="635"/>
      <c r="YP343" s="635"/>
      <c r="YQ343" s="635"/>
      <c r="YR343" s="635"/>
      <c r="YS343" s="635"/>
      <c r="YT343" s="635"/>
      <c r="YU343" s="635"/>
      <c r="YV343" s="635"/>
      <c r="YW343" s="635"/>
      <c r="YX343" s="635"/>
      <c r="YY343" s="635"/>
      <c r="YZ343" s="635"/>
      <c r="ZA343" s="635"/>
      <c r="ZB343" s="635"/>
      <c r="ZC343" s="635"/>
      <c r="ZD343" s="635"/>
      <c r="ZE343" s="635"/>
      <c r="ZF343" s="635"/>
      <c r="ZG343" s="635"/>
      <c r="ZH343" s="635"/>
      <c r="ZI343" s="635"/>
      <c r="ZJ343" s="635"/>
      <c r="ZK343" s="635"/>
      <c r="ZL343" s="635"/>
      <c r="ZM343" s="635"/>
      <c r="ZN343" s="635"/>
      <c r="ZO343" s="635"/>
      <c r="ZP343" s="635"/>
      <c r="ZQ343" s="635"/>
      <c r="ZR343" s="635"/>
      <c r="ZS343" s="635"/>
      <c r="ZT343" s="635"/>
      <c r="ZU343" s="635"/>
      <c r="ZV343" s="635"/>
      <c r="ZW343" s="635"/>
      <c r="ZX343" s="635"/>
      <c r="ZY343" s="638"/>
      <c r="ZZ343" s="119"/>
      <c r="AAA343" s="588"/>
      <c r="AAD343" s="112"/>
      <c r="AAE343" s="551" t="s">
        <v>245</v>
      </c>
      <c r="AAF343" s="583" t="s">
        <v>174</v>
      </c>
      <c r="AAG343" s="78">
        <f>WORKDAY(S.SubmitNoticeToSOS-19,-1,S.DDL_DEQClosed)</f>
        <v>41509</v>
      </c>
      <c r="AAH343" s="78">
        <f>S.SubmitStaffRpt</f>
        <v>41676</v>
      </c>
      <c r="AAI343" s="77"/>
      <c r="AAJ343" s="77"/>
      <c r="AAK343" s="77"/>
      <c r="AAL343" s="65"/>
      <c r="AAM343" s="112"/>
      <c r="AAN343"/>
      <c r="AAT343" s="23"/>
      <c r="AAU343" s="44"/>
    </row>
    <row r="344" spans="1:732" ht="6" customHeight="1">
      <c r="A344" s="558"/>
      <c r="B344" s="206"/>
      <c r="C344" s="688"/>
      <c r="D344" s="180"/>
      <c r="E344" s="181"/>
      <c r="F344" s="181"/>
      <c r="G344" s="180"/>
      <c r="H344" s="180"/>
      <c r="I344" s="588"/>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588"/>
      <c r="AAD344" s="112"/>
      <c r="AAE344" s="551" t="s">
        <v>20</v>
      </c>
      <c r="AAF344" s="583" t="s">
        <v>174</v>
      </c>
      <c r="AAG344" s="63"/>
      <c r="AAH344" s="63"/>
      <c r="AAI344" s="77"/>
      <c r="AAJ344" s="77"/>
      <c r="AAK344" s="77"/>
      <c r="AAL344" s="57"/>
      <c r="AAM344" s="112"/>
      <c r="AAN344"/>
      <c r="AAT344" s="23"/>
      <c r="AAU344" s="44"/>
    </row>
    <row r="345" spans="1:732" ht="15" customHeight="1" outlineLevel="1">
      <c r="A345" s="558"/>
      <c r="B345" s="438" t="s">
        <v>209</v>
      </c>
      <c r="C345" s="168"/>
      <c r="D345" s="277" t="s">
        <v>157</v>
      </c>
      <c r="E345" s="448">
        <f>NETWORKDAYS(G345,H345,S.DDL_DEQClosed)</f>
        <v>54</v>
      </c>
      <c r="F345" s="491">
        <f ca="1">NETWORKDAYS(TODAY(),H345)</f>
        <v>66</v>
      </c>
      <c r="G345" s="449">
        <f>AAG345</f>
        <v>41509</v>
      </c>
      <c r="H345" s="449">
        <f>AAH345</f>
        <v>41585</v>
      </c>
      <c r="I345" s="627"/>
      <c r="J345" s="640"/>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c r="BR345" s="641"/>
      <c r="BS345" s="641"/>
      <c r="BT345" s="641"/>
      <c r="BU345" s="641"/>
      <c r="BV345" s="641"/>
      <c r="BW345" s="641"/>
      <c r="BX345" s="641"/>
      <c r="BY345" s="641"/>
      <c r="BZ345" s="641"/>
      <c r="CA345" s="641"/>
      <c r="CB345" s="641"/>
      <c r="CC345" s="641"/>
      <c r="CD345" s="641"/>
      <c r="CE345" s="641"/>
      <c r="CF345" s="641"/>
      <c r="CG345" s="641"/>
      <c r="CH345" s="641"/>
      <c r="CI345" s="641"/>
      <c r="CJ345" s="641"/>
      <c r="CK345" s="641"/>
      <c r="CL345" s="641"/>
      <c r="CM345" s="641"/>
      <c r="CN345" s="641"/>
      <c r="CO345" s="641"/>
      <c r="CP345" s="641"/>
      <c r="CQ345" s="641"/>
      <c r="CR345" s="641"/>
      <c r="CS345" s="641"/>
      <c r="CT345" s="641"/>
      <c r="CU345" s="641"/>
      <c r="CV345" s="641"/>
      <c r="CW345" s="641"/>
      <c r="CX345" s="641"/>
      <c r="CY345" s="641"/>
      <c r="CZ345" s="641"/>
      <c r="DA345" s="641"/>
      <c r="DB345" s="641"/>
      <c r="DC345" s="641"/>
      <c r="DD345" s="641"/>
      <c r="DE345" s="641"/>
      <c r="DF345" s="641"/>
      <c r="DG345" s="641"/>
      <c r="DH345" s="641"/>
      <c r="DI345" s="641"/>
      <c r="DJ345" s="641"/>
      <c r="DK345" s="641"/>
      <c r="DL345" s="641"/>
      <c r="DM345" s="641"/>
      <c r="DN345" s="641"/>
      <c r="DO345" s="641"/>
      <c r="DP345" s="641"/>
      <c r="DQ345" s="641"/>
      <c r="DR345" s="641"/>
      <c r="DS345" s="641"/>
      <c r="DT345" s="641"/>
      <c r="DU345" s="641"/>
      <c r="DV345" s="641"/>
      <c r="DW345" s="641"/>
      <c r="DX345" s="641"/>
      <c r="DY345" s="641"/>
      <c r="DZ345" s="641"/>
      <c r="EA345" s="641"/>
      <c r="EB345" s="641"/>
      <c r="EC345" s="641"/>
      <c r="ED345" s="641"/>
      <c r="EE345" s="641"/>
      <c r="EF345" s="641"/>
      <c r="EG345" s="641"/>
      <c r="EH345" s="641"/>
      <c r="EI345" s="641"/>
      <c r="EJ345" s="641"/>
      <c r="EK345" s="641"/>
      <c r="EL345" s="641"/>
      <c r="EM345" s="641"/>
      <c r="EN345" s="641"/>
      <c r="EO345" s="641"/>
      <c r="EP345" s="641"/>
      <c r="EQ345" s="641"/>
      <c r="ER345" s="641"/>
      <c r="ES345" s="641"/>
      <c r="ET345" s="641"/>
      <c r="EU345" s="641"/>
      <c r="EV345" s="641"/>
      <c r="EW345" s="641"/>
      <c r="EX345" s="641"/>
      <c r="EY345" s="641"/>
      <c r="EZ345" s="641"/>
      <c r="FA345" s="641"/>
      <c r="FB345" s="641"/>
      <c r="FC345" s="641"/>
      <c r="FD345" s="641"/>
      <c r="FE345" s="641"/>
      <c r="FF345" s="641"/>
      <c r="FG345" s="641"/>
      <c r="FH345" s="641"/>
      <c r="FI345" s="641"/>
      <c r="FJ345" s="641"/>
      <c r="FK345" s="641"/>
      <c r="FL345" s="641"/>
      <c r="FM345" s="641"/>
      <c r="FN345" s="641"/>
      <c r="FO345" s="641"/>
      <c r="FP345" s="641"/>
      <c r="FQ345" s="641"/>
      <c r="FR345" s="641"/>
      <c r="FS345" s="641"/>
      <c r="FT345" s="641"/>
      <c r="FU345" s="641"/>
      <c r="FV345" s="641"/>
      <c r="FW345" s="641"/>
      <c r="FX345" s="641"/>
      <c r="FY345" s="641"/>
      <c r="FZ345" s="641"/>
      <c r="GA345" s="641"/>
      <c r="GB345" s="641"/>
      <c r="GC345" s="641"/>
      <c r="GD345" s="641"/>
      <c r="GE345" s="641"/>
      <c r="GF345" s="641"/>
      <c r="GG345" s="641"/>
      <c r="GH345" s="641"/>
      <c r="GI345" s="641"/>
      <c r="GJ345" s="641"/>
      <c r="GK345" s="641"/>
      <c r="GL345" s="641"/>
      <c r="GM345" s="641"/>
      <c r="GN345" s="641"/>
      <c r="GO345" s="641"/>
      <c r="GP345" s="641"/>
      <c r="GQ345" s="641"/>
      <c r="GR345" s="641"/>
      <c r="GS345" s="641"/>
      <c r="GT345" s="641"/>
      <c r="GU345" s="641"/>
      <c r="GV345" s="641"/>
      <c r="GW345" s="641"/>
      <c r="GX345" s="641"/>
      <c r="GY345" s="641"/>
      <c r="GZ345" s="641"/>
      <c r="HA345" s="641"/>
      <c r="HB345" s="641"/>
      <c r="HC345" s="641"/>
      <c r="HD345" s="641"/>
      <c r="HE345" s="641"/>
      <c r="HF345" s="641"/>
      <c r="HG345" s="641"/>
      <c r="HH345" s="641"/>
      <c r="HI345" s="641"/>
      <c r="HJ345" s="641"/>
      <c r="HK345" s="641"/>
      <c r="HL345" s="641"/>
      <c r="HM345" s="641"/>
      <c r="HN345" s="641"/>
      <c r="HO345" s="641"/>
      <c r="HP345" s="641"/>
      <c r="HQ345" s="641"/>
      <c r="HR345" s="641"/>
      <c r="HS345" s="641"/>
      <c r="HT345" s="641"/>
      <c r="HU345" s="641"/>
      <c r="HV345" s="641"/>
      <c r="HW345" s="641"/>
      <c r="HX345" s="641"/>
      <c r="HY345" s="641"/>
      <c r="HZ345" s="641"/>
      <c r="IA345" s="641"/>
      <c r="IB345" s="641"/>
      <c r="IC345" s="641"/>
      <c r="ID345" s="641"/>
      <c r="IE345" s="641"/>
      <c r="IF345" s="641"/>
      <c r="IG345" s="641"/>
      <c r="IH345" s="641"/>
      <c r="II345" s="641"/>
      <c r="IJ345" s="641"/>
      <c r="IK345" s="641"/>
      <c r="IL345" s="641"/>
      <c r="IM345" s="641"/>
      <c r="IN345" s="641"/>
      <c r="IO345" s="641"/>
      <c r="IP345" s="641"/>
      <c r="IQ345" s="641"/>
      <c r="IR345" s="641"/>
      <c r="IS345" s="641"/>
      <c r="IT345" s="641"/>
      <c r="IU345" s="641"/>
      <c r="IV345" s="641"/>
      <c r="IW345" s="641"/>
      <c r="IX345" s="641"/>
      <c r="IY345" s="641"/>
      <c r="IZ345" s="641"/>
      <c r="JA345" s="641"/>
      <c r="JB345" s="641"/>
      <c r="JC345" s="641"/>
      <c r="JD345" s="641"/>
      <c r="JE345" s="641"/>
      <c r="JF345" s="641"/>
      <c r="JG345" s="641"/>
      <c r="JH345" s="641"/>
      <c r="JI345" s="641"/>
      <c r="JJ345" s="641"/>
      <c r="JK345" s="641"/>
      <c r="JL345" s="641"/>
      <c r="JM345" s="641"/>
      <c r="JN345" s="641"/>
      <c r="JO345" s="641"/>
      <c r="JP345" s="641"/>
      <c r="JQ345" s="641"/>
      <c r="JR345" s="641"/>
      <c r="JS345" s="641"/>
      <c r="JT345" s="641"/>
      <c r="JU345" s="641"/>
      <c r="JV345" s="641"/>
      <c r="JW345" s="641"/>
      <c r="JX345" s="641"/>
      <c r="JY345" s="641"/>
      <c r="JZ345" s="641"/>
      <c r="KA345" s="641"/>
      <c r="KB345" s="641"/>
      <c r="KC345" s="641"/>
      <c r="KD345" s="641"/>
      <c r="KE345" s="641"/>
      <c r="KF345" s="641"/>
      <c r="KG345" s="641"/>
      <c r="KH345" s="641"/>
      <c r="KI345" s="641"/>
      <c r="KJ345" s="641"/>
      <c r="KK345" s="641"/>
      <c r="KL345" s="641"/>
      <c r="KM345" s="641"/>
      <c r="KN345" s="641"/>
      <c r="KO345" s="641"/>
      <c r="KP345" s="641"/>
      <c r="KQ345" s="641"/>
      <c r="KR345" s="641"/>
      <c r="KS345" s="641"/>
      <c r="KT345" s="641"/>
      <c r="KU345" s="641"/>
      <c r="KV345" s="641"/>
      <c r="KW345" s="641"/>
      <c r="KX345" s="641"/>
      <c r="KY345" s="641"/>
      <c r="KZ345" s="641"/>
      <c r="LA345" s="641"/>
      <c r="LB345" s="641"/>
      <c r="LC345" s="641"/>
      <c r="LD345" s="641"/>
      <c r="LE345" s="641"/>
      <c r="LF345" s="641"/>
      <c r="LG345" s="641"/>
      <c r="LH345" s="641"/>
      <c r="LI345" s="641"/>
      <c r="LJ345" s="641"/>
      <c r="LK345" s="641"/>
      <c r="LL345" s="641"/>
      <c r="LM345" s="641"/>
      <c r="LN345" s="641"/>
      <c r="LO345" s="641"/>
      <c r="LP345" s="641"/>
      <c r="LQ345" s="641"/>
      <c r="LR345" s="641"/>
      <c r="LS345" s="641"/>
      <c r="LT345" s="641"/>
      <c r="LU345" s="641"/>
      <c r="LV345" s="641"/>
      <c r="LW345" s="641"/>
      <c r="LX345" s="641"/>
      <c r="LY345" s="641"/>
      <c r="LZ345" s="641"/>
      <c r="MA345" s="641"/>
      <c r="MB345" s="641"/>
      <c r="MC345" s="641"/>
      <c r="MD345" s="641"/>
      <c r="ME345" s="641"/>
      <c r="MF345" s="641"/>
      <c r="MG345" s="641"/>
      <c r="MH345" s="641"/>
      <c r="MI345" s="641"/>
      <c r="MJ345" s="641"/>
      <c r="MK345" s="641"/>
      <c r="ML345" s="641"/>
      <c r="MM345" s="641"/>
      <c r="MN345" s="641"/>
      <c r="MO345" s="641"/>
      <c r="MP345" s="641"/>
      <c r="MQ345" s="641"/>
      <c r="MR345" s="641"/>
      <c r="MS345" s="641"/>
      <c r="MT345" s="641"/>
      <c r="MU345" s="641"/>
      <c r="MV345" s="641"/>
      <c r="MW345" s="641"/>
      <c r="MX345" s="641"/>
      <c r="MY345" s="641"/>
      <c r="MZ345" s="641"/>
      <c r="NA345" s="641"/>
      <c r="NB345" s="641"/>
      <c r="NC345" s="641"/>
      <c r="ND345" s="641"/>
      <c r="NE345" s="641"/>
      <c r="NF345" s="641"/>
      <c r="NG345" s="641"/>
      <c r="NH345" s="641"/>
      <c r="NI345" s="641"/>
      <c r="NJ345" s="641"/>
      <c r="NK345" s="641"/>
      <c r="NL345" s="641"/>
      <c r="NM345" s="641"/>
      <c r="NN345" s="641"/>
      <c r="NO345" s="641"/>
      <c r="NP345" s="641"/>
      <c r="NQ345" s="641"/>
      <c r="NR345" s="641"/>
      <c r="NS345" s="641"/>
      <c r="NT345" s="641"/>
      <c r="NU345" s="641"/>
      <c r="NV345" s="641"/>
      <c r="NW345" s="641"/>
      <c r="NX345" s="641"/>
      <c r="NY345" s="641"/>
      <c r="NZ345" s="641"/>
      <c r="OA345" s="641"/>
      <c r="OB345" s="641"/>
      <c r="OC345" s="641"/>
      <c r="OD345" s="641"/>
      <c r="OE345" s="641"/>
      <c r="OF345" s="641"/>
      <c r="OG345" s="641"/>
      <c r="OH345" s="641"/>
      <c r="OI345" s="641"/>
      <c r="OJ345" s="641"/>
      <c r="OK345" s="641"/>
      <c r="OL345" s="641"/>
      <c r="OM345" s="641"/>
      <c r="ON345" s="641"/>
      <c r="OO345" s="641"/>
      <c r="OP345" s="641"/>
      <c r="OQ345" s="641"/>
      <c r="OR345" s="641"/>
      <c r="OS345" s="641"/>
      <c r="OT345" s="641"/>
      <c r="OU345" s="641"/>
      <c r="OV345" s="641"/>
      <c r="OW345" s="641"/>
      <c r="OX345" s="641"/>
      <c r="OY345" s="641"/>
      <c r="OZ345" s="641"/>
      <c r="PA345" s="641"/>
      <c r="PB345" s="641"/>
      <c r="PC345" s="641"/>
      <c r="PD345" s="641"/>
      <c r="PE345" s="641"/>
      <c r="PF345" s="641"/>
      <c r="PG345" s="641"/>
      <c r="PH345" s="641"/>
      <c r="PI345" s="641"/>
      <c r="PJ345" s="641"/>
      <c r="PK345" s="641"/>
      <c r="PL345" s="641"/>
      <c r="PM345" s="641"/>
      <c r="PN345" s="641"/>
      <c r="PO345" s="641"/>
      <c r="PP345" s="641"/>
      <c r="PQ345" s="641"/>
      <c r="PR345" s="641"/>
      <c r="PS345" s="641"/>
      <c r="PT345" s="641"/>
      <c r="PU345" s="641"/>
      <c r="PV345" s="641"/>
      <c r="PW345" s="641"/>
      <c r="PX345" s="641"/>
      <c r="PY345" s="641"/>
      <c r="PZ345" s="641"/>
      <c r="QA345" s="641"/>
      <c r="QB345" s="641"/>
      <c r="QC345" s="641"/>
      <c r="QD345" s="641"/>
      <c r="QE345" s="641"/>
      <c r="QF345" s="641"/>
      <c r="QG345" s="641"/>
      <c r="QH345" s="641"/>
      <c r="QI345" s="641"/>
      <c r="QJ345" s="641"/>
      <c r="QK345" s="641"/>
      <c r="QL345" s="641"/>
      <c r="QM345" s="641"/>
      <c r="QN345" s="641"/>
      <c r="QO345" s="641"/>
      <c r="QP345" s="641"/>
      <c r="QQ345" s="641"/>
      <c r="QR345" s="641"/>
      <c r="QS345" s="641"/>
      <c r="QT345" s="641"/>
      <c r="QU345" s="641"/>
      <c r="QV345" s="641"/>
      <c r="QW345" s="641"/>
      <c r="QX345" s="641"/>
      <c r="QY345" s="641"/>
      <c r="QZ345" s="641"/>
      <c r="RA345" s="641"/>
      <c r="RB345" s="641"/>
      <c r="RC345" s="641"/>
      <c r="RD345" s="641"/>
      <c r="RE345" s="641"/>
      <c r="RF345" s="641"/>
      <c r="RG345" s="641"/>
      <c r="RH345" s="641"/>
      <c r="RI345" s="641"/>
      <c r="RJ345" s="641"/>
      <c r="RK345" s="641"/>
      <c r="RL345" s="641"/>
      <c r="RM345" s="641"/>
      <c r="RN345" s="641"/>
      <c r="RO345" s="641"/>
      <c r="RP345" s="641"/>
      <c r="RQ345" s="641"/>
      <c r="RR345" s="641"/>
      <c r="RS345" s="641"/>
      <c r="RT345" s="641"/>
      <c r="RU345" s="641"/>
      <c r="RV345" s="641"/>
      <c r="RW345" s="641"/>
      <c r="RX345" s="641"/>
      <c r="RY345" s="641"/>
      <c r="RZ345" s="641"/>
      <c r="SA345" s="641"/>
      <c r="SB345" s="641"/>
      <c r="SC345" s="641"/>
      <c r="SD345" s="641"/>
      <c r="SE345" s="641"/>
      <c r="SF345" s="641"/>
      <c r="SG345" s="641"/>
      <c r="SH345" s="641"/>
      <c r="SI345" s="641"/>
      <c r="SJ345" s="641"/>
      <c r="SK345" s="641"/>
      <c r="SL345" s="641"/>
      <c r="SM345" s="641"/>
      <c r="SN345" s="641"/>
      <c r="SO345" s="641"/>
      <c r="SP345" s="641"/>
      <c r="SQ345" s="641"/>
      <c r="SR345" s="641"/>
      <c r="SS345" s="641"/>
      <c r="ST345" s="641"/>
      <c r="SU345" s="641"/>
      <c r="SV345" s="641"/>
      <c r="SW345" s="641"/>
      <c r="SX345" s="641"/>
      <c r="SY345" s="641"/>
      <c r="SZ345" s="641"/>
      <c r="TA345" s="641"/>
      <c r="TB345" s="641"/>
      <c r="TC345" s="641"/>
      <c r="TD345" s="641"/>
      <c r="TE345" s="641"/>
      <c r="TF345" s="641"/>
      <c r="TG345" s="641"/>
      <c r="TH345" s="641"/>
      <c r="TI345" s="641"/>
      <c r="TJ345" s="641"/>
      <c r="TK345" s="641"/>
      <c r="TL345" s="641"/>
      <c r="TM345" s="641"/>
      <c r="TN345" s="641"/>
      <c r="TO345" s="641"/>
      <c r="TP345" s="641"/>
      <c r="TQ345" s="641"/>
      <c r="TR345" s="641"/>
      <c r="TS345" s="641"/>
      <c r="TT345" s="641"/>
      <c r="TU345" s="641"/>
      <c r="TV345" s="641"/>
      <c r="TW345" s="641"/>
      <c r="TX345" s="641"/>
      <c r="TY345" s="641"/>
      <c r="TZ345" s="641"/>
      <c r="UA345" s="641"/>
      <c r="UB345" s="641"/>
      <c r="UC345" s="641"/>
      <c r="UD345" s="641"/>
      <c r="UE345" s="641"/>
      <c r="UF345" s="641"/>
      <c r="UG345" s="641"/>
      <c r="UH345" s="641"/>
      <c r="UI345" s="641"/>
      <c r="UJ345" s="641"/>
      <c r="UK345" s="641"/>
      <c r="UL345" s="641"/>
      <c r="UM345" s="641"/>
      <c r="UN345" s="641"/>
      <c r="UO345" s="641"/>
      <c r="UP345" s="641"/>
      <c r="UQ345" s="641"/>
      <c r="UR345" s="641"/>
      <c r="US345" s="641"/>
      <c r="UT345" s="641"/>
      <c r="UU345" s="641"/>
      <c r="UV345" s="641"/>
      <c r="UW345" s="641"/>
      <c r="UX345" s="641"/>
      <c r="UY345" s="641"/>
      <c r="UZ345" s="641"/>
      <c r="VA345" s="641"/>
      <c r="VB345" s="641"/>
      <c r="VC345" s="641"/>
      <c r="VD345" s="641"/>
      <c r="VE345" s="641"/>
      <c r="VF345" s="641"/>
      <c r="VG345" s="641"/>
      <c r="VH345" s="641"/>
      <c r="VI345" s="641"/>
      <c r="VJ345" s="641"/>
      <c r="VK345" s="641"/>
      <c r="VL345" s="641"/>
      <c r="VM345" s="641"/>
      <c r="VN345" s="641"/>
      <c r="VO345" s="641"/>
      <c r="VP345" s="641"/>
      <c r="VQ345" s="641"/>
      <c r="VR345" s="641"/>
      <c r="VS345" s="641"/>
      <c r="VT345" s="641"/>
      <c r="VU345" s="641"/>
      <c r="VV345" s="641"/>
      <c r="VW345" s="641"/>
      <c r="VX345" s="641"/>
      <c r="VY345" s="641"/>
      <c r="VZ345" s="641"/>
      <c r="WA345" s="641"/>
      <c r="WB345" s="641"/>
      <c r="WC345" s="641"/>
      <c r="WD345" s="641"/>
      <c r="WE345" s="641"/>
      <c r="WF345" s="641"/>
      <c r="WG345" s="641"/>
      <c r="WH345" s="641"/>
      <c r="WI345" s="641"/>
      <c r="WJ345" s="641"/>
      <c r="WK345" s="641"/>
      <c r="WL345" s="641"/>
      <c r="WM345" s="641"/>
      <c r="WN345" s="641"/>
      <c r="WO345" s="641"/>
      <c r="WP345" s="641"/>
      <c r="WQ345" s="641"/>
      <c r="WR345" s="641"/>
      <c r="WS345" s="641"/>
      <c r="WT345" s="641"/>
      <c r="WU345" s="641"/>
      <c r="WV345" s="641"/>
      <c r="WW345" s="641"/>
      <c r="WX345" s="641"/>
      <c r="WY345" s="641"/>
      <c r="WZ345" s="641"/>
      <c r="XA345" s="641"/>
      <c r="XB345" s="641"/>
      <c r="XC345" s="641"/>
      <c r="XD345" s="641"/>
      <c r="XE345" s="641"/>
      <c r="XF345" s="641"/>
      <c r="XG345" s="641"/>
      <c r="XH345" s="641"/>
      <c r="XI345" s="641"/>
      <c r="XJ345" s="641"/>
      <c r="XK345" s="641"/>
      <c r="XL345" s="641"/>
      <c r="XM345" s="641"/>
      <c r="XN345" s="641"/>
      <c r="XO345" s="641"/>
      <c r="XP345" s="641"/>
      <c r="XQ345" s="641"/>
      <c r="XR345" s="641"/>
      <c r="XS345" s="641"/>
      <c r="XT345" s="641"/>
      <c r="XU345" s="641"/>
      <c r="XV345" s="641"/>
      <c r="XW345" s="641"/>
      <c r="XX345" s="641"/>
      <c r="XY345" s="641"/>
      <c r="XZ345" s="641"/>
      <c r="YA345" s="641"/>
      <c r="YB345" s="641"/>
      <c r="YC345" s="641"/>
      <c r="YD345" s="641"/>
      <c r="YE345" s="641"/>
      <c r="YF345" s="641"/>
      <c r="YG345" s="641"/>
      <c r="YH345" s="641"/>
      <c r="YI345" s="641"/>
      <c r="YJ345" s="641"/>
      <c r="YK345" s="641"/>
      <c r="YL345" s="641"/>
      <c r="YM345" s="641"/>
      <c r="YN345" s="641"/>
      <c r="YO345" s="641"/>
      <c r="YP345" s="641"/>
      <c r="YQ345" s="641"/>
      <c r="YR345" s="641"/>
      <c r="YS345" s="641"/>
      <c r="YT345" s="641"/>
      <c r="YU345" s="641"/>
      <c r="YV345" s="641"/>
      <c r="YW345" s="641"/>
      <c r="YX345" s="641"/>
      <c r="YY345" s="641"/>
      <c r="YZ345" s="641"/>
      <c r="ZA345" s="641"/>
      <c r="ZB345" s="641"/>
      <c r="ZC345" s="641"/>
      <c r="ZD345" s="641"/>
      <c r="ZE345" s="641"/>
      <c r="ZF345" s="641"/>
      <c r="ZG345" s="641"/>
      <c r="ZH345" s="641"/>
      <c r="ZI345" s="641"/>
      <c r="ZJ345" s="641"/>
      <c r="ZK345" s="641"/>
      <c r="ZL345" s="641"/>
      <c r="ZM345" s="641"/>
      <c r="ZN345" s="641"/>
      <c r="ZO345" s="641"/>
      <c r="ZP345" s="641"/>
      <c r="ZQ345" s="641"/>
      <c r="ZR345" s="641"/>
      <c r="ZS345" s="641"/>
      <c r="ZT345" s="641"/>
      <c r="ZU345" s="641"/>
      <c r="ZV345" s="641"/>
      <c r="ZW345" s="641"/>
      <c r="ZX345" s="641"/>
      <c r="ZY345" s="50"/>
      <c r="ZZ345" s="50"/>
      <c r="AAA345" s="588"/>
      <c r="AAD345" s="112"/>
      <c r="AAE345" s="551">
        <f t="shared" ref="AAE345:AAE373" si="951">IF(AND(S.InvolveNotice=TRUE,S.InvolveHearing=TRUE),1,0)</f>
        <v>1</v>
      </c>
      <c r="AAF345" s="584"/>
      <c r="AAG345" s="78">
        <f>S.BANNER.HearingStart</f>
        <v>41509</v>
      </c>
      <c r="AAH345" s="78">
        <f>S.FirstHearingDate</f>
        <v>41585</v>
      </c>
      <c r="AAI345" s="77"/>
      <c r="AAJ345" s="77"/>
      <c r="AAK345" s="77"/>
      <c r="AAL345" s="57"/>
      <c r="AAM345" s="112"/>
      <c r="AAN345"/>
      <c r="AAT345" s="23"/>
      <c r="AAU345" s="44"/>
    </row>
    <row r="346" spans="1:732" ht="15" customHeight="1" outlineLevel="1">
      <c r="A346" s="558"/>
      <c r="B346" s="346" t="s">
        <v>44</v>
      </c>
      <c r="C346" s="168"/>
      <c r="D346" s="294"/>
      <c r="E346" s="450"/>
      <c r="F346" s="450"/>
      <c r="G346" s="451"/>
      <c r="H346" s="45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174</v>
      </c>
      <c r="AAG346" s="76"/>
      <c r="AAH346" s="76"/>
      <c r="AAI346" s="77"/>
      <c r="AAJ346" s="77"/>
      <c r="AAK346" s="77"/>
      <c r="AAL346" s="57"/>
      <c r="AAM346" s="112"/>
      <c r="AAN346"/>
      <c r="AAT346" s="23"/>
      <c r="AAU346" s="44"/>
    </row>
    <row r="347" spans="1:732" ht="15" customHeight="1" outlineLevel="1">
      <c r="A347" s="558"/>
      <c r="B347" s="346" t="s">
        <v>43</v>
      </c>
      <c r="C347" s="231" t="s">
        <v>69</v>
      </c>
      <c r="D347" s="145"/>
      <c r="E347" s="400"/>
      <c r="F347" s="400"/>
      <c r="G347" s="401"/>
      <c r="H347" s="401"/>
      <c r="I347" s="588"/>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8"/>
      <c r="ZZ347" s="36"/>
      <c r="AAA347" s="588"/>
      <c r="AAD347" s="112"/>
      <c r="AAE347" s="551">
        <f t="shared" si="951"/>
        <v>1</v>
      </c>
      <c r="AAF347" s="583" t="s">
        <v>174</v>
      </c>
      <c r="AAG347" s="76"/>
      <c r="AAH347" s="76"/>
      <c r="AAI347" s="77"/>
      <c r="AAJ347" s="77"/>
      <c r="AAK347" s="77"/>
      <c r="AAL347" s="57"/>
      <c r="AAM347" s="112"/>
      <c r="AAN347"/>
      <c r="AAT347" s="23"/>
      <c r="AAU347" s="44"/>
    </row>
    <row r="348" spans="1:732" ht="15" customHeight="1" outlineLevel="1">
      <c r="A348" s="558"/>
      <c r="B348" s="438" t="s">
        <v>153</v>
      </c>
      <c r="C348" s="296"/>
      <c r="D348" s="277" t="s">
        <v>359</v>
      </c>
      <c r="E348" s="448">
        <f>NETWORKDAYS(G348,H348,S.DDL_DEQClosed)</f>
        <v>54</v>
      </c>
      <c r="F348" s="491">
        <f ca="1">NETWORKDAYS(TODAY(),H348)</f>
        <v>66</v>
      </c>
      <c r="G348" s="449">
        <f>AAG348</f>
        <v>41509</v>
      </c>
      <c r="H348" s="449">
        <f>AAH348</f>
        <v>41585</v>
      </c>
      <c r="I348" s="627"/>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88"/>
      <c r="AAD348" s="112"/>
      <c r="AAE348" s="551">
        <f t="shared" si="951"/>
        <v>1</v>
      </c>
      <c r="AAF348" s="112"/>
      <c r="AAG348" s="78">
        <f>S.BANNER.HearingStart</f>
        <v>41509</v>
      </c>
      <c r="AAH348" s="78">
        <f>S.FirstHearingDate</f>
        <v>41585</v>
      </c>
      <c r="AAI348" s="77"/>
      <c r="AAJ348" s="77"/>
      <c r="AAK348" s="77"/>
      <c r="AAL348" s="57"/>
      <c r="AAM348" s="112"/>
      <c r="AAN348"/>
      <c r="AAT348" s="23"/>
      <c r="AAU348" s="44"/>
    </row>
    <row r="349" spans="1:732" ht="15" customHeight="1" outlineLevel="1">
      <c r="A349" s="558"/>
      <c r="B349" s="439" t="s">
        <v>122</v>
      </c>
      <c r="C349" s="71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174</v>
      </c>
      <c r="AAG349" s="76"/>
      <c r="AAH349" s="76"/>
      <c r="AAI349" s="77"/>
      <c r="AAJ349" s="77"/>
      <c r="AAK349" s="77"/>
      <c r="AAL349" s="89" t="str">
        <f>"Develop "&amp;S.CodeName&amp;"HEARING.TEXT"</f>
        <v>Develop HEARING.TEXT</v>
      </c>
      <c r="AAM349" s="112"/>
      <c r="AAN349"/>
      <c r="AAT349" s="23"/>
      <c r="AAU349" s="44"/>
      <c r="AAV349" s="23"/>
      <c r="AAW349" s="23"/>
      <c r="AAX349" s="23"/>
      <c r="AAY349" s="23"/>
      <c r="AAZ349" s="23"/>
      <c r="ABA349" s="23"/>
      <c r="ABB349" s="23"/>
      <c r="ABC349" s="23"/>
      <c r="ABD349" s="23"/>
    </row>
    <row r="350" spans="1:732" ht="15" customHeight="1" outlineLevel="1">
      <c r="A350" s="558"/>
      <c r="B350" s="440" t="str">
        <f>AAL349</f>
        <v>Develop HEARING.TEXT</v>
      </c>
      <c r="C350" s="297"/>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D350" s="112"/>
      <c r="AAE350" s="551">
        <f t="shared" si="951"/>
        <v>1</v>
      </c>
      <c r="AAF350" s="583" t="s">
        <v>174</v>
      </c>
      <c r="AAG350" s="76"/>
      <c r="AAH350" s="76"/>
      <c r="AAI350" s="77"/>
      <c r="AAJ350" s="77"/>
      <c r="AAK350" s="77"/>
      <c r="AAL350" s="89" t="str">
        <f>"Develop "&amp;S.CodeName&amp;"HEARING.MESSAGE.MAP"</f>
        <v>Develop HEARING.MESSAGE.MAP</v>
      </c>
      <c r="AAM350" s="112"/>
      <c r="AAN350"/>
      <c r="AAT350" s="23"/>
      <c r="AAU350" s="44"/>
    </row>
    <row r="351" spans="1:732" s="23" customFormat="1" ht="15" customHeight="1" outlineLevel="1">
      <c r="A351" s="558"/>
      <c r="B351" s="441" t="str">
        <f>AAL350</f>
        <v>Develop HEARING.MESSAGE.MAP</v>
      </c>
      <c r="C351" s="295" t="s">
        <v>69</v>
      </c>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B351"/>
      <c r="AAC351"/>
      <c r="AAD351" s="112"/>
      <c r="AAE351" s="551">
        <f t="shared" si="951"/>
        <v>1</v>
      </c>
      <c r="AAF351" s="583" t="s">
        <v>174</v>
      </c>
      <c r="AAG351" s="76"/>
      <c r="AAH351" s="76"/>
      <c r="AAI351" s="77"/>
      <c r="AAJ351" s="77"/>
      <c r="AAK351" s="77"/>
      <c r="AAL351" s="89" t="str">
        <f>"Develop "&amp;S.CodeName&amp;"HEARING.PRESENTATION"</f>
        <v>Develop HEARING.PRESENTATION</v>
      </c>
      <c r="AAM351" s="112"/>
      <c r="AAU351" s="44"/>
      <c r="AAV351"/>
      <c r="AAW351"/>
      <c r="AAX351"/>
      <c r="AAY351"/>
      <c r="AAZ351"/>
      <c r="ABA351"/>
      <c r="ABB351"/>
      <c r="ABC351"/>
      <c r="ABD351"/>
    </row>
    <row r="352" spans="1:732" ht="15" customHeight="1" outlineLevel="1">
      <c r="A352" s="558"/>
      <c r="B352" s="442" t="str">
        <f>AAL351</f>
        <v>Develop HEARING.PRESENTATION</v>
      </c>
      <c r="C352" s="297"/>
      <c r="D352" s="145"/>
      <c r="E352" s="400"/>
      <c r="F352" s="400"/>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174</v>
      </c>
      <c r="AAG352" s="76"/>
      <c r="AAH352" s="76"/>
      <c r="AAI352" s="77"/>
      <c r="AAJ352" s="77"/>
      <c r="AAK352" s="77"/>
      <c r="AAL352" s="57"/>
      <c r="AAM352" s="112"/>
      <c r="AAN352"/>
      <c r="AAT352" s="23"/>
      <c r="AAU352" s="44"/>
    </row>
    <row r="353" spans="1:723" ht="15" customHeight="1" outlineLevel="1">
      <c r="A353" s="558"/>
      <c r="B353" s="441" t="s">
        <v>121</v>
      </c>
      <c r="C353" s="297"/>
      <c r="D353" s="195" t="s">
        <v>0</v>
      </c>
      <c r="E353" s="345" t="s">
        <v>0</v>
      </c>
      <c r="F353" s="366" t="s">
        <v>0</v>
      </c>
      <c r="G353" s="401"/>
      <c r="H353" s="401"/>
      <c r="I353" s="588"/>
      <c r="J353" s="592"/>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618"/>
      <c r="ZZ353" s="36"/>
      <c r="AAA353" s="588"/>
      <c r="AAD353" s="112"/>
      <c r="AAE353" s="551">
        <f t="shared" si="951"/>
        <v>1</v>
      </c>
      <c r="AAF353" s="583" t="s">
        <v>174</v>
      </c>
      <c r="AAG353" s="76"/>
      <c r="AAH353" s="76"/>
      <c r="AAI353" s="77"/>
      <c r="AAJ353" s="77"/>
      <c r="AAK353" s="77"/>
      <c r="AAL353" s="57"/>
      <c r="AAM353" s="112"/>
      <c r="AAN353"/>
      <c r="AAT353" s="23"/>
      <c r="AAU353" s="44"/>
    </row>
    <row r="354" spans="1:723" ht="15" customHeight="1" outlineLevel="1">
      <c r="A354" s="558"/>
      <c r="B354" s="443" t="s">
        <v>29</v>
      </c>
      <c r="C354" s="297"/>
      <c r="D354" s="279" t="s">
        <v>359</v>
      </c>
      <c r="E354" s="368">
        <f t="shared" ref="E354:E358" si="952">NETWORKDAYS(G354,H354,S.DDL_DEQClosed)</f>
        <v>1</v>
      </c>
      <c r="F354" s="491">
        <f t="shared" ref="F354:F358" ca="1" si="953">NETWORKDAYS(TODAY(),H354)</f>
        <v>12</v>
      </c>
      <c r="G354" s="449">
        <f>AAG354</f>
        <v>41509</v>
      </c>
      <c r="H354" s="449">
        <f>AAH354</f>
        <v>41509</v>
      </c>
      <c r="I354" s="627"/>
      <c r="J354" s="591"/>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c r="KR354" s="47"/>
      <c r="KS354" s="47"/>
      <c r="KT354" s="47"/>
      <c r="KU354" s="47"/>
      <c r="KV354" s="47"/>
      <c r="KW354" s="47"/>
      <c r="KX354" s="47"/>
      <c r="KY354" s="47"/>
      <c r="KZ354" s="47"/>
      <c r="LA354" s="47"/>
      <c r="LB354" s="47"/>
      <c r="LC354" s="47"/>
      <c r="LD354" s="47"/>
      <c r="LE354" s="47"/>
      <c r="LF354" s="47"/>
      <c r="LG354" s="47"/>
      <c r="LH354" s="47"/>
      <c r="LI354" s="47"/>
      <c r="LJ354" s="47"/>
      <c r="LK354" s="47"/>
      <c r="LL354" s="47"/>
      <c r="LM354" s="47"/>
      <c r="LN354" s="47"/>
      <c r="LO354" s="47"/>
      <c r="LP354" s="47"/>
      <c r="LQ354" s="47"/>
      <c r="LR354" s="47"/>
      <c r="LS354" s="47"/>
      <c r="LT354" s="47"/>
      <c r="LU354" s="47"/>
      <c r="LV354" s="47"/>
      <c r="LW354" s="47"/>
      <c r="LX354" s="47"/>
      <c r="LY354" s="47"/>
      <c r="LZ354" s="47"/>
      <c r="MA354" s="47"/>
      <c r="MB354" s="47"/>
      <c r="MC354" s="47"/>
      <c r="MD354" s="47"/>
      <c r="ME354" s="47"/>
      <c r="MF354" s="47"/>
      <c r="MG354" s="47"/>
      <c r="MH354" s="47"/>
      <c r="MI354" s="47"/>
      <c r="MJ354" s="47"/>
      <c r="MK354" s="47"/>
      <c r="ML354" s="47"/>
      <c r="MM354" s="47"/>
      <c r="MN354" s="47"/>
      <c r="MO354" s="47"/>
      <c r="MP354" s="47"/>
      <c r="MQ354" s="47"/>
      <c r="MR354" s="47"/>
      <c r="MS354" s="47"/>
      <c r="MT354" s="47"/>
      <c r="MU354" s="47"/>
      <c r="MV354" s="47"/>
      <c r="MW354" s="47"/>
      <c r="MX354" s="47"/>
      <c r="MY354" s="47"/>
      <c r="MZ354" s="47"/>
      <c r="NA354" s="47"/>
      <c r="NB354" s="47"/>
      <c r="NC354" s="47"/>
      <c r="ND354" s="47"/>
      <c r="NE354" s="47"/>
      <c r="NF354" s="47"/>
      <c r="NG354" s="47"/>
      <c r="NH354" s="47"/>
      <c r="NI354" s="47"/>
      <c r="NJ354" s="47"/>
      <c r="NK354" s="47"/>
      <c r="NL354" s="47"/>
      <c r="NM354" s="47"/>
      <c r="NN354" s="47"/>
      <c r="NO354" s="47"/>
      <c r="NP354" s="47"/>
      <c r="NQ354" s="47"/>
      <c r="NR354" s="47"/>
      <c r="NS354" s="47"/>
      <c r="NT354" s="47"/>
      <c r="NU354" s="47"/>
      <c r="NV354" s="47"/>
      <c r="NW354" s="47"/>
      <c r="NX354" s="47"/>
      <c r="NY354" s="47"/>
      <c r="NZ354" s="47"/>
      <c r="OA354" s="47"/>
      <c r="OB354" s="47"/>
      <c r="OC354" s="47"/>
      <c r="OD354" s="47"/>
      <c r="OE354" s="47"/>
      <c r="OF354" s="47"/>
      <c r="OG354" s="47"/>
      <c r="OH354" s="47"/>
      <c r="OI354" s="47"/>
      <c r="OJ354" s="47"/>
      <c r="OK354" s="47"/>
      <c r="OL354" s="47"/>
      <c r="OM354" s="47"/>
      <c r="ON354" s="47"/>
      <c r="OO354" s="47"/>
      <c r="OP354" s="47"/>
      <c r="OQ354" s="47"/>
      <c r="OR354" s="47"/>
      <c r="OS354" s="47"/>
      <c r="OT354" s="47"/>
      <c r="OU354" s="47"/>
      <c r="OV354" s="47"/>
      <c r="OW354" s="47"/>
      <c r="OX354" s="47"/>
      <c r="OY354" s="47"/>
      <c r="OZ354" s="47"/>
      <c r="PA354" s="47"/>
      <c r="PB354" s="47"/>
      <c r="PC354" s="47"/>
      <c r="PD354" s="47"/>
      <c r="PE354" s="47"/>
      <c r="PF354" s="47"/>
      <c r="PG354" s="47"/>
      <c r="PH354" s="47"/>
      <c r="PI354" s="47"/>
      <c r="PJ354" s="47"/>
      <c r="PK354" s="47"/>
      <c r="PL354" s="47"/>
      <c r="PM354" s="47"/>
      <c r="PN354" s="47"/>
      <c r="PO354" s="47"/>
      <c r="PP354" s="47"/>
      <c r="PQ354" s="47"/>
      <c r="PR354" s="47"/>
      <c r="PS354" s="47"/>
      <c r="PT354" s="47"/>
      <c r="PU354" s="47"/>
      <c r="PV354" s="47"/>
      <c r="PW354" s="47"/>
      <c r="PX354" s="47"/>
      <c r="PY354" s="47"/>
      <c r="PZ354" s="47"/>
      <c r="QA354" s="47"/>
      <c r="QB354" s="47"/>
      <c r="QC354" s="47"/>
      <c r="QD354" s="47"/>
      <c r="QE354" s="47"/>
      <c r="QF354" s="47"/>
      <c r="QG354" s="47"/>
      <c r="QH354" s="47"/>
      <c r="QI354" s="47"/>
      <c r="QJ354" s="47"/>
      <c r="QK354" s="47"/>
      <c r="QL354" s="47"/>
      <c r="QM354" s="47"/>
      <c r="QN354" s="47"/>
      <c r="QO354" s="47"/>
      <c r="QP354" s="47"/>
      <c r="QQ354" s="47"/>
      <c r="QR354" s="47"/>
      <c r="QS354" s="47"/>
      <c r="QT354" s="47"/>
      <c r="QU354" s="47"/>
      <c r="QV354" s="47"/>
      <c r="QW354" s="47"/>
      <c r="QX354" s="47"/>
      <c r="QY354" s="47"/>
      <c r="QZ354" s="47"/>
      <c r="RA354" s="47"/>
      <c r="RB354" s="47"/>
      <c r="RC354" s="47"/>
      <c r="RD354" s="47"/>
      <c r="RE354" s="47"/>
      <c r="RF354" s="47"/>
      <c r="RG354" s="47"/>
      <c r="RH354" s="47"/>
      <c r="RI354" s="47"/>
      <c r="RJ354" s="47"/>
      <c r="RK354" s="47"/>
      <c r="RL354" s="47"/>
      <c r="RM354" s="47"/>
      <c r="RN354" s="47"/>
      <c r="RO354" s="47"/>
      <c r="RP354" s="47"/>
      <c r="RQ354" s="47"/>
      <c r="RR354" s="47"/>
      <c r="RS354" s="47"/>
      <c r="RT354" s="47"/>
      <c r="RU354" s="47"/>
      <c r="RV354" s="47"/>
      <c r="RW354" s="47"/>
      <c r="RX354" s="47"/>
      <c r="RY354" s="47"/>
      <c r="RZ354" s="47"/>
      <c r="SA354" s="47"/>
      <c r="SB354" s="47"/>
      <c r="SC354" s="47"/>
      <c r="SD354" s="47"/>
      <c r="SE354" s="47"/>
      <c r="SF354" s="47"/>
      <c r="SG354" s="47"/>
      <c r="SH354" s="47"/>
      <c r="SI354" s="47"/>
      <c r="SJ354" s="47"/>
      <c r="SK354" s="47"/>
      <c r="SL354" s="47"/>
      <c r="SM354" s="47"/>
      <c r="SN354" s="47"/>
      <c r="SO354" s="47"/>
      <c r="SP354" s="47"/>
      <c r="SQ354" s="47"/>
      <c r="SR354" s="47"/>
      <c r="SS354" s="47"/>
      <c r="ST354" s="47"/>
      <c r="SU354" s="47"/>
      <c r="SV354" s="47"/>
      <c r="SW354" s="47"/>
      <c r="SX354" s="47"/>
      <c r="SY354" s="47"/>
      <c r="SZ354" s="47"/>
      <c r="TA354" s="47"/>
      <c r="TB354" s="47"/>
      <c r="TC354" s="47"/>
      <c r="TD354" s="47"/>
      <c r="TE354" s="47"/>
      <c r="TF354" s="47"/>
      <c r="TG354" s="47"/>
      <c r="TH354" s="47"/>
      <c r="TI354" s="47"/>
      <c r="TJ354" s="47"/>
      <c r="TK354" s="47"/>
      <c r="TL354" s="47"/>
      <c r="TM354" s="47"/>
      <c r="TN354" s="47"/>
      <c r="TO354" s="47"/>
      <c r="TP354" s="47"/>
      <c r="TQ354" s="47"/>
      <c r="TR354" s="47"/>
      <c r="TS354" s="47"/>
      <c r="TT354" s="47"/>
      <c r="TU354" s="47"/>
      <c r="TV354" s="47"/>
      <c r="TW354" s="47"/>
      <c r="TX354" s="47"/>
      <c r="TY354" s="47"/>
      <c r="TZ354" s="47"/>
      <c r="UA354" s="47"/>
      <c r="UB354" s="47"/>
      <c r="UC354" s="47"/>
      <c r="UD354" s="47"/>
      <c r="UE354" s="47"/>
      <c r="UF354" s="47"/>
      <c r="UG354" s="47"/>
      <c r="UH354" s="47"/>
      <c r="UI354" s="47"/>
      <c r="UJ354" s="47"/>
      <c r="UK354" s="47"/>
      <c r="UL354" s="47"/>
      <c r="UM354" s="47"/>
      <c r="UN354" s="47"/>
      <c r="UO354" s="47"/>
      <c r="UP354" s="47"/>
      <c r="UQ354" s="47"/>
      <c r="UR354" s="47"/>
      <c r="US354" s="47"/>
      <c r="UT354" s="47"/>
      <c r="UU354" s="47"/>
      <c r="UV354" s="47"/>
      <c r="UW354" s="47"/>
      <c r="UX354" s="47"/>
      <c r="UY354" s="47"/>
      <c r="UZ354" s="47"/>
      <c r="VA354" s="47"/>
      <c r="VB354" s="47"/>
      <c r="VC354" s="47"/>
      <c r="VD354" s="47"/>
      <c r="VE354" s="47"/>
      <c r="VF354" s="47"/>
      <c r="VG354" s="47"/>
      <c r="VH354" s="47"/>
      <c r="VI354" s="47"/>
      <c r="VJ354" s="47"/>
      <c r="VK354" s="47"/>
      <c r="VL354" s="47"/>
      <c r="VM354" s="47"/>
      <c r="VN354" s="47"/>
      <c r="VO354" s="47"/>
      <c r="VP354" s="47"/>
      <c r="VQ354" s="47"/>
      <c r="VR354" s="47"/>
      <c r="VS354" s="47"/>
      <c r="VT354" s="47"/>
      <c r="VU354" s="47"/>
      <c r="VV354" s="47"/>
      <c r="VW354" s="47"/>
      <c r="VX354" s="47"/>
      <c r="VY354" s="47"/>
      <c r="VZ354" s="47"/>
      <c r="WA354" s="47"/>
      <c r="WB354" s="47"/>
      <c r="WC354" s="47"/>
      <c r="WD354" s="47"/>
      <c r="WE354" s="47"/>
      <c r="WF354" s="47"/>
      <c r="WG354" s="47"/>
      <c r="WH354" s="47"/>
      <c r="WI354" s="47"/>
      <c r="WJ354" s="47"/>
      <c r="WK354" s="47"/>
      <c r="WL354" s="47"/>
      <c r="WM354" s="47"/>
      <c r="WN354" s="47"/>
      <c r="WO354" s="47"/>
      <c r="WP354" s="47"/>
      <c r="WQ354" s="47"/>
      <c r="WR354" s="47"/>
      <c r="WS354" s="47"/>
      <c r="WT354" s="47"/>
      <c r="WU354" s="47"/>
      <c r="WV354" s="47"/>
      <c r="WW354" s="47"/>
      <c r="WX354" s="47"/>
      <c r="WY354" s="47"/>
      <c r="WZ354" s="47"/>
      <c r="XA354" s="47"/>
      <c r="XB354" s="47"/>
      <c r="XC354" s="47"/>
      <c r="XD354" s="47"/>
      <c r="XE354" s="47"/>
      <c r="XF354" s="47"/>
      <c r="XG354" s="47"/>
      <c r="XH354" s="47"/>
      <c r="XI354" s="47"/>
      <c r="XJ354" s="47"/>
      <c r="XK354" s="47"/>
      <c r="XL354" s="47"/>
      <c r="XM354" s="47"/>
      <c r="XN354" s="47"/>
      <c r="XO354" s="47"/>
      <c r="XP354" s="47"/>
      <c r="XQ354" s="47"/>
      <c r="XR354" s="47"/>
      <c r="XS354" s="47"/>
      <c r="XT354" s="47"/>
      <c r="XU354" s="47"/>
      <c r="XV354" s="47"/>
      <c r="XW354" s="47"/>
      <c r="XX354" s="47"/>
      <c r="XY354" s="47"/>
      <c r="XZ354" s="47"/>
      <c r="YA354" s="47"/>
      <c r="YB354" s="47"/>
      <c r="YC354" s="47"/>
      <c r="YD354" s="47"/>
      <c r="YE354" s="47"/>
      <c r="YF354" s="47"/>
      <c r="YG354" s="47"/>
      <c r="YH354" s="47"/>
      <c r="YI354" s="47"/>
      <c r="YJ354" s="47"/>
      <c r="YK354" s="47"/>
      <c r="YL354" s="47"/>
      <c r="YM354" s="47"/>
      <c r="YN354" s="47"/>
      <c r="YO354" s="47"/>
      <c r="YP354" s="47"/>
      <c r="YQ354" s="47"/>
      <c r="YR354" s="47"/>
      <c r="YS354" s="47"/>
      <c r="YT354" s="47"/>
      <c r="YU354" s="47"/>
      <c r="YV354" s="47"/>
      <c r="YW354" s="47"/>
      <c r="YX354" s="47"/>
      <c r="YY354" s="47"/>
      <c r="YZ354" s="47"/>
      <c r="ZA354" s="47"/>
      <c r="ZB354" s="47"/>
      <c r="ZC354" s="47"/>
      <c r="ZD354" s="47"/>
      <c r="ZE354" s="47"/>
      <c r="ZF354" s="47"/>
      <c r="ZG354" s="47"/>
      <c r="ZH354" s="47"/>
      <c r="ZI354" s="47"/>
      <c r="ZJ354" s="47"/>
      <c r="ZK354" s="47"/>
      <c r="ZL354" s="47"/>
      <c r="ZM354" s="47"/>
      <c r="ZN354" s="47"/>
      <c r="ZO354" s="47"/>
      <c r="ZP354" s="47"/>
      <c r="ZQ354" s="47"/>
      <c r="ZR354" s="47"/>
      <c r="ZS354" s="47"/>
      <c r="ZT354" s="47"/>
      <c r="ZU354" s="47"/>
      <c r="ZV354" s="47"/>
      <c r="ZW354" s="47"/>
      <c r="ZX354" s="47"/>
      <c r="ZY354" s="50"/>
      <c r="ZZ354" s="50"/>
      <c r="AAA354" s="588"/>
      <c r="AAD354" s="112"/>
      <c r="AAE354" s="551">
        <f t="shared" si="951"/>
        <v>1</v>
      </c>
      <c r="AAF354" s="112"/>
      <c r="AAG354" s="78">
        <f>G348</f>
        <v>41509</v>
      </c>
      <c r="AAH354" s="78">
        <f>G354</f>
        <v>41509</v>
      </c>
      <c r="AAI354" s="77"/>
      <c r="AAJ354" s="77"/>
      <c r="AAK354" s="77"/>
      <c r="AAL354" s="56"/>
      <c r="AAM354" s="112"/>
      <c r="AAN354"/>
      <c r="AAT354" s="23"/>
      <c r="AAU354" s="44"/>
    </row>
    <row r="355" spans="1:723" ht="15" customHeight="1" outlineLevel="1">
      <c r="A355" s="558"/>
      <c r="B355" s="444" t="s">
        <v>81</v>
      </c>
      <c r="C355" s="297"/>
      <c r="D355" s="279" t="s">
        <v>359</v>
      </c>
      <c r="E355" s="368">
        <f t="shared" si="952"/>
        <v>1</v>
      </c>
      <c r="F355" s="491">
        <f t="shared" ca="1" si="953"/>
        <v>12</v>
      </c>
      <c r="G355" s="449">
        <f t="shared" ref="G355:H358" si="954">AAG355</f>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ref="AAG355:AAG358" si="955">H354</f>
        <v>41509</v>
      </c>
      <c r="AAH355" s="78">
        <f t="shared" ref="AAH355:AAH358" si="956">G355</f>
        <v>41509</v>
      </c>
      <c r="AAI355" s="77"/>
      <c r="AAJ355" s="77"/>
      <c r="AAK355" s="77"/>
      <c r="AAL355" s="57"/>
      <c r="AAM355" s="112"/>
      <c r="AAN355"/>
      <c r="AAT355" s="23"/>
      <c r="AAU355" s="44"/>
    </row>
    <row r="356" spans="1:723" ht="15" customHeight="1" outlineLevel="1">
      <c r="A356" s="558"/>
      <c r="B356" s="445" t="s">
        <v>82</v>
      </c>
      <c r="C356" s="297"/>
      <c r="D356" s="279" t="s">
        <v>359</v>
      </c>
      <c r="E356" s="368">
        <f t="shared" si="952"/>
        <v>1</v>
      </c>
      <c r="F356" s="491">
        <f t="shared" ca="1" si="953"/>
        <v>12</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6" t="s">
        <v>83</v>
      </c>
      <c r="C357" s="297"/>
      <c r="D357" s="279" t="s">
        <v>359</v>
      </c>
      <c r="E357" s="368">
        <f t="shared" si="952"/>
        <v>1</v>
      </c>
      <c r="F357" s="491">
        <f t="shared" ca="1" si="953"/>
        <v>12</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15" customHeight="1" outlineLevel="1">
      <c r="A358" s="558"/>
      <c r="B358" s="447" t="s">
        <v>84</v>
      </c>
      <c r="C358" s="297"/>
      <c r="D358" s="279" t="s">
        <v>359</v>
      </c>
      <c r="E358" s="368">
        <f t="shared" si="952"/>
        <v>1</v>
      </c>
      <c r="F358" s="491">
        <f t="shared" ca="1" si="953"/>
        <v>12</v>
      </c>
      <c r="G358" s="449">
        <f t="shared" si="954"/>
        <v>41509</v>
      </c>
      <c r="H358" s="449">
        <f t="shared" si="954"/>
        <v>41509</v>
      </c>
      <c r="I358" s="627"/>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50"/>
      <c r="ZZ358" s="50"/>
      <c r="AAA358" s="588"/>
      <c r="AAD358" s="112"/>
      <c r="AAE358" s="551">
        <f t="shared" si="951"/>
        <v>1</v>
      </c>
      <c r="AAF358" s="112"/>
      <c r="AAG358" s="78">
        <f t="shared" si="955"/>
        <v>41509</v>
      </c>
      <c r="AAH358" s="78">
        <f t="shared" si="956"/>
        <v>41509</v>
      </c>
      <c r="AAI358" s="77"/>
      <c r="AAJ358" s="77"/>
      <c r="AAK358" s="77"/>
      <c r="AAL358" s="57"/>
      <c r="AAM358" s="112"/>
      <c r="AAN358"/>
      <c r="AAT358" s="23"/>
      <c r="AAU358" s="44"/>
    </row>
    <row r="359" spans="1:723" ht="87.75" customHeight="1" outlineLevel="1">
      <c r="A359" s="558"/>
      <c r="B359" s="765" t="s">
        <v>339</v>
      </c>
      <c r="C359" s="765"/>
      <c r="D359" s="765"/>
      <c r="E359" s="765"/>
      <c r="F359" s="765"/>
      <c r="G359" s="765"/>
      <c r="H359" s="765"/>
      <c r="I359" s="588"/>
      <c r="J359" s="592"/>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618"/>
      <c r="ZZ359" s="36"/>
      <c r="AAA359" s="588"/>
      <c r="AAD359" s="112"/>
      <c r="AAE359" s="551">
        <f t="shared" si="951"/>
        <v>1</v>
      </c>
      <c r="AAF359" s="583" t="s">
        <v>174</v>
      </c>
      <c r="AAG359" s="63"/>
      <c r="AAH359" s="63"/>
      <c r="AAI359" s="77"/>
      <c r="AAJ359" s="77"/>
      <c r="AAK359" s="77"/>
      <c r="AAL359" s="57"/>
      <c r="AAM359" s="112"/>
      <c r="AAN359"/>
      <c r="AAT359" s="23"/>
      <c r="AAU359" s="44"/>
    </row>
    <row r="360" spans="1:723" ht="15" customHeight="1" outlineLevel="1">
      <c r="A360" s="558"/>
      <c r="B360" s="457" t="s">
        <v>21</v>
      </c>
      <c r="C360" s="718"/>
      <c r="D360" s="197"/>
      <c r="E360" s="123"/>
      <c r="F360" s="124"/>
      <c r="G360" s="196"/>
      <c r="H360" s="196"/>
      <c r="I360" s="588"/>
      <c r="J360" s="591"/>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c r="KR360" s="47"/>
      <c r="KS360" s="47"/>
      <c r="KT360" s="47"/>
      <c r="KU360" s="47"/>
      <c r="KV360" s="47"/>
      <c r="KW360" s="47"/>
      <c r="KX360" s="47"/>
      <c r="KY360" s="47"/>
      <c r="KZ360" s="47"/>
      <c r="LA360" s="47"/>
      <c r="LB360" s="47"/>
      <c r="LC360" s="47"/>
      <c r="LD360" s="47"/>
      <c r="LE360" s="47"/>
      <c r="LF360" s="47"/>
      <c r="LG360" s="47"/>
      <c r="LH360" s="47"/>
      <c r="LI360" s="47"/>
      <c r="LJ360" s="47"/>
      <c r="LK360" s="47"/>
      <c r="LL360" s="47"/>
      <c r="LM360" s="47"/>
      <c r="LN360" s="47"/>
      <c r="LO360" s="47"/>
      <c r="LP360" s="47"/>
      <c r="LQ360" s="47"/>
      <c r="LR360" s="47"/>
      <c r="LS360" s="47"/>
      <c r="LT360" s="47"/>
      <c r="LU360" s="47"/>
      <c r="LV360" s="47"/>
      <c r="LW360" s="47"/>
      <c r="LX360" s="47"/>
      <c r="LY360" s="47"/>
      <c r="LZ360" s="47"/>
      <c r="MA360" s="47"/>
      <c r="MB360" s="47"/>
      <c r="MC360" s="47"/>
      <c r="MD360" s="47"/>
      <c r="ME360" s="47"/>
      <c r="MF360" s="47"/>
      <c r="MG360" s="47"/>
      <c r="MH360" s="47"/>
      <c r="MI360" s="47"/>
      <c r="MJ360" s="47"/>
      <c r="MK360" s="47"/>
      <c r="ML360" s="47"/>
      <c r="MM360" s="47"/>
      <c r="MN360" s="47"/>
      <c r="MO360" s="47"/>
      <c r="MP360" s="47"/>
      <c r="MQ360" s="47"/>
      <c r="MR360" s="47"/>
      <c r="MS360" s="47"/>
      <c r="MT360" s="47"/>
      <c r="MU360" s="47"/>
      <c r="MV360" s="47"/>
      <c r="MW360" s="47"/>
      <c r="MX360" s="47"/>
      <c r="MY360" s="47"/>
      <c r="MZ360" s="47"/>
      <c r="NA360" s="47"/>
      <c r="NB360" s="47"/>
      <c r="NC360" s="47"/>
      <c r="ND360" s="47"/>
      <c r="NE360" s="47"/>
      <c r="NF360" s="47"/>
      <c r="NG360" s="47"/>
      <c r="NH360" s="47"/>
      <c r="NI360" s="47"/>
      <c r="NJ360" s="47"/>
      <c r="NK360" s="47"/>
      <c r="NL360" s="47"/>
      <c r="NM360" s="47"/>
      <c r="NN360" s="47"/>
      <c r="NO360" s="47"/>
      <c r="NP360" s="47"/>
      <c r="NQ360" s="47"/>
      <c r="NR360" s="47"/>
      <c r="NS360" s="47"/>
      <c r="NT360" s="47"/>
      <c r="NU360" s="47"/>
      <c r="NV360" s="47"/>
      <c r="NW360" s="47"/>
      <c r="NX360" s="47"/>
      <c r="NY360" s="47"/>
      <c r="NZ360" s="47"/>
      <c r="OA360" s="47"/>
      <c r="OB360" s="47"/>
      <c r="OC360" s="47"/>
      <c r="OD360" s="47"/>
      <c r="OE360" s="47"/>
      <c r="OF360" s="47"/>
      <c r="OG360" s="47"/>
      <c r="OH360" s="47"/>
      <c r="OI360" s="47"/>
      <c r="OJ360" s="47"/>
      <c r="OK360" s="47"/>
      <c r="OL360" s="47"/>
      <c r="OM360" s="47"/>
      <c r="ON360" s="47"/>
      <c r="OO360" s="47"/>
      <c r="OP360" s="47"/>
      <c r="OQ360" s="47"/>
      <c r="OR360" s="47"/>
      <c r="OS360" s="47"/>
      <c r="OT360" s="47"/>
      <c r="OU360" s="47"/>
      <c r="OV360" s="47"/>
      <c r="OW360" s="47"/>
      <c r="OX360" s="47"/>
      <c r="OY360" s="47"/>
      <c r="OZ360" s="47"/>
      <c r="PA360" s="47"/>
      <c r="PB360" s="47"/>
      <c r="PC360" s="47"/>
      <c r="PD360" s="47"/>
      <c r="PE360" s="47"/>
      <c r="PF360" s="47"/>
      <c r="PG360" s="47"/>
      <c r="PH360" s="47"/>
      <c r="PI360" s="47"/>
      <c r="PJ360" s="47"/>
      <c r="PK360" s="47"/>
      <c r="PL360" s="47"/>
      <c r="PM360" s="47"/>
      <c r="PN360" s="47"/>
      <c r="PO360" s="47"/>
      <c r="PP360" s="47"/>
      <c r="PQ360" s="47"/>
      <c r="PR360" s="47"/>
      <c r="PS360" s="47"/>
      <c r="PT360" s="47"/>
      <c r="PU360" s="47"/>
      <c r="PV360" s="47"/>
      <c r="PW360" s="47"/>
      <c r="PX360" s="47"/>
      <c r="PY360" s="47"/>
      <c r="PZ360" s="47"/>
      <c r="QA360" s="47"/>
      <c r="QB360" s="47"/>
      <c r="QC360" s="47"/>
      <c r="QD360" s="47"/>
      <c r="QE360" s="47"/>
      <c r="QF360" s="47"/>
      <c r="QG360" s="47"/>
      <c r="QH360" s="47"/>
      <c r="QI360" s="47"/>
      <c r="QJ360" s="47"/>
      <c r="QK360" s="47"/>
      <c r="QL360" s="47"/>
      <c r="QM360" s="47"/>
      <c r="QN360" s="47"/>
      <c r="QO360" s="47"/>
      <c r="QP360" s="47"/>
      <c r="QQ360" s="47"/>
      <c r="QR360" s="47"/>
      <c r="QS360" s="47"/>
      <c r="QT360" s="47"/>
      <c r="QU360" s="47"/>
      <c r="QV360" s="47"/>
      <c r="QW360" s="47"/>
      <c r="QX360" s="47"/>
      <c r="QY360" s="47"/>
      <c r="QZ360" s="47"/>
      <c r="RA360" s="47"/>
      <c r="RB360" s="47"/>
      <c r="RC360" s="47"/>
      <c r="RD360" s="47"/>
      <c r="RE360" s="47"/>
      <c r="RF360" s="47"/>
      <c r="RG360" s="47"/>
      <c r="RH360" s="47"/>
      <c r="RI360" s="47"/>
      <c r="RJ360" s="47"/>
      <c r="RK360" s="47"/>
      <c r="RL360" s="47"/>
      <c r="RM360" s="47"/>
      <c r="RN360" s="47"/>
      <c r="RO360" s="47"/>
      <c r="RP360" s="47"/>
      <c r="RQ360" s="47"/>
      <c r="RR360" s="47"/>
      <c r="RS360" s="47"/>
      <c r="RT360" s="47"/>
      <c r="RU360" s="47"/>
      <c r="RV360" s="47"/>
      <c r="RW360" s="47"/>
      <c r="RX360" s="47"/>
      <c r="RY360" s="47"/>
      <c r="RZ360" s="47"/>
      <c r="SA360" s="47"/>
      <c r="SB360" s="47"/>
      <c r="SC360" s="47"/>
      <c r="SD360" s="47"/>
      <c r="SE360" s="47"/>
      <c r="SF360" s="47"/>
      <c r="SG360" s="47"/>
      <c r="SH360" s="47"/>
      <c r="SI360" s="47"/>
      <c r="SJ360" s="47"/>
      <c r="SK360" s="47"/>
      <c r="SL360" s="47"/>
      <c r="SM360" s="47"/>
      <c r="SN360" s="47"/>
      <c r="SO360" s="47"/>
      <c r="SP360" s="47"/>
      <c r="SQ360" s="47"/>
      <c r="SR360" s="47"/>
      <c r="SS360" s="47"/>
      <c r="ST360" s="47"/>
      <c r="SU360" s="47"/>
      <c r="SV360" s="47"/>
      <c r="SW360" s="47"/>
      <c r="SX360" s="47"/>
      <c r="SY360" s="47"/>
      <c r="SZ360" s="47"/>
      <c r="TA360" s="47"/>
      <c r="TB360" s="47"/>
      <c r="TC360" s="47"/>
      <c r="TD360" s="47"/>
      <c r="TE360" s="47"/>
      <c r="TF360" s="47"/>
      <c r="TG360" s="47"/>
      <c r="TH360" s="47"/>
      <c r="TI360" s="47"/>
      <c r="TJ360" s="47"/>
      <c r="TK360" s="47"/>
      <c r="TL360" s="47"/>
      <c r="TM360" s="47"/>
      <c r="TN360" s="47"/>
      <c r="TO360" s="47"/>
      <c r="TP360" s="47"/>
      <c r="TQ360" s="47"/>
      <c r="TR360" s="47"/>
      <c r="TS360" s="47"/>
      <c r="TT360" s="47"/>
      <c r="TU360" s="47"/>
      <c r="TV360" s="47"/>
      <c r="TW360" s="47"/>
      <c r="TX360" s="47"/>
      <c r="TY360" s="47"/>
      <c r="TZ360" s="47"/>
      <c r="UA360" s="47"/>
      <c r="UB360" s="47"/>
      <c r="UC360" s="47"/>
      <c r="UD360" s="47"/>
      <c r="UE360" s="47"/>
      <c r="UF360" s="47"/>
      <c r="UG360" s="47"/>
      <c r="UH360" s="47"/>
      <c r="UI360" s="47"/>
      <c r="UJ360" s="47"/>
      <c r="UK360" s="47"/>
      <c r="UL360" s="47"/>
      <c r="UM360" s="47"/>
      <c r="UN360" s="47"/>
      <c r="UO360" s="47"/>
      <c r="UP360" s="47"/>
      <c r="UQ360" s="47"/>
      <c r="UR360" s="47"/>
      <c r="US360" s="47"/>
      <c r="UT360" s="47"/>
      <c r="UU360" s="47"/>
      <c r="UV360" s="47"/>
      <c r="UW360" s="47"/>
      <c r="UX360" s="47"/>
      <c r="UY360" s="47"/>
      <c r="UZ360" s="47"/>
      <c r="VA360" s="47"/>
      <c r="VB360" s="47"/>
      <c r="VC360" s="47"/>
      <c r="VD360" s="47"/>
      <c r="VE360" s="47"/>
      <c r="VF360" s="47"/>
      <c r="VG360" s="47"/>
      <c r="VH360" s="47"/>
      <c r="VI360" s="47"/>
      <c r="VJ360" s="47"/>
      <c r="VK360" s="47"/>
      <c r="VL360" s="47"/>
      <c r="VM360" s="47"/>
      <c r="VN360" s="47"/>
      <c r="VO360" s="47"/>
      <c r="VP360" s="47"/>
      <c r="VQ360" s="47"/>
      <c r="VR360" s="47"/>
      <c r="VS360" s="47"/>
      <c r="VT360" s="47"/>
      <c r="VU360" s="47"/>
      <c r="VV360" s="47"/>
      <c r="VW360" s="47"/>
      <c r="VX360" s="47"/>
      <c r="VY360" s="47"/>
      <c r="VZ360" s="47"/>
      <c r="WA360" s="47"/>
      <c r="WB360" s="47"/>
      <c r="WC360" s="47"/>
      <c r="WD360" s="47"/>
      <c r="WE360" s="47"/>
      <c r="WF360" s="47"/>
      <c r="WG360" s="47"/>
      <c r="WH360" s="47"/>
      <c r="WI360" s="47"/>
      <c r="WJ360" s="47"/>
      <c r="WK360" s="47"/>
      <c r="WL360" s="47"/>
      <c r="WM360" s="47"/>
      <c r="WN360" s="47"/>
      <c r="WO360" s="47"/>
      <c r="WP360" s="47"/>
      <c r="WQ360" s="47"/>
      <c r="WR360" s="47"/>
      <c r="WS360" s="47"/>
      <c r="WT360" s="47"/>
      <c r="WU360" s="47"/>
      <c r="WV360" s="47"/>
      <c r="WW360" s="47"/>
      <c r="WX360" s="47"/>
      <c r="WY360" s="47"/>
      <c r="WZ360" s="47"/>
      <c r="XA360" s="47"/>
      <c r="XB360" s="47"/>
      <c r="XC360" s="47"/>
      <c r="XD360" s="47"/>
      <c r="XE360" s="47"/>
      <c r="XF360" s="47"/>
      <c r="XG360" s="47"/>
      <c r="XH360" s="47"/>
      <c r="XI360" s="47"/>
      <c r="XJ360" s="47"/>
      <c r="XK360" s="47"/>
      <c r="XL360" s="47"/>
      <c r="XM360" s="47"/>
      <c r="XN360" s="47"/>
      <c r="XO360" s="47"/>
      <c r="XP360" s="47"/>
      <c r="XQ360" s="47"/>
      <c r="XR360" s="47"/>
      <c r="XS360" s="47"/>
      <c r="XT360" s="47"/>
      <c r="XU360" s="47"/>
      <c r="XV360" s="47"/>
      <c r="XW360" s="47"/>
      <c r="XX360" s="47"/>
      <c r="XY360" s="47"/>
      <c r="XZ360" s="47"/>
      <c r="YA360" s="47"/>
      <c r="YB360" s="47"/>
      <c r="YC360" s="47"/>
      <c r="YD360" s="47"/>
      <c r="YE360" s="47"/>
      <c r="YF360" s="47"/>
      <c r="YG360" s="47"/>
      <c r="YH360" s="47"/>
      <c r="YI360" s="47"/>
      <c r="YJ360" s="47"/>
      <c r="YK360" s="47"/>
      <c r="YL360" s="47"/>
      <c r="YM360" s="47"/>
      <c r="YN360" s="47"/>
      <c r="YO360" s="47"/>
      <c r="YP360" s="47"/>
      <c r="YQ360" s="47"/>
      <c r="YR360" s="47"/>
      <c r="YS360" s="47"/>
      <c r="YT360" s="47"/>
      <c r="YU360" s="47"/>
      <c r="YV360" s="47"/>
      <c r="YW360" s="47"/>
      <c r="YX360" s="47"/>
      <c r="YY360" s="47"/>
      <c r="YZ360" s="47"/>
      <c r="ZA360" s="47"/>
      <c r="ZB360" s="47"/>
      <c r="ZC360" s="47"/>
      <c r="ZD360" s="47"/>
      <c r="ZE360" s="47"/>
      <c r="ZF360" s="47"/>
      <c r="ZG360" s="47"/>
      <c r="ZH360" s="47"/>
      <c r="ZI360" s="47"/>
      <c r="ZJ360" s="47"/>
      <c r="ZK360" s="47"/>
      <c r="ZL360" s="47"/>
      <c r="ZM360" s="47"/>
      <c r="ZN360" s="47"/>
      <c r="ZO360" s="47"/>
      <c r="ZP360" s="47"/>
      <c r="ZQ360" s="47"/>
      <c r="ZR360" s="47"/>
      <c r="ZS360" s="47"/>
      <c r="ZT360" s="47"/>
      <c r="ZU360" s="47"/>
      <c r="ZV360" s="47"/>
      <c r="ZW360" s="47"/>
      <c r="ZX360" s="47"/>
      <c r="ZY360" s="617"/>
      <c r="ZZ360" s="622"/>
      <c r="AAA360" s="588"/>
      <c r="AAD360" s="112"/>
      <c r="AAE360" s="551">
        <f t="shared" si="951"/>
        <v>1</v>
      </c>
      <c r="AAF360" s="583" t="s">
        <v>174</v>
      </c>
      <c r="AAG360" s="63"/>
      <c r="AAH360" s="63"/>
      <c r="AAI360" s="77"/>
      <c r="AAJ360" s="77"/>
      <c r="AAK360" s="77"/>
      <c r="AAL360" s="56"/>
      <c r="AAM360" s="112"/>
      <c r="AAN360"/>
      <c r="AAT360" s="23"/>
      <c r="AAU360" s="44"/>
    </row>
    <row r="361" spans="1:723" ht="15" customHeight="1" outlineLevel="1">
      <c r="A361" s="558"/>
      <c r="B361" s="458" t="s">
        <v>95</v>
      </c>
      <c r="C361" s="459"/>
      <c r="D361" s="277" t="s">
        <v>378</v>
      </c>
      <c r="E361" s="368">
        <f>NETWORKDAYS(G361,H361,S.DDL_DEQClosed)</f>
        <v>1</v>
      </c>
      <c r="F361" s="491">
        <f ca="1">NETWORKDAYS(TODAY(),H361)</f>
        <v>12</v>
      </c>
      <c r="G361" s="449">
        <f t="shared" ref="G361:H361" si="957">AAG361</f>
        <v>41509</v>
      </c>
      <c r="H361" s="449">
        <f t="shared" si="957"/>
        <v>41509</v>
      </c>
      <c r="I361" s="627"/>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50"/>
      <c r="ZZ361" s="50"/>
      <c r="AAA361" s="588"/>
      <c r="AAD361" s="112"/>
      <c r="AAE361" s="551">
        <f t="shared" si="951"/>
        <v>1</v>
      </c>
      <c r="AAF361" s="112"/>
      <c r="AAG361" s="78">
        <f>H358</f>
        <v>41509</v>
      </c>
      <c r="AAH361" s="78">
        <f>G361</f>
        <v>41509</v>
      </c>
      <c r="AAI361" s="77"/>
      <c r="AAJ361" s="77"/>
      <c r="AAK361" s="77"/>
      <c r="AAL361" s="57"/>
      <c r="AAM361" s="112"/>
      <c r="AAN361"/>
      <c r="AAT361" s="23"/>
      <c r="AAU361" s="44"/>
    </row>
    <row r="362" spans="1:723" ht="15" customHeight="1" outlineLevel="1">
      <c r="A362" s="558"/>
      <c r="B362" s="460" t="s">
        <v>165</v>
      </c>
      <c r="C362" s="719"/>
      <c r="D362" s="195"/>
      <c r="E362" s="345"/>
      <c r="F362" s="366"/>
      <c r="G362" s="452"/>
      <c r="H362" s="367"/>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174</v>
      </c>
      <c r="AAG362" s="63"/>
      <c r="AAH362" s="63"/>
      <c r="AAI362" s="77"/>
      <c r="AAJ362" s="77"/>
      <c r="AAK362" s="77"/>
      <c r="AAL362" s="57"/>
      <c r="AAM362" s="112"/>
      <c r="AAN362"/>
      <c r="AAT362" s="23"/>
      <c r="AAU362" s="44"/>
    </row>
    <row r="363" spans="1:723" ht="15" customHeight="1" outlineLevel="1">
      <c r="A363" s="558"/>
      <c r="B363" s="787" t="str">
        <f t="shared" ref="B363" si="958">AAL363</f>
        <v>Hold hearings (change dates under Overview of Key Dates)</v>
      </c>
      <c r="C363" s="788"/>
      <c r="D363" s="298"/>
      <c r="E363" s="453"/>
      <c r="F363" s="454"/>
      <c r="G363" s="401"/>
      <c r="H363" s="401"/>
      <c r="I363" s="588"/>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618"/>
      <c r="ZZ363" s="36"/>
      <c r="AAA363" s="588"/>
      <c r="AAD363" s="112"/>
      <c r="AAE363" s="551">
        <f t="shared" si="951"/>
        <v>1</v>
      </c>
      <c r="AAF363" s="583" t="s">
        <v>174</v>
      </c>
      <c r="AAG363" s="63"/>
      <c r="AAH363" s="63"/>
      <c r="AAI363" s="77"/>
      <c r="AAJ363" s="77"/>
      <c r="AAK363" s="77"/>
      <c r="AAL363" s="96" t="str">
        <f>IF(S.InvolveHearing=TRUE,"Hold hearings (change dates under Overview of Key Dates)","No hearings planned")</f>
        <v>Hold hearings (change dates under Overview of Key Dates)</v>
      </c>
      <c r="AAM363" s="112"/>
      <c r="AAN363"/>
      <c r="AAT363" s="23"/>
      <c r="AAU363" s="44"/>
    </row>
    <row r="364" spans="1:723" ht="15" customHeight="1" outlineLevel="1">
      <c r="A364" s="558"/>
      <c r="B364" s="410" t="str">
        <f>S.FirstHearingCity&amp;" hearing"</f>
        <v>Enter city name hearing</v>
      </c>
      <c r="C364" s="347"/>
      <c r="D364" s="277" t="s">
        <v>363</v>
      </c>
      <c r="E364" s="368">
        <f t="shared" ref="E364:E372" si="959">NETWORKDAYS(G364,H364,S.DDL_DEQClosed)</f>
        <v>1</v>
      </c>
      <c r="F364" s="491">
        <f t="shared" ref="F364:F372" ca="1" si="960">NETWORKDAYS(TODAY(),H364)</f>
        <v>66</v>
      </c>
      <c r="G364" s="455">
        <f>S.FirstHearingDate</f>
        <v>41585</v>
      </c>
      <c r="H364" s="456">
        <f>S.FirstHearingDate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S.2ndHearingCity&amp;" hearing"</f>
        <v>Enter city name hearing</v>
      </c>
      <c r="C365" s="347"/>
      <c r="D365" s="277" t="s">
        <v>363</v>
      </c>
      <c r="E365" s="368">
        <f t="shared" si="959"/>
        <v>1</v>
      </c>
      <c r="F365" s="491">
        <f t="shared" ca="1" si="960"/>
        <v>66</v>
      </c>
      <c r="G365" s="455">
        <f>S.2ndHearingDate</f>
        <v>41585</v>
      </c>
      <c r="H365" s="456">
        <f>S.2ndHearingDate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S.3rdHearingCity&amp;" hearing"</f>
        <v>Enter city name hearing</v>
      </c>
      <c r="C366" s="347"/>
      <c r="D366" s="277" t="s">
        <v>363</v>
      </c>
      <c r="E366" s="368">
        <f t="shared" si="959"/>
        <v>1</v>
      </c>
      <c r="F366" s="491">
        <f t="shared" ca="1" si="960"/>
        <v>66</v>
      </c>
      <c r="G366" s="455">
        <f>S.3rdHearingDate</f>
        <v>41585</v>
      </c>
      <c r="H366" s="456">
        <f>S.3rdHearingDate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S.4thHearingCity&amp;" hearing"</f>
        <v>Enter city name hearing</v>
      </c>
      <c r="C367" s="347"/>
      <c r="D367" s="277" t="s">
        <v>363</v>
      </c>
      <c r="E367" s="368">
        <f t="shared" si="959"/>
        <v>1</v>
      </c>
      <c r="F367" s="491">
        <f t="shared" ca="1" si="960"/>
        <v>66</v>
      </c>
      <c r="G367" s="455">
        <f>S.4thHearingDate</f>
        <v>41585</v>
      </c>
      <c r="H367" s="456">
        <f>S.4thHearingDate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S.5thHearingCity&amp;" hearing"</f>
        <v>Enter city name hearing</v>
      </c>
      <c r="C368" s="347"/>
      <c r="D368" s="277" t="s">
        <v>363</v>
      </c>
      <c r="E368" s="368">
        <f t="shared" si="959"/>
        <v>1</v>
      </c>
      <c r="F368" s="491">
        <f t="shared" ca="1" si="960"/>
        <v>66</v>
      </c>
      <c r="G368" s="455">
        <f>S.5thHearingDate</f>
        <v>41585</v>
      </c>
      <c r="H368" s="456">
        <f>S.5thHearingDate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S.6thHearingCity&amp;" hearing"</f>
        <v>Enter city name hearing</v>
      </c>
      <c r="C369" s="347"/>
      <c r="D369" s="277" t="s">
        <v>363</v>
      </c>
      <c r="E369" s="368">
        <f t="shared" si="959"/>
        <v>1</v>
      </c>
      <c r="F369" s="491">
        <f t="shared" ca="1" si="960"/>
        <v>66</v>
      </c>
      <c r="G369" s="455">
        <f>S.6thHearingDate</f>
        <v>41585</v>
      </c>
      <c r="H369" s="456">
        <f>S.6thHearingDate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2">
      <c r="A370" s="558"/>
      <c r="B370" s="409" t="str">
        <f>S.7thHearingCity&amp;" hearing"</f>
        <v>Enter city name hearing</v>
      </c>
      <c r="C370" s="347"/>
      <c r="D370" s="277" t="s">
        <v>363</v>
      </c>
      <c r="E370" s="368">
        <f t="shared" si="959"/>
        <v>1</v>
      </c>
      <c r="F370" s="491">
        <f t="shared" ca="1" si="960"/>
        <v>66</v>
      </c>
      <c r="G370" s="455">
        <f>S.7thHearingDate</f>
        <v>41585</v>
      </c>
      <c r="H370" s="456">
        <f>S.7thHearingDate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77"/>
      <c r="AAJ370" s="77"/>
      <c r="AAK370" s="77"/>
      <c r="AAL370" s="80"/>
      <c r="AAM370" s="112"/>
      <c r="AAN370"/>
      <c r="AAT370" s="23"/>
      <c r="AAU370" s="44"/>
    </row>
    <row r="371" spans="1:732" ht="15" customHeight="1" outlineLevel="1">
      <c r="A371" s="558"/>
      <c r="B371" s="410" t="str">
        <f>S.LastHearingCity&amp;" hearing"</f>
        <v>Enter city name hearing</v>
      </c>
      <c r="C371" s="347"/>
      <c r="D371" s="277" t="s">
        <v>363</v>
      </c>
      <c r="E371" s="368">
        <f t="shared" si="959"/>
        <v>1</v>
      </c>
      <c r="F371" s="491">
        <f t="shared" ca="1" si="960"/>
        <v>66</v>
      </c>
      <c r="G371" s="455">
        <f>S.LastHearingDate</f>
        <v>41585</v>
      </c>
      <c r="H371" s="456">
        <f>S.LastHearingDate</f>
        <v>41585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93"/>
      <c r="AAH371" s="93"/>
      <c r="AAI371" s="93"/>
      <c r="AAJ371" s="57"/>
      <c r="AAK371" s="57"/>
      <c r="AAL371" s="80"/>
      <c r="AAM371" s="112"/>
      <c r="AAN371"/>
      <c r="AAT371" s="23"/>
      <c r="AAU371" s="44"/>
      <c r="AAV371" s="23"/>
      <c r="AAW371" s="23"/>
      <c r="AAX371" s="23"/>
      <c r="AAY371" s="23"/>
      <c r="AAZ371" s="23"/>
      <c r="ABA371" s="23"/>
      <c r="ABB371" s="23"/>
      <c r="ABC371" s="23"/>
      <c r="ABD371" s="23"/>
    </row>
    <row r="372" spans="1:732" ht="15" customHeight="1" outlineLevel="1">
      <c r="A372" s="558"/>
      <c r="B372" s="461" t="str">
        <f>AAL372</f>
        <v>Add info to COMMENTS</v>
      </c>
      <c r="C372" s="347"/>
      <c r="D372" s="277" t="s">
        <v>42</v>
      </c>
      <c r="E372" s="368">
        <f t="shared" si="959"/>
        <v>6</v>
      </c>
      <c r="F372" s="491">
        <f t="shared" ca="1" si="960"/>
        <v>72</v>
      </c>
      <c r="G372" s="449">
        <f t="shared" ref="G372:H378" si="961">AAG372</f>
        <v>41585</v>
      </c>
      <c r="H372" s="449">
        <f t="shared" si="961"/>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D372" s="112"/>
      <c r="AAE372" s="551">
        <f t="shared" si="951"/>
        <v>1</v>
      </c>
      <c r="AAF372" s="112"/>
      <c r="AAG372" s="78">
        <f>S.LastHearingDate</f>
        <v>41585</v>
      </c>
      <c r="AAH372" s="78">
        <f>S.CloseComment</f>
        <v>41593</v>
      </c>
      <c r="AAI372" s="64"/>
      <c r="AAJ372" s="79"/>
      <c r="AAK372" s="79"/>
      <c r="AAL372" s="89" t="str">
        <f>"Add info to "&amp;S.CodeName&amp;"COMMENTS"</f>
        <v>Add info to COMMENTS</v>
      </c>
      <c r="AAM372" s="112"/>
      <c r="AAN372"/>
      <c r="AAT372" s="23"/>
      <c r="AAU372" s="44"/>
    </row>
    <row r="373" spans="1:732" s="23" customFormat="1" ht="15" customHeight="1" outlineLevel="1">
      <c r="A373" s="558" t="s">
        <v>216</v>
      </c>
      <c r="B373" s="461" t="str">
        <f>AAL373</f>
        <v>Add PO report to STAFF.RPT</v>
      </c>
      <c r="C373" s="168"/>
      <c r="D373" s="277" t="s">
        <v>42</v>
      </c>
      <c r="E373" s="368">
        <f t="shared" ref="E373" si="962">NETWORKDAYS(G373,H373,S.DDL_DEQClosed)</f>
        <v>6</v>
      </c>
      <c r="F373" s="491">
        <f t="shared" ref="F373" ca="1" si="963">NETWORKDAYS(TODAY(),H373)</f>
        <v>72</v>
      </c>
      <c r="G373" s="449">
        <f t="shared" ref="G373" si="964">AAG373</f>
        <v>41585</v>
      </c>
      <c r="H373" s="449">
        <f t="shared" ref="H373" si="965">AAH373</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B373"/>
      <c r="AAC373"/>
      <c r="AAD373" s="112"/>
      <c r="AAE373" s="551">
        <f t="shared" si="951"/>
        <v>1</v>
      </c>
      <c r="AAF373" s="112"/>
      <c r="AAG373" s="78">
        <f>S.LastHearingDate</f>
        <v>41585</v>
      </c>
      <c r="AAH373" s="78">
        <f>S.CloseComment</f>
        <v>41593</v>
      </c>
      <c r="AAI373" s="64"/>
      <c r="AAJ373" s="77"/>
      <c r="AAK373" s="77"/>
      <c r="AAL373" s="89" t="str">
        <f>"Add PO report to "&amp;S.CodeName&amp;"STAFF.RPT"</f>
        <v>Add PO report to STAFF.RPT</v>
      </c>
      <c r="AAM373" s="112"/>
      <c r="AAU373" s="44"/>
    </row>
    <row r="374" spans="1:732" ht="18" customHeight="1" outlineLevel="1">
      <c r="A374" s="558"/>
      <c r="B374" s="299" t="s">
        <v>41</v>
      </c>
      <c r="C374" s="720"/>
      <c r="D374" s="197"/>
      <c r="E374" s="160"/>
      <c r="F374" s="160"/>
      <c r="G374" s="145"/>
      <c r="H374" s="658">
        <f>S.CloseComment</f>
        <v>41593</v>
      </c>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50"/>
      <c r="ZZ374" s="50"/>
      <c r="AAA374" s="588"/>
      <c r="AAD374" s="112"/>
      <c r="AAE374" s="551">
        <f t="shared" ref="AAE374:AAE390" si="966">IF(S.InvolveNotice=TRUE,1,0)</f>
        <v>1</v>
      </c>
      <c r="AAF374" s="112"/>
      <c r="AAG374" s="78">
        <f>S.CloseComment</f>
        <v>41593</v>
      </c>
      <c r="AAH374" s="77"/>
      <c r="AAI374" s="77"/>
      <c r="AAJ374" s="79"/>
      <c r="AAK374" s="79"/>
      <c r="AAL374" s="57"/>
      <c r="AAM374" s="112"/>
      <c r="AAN374"/>
      <c r="AAT374" s="23"/>
      <c r="AAU374" s="44"/>
      <c r="AAV374" s="23"/>
      <c r="AAW374" s="23"/>
      <c r="AAX374" s="23"/>
      <c r="AAY374" s="23"/>
      <c r="AAZ374" s="23"/>
      <c r="ABA374" s="23"/>
      <c r="ABB374" s="23"/>
      <c r="ABC374" s="23"/>
      <c r="ABD374" s="23"/>
    </row>
    <row r="375" spans="1:732" s="23" customFormat="1" ht="15" customHeight="1" outlineLevel="1">
      <c r="A375" s="558"/>
      <c r="B375" s="462" t="s">
        <v>160</v>
      </c>
      <c r="C375" s="187"/>
      <c r="D375" s="188"/>
      <c r="E375" s="182"/>
      <c r="F375" s="182"/>
      <c r="G375" s="174"/>
      <c r="H375" s="153"/>
      <c r="I375" s="627"/>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174</v>
      </c>
      <c r="AAG375" s="76"/>
      <c r="AAH375" s="77"/>
      <c r="AAI375" s="77"/>
      <c r="AAJ375" s="77"/>
      <c r="AAK375" s="77"/>
      <c r="AAL375" s="57"/>
      <c r="AAM375" s="112"/>
      <c r="AAU375" s="44"/>
      <c r="AAV375"/>
      <c r="AAW375"/>
      <c r="AAX375"/>
      <c r="AAY375"/>
      <c r="AAZ375"/>
      <c r="ABA375"/>
      <c r="ABB375"/>
      <c r="ABC375"/>
      <c r="ABD375"/>
    </row>
    <row r="376" spans="1:732" s="23" customFormat="1" ht="15" customHeight="1" outlineLevel="1">
      <c r="A376" s="558"/>
      <c r="B376" s="132" t="str">
        <f>AAL376</f>
        <v>Enter data into COMMENTS</v>
      </c>
      <c r="C376" s="721"/>
      <c r="D376" s="189"/>
      <c r="E376" s="154"/>
      <c r="F376" s="154"/>
      <c r="G376" s="153"/>
      <c r="H376" s="153"/>
      <c r="I376" s="588"/>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618"/>
      <c r="ZZ376" s="36"/>
      <c r="AAA376" s="588"/>
      <c r="AAB376"/>
      <c r="AAC376"/>
      <c r="AAD376" s="112"/>
      <c r="AAE376" s="551">
        <f t="shared" si="966"/>
        <v>1</v>
      </c>
      <c r="AAF376" s="583" t="s">
        <v>174</v>
      </c>
      <c r="AAG376" s="76"/>
      <c r="AAH376" s="77"/>
      <c r="AAI376" s="77"/>
      <c r="AAJ376" s="77"/>
      <c r="AAK376" s="77"/>
      <c r="AAL376" s="89" t="str">
        <f>"Enter data into "&amp;S.CodeName&amp;"COMMENTS"</f>
        <v>Enter data into COMMENTS</v>
      </c>
      <c r="AAM376" s="112"/>
      <c r="AAU376" s="44"/>
      <c r="AAV376"/>
      <c r="AAW376"/>
      <c r="AAX376"/>
      <c r="AAY376"/>
      <c r="AAZ376"/>
      <c r="ABA376"/>
      <c r="ABB376"/>
      <c r="ABC376"/>
      <c r="ABD376"/>
    </row>
    <row r="377" spans="1:732" ht="15" customHeight="1" outlineLevel="1">
      <c r="A377" s="558"/>
      <c r="B377" s="411" t="s">
        <v>208</v>
      </c>
      <c r="C377" s="168"/>
      <c r="D377" s="277" t="s">
        <v>157</v>
      </c>
      <c r="E377" s="368">
        <f t="shared" ref="E377:E383" si="967">NETWORKDAYS(G377,H377,S.DDL_DEQClosed)</f>
        <v>100</v>
      </c>
      <c r="F377" s="491">
        <f t="shared" ref="F377:F387" ca="1" si="968">NETWORKDAYS(TODAY(),H377)</f>
        <v>131</v>
      </c>
      <c r="G377" s="449">
        <f>AAG377</f>
        <v>41530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S.PostNoticeToRegistry</f>
        <v>41530</v>
      </c>
      <c r="AAH377" s="78">
        <f>S.SubmitStaffRpt</f>
        <v>41676</v>
      </c>
      <c r="AAI377" s="77"/>
      <c r="AAJ377" s="79"/>
      <c r="AAK377" s="79"/>
      <c r="AAL377" s="80"/>
      <c r="AAM377" s="112"/>
      <c r="AAN377"/>
      <c r="AAT377" s="23"/>
      <c r="AAU377" s="44"/>
      <c r="AAV377" s="23"/>
      <c r="AAW377" s="23"/>
      <c r="AAX377" s="23"/>
      <c r="AAY377" s="23"/>
      <c r="AAZ377" s="23"/>
      <c r="ABA377" s="23"/>
      <c r="ABB377" s="23"/>
      <c r="ABC377" s="23"/>
      <c r="ABD377" s="23"/>
    </row>
    <row r="378" spans="1:732" ht="15" customHeight="1" outlineLevel="1">
      <c r="A378" s="558"/>
      <c r="B378" s="463" t="str">
        <f>AAL378</f>
        <v>Scan/Link COMMENTS.ID###.pdf</v>
      </c>
      <c r="C378" s="168"/>
      <c r="D378" s="277" t="s">
        <v>157</v>
      </c>
      <c r="E378" s="448">
        <f t="shared" si="967"/>
        <v>86</v>
      </c>
      <c r="F378" s="491">
        <f t="shared" ca="1" si="968"/>
        <v>131</v>
      </c>
      <c r="G378" s="449">
        <f>AAG378</f>
        <v>41550</v>
      </c>
      <c r="H378" s="449">
        <f t="shared" si="961"/>
        <v>41676</v>
      </c>
      <c r="I378" s="627"/>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50"/>
      <c r="ZZ378" s="50"/>
      <c r="AAA378" s="588"/>
      <c r="AAD378" s="112"/>
      <c r="AAE378" s="551">
        <f t="shared" si="966"/>
        <v>1</v>
      </c>
      <c r="AAF378" s="112"/>
      <c r="AAG378" s="78">
        <f>WORKDAY(S.PublicNoticeInBulletin+1,1,S.DDL_DEQClosed)</f>
        <v>41550</v>
      </c>
      <c r="AAH378" s="78">
        <f>S.SubmitStaffRpt</f>
        <v>41676</v>
      </c>
      <c r="AAI378" s="77"/>
      <c r="AAJ378" s="79"/>
      <c r="AAK378" s="79"/>
      <c r="AAL378" s="89" t="str">
        <f>"Scan/Link "&amp;S.CodeName&amp;"COMMENTS.ID###.pdf"</f>
        <v>Scan/Link COMMENTS.ID###.pdf</v>
      </c>
      <c r="AAM378" s="112"/>
      <c r="AAN378"/>
      <c r="AAT378" s="23"/>
      <c r="AAU378" s="44"/>
      <c r="AAV378" s="23"/>
      <c r="AAW378" s="23"/>
      <c r="AAX378" s="23"/>
      <c r="AAY378" s="23"/>
      <c r="AAZ378" s="23"/>
      <c r="ABA378" s="23"/>
      <c r="ABB378" s="23"/>
      <c r="ABC378" s="23"/>
      <c r="ABD378" s="23"/>
    </row>
    <row r="379" spans="1:732" s="23" customFormat="1" ht="15" customHeight="1" outlineLevel="1">
      <c r="A379" s="558"/>
      <c r="B379" s="462" t="s">
        <v>154</v>
      </c>
      <c r="C379" s="721" t="s">
        <v>0</v>
      </c>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174</v>
      </c>
      <c r="AAG379" s="76"/>
      <c r="AAH379" s="76"/>
      <c r="AAI379" s="77"/>
      <c r="AAJ379" s="77"/>
      <c r="AAK379" s="77"/>
      <c r="AAL379" s="57"/>
      <c r="AAM379" s="112"/>
      <c r="AAU379" s="44"/>
    </row>
    <row r="380" spans="1:732" s="23" customFormat="1" ht="15" customHeight="1" outlineLevel="1">
      <c r="A380" s="558"/>
      <c r="B380" s="132" t="str">
        <f>AAL380</f>
        <v>Develop COMMENTS</v>
      </c>
      <c r="C380" s="721"/>
      <c r="D380" s="189"/>
      <c r="E380" s="154"/>
      <c r="F380" s="154"/>
      <c r="G380" s="153"/>
      <c r="H380" s="153"/>
      <c r="I380" s="588"/>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618"/>
      <c r="ZZ380" s="36"/>
      <c r="AAA380" s="588"/>
      <c r="AAB380"/>
      <c r="AAC380"/>
      <c r="AAD380" s="112"/>
      <c r="AAE380" s="551">
        <f t="shared" si="966"/>
        <v>1</v>
      </c>
      <c r="AAF380" s="583" t="s">
        <v>174</v>
      </c>
      <c r="AAG380" s="76"/>
      <c r="AAH380" s="76"/>
      <c r="AAI380" s="77"/>
      <c r="AAJ380" s="77"/>
      <c r="AAK380" s="77"/>
      <c r="AAL380" s="89" t="str">
        <f>"Develop "&amp;S.CodeName&amp;"COMMENTS"</f>
        <v>Develop COMMENTS</v>
      </c>
      <c r="AAM380" s="112"/>
      <c r="AAU380" s="44"/>
    </row>
    <row r="381" spans="1:732" s="23" customFormat="1" ht="15" customHeight="1" outlineLevel="1">
      <c r="A381" s="558"/>
      <c r="B381" s="464" t="s">
        <v>178</v>
      </c>
      <c r="C381" s="168"/>
      <c r="D381" s="277" t="s">
        <v>359</v>
      </c>
      <c r="E381" s="448">
        <f t="shared" ref="E381" si="969">NETWORKDAYS(G381,H381,S.DDL_DEQClosed)</f>
        <v>86</v>
      </c>
      <c r="F381" s="491">
        <f t="shared" ref="F381" ca="1" si="970">NETWORKDAYS(TODAY(),H381)</f>
        <v>131</v>
      </c>
      <c r="G381" s="449">
        <f t="shared" ref="G381:G387" si="971">AAG381</f>
        <v>41550</v>
      </c>
      <c r="H381" s="449">
        <f t="shared" ref="H381:H387" si="972">AAH381</f>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ref="AAG381:AAG387" si="973">WORKDAY(S.PublicNoticeInBulletin+1,1,S.DDL_DEQClosed)</f>
        <v>41550</v>
      </c>
      <c r="AAH381" s="78">
        <f t="shared" ref="AAH381:AAH387" si="974">S.SubmitStaffRpt</f>
        <v>41676</v>
      </c>
      <c r="AAI381" s="77"/>
      <c r="AAJ381" s="80"/>
      <c r="AAK381" s="80"/>
      <c r="AAL381" s="57"/>
      <c r="AAM381" s="112"/>
      <c r="AAU381" s="44"/>
      <c r="AAV381"/>
      <c r="AAW381"/>
      <c r="AAX381"/>
      <c r="AAY381"/>
      <c r="AAZ381"/>
      <c r="ABA381"/>
      <c r="ABB381"/>
      <c r="ABC381"/>
      <c r="ABD381"/>
    </row>
    <row r="382" spans="1:732" s="23" customFormat="1" ht="15" customHeight="1" outlineLevel="1">
      <c r="A382" s="558"/>
      <c r="B382" s="464" t="s">
        <v>179</v>
      </c>
      <c r="C382" s="168"/>
      <c r="D382" s="277" t="s">
        <v>359</v>
      </c>
      <c r="E382" s="448">
        <f t="shared" ref="E382" si="975">NETWORKDAYS(G382,H382,S.DDL_DEQClosed)</f>
        <v>86</v>
      </c>
      <c r="F382" s="491">
        <f t="shared" ref="F382" ca="1" si="976">NETWORKDAYS(TODAY(),H382)</f>
        <v>131</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B382"/>
      <c r="AAC382"/>
      <c r="AAD382" s="112"/>
      <c r="AAE382" s="551">
        <f t="shared" si="966"/>
        <v>1</v>
      </c>
      <c r="AAF382" s="112"/>
      <c r="AAG382" s="78">
        <f t="shared" si="973"/>
        <v>41550</v>
      </c>
      <c r="AAH382" s="78">
        <f t="shared" si="974"/>
        <v>41676</v>
      </c>
      <c r="AAI382" s="77"/>
      <c r="AAJ382" s="80"/>
      <c r="AAK382" s="80"/>
      <c r="AAL382" s="57"/>
      <c r="AAM382" s="112"/>
      <c r="AAU382" s="44"/>
      <c r="AAV382"/>
      <c r="AAW382"/>
      <c r="AAX382"/>
      <c r="AAY382"/>
      <c r="AAZ382"/>
      <c r="ABA382"/>
      <c r="ABB382"/>
      <c r="ABC382"/>
      <c r="ABD382"/>
    </row>
    <row r="383" spans="1:732" ht="15" customHeight="1" outlineLevel="1">
      <c r="A383" s="558"/>
      <c r="B383" s="465" t="s">
        <v>167</v>
      </c>
      <c r="C383" s="239"/>
      <c r="D383" s="277" t="s">
        <v>359</v>
      </c>
      <c r="E383" s="448">
        <f t="shared" si="967"/>
        <v>86</v>
      </c>
      <c r="F383" s="491">
        <f t="shared" ca="1" si="968"/>
        <v>131</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4" t="s">
        <v>75</v>
      </c>
      <c r="C384" s="239"/>
      <c r="D384" s="279" t="s">
        <v>378</v>
      </c>
      <c r="E384" s="368">
        <f>NETWORKDAYS(G384,H384,S.DDL_DEQClosed)</f>
        <v>86</v>
      </c>
      <c r="F384" s="491">
        <f t="shared" ca="1" si="968"/>
        <v>131</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5" t="s">
        <v>76</v>
      </c>
      <c r="C385" s="239"/>
      <c r="D385" s="279" t="s">
        <v>378</v>
      </c>
      <c r="E385" s="368">
        <f>NETWORKDAYS(G385,H385,S.DDL_DEQClosed)</f>
        <v>86</v>
      </c>
      <c r="F385" s="491">
        <f t="shared" ca="1" si="968"/>
        <v>131</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6" t="s">
        <v>77</v>
      </c>
      <c r="C386" s="239"/>
      <c r="D386" s="279" t="s">
        <v>378</v>
      </c>
      <c r="E386" s="368">
        <f>NETWORKDAYS(G386,H386,S.DDL_DEQClosed)</f>
        <v>86</v>
      </c>
      <c r="F386" s="491">
        <f t="shared" ca="1" si="968"/>
        <v>131</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15" customHeight="1" outlineLevel="1">
      <c r="A387" s="558"/>
      <c r="B387" s="427" t="s">
        <v>78</v>
      </c>
      <c r="C387" s="239"/>
      <c r="D387" s="279" t="s">
        <v>378</v>
      </c>
      <c r="E387" s="368">
        <f>NETWORKDAYS(G387,H387,S.DDL_DEQClosed)</f>
        <v>86</v>
      </c>
      <c r="F387" s="491">
        <f t="shared" ca="1" si="968"/>
        <v>131</v>
      </c>
      <c r="G387" s="449">
        <f t="shared" si="971"/>
        <v>41550</v>
      </c>
      <c r="H387" s="449">
        <f t="shared" si="972"/>
        <v>41676</v>
      </c>
      <c r="I387" s="627"/>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50"/>
      <c r="ZZ387" s="50"/>
      <c r="AAA387" s="588"/>
      <c r="AAD387" s="112"/>
      <c r="AAE387" s="551">
        <f t="shared" si="966"/>
        <v>1</v>
      </c>
      <c r="AAF387" s="112"/>
      <c r="AAG387" s="78">
        <f t="shared" si="973"/>
        <v>41550</v>
      </c>
      <c r="AAH387" s="78">
        <f t="shared" si="974"/>
        <v>41676</v>
      </c>
      <c r="AAI387" s="77"/>
      <c r="AAJ387" s="57"/>
      <c r="AAK387" s="57"/>
      <c r="AAL387" s="57"/>
      <c r="AAM387" s="112"/>
      <c r="AAN387"/>
      <c r="AAT387" s="23"/>
      <c r="AAU387" s="44"/>
    </row>
    <row r="388" spans="1:732" ht="96.75" customHeight="1" outlineLevel="1">
      <c r="A388" s="558"/>
      <c r="B388" s="765" t="s">
        <v>344</v>
      </c>
      <c r="C388" s="765"/>
      <c r="D388" s="765"/>
      <c r="E388" s="765"/>
      <c r="F388" s="765"/>
      <c r="G388" s="765"/>
      <c r="H388" s="765"/>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174</v>
      </c>
      <c r="AAG388" s="63"/>
      <c r="AAH388" s="63"/>
      <c r="AAI388" s="77"/>
      <c r="AAJ388" s="57"/>
      <c r="AAK388" s="57"/>
      <c r="AAL388" s="57"/>
      <c r="AAM388" s="112"/>
      <c r="AAN388"/>
      <c r="AAT388" s="23"/>
      <c r="AAU388" s="44"/>
    </row>
    <row r="389" spans="1:732" ht="15" customHeight="1" outlineLevel="1">
      <c r="A389" s="558"/>
      <c r="B389" s="395" t="s">
        <v>49</v>
      </c>
      <c r="C389" s="300"/>
      <c r="D389" s="281" t="s">
        <v>0</v>
      </c>
      <c r="E389" s="282"/>
      <c r="F389" s="282"/>
      <c r="G389" s="283"/>
      <c r="H389" s="283"/>
      <c r="I389" s="588"/>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8"/>
      <c r="ZZ389" s="36"/>
      <c r="AAA389" s="588"/>
      <c r="AAD389" s="112"/>
      <c r="AAE389" s="551">
        <f t="shared" si="966"/>
        <v>1</v>
      </c>
      <c r="AAF389" s="583" t="s">
        <v>174</v>
      </c>
      <c r="AAG389" s="63"/>
      <c r="AAH389" s="63"/>
      <c r="AAI389" s="77"/>
      <c r="AAJ389" s="57"/>
      <c r="AAK389" s="57"/>
      <c r="AAL389" s="57"/>
      <c r="AAM389" s="112"/>
      <c r="AAN389"/>
      <c r="AAT389" s="23"/>
      <c r="AAU389" s="44"/>
    </row>
    <row r="390" spans="1:732" ht="15" customHeight="1" outlineLevel="1">
      <c r="A390" s="558"/>
      <c r="B390" s="343" t="s">
        <v>149</v>
      </c>
      <c r="C390" s="168"/>
      <c r="D390" s="277" t="s">
        <v>157</v>
      </c>
      <c r="E390" s="448">
        <f t="shared" ref="E390" si="977">NETWORKDAYS(G390,H390,S.DDL_DEQClosed)</f>
        <v>1</v>
      </c>
      <c r="F390" s="491">
        <f t="shared" ref="F390" ca="1" si="978">NETWORKDAYS(TODAY(),H390)</f>
        <v>131</v>
      </c>
      <c r="G390" s="449">
        <f t="shared" ref="G390:H390" si="979">AAG390</f>
        <v>41676</v>
      </c>
      <c r="H390" s="455">
        <f t="shared" si="979"/>
        <v>41676</v>
      </c>
      <c r="I390" s="627"/>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50"/>
      <c r="ZZ390" s="50"/>
      <c r="AAA390" s="588"/>
      <c r="AAD390" s="112"/>
      <c r="AAE390" s="551">
        <f t="shared" si="966"/>
        <v>1</v>
      </c>
      <c r="AAF390" s="112"/>
      <c r="AAG390" s="78">
        <f>H387</f>
        <v>41676</v>
      </c>
      <c r="AAH390" s="78">
        <f>G390</f>
        <v>41676</v>
      </c>
      <c r="AAI390" s="77"/>
      <c r="AAJ390" s="57"/>
      <c r="AAK390" s="57"/>
      <c r="AAL390" s="57"/>
      <c r="AAM390" s="112"/>
      <c r="AAN390"/>
      <c r="AAT390" s="23"/>
      <c r="AAU390" s="44"/>
    </row>
    <row r="391" spans="1:732" ht="6" customHeight="1">
      <c r="A391" s="558"/>
      <c r="B391" s="144"/>
      <c r="C391" s="689"/>
      <c r="D391" s="145"/>
      <c r="E391" s="146"/>
      <c r="F391" s="146"/>
      <c r="G391" s="145"/>
      <c r="H391" s="145"/>
      <c r="I391" s="588"/>
      <c r="J391" s="592"/>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c r="JL391" s="50"/>
      <c r="JM391" s="50"/>
      <c r="JN391" s="50"/>
      <c r="JO391" s="50"/>
      <c r="JP391" s="50"/>
      <c r="JQ391" s="50"/>
      <c r="JR391" s="50"/>
      <c r="JS391" s="50"/>
      <c r="JT391" s="50"/>
      <c r="JU391" s="50"/>
      <c r="JV391" s="50"/>
      <c r="JW391" s="50"/>
      <c r="JX391" s="50"/>
      <c r="JY391" s="50"/>
      <c r="JZ391" s="50"/>
      <c r="KA391" s="50"/>
      <c r="KB391" s="50"/>
      <c r="KC391" s="50"/>
      <c r="KD391" s="50"/>
      <c r="KE391" s="50"/>
      <c r="KF391" s="50"/>
      <c r="KG391" s="50"/>
      <c r="KH391" s="50"/>
      <c r="KI391" s="50"/>
      <c r="KJ391" s="50"/>
      <c r="KK391" s="50"/>
      <c r="KL391" s="50"/>
      <c r="KM391" s="50"/>
      <c r="KN391" s="50"/>
      <c r="KO391" s="50"/>
      <c r="KP391" s="50"/>
      <c r="KQ391" s="50"/>
      <c r="KR391" s="50"/>
      <c r="KS391" s="50"/>
      <c r="KT391" s="50"/>
      <c r="KU391" s="50"/>
      <c r="KV391" s="50"/>
      <c r="KW391" s="50"/>
      <c r="KX391" s="50"/>
      <c r="KY391" s="50"/>
      <c r="KZ391" s="50"/>
      <c r="LA391" s="50"/>
      <c r="LB391" s="50"/>
      <c r="LC391" s="50"/>
      <c r="LD391" s="50"/>
      <c r="LE391" s="50"/>
      <c r="LF391" s="50"/>
      <c r="LG391" s="50"/>
      <c r="LH391" s="50"/>
      <c r="LI391" s="50"/>
      <c r="LJ391" s="50"/>
      <c r="LK391" s="50"/>
      <c r="LL391" s="50"/>
      <c r="LM391" s="50"/>
      <c r="LN391" s="50"/>
      <c r="LO391" s="50"/>
      <c r="LP391" s="50"/>
      <c r="LQ391" s="50"/>
      <c r="LR391" s="50"/>
      <c r="LS391" s="50"/>
      <c r="LT391" s="50"/>
      <c r="LU391" s="50"/>
      <c r="LV391" s="50"/>
      <c r="LW391" s="50"/>
      <c r="LX391" s="50"/>
      <c r="LY391" s="50"/>
      <c r="LZ391" s="50"/>
      <c r="MA391" s="50"/>
      <c r="MB391" s="50"/>
      <c r="MC391" s="50"/>
      <c r="MD391" s="50"/>
      <c r="ME391" s="50"/>
      <c r="MF391" s="50"/>
      <c r="MG391" s="50"/>
      <c r="MH391" s="50"/>
      <c r="MI391" s="50"/>
      <c r="MJ391" s="50"/>
      <c r="MK391" s="50"/>
      <c r="ML391" s="50"/>
      <c r="MM391" s="50"/>
      <c r="MN391" s="50"/>
      <c r="MO391" s="50"/>
      <c r="MP391" s="50"/>
      <c r="MQ391" s="50"/>
      <c r="MR391" s="50"/>
      <c r="MS391" s="50"/>
      <c r="MT391" s="50"/>
      <c r="MU391" s="50"/>
      <c r="MV391" s="50"/>
      <c r="MW391" s="50"/>
      <c r="MX391" s="50"/>
      <c r="MY391" s="50"/>
      <c r="MZ391" s="50"/>
      <c r="NA391" s="50"/>
      <c r="NB391" s="50"/>
      <c r="NC391" s="50"/>
      <c r="ND391" s="50"/>
      <c r="NE391" s="50"/>
      <c r="NF391" s="50"/>
      <c r="NG391" s="50"/>
      <c r="NH391" s="50"/>
      <c r="NI391" s="50"/>
      <c r="NJ391" s="50"/>
      <c r="NK391" s="50"/>
      <c r="NL391" s="50"/>
      <c r="NM391" s="50"/>
      <c r="NN391" s="50"/>
      <c r="NO391" s="50"/>
      <c r="NP391" s="50"/>
      <c r="NQ391" s="50"/>
      <c r="NR391" s="50"/>
      <c r="NS391" s="50"/>
      <c r="NT391" s="50"/>
      <c r="NU391" s="50"/>
      <c r="NV391" s="50"/>
      <c r="NW391" s="50"/>
      <c r="NX391" s="50"/>
      <c r="NY391" s="50"/>
      <c r="NZ391" s="50"/>
      <c r="OA391" s="50"/>
      <c r="OB391" s="50"/>
      <c r="OC391" s="50"/>
      <c r="OD391" s="50"/>
      <c r="OE391" s="50"/>
      <c r="OF391" s="50"/>
      <c r="OG391" s="50"/>
      <c r="OH391" s="50"/>
      <c r="OI391" s="50"/>
      <c r="OJ391" s="50"/>
      <c r="OK391" s="50"/>
      <c r="OL391" s="50"/>
      <c r="OM391" s="50"/>
      <c r="ON391" s="50"/>
      <c r="OO391" s="50"/>
      <c r="OP391" s="50"/>
      <c r="OQ391" s="50"/>
      <c r="OR391" s="50"/>
      <c r="OS391" s="50"/>
      <c r="OT391" s="50"/>
      <c r="OU391" s="50"/>
      <c r="OV391" s="50"/>
      <c r="OW391" s="50"/>
      <c r="OX391" s="50"/>
      <c r="OY391" s="50"/>
      <c r="OZ391" s="50"/>
      <c r="PA391" s="50"/>
      <c r="PB391" s="50"/>
      <c r="PC391" s="50"/>
      <c r="PD391" s="50"/>
      <c r="PE391" s="50"/>
      <c r="PF391" s="50"/>
      <c r="PG391" s="50"/>
      <c r="PH391" s="50"/>
      <c r="PI391" s="50"/>
      <c r="PJ391" s="50"/>
      <c r="PK391" s="50"/>
      <c r="PL391" s="50"/>
      <c r="PM391" s="50"/>
      <c r="PN391" s="50"/>
      <c r="PO391" s="50"/>
      <c r="PP391" s="50"/>
      <c r="PQ391" s="50"/>
      <c r="PR391" s="50"/>
      <c r="PS391" s="50"/>
      <c r="PT391" s="50"/>
      <c r="PU391" s="50"/>
      <c r="PV391" s="50"/>
      <c r="PW391" s="50"/>
      <c r="PX391" s="50"/>
      <c r="PY391" s="50"/>
      <c r="PZ391" s="50"/>
      <c r="QA391" s="50"/>
      <c r="QB391" s="50"/>
      <c r="QC391" s="50"/>
      <c r="QD391" s="50"/>
      <c r="QE391" s="50"/>
      <c r="QF391" s="50"/>
      <c r="QG391" s="50"/>
      <c r="QH391" s="50"/>
      <c r="QI391" s="50"/>
      <c r="QJ391" s="50"/>
      <c r="QK391" s="50"/>
      <c r="QL391" s="50"/>
      <c r="QM391" s="50"/>
      <c r="QN391" s="50"/>
      <c r="QO391" s="50"/>
      <c r="QP391" s="50"/>
      <c r="QQ391" s="50"/>
      <c r="QR391" s="50"/>
      <c r="QS391" s="50"/>
      <c r="QT391" s="50"/>
      <c r="QU391" s="50"/>
      <c r="QV391" s="50"/>
      <c r="QW391" s="50"/>
      <c r="QX391" s="50"/>
      <c r="QY391" s="50"/>
      <c r="QZ391" s="50"/>
      <c r="RA391" s="50"/>
      <c r="RB391" s="50"/>
      <c r="RC391" s="50"/>
      <c r="RD391" s="50"/>
      <c r="RE391" s="50"/>
      <c r="RF391" s="50"/>
      <c r="RG391" s="50"/>
      <c r="RH391" s="50"/>
      <c r="RI391" s="50"/>
      <c r="RJ391" s="50"/>
      <c r="RK391" s="50"/>
      <c r="RL391" s="50"/>
      <c r="RM391" s="50"/>
      <c r="RN391" s="50"/>
      <c r="RO391" s="50"/>
      <c r="RP391" s="50"/>
      <c r="RQ391" s="50"/>
      <c r="RR391" s="50"/>
      <c r="RS391" s="50"/>
      <c r="RT391" s="50"/>
      <c r="RU391" s="50"/>
      <c r="RV391" s="50"/>
      <c r="RW391" s="50"/>
      <c r="RX391" s="50"/>
      <c r="RY391" s="50"/>
      <c r="RZ391" s="50"/>
      <c r="SA391" s="50"/>
      <c r="SB391" s="50"/>
      <c r="SC391" s="50"/>
      <c r="SD391" s="50"/>
      <c r="SE391" s="50"/>
      <c r="SF391" s="50"/>
      <c r="SG391" s="50"/>
      <c r="SH391" s="50"/>
      <c r="SI391" s="50"/>
      <c r="SJ391" s="50"/>
      <c r="SK391" s="50"/>
      <c r="SL391" s="50"/>
      <c r="SM391" s="50"/>
      <c r="SN391" s="50"/>
      <c r="SO391" s="50"/>
      <c r="SP391" s="50"/>
      <c r="SQ391" s="50"/>
      <c r="SR391" s="50"/>
      <c r="SS391" s="50"/>
      <c r="ST391" s="50"/>
      <c r="SU391" s="50"/>
      <c r="SV391" s="50"/>
      <c r="SW391" s="50"/>
      <c r="SX391" s="50"/>
      <c r="SY391" s="50"/>
      <c r="SZ391" s="50"/>
      <c r="TA391" s="50"/>
      <c r="TB391" s="50"/>
      <c r="TC391" s="50"/>
      <c r="TD391" s="50"/>
      <c r="TE391" s="50"/>
      <c r="TF391" s="50"/>
      <c r="TG391" s="50"/>
      <c r="TH391" s="50"/>
      <c r="TI391" s="50"/>
      <c r="TJ391" s="50"/>
      <c r="TK391" s="50"/>
      <c r="TL391" s="50"/>
      <c r="TM391" s="50"/>
      <c r="TN391" s="50"/>
      <c r="TO391" s="50"/>
      <c r="TP391" s="50"/>
      <c r="TQ391" s="50"/>
      <c r="TR391" s="50"/>
      <c r="TS391" s="50"/>
      <c r="TT391" s="50"/>
      <c r="TU391" s="50"/>
      <c r="TV391" s="50"/>
      <c r="TW391" s="50"/>
      <c r="TX391" s="50"/>
      <c r="TY391" s="50"/>
      <c r="TZ391" s="50"/>
      <c r="UA391" s="50"/>
      <c r="UB391" s="50"/>
      <c r="UC391" s="50"/>
      <c r="UD391" s="50"/>
      <c r="UE391" s="50"/>
      <c r="UF391" s="50"/>
      <c r="UG391" s="50"/>
      <c r="UH391" s="50"/>
      <c r="UI391" s="50"/>
      <c r="UJ391" s="50"/>
      <c r="UK391" s="50"/>
      <c r="UL391" s="50"/>
      <c r="UM391" s="50"/>
      <c r="UN391" s="50"/>
      <c r="UO391" s="50"/>
      <c r="UP391" s="50"/>
      <c r="UQ391" s="50"/>
      <c r="UR391" s="50"/>
      <c r="US391" s="50"/>
      <c r="UT391" s="50"/>
      <c r="UU391" s="50"/>
      <c r="UV391" s="50"/>
      <c r="UW391" s="50"/>
      <c r="UX391" s="50"/>
      <c r="UY391" s="50"/>
      <c r="UZ391" s="50"/>
      <c r="VA391" s="50"/>
      <c r="VB391" s="50"/>
      <c r="VC391" s="50"/>
      <c r="VD391" s="50"/>
      <c r="VE391" s="50"/>
      <c r="VF391" s="50"/>
      <c r="VG391" s="50"/>
      <c r="VH391" s="50"/>
      <c r="VI391" s="50"/>
      <c r="VJ391" s="50"/>
      <c r="VK391" s="50"/>
      <c r="VL391" s="50"/>
      <c r="VM391" s="50"/>
      <c r="VN391" s="50"/>
      <c r="VO391" s="50"/>
      <c r="VP391" s="50"/>
      <c r="VQ391" s="50"/>
      <c r="VR391" s="50"/>
      <c r="VS391" s="50"/>
      <c r="VT391" s="50"/>
      <c r="VU391" s="50"/>
      <c r="VV391" s="50"/>
      <c r="VW391" s="50"/>
      <c r="VX391" s="50"/>
      <c r="VY391" s="50"/>
      <c r="VZ391" s="50"/>
      <c r="WA391" s="50"/>
      <c r="WB391" s="50"/>
      <c r="WC391" s="50"/>
      <c r="WD391" s="50"/>
      <c r="WE391" s="50"/>
      <c r="WF391" s="50"/>
      <c r="WG391" s="50"/>
      <c r="WH391" s="50"/>
      <c r="WI391" s="50"/>
      <c r="WJ391" s="50"/>
      <c r="WK391" s="50"/>
      <c r="WL391" s="50"/>
      <c r="WM391" s="50"/>
      <c r="WN391" s="50"/>
      <c r="WO391" s="50"/>
      <c r="WP391" s="50"/>
      <c r="WQ391" s="50"/>
      <c r="WR391" s="50"/>
      <c r="WS391" s="50"/>
      <c r="WT391" s="50"/>
      <c r="WU391" s="50"/>
      <c r="WV391" s="50"/>
      <c r="WW391" s="50"/>
      <c r="WX391" s="50"/>
      <c r="WY391" s="50"/>
      <c r="WZ391" s="50"/>
      <c r="XA391" s="50"/>
      <c r="XB391" s="50"/>
      <c r="XC391" s="50"/>
      <c r="XD391" s="50"/>
      <c r="XE391" s="50"/>
      <c r="XF391" s="50"/>
      <c r="XG391" s="50"/>
      <c r="XH391" s="50"/>
      <c r="XI391" s="50"/>
      <c r="XJ391" s="50"/>
      <c r="XK391" s="50"/>
      <c r="XL391" s="50"/>
      <c r="XM391" s="50"/>
      <c r="XN391" s="50"/>
      <c r="XO391" s="50"/>
      <c r="XP391" s="50"/>
      <c r="XQ391" s="50"/>
      <c r="XR391" s="50"/>
      <c r="XS391" s="50"/>
      <c r="XT391" s="50"/>
      <c r="XU391" s="50"/>
      <c r="XV391" s="50"/>
      <c r="XW391" s="50"/>
      <c r="XX391" s="50"/>
      <c r="XY391" s="50"/>
      <c r="XZ391" s="50"/>
      <c r="YA391" s="50"/>
      <c r="YB391" s="50"/>
      <c r="YC391" s="50"/>
      <c r="YD391" s="50"/>
      <c r="YE391" s="50"/>
      <c r="YF391" s="50"/>
      <c r="YG391" s="50"/>
      <c r="YH391" s="50"/>
      <c r="YI391" s="50"/>
      <c r="YJ391" s="50"/>
      <c r="YK391" s="50"/>
      <c r="YL391" s="50"/>
      <c r="YM391" s="50"/>
      <c r="YN391" s="50"/>
      <c r="YO391" s="50"/>
      <c r="YP391" s="50"/>
      <c r="YQ391" s="50"/>
      <c r="YR391" s="50"/>
      <c r="YS391" s="50"/>
      <c r="YT391" s="50"/>
      <c r="YU391" s="50"/>
      <c r="YV391" s="50"/>
      <c r="YW391" s="50"/>
      <c r="YX391" s="50"/>
      <c r="YY391" s="50"/>
      <c r="YZ391" s="50"/>
      <c r="ZA391" s="50"/>
      <c r="ZB391" s="50"/>
      <c r="ZC391" s="50"/>
      <c r="ZD391" s="50"/>
      <c r="ZE391" s="50"/>
      <c r="ZF391" s="50"/>
      <c r="ZG391" s="50"/>
      <c r="ZH391" s="50"/>
      <c r="ZI391" s="50"/>
      <c r="ZJ391" s="50"/>
      <c r="ZK391" s="50"/>
      <c r="ZL391" s="50"/>
      <c r="ZM391" s="50"/>
      <c r="ZN391" s="50"/>
      <c r="ZO391" s="50"/>
      <c r="ZP391" s="50"/>
      <c r="ZQ391" s="50"/>
      <c r="ZR391" s="50"/>
      <c r="ZS391" s="50"/>
      <c r="ZT391" s="50"/>
      <c r="ZU391" s="50"/>
      <c r="ZV391" s="50"/>
      <c r="ZW391" s="50"/>
      <c r="ZX391" s="50"/>
      <c r="ZY391" s="618"/>
      <c r="ZZ391" s="36"/>
      <c r="AAA391" s="588"/>
      <c r="AAD391" s="112"/>
      <c r="AAE391" s="551" t="s">
        <v>26</v>
      </c>
      <c r="AAF391" s="583" t="s">
        <v>174</v>
      </c>
      <c r="AAG391" s="63"/>
      <c r="AAH391" s="63"/>
      <c r="AAI391" s="77"/>
      <c r="AAJ391" s="57"/>
      <c r="AAK391" s="57"/>
      <c r="AAL391" s="57"/>
      <c r="AAM391" s="112"/>
      <c r="AAN391"/>
      <c r="AAT391" s="23"/>
      <c r="AAU391" s="44"/>
    </row>
    <row r="392" spans="1:732" s="23" customFormat="1" ht="18" customHeight="1">
      <c r="A392" s="558"/>
      <c r="B392" s="786" t="s">
        <v>94</v>
      </c>
      <c r="C392" s="786"/>
      <c r="D392" s="786"/>
      <c r="E392" s="786"/>
      <c r="F392" s="786"/>
      <c r="G392" s="786"/>
      <c r="H392" s="786"/>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27</v>
      </c>
      <c r="AAF392" s="583" t="s">
        <v>174</v>
      </c>
      <c r="AAG392" s="112"/>
      <c r="AAH392" s="112"/>
      <c r="AAI392" s="77"/>
      <c r="AAJ392" s="90"/>
      <c r="AAK392" s="90"/>
      <c r="AAL392" s="76"/>
      <c r="AAM392" s="112"/>
      <c r="AAU392" s="44"/>
    </row>
    <row r="393" spans="1:732" s="23" customFormat="1" ht="18" customHeight="1">
      <c r="A393" s="558"/>
      <c r="B393" s="301" t="s">
        <v>15</v>
      </c>
      <c r="C393" s="703"/>
      <c r="D393" s="150" t="s">
        <v>241</v>
      </c>
      <c r="E393" s="151" t="s">
        <v>15</v>
      </c>
      <c r="F393" s="487" t="s">
        <v>2</v>
      </c>
      <c r="G393" s="152" t="s">
        <v>85</v>
      </c>
      <c r="H393" s="152" t="s">
        <v>86</v>
      </c>
      <c r="I393" s="627"/>
      <c r="J393" s="593"/>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c r="OE393" s="48"/>
      <c r="OF393" s="48"/>
      <c r="OG393" s="48"/>
      <c r="OH393" s="48"/>
      <c r="OI393" s="48"/>
      <c r="OJ393" s="48"/>
      <c r="OK393" s="48"/>
      <c r="OL393" s="48"/>
      <c r="OM393" s="48"/>
      <c r="ON393" s="48"/>
      <c r="OO393" s="48"/>
      <c r="OP393" s="48"/>
      <c r="OQ393" s="48"/>
      <c r="OR393" s="48"/>
      <c r="OS393" s="48"/>
      <c r="OT393" s="48"/>
      <c r="OU393" s="48"/>
      <c r="OV393" s="48"/>
      <c r="OW393" s="48"/>
      <c r="OX393" s="48"/>
      <c r="OY393" s="48"/>
      <c r="OZ393" s="48"/>
      <c r="PA393" s="48"/>
      <c r="PB393" s="48"/>
      <c r="PC393" s="48"/>
      <c r="PD393" s="48"/>
      <c r="PE393" s="48"/>
      <c r="PF393" s="48"/>
      <c r="PG393" s="48"/>
      <c r="PH393" s="48"/>
      <c r="PI393" s="48"/>
      <c r="PJ393" s="48"/>
      <c r="PK393" s="48"/>
      <c r="PL393" s="48"/>
      <c r="PM393" s="48"/>
      <c r="PN393" s="48"/>
      <c r="PO393" s="48"/>
      <c r="PP393" s="48"/>
      <c r="PQ393" s="48"/>
      <c r="PR393" s="48"/>
      <c r="PS393" s="48"/>
      <c r="PT393" s="48"/>
      <c r="PU393" s="48"/>
      <c r="PV393" s="48"/>
      <c r="PW393" s="48"/>
      <c r="PX393" s="48"/>
      <c r="PY393" s="48"/>
      <c r="PZ393" s="48"/>
      <c r="QA393" s="48"/>
      <c r="QB393" s="48"/>
      <c r="QC393" s="48"/>
      <c r="QD393" s="48"/>
      <c r="QE393" s="48"/>
      <c r="QF393" s="48"/>
      <c r="QG393" s="48"/>
      <c r="QH393" s="48"/>
      <c r="QI393" s="48"/>
      <c r="QJ393" s="48"/>
      <c r="QK393" s="48"/>
      <c r="QL393" s="48"/>
      <c r="QM393" s="48"/>
      <c r="QN393" s="48"/>
      <c r="QO393" s="48"/>
      <c r="QP393" s="48"/>
      <c r="QQ393" s="48"/>
      <c r="QR393" s="48"/>
      <c r="QS393" s="48"/>
      <c r="QT393" s="48"/>
      <c r="QU393" s="48"/>
      <c r="QV393" s="48"/>
      <c r="QW393" s="48"/>
      <c r="QX393" s="48"/>
      <c r="QY393" s="48"/>
      <c r="QZ393" s="48"/>
      <c r="RA393" s="48"/>
      <c r="RB393" s="48"/>
      <c r="RC393" s="48"/>
      <c r="RD393" s="48"/>
      <c r="RE393" s="48"/>
      <c r="RF393" s="48"/>
      <c r="RG393" s="48"/>
      <c r="RH393" s="48"/>
      <c r="RI393" s="48"/>
      <c r="RJ393" s="48"/>
      <c r="RK393" s="48"/>
      <c r="RL393" s="48"/>
      <c r="RM393" s="48"/>
      <c r="RN393" s="48"/>
      <c r="RO393" s="48"/>
      <c r="RP393" s="48"/>
      <c r="RQ393" s="48"/>
      <c r="RR393" s="48"/>
      <c r="RS393" s="48"/>
      <c r="RT393" s="48"/>
      <c r="RU393" s="48"/>
      <c r="RV393" s="48"/>
      <c r="RW393" s="48"/>
      <c r="RX393" s="48"/>
      <c r="RY393" s="48"/>
      <c r="RZ393" s="48"/>
      <c r="SA393" s="48"/>
      <c r="SB393" s="48"/>
      <c r="SC393" s="48"/>
      <c r="SD393" s="48"/>
      <c r="SE393" s="48"/>
      <c r="SF393" s="48"/>
      <c r="SG393" s="48"/>
      <c r="SH393" s="48"/>
      <c r="SI393" s="48"/>
      <c r="SJ393" s="48"/>
      <c r="SK393" s="48"/>
      <c r="SL393" s="48"/>
      <c r="SM393" s="48"/>
      <c r="SN393" s="48"/>
      <c r="SO393" s="48"/>
      <c r="SP393" s="48"/>
      <c r="SQ393" s="48"/>
      <c r="SR393" s="48"/>
      <c r="SS393" s="48"/>
      <c r="ST393" s="48"/>
      <c r="SU393" s="48"/>
      <c r="SV393" s="48"/>
      <c r="SW393" s="48"/>
      <c r="SX393" s="48"/>
      <c r="SY393" s="48"/>
      <c r="SZ393" s="48"/>
      <c r="TA393" s="48"/>
      <c r="TB393" s="48"/>
      <c r="TC393" s="48"/>
      <c r="TD393" s="48"/>
      <c r="TE393" s="48"/>
      <c r="TF393" s="48"/>
      <c r="TG393" s="48"/>
      <c r="TH393" s="48"/>
      <c r="TI393" s="48"/>
      <c r="TJ393" s="48"/>
      <c r="TK393" s="48"/>
      <c r="TL393" s="48"/>
      <c r="TM393" s="48"/>
      <c r="TN393" s="48"/>
      <c r="TO393" s="48"/>
      <c r="TP393" s="48"/>
      <c r="TQ393" s="48"/>
      <c r="TR393" s="48"/>
      <c r="TS393" s="48"/>
      <c r="TT393" s="48"/>
      <c r="TU393" s="48"/>
      <c r="TV393" s="48"/>
      <c r="TW393" s="48"/>
      <c r="TX393" s="48"/>
      <c r="TY393" s="48"/>
      <c r="TZ393" s="48"/>
      <c r="UA393" s="48"/>
      <c r="UB393" s="48"/>
      <c r="UC393" s="48"/>
      <c r="UD393" s="48"/>
      <c r="UE393" s="48"/>
      <c r="UF393" s="48"/>
      <c r="UG393" s="48"/>
      <c r="UH393" s="48"/>
      <c r="UI393" s="48"/>
      <c r="UJ393" s="48"/>
      <c r="UK393" s="48"/>
      <c r="UL393" s="48"/>
      <c r="UM393" s="48"/>
      <c r="UN393" s="48"/>
      <c r="UO393" s="48"/>
      <c r="UP393" s="48"/>
      <c r="UQ393" s="48"/>
      <c r="UR393" s="48"/>
      <c r="US393" s="48"/>
      <c r="UT393" s="48"/>
      <c r="UU393" s="48"/>
      <c r="UV393" s="48"/>
      <c r="UW393" s="48"/>
      <c r="UX393" s="48"/>
      <c r="UY393" s="48"/>
      <c r="UZ393" s="48"/>
      <c r="VA393" s="48"/>
      <c r="VB393" s="48"/>
      <c r="VC393" s="48"/>
      <c r="VD393" s="48"/>
      <c r="VE393" s="48"/>
      <c r="VF393" s="48"/>
      <c r="VG393" s="48"/>
      <c r="VH393" s="48"/>
      <c r="VI393" s="48"/>
      <c r="VJ393" s="48"/>
      <c r="VK393" s="48"/>
      <c r="VL393" s="48"/>
      <c r="VM393" s="48"/>
      <c r="VN393" s="48"/>
      <c r="VO393" s="48"/>
      <c r="VP393" s="48"/>
      <c r="VQ393" s="48"/>
      <c r="VR393" s="48"/>
      <c r="VS393" s="48"/>
      <c r="VT393" s="48"/>
      <c r="VU393" s="48"/>
      <c r="VV393" s="48"/>
      <c r="VW393" s="48"/>
      <c r="VX393" s="48"/>
      <c r="VY393" s="48"/>
      <c r="VZ393" s="48"/>
      <c r="WA393" s="48"/>
      <c r="WB393" s="48"/>
      <c r="WC393" s="48"/>
      <c r="WD393" s="48"/>
      <c r="WE393" s="48"/>
      <c r="WF393" s="48"/>
      <c r="WG393" s="48"/>
      <c r="WH393" s="48"/>
      <c r="WI393" s="48"/>
      <c r="WJ393" s="48"/>
      <c r="WK393" s="48"/>
      <c r="WL393" s="48"/>
      <c r="WM393" s="48"/>
      <c r="WN393" s="48"/>
      <c r="WO393" s="48"/>
      <c r="WP393" s="48"/>
      <c r="WQ393" s="48"/>
      <c r="WR393" s="48"/>
      <c r="WS393" s="48"/>
      <c r="WT393" s="48"/>
      <c r="WU393" s="48"/>
      <c r="WV393" s="48"/>
      <c r="WW393" s="48"/>
      <c r="WX393" s="48"/>
      <c r="WY393" s="48"/>
      <c r="WZ393" s="48"/>
      <c r="XA393" s="48"/>
      <c r="XB393" s="48"/>
      <c r="XC393" s="48"/>
      <c r="XD393" s="48"/>
      <c r="XE393" s="48"/>
      <c r="XF393" s="48"/>
      <c r="XG393" s="48"/>
      <c r="XH393" s="48"/>
      <c r="XI393" s="48"/>
      <c r="XJ393" s="48"/>
      <c r="XK393" s="48"/>
      <c r="XL393" s="48"/>
      <c r="XM393" s="48"/>
      <c r="XN393" s="48"/>
      <c r="XO393" s="48"/>
      <c r="XP393" s="48"/>
      <c r="XQ393" s="48"/>
      <c r="XR393" s="48"/>
      <c r="XS393" s="48"/>
      <c r="XT393" s="48"/>
      <c r="XU393" s="48"/>
      <c r="XV393" s="48"/>
      <c r="XW393" s="48"/>
      <c r="XX393" s="48"/>
      <c r="XY393" s="48"/>
      <c r="XZ393" s="48"/>
      <c r="YA393" s="48"/>
      <c r="YB393" s="48"/>
      <c r="YC393" s="48"/>
      <c r="YD393" s="48"/>
      <c r="YE393" s="48"/>
      <c r="YF393" s="48"/>
      <c r="YG393" s="48"/>
      <c r="YH393" s="48"/>
      <c r="YI393" s="48"/>
      <c r="YJ393" s="48"/>
      <c r="YK393" s="48"/>
      <c r="YL393" s="48"/>
      <c r="YM393" s="48"/>
      <c r="YN393" s="48"/>
      <c r="YO393" s="48"/>
      <c r="YP393" s="48"/>
      <c r="YQ393" s="48"/>
      <c r="YR393" s="48"/>
      <c r="YS393" s="48"/>
      <c r="YT393" s="48"/>
      <c r="YU393" s="48"/>
      <c r="YV393" s="48"/>
      <c r="YW393" s="48"/>
      <c r="YX393" s="48"/>
      <c r="YY393" s="48"/>
      <c r="YZ393" s="48"/>
      <c r="ZA393" s="48"/>
      <c r="ZB393" s="48"/>
      <c r="ZC393" s="48"/>
      <c r="ZD393" s="48"/>
      <c r="ZE393" s="48"/>
      <c r="ZF393" s="48"/>
      <c r="ZG393" s="48"/>
      <c r="ZH393" s="48"/>
      <c r="ZI393" s="48"/>
      <c r="ZJ393" s="48"/>
      <c r="ZK393" s="48"/>
      <c r="ZL393" s="48"/>
      <c r="ZM393" s="48"/>
      <c r="ZN393" s="48"/>
      <c r="ZO393" s="48"/>
      <c r="ZP393" s="48"/>
      <c r="ZQ393" s="48"/>
      <c r="ZR393" s="48"/>
      <c r="ZS393" s="48"/>
      <c r="ZT393" s="48"/>
      <c r="ZU393" s="48"/>
      <c r="ZV393" s="48"/>
      <c r="ZW393" s="48"/>
      <c r="ZX393" s="48"/>
      <c r="ZY393" s="619"/>
      <c r="ZZ393" s="119"/>
      <c r="AAA393" s="588"/>
      <c r="AAB393"/>
      <c r="AAC393"/>
      <c r="AAD393" s="112"/>
      <c r="AAE393" s="551" t="s">
        <v>245</v>
      </c>
      <c r="AAF393" s="583" t="s">
        <v>174</v>
      </c>
      <c r="AAG393" s="112"/>
      <c r="AAH393" s="112"/>
      <c r="AAI393" s="77"/>
      <c r="AAJ393" s="90"/>
      <c r="AAK393" s="90"/>
      <c r="AAL393" s="76"/>
      <c r="AAM393" s="112"/>
      <c r="AAU393" s="44"/>
    </row>
    <row r="394" spans="1:732" ht="18" customHeight="1">
      <c r="A394" s="558"/>
      <c r="B394" s="223"/>
      <c r="C394" s="224"/>
      <c r="D394" s="225"/>
      <c r="E394" s="293"/>
      <c r="F394" s="466">
        <f>NETWORKDAYS(S.BANNER.EQCStart,S.BANNER.EQCEnd,S.DDL_DEQClosed)</f>
        <v>128</v>
      </c>
      <c r="G394" s="302">
        <f>AAG394</f>
        <v>41530</v>
      </c>
      <c r="H394" s="303">
        <f>AAH394</f>
        <v>41717</v>
      </c>
      <c r="I394" s="627"/>
      <c r="J394" s="629"/>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c r="CF394" s="635"/>
      <c r="CG394" s="635"/>
      <c r="CH394" s="635"/>
      <c r="CI394" s="635"/>
      <c r="CJ394" s="635"/>
      <c r="CK394" s="635"/>
      <c r="CL394" s="635"/>
      <c r="CM394" s="635"/>
      <c r="CN394" s="635"/>
      <c r="CO394" s="635"/>
      <c r="CP394" s="635"/>
      <c r="CQ394" s="635"/>
      <c r="CR394" s="635"/>
      <c r="CS394" s="635"/>
      <c r="CT394" s="635"/>
      <c r="CU394" s="635"/>
      <c r="CV394" s="635"/>
      <c r="CW394" s="635"/>
      <c r="CX394" s="635"/>
      <c r="CY394" s="635"/>
      <c r="CZ394" s="635"/>
      <c r="DA394" s="635"/>
      <c r="DB394" s="635"/>
      <c r="DC394" s="635"/>
      <c r="DD394" s="635"/>
      <c r="DE394" s="635"/>
      <c r="DF394" s="635"/>
      <c r="DG394" s="635"/>
      <c r="DH394" s="635"/>
      <c r="DI394" s="635"/>
      <c r="DJ394" s="635"/>
      <c r="DK394" s="635"/>
      <c r="DL394" s="635"/>
      <c r="DM394" s="635"/>
      <c r="DN394" s="635"/>
      <c r="DO394" s="635"/>
      <c r="DP394" s="635"/>
      <c r="DQ394" s="635"/>
      <c r="DR394" s="635"/>
      <c r="DS394" s="635"/>
      <c r="DT394" s="635"/>
      <c r="DU394" s="635"/>
      <c r="DV394" s="635"/>
      <c r="DW394" s="635"/>
      <c r="DX394" s="635"/>
      <c r="DY394" s="635"/>
      <c r="DZ394" s="635"/>
      <c r="EA394" s="635"/>
      <c r="EB394" s="635"/>
      <c r="EC394" s="635"/>
      <c r="ED394" s="635"/>
      <c r="EE394" s="635"/>
      <c r="EF394" s="635"/>
      <c r="EG394" s="635"/>
      <c r="EH394" s="635"/>
      <c r="EI394" s="635"/>
      <c r="EJ394" s="635"/>
      <c r="EK394" s="635"/>
      <c r="EL394" s="635"/>
      <c r="EM394" s="635"/>
      <c r="EN394" s="635"/>
      <c r="EO394" s="635"/>
      <c r="EP394" s="635"/>
      <c r="EQ394" s="635"/>
      <c r="ER394" s="635"/>
      <c r="ES394" s="635"/>
      <c r="ET394" s="635"/>
      <c r="EU394" s="635"/>
      <c r="EV394" s="635"/>
      <c r="EW394" s="635"/>
      <c r="EX394" s="635"/>
      <c r="EY394" s="635"/>
      <c r="EZ394" s="635"/>
      <c r="FA394" s="635"/>
      <c r="FB394" s="635"/>
      <c r="FC394" s="635"/>
      <c r="FD394" s="635"/>
      <c r="FE394" s="635"/>
      <c r="FF394" s="635"/>
      <c r="FG394" s="635"/>
      <c r="FH394" s="635"/>
      <c r="FI394" s="635"/>
      <c r="FJ394" s="635"/>
      <c r="FK394" s="635"/>
      <c r="FL394" s="635"/>
      <c r="FM394" s="635"/>
      <c r="FN394" s="635"/>
      <c r="FO394" s="635"/>
      <c r="FP394" s="635"/>
      <c r="FQ394" s="635"/>
      <c r="FR394" s="635"/>
      <c r="FS394" s="635"/>
      <c r="FT394" s="635"/>
      <c r="FU394" s="635"/>
      <c r="FV394" s="635"/>
      <c r="FW394" s="635"/>
      <c r="FX394" s="635"/>
      <c r="FY394" s="635"/>
      <c r="FZ394" s="635"/>
      <c r="GA394" s="635"/>
      <c r="GB394" s="635"/>
      <c r="GC394" s="635"/>
      <c r="GD394" s="635"/>
      <c r="GE394" s="635"/>
      <c r="GF394" s="635"/>
      <c r="GG394" s="635"/>
      <c r="GH394" s="635"/>
      <c r="GI394" s="635"/>
      <c r="GJ394" s="635"/>
      <c r="GK394" s="635"/>
      <c r="GL394" s="635"/>
      <c r="GM394" s="635"/>
      <c r="GN394" s="635"/>
      <c r="GO394" s="635"/>
      <c r="GP394" s="635"/>
      <c r="GQ394" s="635"/>
      <c r="GR394" s="635"/>
      <c r="GS394" s="635"/>
      <c r="GT394" s="635"/>
      <c r="GU394" s="635"/>
      <c r="GV394" s="635"/>
      <c r="GW394" s="635"/>
      <c r="GX394" s="635"/>
      <c r="GY394" s="635"/>
      <c r="GZ394" s="635"/>
      <c r="HA394" s="635"/>
      <c r="HB394" s="635"/>
      <c r="HC394" s="635"/>
      <c r="HD394" s="635"/>
      <c r="HE394" s="635"/>
      <c r="HF394" s="635"/>
      <c r="HG394" s="635"/>
      <c r="HH394" s="635"/>
      <c r="HI394" s="635"/>
      <c r="HJ394" s="635"/>
      <c r="HK394" s="635"/>
      <c r="HL394" s="635"/>
      <c r="HM394" s="635"/>
      <c r="HN394" s="635"/>
      <c r="HO394" s="635"/>
      <c r="HP394" s="635"/>
      <c r="HQ394" s="635"/>
      <c r="HR394" s="635"/>
      <c r="HS394" s="635"/>
      <c r="HT394" s="635"/>
      <c r="HU394" s="635"/>
      <c r="HV394" s="635"/>
      <c r="HW394" s="635"/>
      <c r="HX394" s="635"/>
      <c r="HY394" s="635"/>
      <c r="HZ394" s="635"/>
      <c r="IA394" s="635"/>
      <c r="IB394" s="635"/>
      <c r="IC394" s="635"/>
      <c r="ID394" s="635"/>
      <c r="IE394" s="635"/>
      <c r="IF394" s="635"/>
      <c r="IG394" s="635"/>
      <c r="IH394" s="635"/>
      <c r="II394" s="635"/>
      <c r="IJ394" s="635"/>
      <c r="IK394" s="635"/>
      <c r="IL394" s="635"/>
      <c r="IM394" s="635"/>
      <c r="IN394" s="635"/>
      <c r="IO394" s="635"/>
      <c r="IP394" s="635"/>
      <c r="IQ394" s="635"/>
      <c r="IR394" s="635"/>
      <c r="IS394" s="635"/>
      <c r="IT394" s="635"/>
      <c r="IU394" s="635"/>
      <c r="IV394" s="635"/>
      <c r="IW394" s="635"/>
      <c r="IX394" s="635"/>
      <c r="IY394" s="635"/>
      <c r="IZ394" s="635"/>
      <c r="JA394" s="635"/>
      <c r="JB394" s="635"/>
      <c r="JC394" s="635"/>
      <c r="JD394" s="635"/>
      <c r="JE394" s="635"/>
      <c r="JF394" s="635"/>
      <c r="JG394" s="635"/>
      <c r="JH394" s="635"/>
      <c r="JI394" s="635"/>
      <c r="JJ394" s="635"/>
      <c r="JK394" s="635"/>
      <c r="JL394" s="635"/>
      <c r="JM394" s="635"/>
      <c r="JN394" s="635"/>
      <c r="JO394" s="635"/>
      <c r="JP394" s="635"/>
      <c r="JQ394" s="635"/>
      <c r="JR394" s="635"/>
      <c r="JS394" s="635"/>
      <c r="JT394" s="635"/>
      <c r="JU394" s="635"/>
      <c r="JV394" s="635"/>
      <c r="JW394" s="635"/>
      <c r="JX394" s="635"/>
      <c r="JY394" s="635"/>
      <c r="JZ394" s="635"/>
      <c r="KA394" s="635"/>
      <c r="KB394" s="635"/>
      <c r="KC394" s="635"/>
      <c r="KD394" s="635"/>
      <c r="KE394" s="635"/>
      <c r="KF394" s="635"/>
      <c r="KG394" s="635"/>
      <c r="KH394" s="635"/>
      <c r="KI394" s="635"/>
      <c r="KJ394" s="635"/>
      <c r="KK394" s="635"/>
      <c r="KL394" s="635"/>
      <c r="KM394" s="635"/>
      <c r="KN394" s="635"/>
      <c r="KO394" s="635"/>
      <c r="KP394" s="635"/>
      <c r="KQ394" s="635"/>
      <c r="KR394" s="635"/>
      <c r="KS394" s="635"/>
      <c r="KT394" s="635"/>
      <c r="KU394" s="635"/>
      <c r="KV394" s="635"/>
      <c r="KW394" s="635"/>
      <c r="KX394" s="635"/>
      <c r="KY394" s="635"/>
      <c r="KZ394" s="635"/>
      <c r="LA394" s="635"/>
      <c r="LB394" s="635"/>
      <c r="LC394" s="635"/>
      <c r="LD394" s="635"/>
      <c r="LE394" s="635"/>
      <c r="LF394" s="635"/>
      <c r="LG394" s="635"/>
      <c r="LH394" s="635"/>
      <c r="LI394" s="635"/>
      <c r="LJ394" s="635"/>
      <c r="LK394" s="635"/>
      <c r="LL394" s="635"/>
      <c r="LM394" s="635"/>
      <c r="LN394" s="635"/>
      <c r="LO394" s="635"/>
      <c r="LP394" s="635"/>
      <c r="LQ394" s="635"/>
      <c r="LR394" s="635"/>
      <c r="LS394" s="635"/>
      <c r="LT394" s="635"/>
      <c r="LU394" s="635"/>
      <c r="LV394" s="635"/>
      <c r="LW394" s="635"/>
      <c r="LX394" s="635"/>
      <c r="LY394" s="635"/>
      <c r="LZ394" s="635"/>
      <c r="MA394" s="635"/>
      <c r="MB394" s="635"/>
      <c r="MC394" s="635"/>
      <c r="MD394" s="635"/>
      <c r="ME394" s="635"/>
      <c r="MF394" s="635"/>
      <c r="MG394" s="635"/>
      <c r="MH394" s="635"/>
      <c r="MI394" s="635"/>
      <c r="MJ394" s="635"/>
      <c r="MK394" s="635"/>
      <c r="ML394" s="635"/>
      <c r="MM394" s="635"/>
      <c r="MN394" s="635"/>
      <c r="MO394" s="635"/>
      <c r="MP394" s="635"/>
      <c r="MQ394" s="635"/>
      <c r="MR394" s="635"/>
      <c r="MS394" s="635"/>
      <c r="MT394" s="635"/>
      <c r="MU394" s="635"/>
      <c r="MV394" s="635"/>
      <c r="MW394" s="635"/>
      <c r="MX394" s="635"/>
      <c r="MY394" s="635"/>
      <c r="MZ394" s="635"/>
      <c r="NA394" s="635"/>
      <c r="NB394" s="635"/>
      <c r="NC394" s="635"/>
      <c r="ND394" s="635"/>
      <c r="NE394" s="635"/>
      <c r="NF394" s="635"/>
      <c r="NG394" s="635"/>
      <c r="NH394" s="635"/>
      <c r="NI394" s="635"/>
      <c r="NJ394" s="635"/>
      <c r="NK394" s="635"/>
      <c r="NL394" s="635"/>
      <c r="NM394" s="635"/>
      <c r="NN394" s="635"/>
      <c r="NO394" s="635"/>
      <c r="NP394" s="635"/>
      <c r="NQ394" s="635"/>
      <c r="NR394" s="635"/>
      <c r="NS394" s="635"/>
      <c r="NT394" s="635"/>
      <c r="NU394" s="635"/>
      <c r="NV394" s="635"/>
      <c r="NW394" s="635"/>
      <c r="NX394" s="635"/>
      <c r="NY394" s="635"/>
      <c r="NZ394" s="635"/>
      <c r="OA394" s="635"/>
      <c r="OB394" s="635"/>
      <c r="OC394" s="635"/>
      <c r="OD394" s="635"/>
      <c r="OE394" s="635"/>
      <c r="OF394" s="635"/>
      <c r="OG394" s="635"/>
      <c r="OH394" s="635"/>
      <c r="OI394" s="635"/>
      <c r="OJ394" s="635"/>
      <c r="OK394" s="635"/>
      <c r="OL394" s="635"/>
      <c r="OM394" s="635"/>
      <c r="ON394" s="635"/>
      <c r="OO394" s="635"/>
      <c r="OP394" s="635"/>
      <c r="OQ394" s="635"/>
      <c r="OR394" s="635"/>
      <c r="OS394" s="635"/>
      <c r="OT394" s="635"/>
      <c r="OU394" s="635"/>
      <c r="OV394" s="635"/>
      <c r="OW394" s="635"/>
      <c r="OX394" s="635"/>
      <c r="OY394" s="635"/>
      <c r="OZ394" s="635"/>
      <c r="PA394" s="635"/>
      <c r="PB394" s="635"/>
      <c r="PC394" s="635"/>
      <c r="PD394" s="635"/>
      <c r="PE394" s="635"/>
      <c r="PF394" s="635"/>
      <c r="PG394" s="635"/>
      <c r="PH394" s="635"/>
      <c r="PI394" s="635"/>
      <c r="PJ394" s="635"/>
      <c r="PK394" s="635"/>
      <c r="PL394" s="635"/>
      <c r="PM394" s="635"/>
      <c r="PN394" s="635"/>
      <c r="PO394" s="635"/>
      <c r="PP394" s="635"/>
      <c r="PQ394" s="635"/>
      <c r="PR394" s="635"/>
      <c r="PS394" s="635"/>
      <c r="PT394" s="635"/>
      <c r="PU394" s="635"/>
      <c r="PV394" s="635"/>
      <c r="PW394" s="635"/>
      <c r="PX394" s="635"/>
      <c r="PY394" s="635"/>
      <c r="PZ394" s="635"/>
      <c r="QA394" s="635"/>
      <c r="QB394" s="635"/>
      <c r="QC394" s="635"/>
      <c r="QD394" s="635"/>
      <c r="QE394" s="635"/>
      <c r="QF394" s="635"/>
      <c r="QG394" s="635"/>
      <c r="QH394" s="635"/>
      <c r="QI394" s="635"/>
      <c r="QJ394" s="635"/>
      <c r="QK394" s="635"/>
      <c r="QL394" s="635"/>
      <c r="QM394" s="635"/>
      <c r="QN394" s="635"/>
      <c r="QO394" s="635"/>
      <c r="QP394" s="635"/>
      <c r="QQ394" s="635"/>
      <c r="QR394" s="635"/>
      <c r="QS394" s="635"/>
      <c r="QT394" s="635"/>
      <c r="QU394" s="635"/>
      <c r="QV394" s="635"/>
      <c r="QW394" s="635"/>
      <c r="QX394" s="635"/>
      <c r="QY394" s="635"/>
      <c r="QZ394" s="635"/>
      <c r="RA394" s="635"/>
      <c r="RB394" s="635"/>
      <c r="RC394" s="635"/>
      <c r="RD394" s="635"/>
      <c r="RE394" s="635"/>
      <c r="RF394" s="635"/>
      <c r="RG394" s="635"/>
      <c r="RH394" s="635"/>
      <c r="RI394" s="635"/>
      <c r="RJ394" s="635"/>
      <c r="RK394" s="635"/>
      <c r="RL394" s="635"/>
      <c r="RM394" s="635"/>
      <c r="RN394" s="635"/>
      <c r="RO394" s="635"/>
      <c r="RP394" s="635"/>
      <c r="RQ394" s="635"/>
      <c r="RR394" s="635"/>
      <c r="RS394" s="635"/>
      <c r="RT394" s="635"/>
      <c r="RU394" s="635"/>
      <c r="RV394" s="635"/>
      <c r="RW394" s="635"/>
      <c r="RX394" s="635"/>
      <c r="RY394" s="635"/>
      <c r="RZ394" s="635"/>
      <c r="SA394" s="635"/>
      <c r="SB394" s="635"/>
      <c r="SC394" s="635"/>
      <c r="SD394" s="635"/>
      <c r="SE394" s="635"/>
      <c r="SF394" s="635"/>
      <c r="SG394" s="635"/>
      <c r="SH394" s="635"/>
      <c r="SI394" s="635"/>
      <c r="SJ394" s="635"/>
      <c r="SK394" s="635"/>
      <c r="SL394" s="635"/>
      <c r="SM394" s="635"/>
      <c r="SN394" s="635"/>
      <c r="SO394" s="635"/>
      <c r="SP394" s="635"/>
      <c r="SQ394" s="635"/>
      <c r="SR394" s="635"/>
      <c r="SS394" s="635"/>
      <c r="ST394" s="635"/>
      <c r="SU394" s="635"/>
      <c r="SV394" s="635"/>
      <c r="SW394" s="635"/>
      <c r="SX394" s="635"/>
      <c r="SY394" s="635"/>
      <c r="SZ394" s="635"/>
      <c r="TA394" s="635"/>
      <c r="TB394" s="635"/>
      <c r="TC394" s="635"/>
      <c r="TD394" s="635"/>
      <c r="TE394" s="635"/>
      <c r="TF394" s="635"/>
      <c r="TG394" s="635"/>
      <c r="TH394" s="635"/>
      <c r="TI394" s="635"/>
      <c r="TJ394" s="635"/>
      <c r="TK394" s="635"/>
      <c r="TL394" s="635"/>
      <c r="TM394" s="635"/>
      <c r="TN394" s="635"/>
      <c r="TO394" s="635"/>
      <c r="TP394" s="635"/>
      <c r="TQ394" s="635"/>
      <c r="TR394" s="635"/>
      <c r="TS394" s="635"/>
      <c r="TT394" s="635"/>
      <c r="TU394" s="635"/>
      <c r="TV394" s="635"/>
      <c r="TW394" s="635"/>
      <c r="TX394" s="635"/>
      <c r="TY394" s="635"/>
      <c r="TZ394" s="635"/>
      <c r="UA394" s="635"/>
      <c r="UB394" s="635"/>
      <c r="UC394" s="635"/>
      <c r="UD394" s="635"/>
      <c r="UE394" s="635"/>
      <c r="UF394" s="635"/>
      <c r="UG394" s="635"/>
      <c r="UH394" s="635"/>
      <c r="UI394" s="635"/>
      <c r="UJ394" s="635"/>
      <c r="UK394" s="635"/>
      <c r="UL394" s="635"/>
      <c r="UM394" s="635"/>
      <c r="UN394" s="635"/>
      <c r="UO394" s="635"/>
      <c r="UP394" s="635"/>
      <c r="UQ394" s="635"/>
      <c r="UR394" s="635"/>
      <c r="US394" s="635"/>
      <c r="UT394" s="635"/>
      <c r="UU394" s="635"/>
      <c r="UV394" s="635"/>
      <c r="UW394" s="635"/>
      <c r="UX394" s="635"/>
      <c r="UY394" s="635"/>
      <c r="UZ394" s="635"/>
      <c r="VA394" s="635"/>
      <c r="VB394" s="635"/>
      <c r="VC394" s="635"/>
      <c r="VD394" s="635"/>
      <c r="VE394" s="635"/>
      <c r="VF394" s="635"/>
      <c r="VG394" s="635"/>
      <c r="VH394" s="635"/>
      <c r="VI394" s="635"/>
      <c r="VJ394" s="635"/>
      <c r="VK394" s="635"/>
      <c r="VL394" s="635"/>
      <c r="VM394" s="635"/>
      <c r="VN394" s="635"/>
      <c r="VO394" s="635"/>
      <c r="VP394" s="635"/>
      <c r="VQ394" s="635"/>
      <c r="VR394" s="635"/>
      <c r="VS394" s="635"/>
      <c r="VT394" s="635"/>
      <c r="VU394" s="635"/>
      <c r="VV394" s="635"/>
      <c r="VW394" s="635"/>
      <c r="VX394" s="635"/>
      <c r="VY394" s="635"/>
      <c r="VZ394" s="635"/>
      <c r="WA394" s="635"/>
      <c r="WB394" s="635"/>
      <c r="WC394" s="635"/>
      <c r="WD394" s="635"/>
      <c r="WE394" s="635"/>
      <c r="WF394" s="635"/>
      <c r="WG394" s="635"/>
      <c r="WH394" s="635"/>
      <c r="WI394" s="635"/>
      <c r="WJ394" s="635"/>
      <c r="WK394" s="635"/>
      <c r="WL394" s="635"/>
      <c r="WM394" s="635"/>
      <c r="WN394" s="635"/>
      <c r="WO394" s="635"/>
      <c r="WP394" s="635"/>
      <c r="WQ394" s="635"/>
      <c r="WR394" s="635"/>
      <c r="WS394" s="635"/>
      <c r="WT394" s="635"/>
      <c r="WU394" s="635"/>
      <c r="WV394" s="635"/>
      <c r="WW394" s="635"/>
      <c r="WX394" s="635"/>
      <c r="WY394" s="635"/>
      <c r="WZ394" s="635"/>
      <c r="XA394" s="635"/>
      <c r="XB394" s="635"/>
      <c r="XC394" s="635"/>
      <c r="XD394" s="635"/>
      <c r="XE394" s="635"/>
      <c r="XF394" s="635"/>
      <c r="XG394" s="635"/>
      <c r="XH394" s="635"/>
      <c r="XI394" s="635"/>
      <c r="XJ394" s="635"/>
      <c r="XK394" s="635"/>
      <c r="XL394" s="635"/>
      <c r="XM394" s="635"/>
      <c r="XN394" s="635"/>
      <c r="XO394" s="635"/>
      <c r="XP394" s="635"/>
      <c r="XQ394" s="635"/>
      <c r="XR394" s="635"/>
      <c r="XS394" s="635"/>
      <c r="XT394" s="635"/>
      <c r="XU394" s="635"/>
      <c r="XV394" s="635"/>
      <c r="XW394" s="635"/>
      <c r="XX394" s="635"/>
      <c r="XY394" s="635"/>
      <c r="XZ394" s="635"/>
      <c r="YA394" s="635"/>
      <c r="YB394" s="635"/>
      <c r="YC394" s="635"/>
      <c r="YD394" s="635"/>
      <c r="YE394" s="635"/>
      <c r="YF394" s="635"/>
      <c r="YG394" s="635"/>
      <c r="YH394" s="635"/>
      <c r="YI394" s="635"/>
      <c r="YJ394" s="635"/>
      <c r="YK394" s="635"/>
      <c r="YL394" s="635"/>
      <c r="YM394" s="635"/>
      <c r="YN394" s="635"/>
      <c r="YO394" s="635"/>
      <c r="YP394" s="635"/>
      <c r="YQ394" s="635"/>
      <c r="YR394" s="635"/>
      <c r="YS394" s="635"/>
      <c r="YT394" s="635"/>
      <c r="YU394" s="635"/>
      <c r="YV394" s="635"/>
      <c r="YW394" s="635"/>
      <c r="YX394" s="635"/>
      <c r="YY394" s="635"/>
      <c r="YZ394" s="635"/>
      <c r="ZA394" s="635"/>
      <c r="ZB394" s="635"/>
      <c r="ZC394" s="635"/>
      <c r="ZD394" s="635"/>
      <c r="ZE394" s="635"/>
      <c r="ZF394" s="635"/>
      <c r="ZG394" s="635"/>
      <c r="ZH394" s="635"/>
      <c r="ZI394" s="635"/>
      <c r="ZJ394" s="635"/>
      <c r="ZK394" s="635"/>
      <c r="ZL394" s="635"/>
      <c r="ZM394" s="635"/>
      <c r="ZN394" s="635"/>
      <c r="ZO394" s="635"/>
      <c r="ZP394" s="635"/>
      <c r="ZQ394" s="635"/>
      <c r="ZR394" s="635"/>
      <c r="ZS394" s="635"/>
      <c r="ZT394" s="635"/>
      <c r="ZU394" s="635"/>
      <c r="ZV394" s="635"/>
      <c r="ZW394" s="635"/>
      <c r="ZX394" s="635"/>
      <c r="ZY394" s="638"/>
      <c r="ZZ394" s="119"/>
      <c r="AAA394" s="588"/>
      <c r="AAD394" s="112"/>
      <c r="AAE394" s="551" t="s">
        <v>245</v>
      </c>
      <c r="AAF394" s="583" t="s">
        <v>174</v>
      </c>
      <c r="AAG394" s="78">
        <f>S.SubmitNoticeToSOS</f>
        <v>41530</v>
      </c>
      <c r="AAH394" s="78">
        <f>S.EQCMeeting</f>
        <v>41717</v>
      </c>
      <c r="AAI394" s="77"/>
      <c r="AAJ394" s="57"/>
      <c r="AAK394" s="57"/>
      <c r="AAL394" s="57"/>
      <c r="AAM394" s="112"/>
      <c r="AAN394"/>
      <c r="AAT394" s="23"/>
      <c r="AAU394" s="44"/>
    </row>
    <row r="395" spans="1:732" ht="6" customHeight="1">
      <c r="A395" s="558"/>
      <c r="B395" s="206"/>
      <c r="C395" s="688"/>
      <c r="D395" s="180"/>
      <c r="E395" s="181"/>
      <c r="F395" s="181"/>
      <c r="G395" s="180"/>
      <c r="H395" s="180"/>
      <c r="I395" s="588"/>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588"/>
      <c r="AAD395" s="112"/>
      <c r="AAE395" s="551" t="s">
        <v>20</v>
      </c>
      <c r="AAF395" s="583" t="s">
        <v>174</v>
      </c>
      <c r="AAG395" s="63"/>
      <c r="AAH395" s="63"/>
      <c r="AAI395" s="77"/>
      <c r="AAJ395" s="57"/>
      <c r="AAK395" s="57"/>
      <c r="AAL395" s="57"/>
      <c r="AAM395" s="112"/>
      <c r="AAN395"/>
      <c r="AAT395" s="23"/>
      <c r="AAU395" s="44"/>
    </row>
    <row r="396" spans="1:732" ht="15" customHeight="1" outlineLevel="1">
      <c r="A396" s="558"/>
      <c r="B396" s="462" t="s">
        <v>155</v>
      </c>
      <c r="C396" s="187"/>
      <c r="D396" s="277" t="s">
        <v>151</v>
      </c>
      <c r="E396" s="436">
        <f t="shared" ref="E396" si="980">NETWORKDAYS(G396,H396,S.DDL_DEQClosed)</f>
        <v>100</v>
      </c>
      <c r="F396" s="491">
        <f t="shared" ref="F396" ca="1" si="981">NETWORKDAYS(TODAY(),H396)</f>
        <v>131</v>
      </c>
      <c r="G396" s="437">
        <f t="shared" ref="G396:H396" si="982">AAG396</f>
        <v>41530</v>
      </c>
      <c r="H396" s="437">
        <f t="shared" si="982"/>
        <v>41676</v>
      </c>
      <c r="I396" s="627"/>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50"/>
      <c r="ZZ396" s="50"/>
      <c r="AAA396" s="588"/>
      <c r="AAD396" s="112"/>
      <c r="AAE396" s="551">
        <v>1</v>
      </c>
      <c r="AAF396" s="112"/>
      <c r="AAG396" s="78">
        <f>S.BANNER.EQCStart</f>
        <v>41530</v>
      </c>
      <c r="AAH396" s="78">
        <f>S.SubmitStaffRpt</f>
        <v>41676</v>
      </c>
      <c r="AAI396" s="77"/>
      <c r="AAJ396" s="57"/>
      <c r="AAK396" s="57"/>
      <c r="AAL396" s="57"/>
      <c r="AAM396" s="112"/>
      <c r="AAN396"/>
      <c r="AAT396" s="23"/>
      <c r="AAU396" s="44"/>
    </row>
    <row r="397" spans="1:732" s="23" customFormat="1" ht="15" customHeight="1" outlineLevel="1">
      <c r="A397" s="558" t="s">
        <v>216</v>
      </c>
      <c r="B397" s="480" t="str">
        <f>AAJ397</f>
        <v>STAFF.RPT.Permanent (blank in folder 6)</v>
      </c>
      <c r="C397" s="187"/>
      <c r="D397" s="277"/>
      <c r="E397" s="191"/>
      <c r="F397" s="495"/>
      <c r="G397" s="732"/>
      <c r="H397" s="732"/>
      <c r="I397" s="588"/>
      <c r="J397" s="640"/>
      <c r="K397" s="641"/>
      <c r="L397" s="641"/>
      <c r="M397" s="641"/>
      <c r="N397" s="641"/>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c r="AR397" s="641"/>
      <c r="AS397" s="641"/>
      <c r="AT397" s="641"/>
      <c r="AU397" s="641"/>
      <c r="AV397" s="641"/>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c r="BR397" s="641"/>
      <c r="BS397" s="641"/>
      <c r="BT397" s="641"/>
      <c r="BU397" s="641"/>
      <c r="BV397" s="641"/>
      <c r="BW397" s="641"/>
      <c r="BX397" s="641"/>
      <c r="BY397" s="641"/>
      <c r="BZ397" s="641"/>
      <c r="CA397" s="641"/>
      <c r="CB397" s="641"/>
      <c r="CC397" s="641"/>
      <c r="CD397" s="641"/>
      <c r="CE397" s="641"/>
      <c r="CF397" s="641"/>
      <c r="CG397" s="641"/>
      <c r="CH397" s="641"/>
      <c r="CI397" s="641"/>
      <c r="CJ397" s="641"/>
      <c r="CK397" s="641"/>
      <c r="CL397" s="641"/>
      <c r="CM397" s="641"/>
      <c r="CN397" s="641"/>
      <c r="CO397" s="641"/>
      <c r="CP397" s="641"/>
      <c r="CQ397" s="641"/>
      <c r="CR397" s="641"/>
      <c r="CS397" s="641"/>
      <c r="CT397" s="641"/>
      <c r="CU397" s="641"/>
      <c r="CV397" s="641"/>
      <c r="CW397" s="641"/>
      <c r="CX397" s="641"/>
      <c r="CY397" s="641"/>
      <c r="CZ397" s="641"/>
      <c r="DA397" s="641"/>
      <c r="DB397" s="641"/>
      <c r="DC397" s="641"/>
      <c r="DD397" s="641"/>
      <c r="DE397" s="641"/>
      <c r="DF397" s="641"/>
      <c r="DG397" s="641"/>
      <c r="DH397" s="641"/>
      <c r="DI397" s="641"/>
      <c r="DJ397" s="641"/>
      <c r="DK397" s="641"/>
      <c r="DL397" s="641"/>
      <c r="DM397" s="641"/>
      <c r="DN397" s="641"/>
      <c r="DO397" s="641"/>
      <c r="DP397" s="641"/>
      <c r="DQ397" s="641"/>
      <c r="DR397" s="641"/>
      <c r="DS397" s="641"/>
      <c r="DT397" s="641"/>
      <c r="DU397" s="641"/>
      <c r="DV397" s="641"/>
      <c r="DW397" s="641"/>
      <c r="DX397" s="641"/>
      <c r="DY397" s="641"/>
      <c r="DZ397" s="641"/>
      <c r="EA397" s="641"/>
      <c r="EB397" s="641"/>
      <c r="EC397" s="641"/>
      <c r="ED397" s="641"/>
      <c r="EE397" s="641"/>
      <c r="EF397" s="641"/>
      <c r="EG397" s="641"/>
      <c r="EH397" s="641"/>
      <c r="EI397" s="641"/>
      <c r="EJ397" s="641"/>
      <c r="EK397" s="641"/>
      <c r="EL397" s="641"/>
      <c r="EM397" s="641"/>
      <c r="EN397" s="641"/>
      <c r="EO397" s="641"/>
      <c r="EP397" s="641"/>
      <c r="EQ397" s="641"/>
      <c r="ER397" s="641"/>
      <c r="ES397" s="641"/>
      <c r="ET397" s="641"/>
      <c r="EU397" s="641"/>
      <c r="EV397" s="641"/>
      <c r="EW397" s="641"/>
      <c r="EX397" s="641"/>
      <c r="EY397" s="641"/>
      <c r="EZ397" s="641"/>
      <c r="FA397" s="641"/>
      <c r="FB397" s="641"/>
      <c r="FC397" s="641"/>
      <c r="FD397" s="641"/>
      <c r="FE397" s="641"/>
      <c r="FF397" s="641"/>
      <c r="FG397" s="641"/>
      <c r="FH397" s="641"/>
      <c r="FI397" s="641"/>
      <c r="FJ397" s="641"/>
      <c r="FK397" s="641"/>
      <c r="FL397" s="641"/>
      <c r="FM397" s="641"/>
      <c r="FN397" s="641"/>
      <c r="FO397" s="641"/>
      <c r="FP397" s="641"/>
      <c r="FQ397" s="641"/>
      <c r="FR397" s="641"/>
      <c r="FS397" s="641"/>
      <c r="FT397" s="641"/>
      <c r="FU397" s="641"/>
      <c r="FV397" s="641"/>
      <c r="FW397" s="641"/>
      <c r="FX397" s="641"/>
      <c r="FY397" s="641"/>
      <c r="FZ397" s="641"/>
      <c r="GA397" s="641"/>
      <c r="GB397" s="641"/>
      <c r="GC397" s="641"/>
      <c r="GD397" s="641"/>
      <c r="GE397" s="641"/>
      <c r="GF397" s="641"/>
      <c r="GG397" s="641"/>
      <c r="GH397" s="641"/>
      <c r="GI397" s="641"/>
      <c r="GJ397" s="641"/>
      <c r="GK397" s="641"/>
      <c r="GL397" s="641"/>
      <c r="GM397" s="641"/>
      <c r="GN397" s="641"/>
      <c r="GO397" s="641"/>
      <c r="GP397" s="641"/>
      <c r="GQ397" s="641"/>
      <c r="GR397" s="641"/>
      <c r="GS397" s="641"/>
      <c r="GT397" s="641"/>
      <c r="GU397" s="641"/>
      <c r="GV397" s="641"/>
      <c r="GW397" s="641"/>
      <c r="GX397" s="641"/>
      <c r="GY397" s="641"/>
      <c r="GZ397" s="641"/>
      <c r="HA397" s="641"/>
      <c r="HB397" s="641"/>
      <c r="HC397" s="641"/>
      <c r="HD397" s="641"/>
      <c r="HE397" s="641"/>
      <c r="HF397" s="641"/>
      <c r="HG397" s="641"/>
      <c r="HH397" s="641"/>
      <c r="HI397" s="641"/>
      <c r="HJ397" s="641"/>
      <c r="HK397" s="641"/>
      <c r="HL397" s="641"/>
      <c r="HM397" s="641"/>
      <c r="HN397" s="641"/>
      <c r="HO397" s="641"/>
      <c r="HP397" s="641"/>
      <c r="HQ397" s="641"/>
      <c r="HR397" s="641"/>
      <c r="HS397" s="641"/>
      <c r="HT397" s="641"/>
      <c r="HU397" s="641"/>
      <c r="HV397" s="641"/>
      <c r="HW397" s="641"/>
      <c r="HX397" s="641"/>
      <c r="HY397" s="641"/>
      <c r="HZ397" s="641"/>
      <c r="IA397" s="641"/>
      <c r="IB397" s="641"/>
      <c r="IC397" s="641"/>
      <c r="ID397" s="641"/>
      <c r="IE397" s="641"/>
      <c r="IF397" s="641"/>
      <c r="IG397" s="641"/>
      <c r="IH397" s="641"/>
      <c r="II397" s="641"/>
      <c r="IJ397" s="641"/>
      <c r="IK397" s="641"/>
      <c r="IL397" s="641"/>
      <c r="IM397" s="641"/>
      <c r="IN397" s="641"/>
      <c r="IO397" s="641"/>
      <c r="IP397" s="641"/>
      <c r="IQ397" s="641"/>
      <c r="IR397" s="641"/>
      <c r="IS397" s="641"/>
      <c r="IT397" s="641"/>
      <c r="IU397" s="641"/>
      <c r="IV397" s="641"/>
      <c r="IW397" s="641"/>
      <c r="IX397" s="641"/>
      <c r="IY397" s="641"/>
      <c r="IZ397" s="641"/>
      <c r="JA397" s="641"/>
      <c r="JB397" s="641"/>
      <c r="JC397" s="641"/>
      <c r="JD397" s="641"/>
      <c r="JE397" s="641"/>
      <c r="JF397" s="641"/>
      <c r="JG397" s="641"/>
      <c r="JH397" s="641"/>
      <c r="JI397" s="641"/>
      <c r="JJ397" s="641"/>
      <c r="JK397" s="641"/>
      <c r="JL397" s="641"/>
      <c r="JM397" s="641"/>
      <c r="JN397" s="641"/>
      <c r="JO397" s="641"/>
      <c r="JP397" s="641"/>
      <c r="JQ397" s="641"/>
      <c r="JR397" s="641"/>
      <c r="JS397" s="641"/>
      <c r="JT397" s="641"/>
      <c r="JU397" s="641"/>
      <c r="JV397" s="641"/>
      <c r="JW397" s="641"/>
      <c r="JX397" s="641"/>
      <c r="JY397" s="641"/>
      <c r="JZ397" s="641"/>
      <c r="KA397" s="641"/>
      <c r="KB397" s="641"/>
      <c r="KC397" s="641"/>
      <c r="KD397" s="641"/>
      <c r="KE397" s="641"/>
      <c r="KF397" s="641"/>
      <c r="KG397" s="641"/>
      <c r="KH397" s="641"/>
      <c r="KI397" s="641"/>
      <c r="KJ397" s="641"/>
      <c r="KK397" s="641"/>
      <c r="KL397" s="641"/>
      <c r="KM397" s="641"/>
      <c r="KN397" s="641"/>
      <c r="KO397" s="641"/>
      <c r="KP397" s="641"/>
      <c r="KQ397" s="641"/>
      <c r="KR397" s="641"/>
      <c r="KS397" s="641"/>
      <c r="KT397" s="641"/>
      <c r="KU397" s="641"/>
      <c r="KV397" s="641"/>
      <c r="KW397" s="641"/>
      <c r="KX397" s="641"/>
      <c r="KY397" s="641"/>
      <c r="KZ397" s="641"/>
      <c r="LA397" s="641"/>
      <c r="LB397" s="641"/>
      <c r="LC397" s="641"/>
      <c r="LD397" s="641"/>
      <c r="LE397" s="641"/>
      <c r="LF397" s="641"/>
      <c r="LG397" s="641"/>
      <c r="LH397" s="641"/>
      <c r="LI397" s="641"/>
      <c r="LJ397" s="641"/>
      <c r="LK397" s="641"/>
      <c r="LL397" s="641"/>
      <c r="LM397" s="641"/>
      <c r="LN397" s="641"/>
      <c r="LO397" s="641"/>
      <c r="LP397" s="641"/>
      <c r="LQ397" s="641"/>
      <c r="LR397" s="641"/>
      <c r="LS397" s="641"/>
      <c r="LT397" s="641"/>
      <c r="LU397" s="641"/>
      <c r="LV397" s="641"/>
      <c r="LW397" s="641"/>
      <c r="LX397" s="641"/>
      <c r="LY397" s="641"/>
      <c r="LZ397" s="641"/>
      <c r="MA397" s="641"/>
      <c r="MB397" s="641"/>
      <c r="MC397" s="641"/>
      <c r="MD397" s="641"/>
      <c r="ME397" s="641"/>
      <c r="MF397" s="641"/>
      <c r="MG397" s="641"/>
      <c r="MH397" s="641"/>
      <c r="MI397" s="641"/>
      <c r="MJ397" s="641"/>
      <c r="MK397" s="641"/>
      <c r="ML397" s="641"/>
      <c r="MM397" s="641"/>
      <c r="MN397" s="641"/>
      <c r="MO397" s="641"/>
      <c r="MP397" s="641"/>
      <c r="MQ397" s="641"/>
      <c r="MR397" s="641"/>
      <c r="MS397" s="641"/>
      <c r="MT397" s="641"/>
      <c r="MU397" s="641"/>
      <c r="MV397" s="641"/>
      <c r="MW397" s="641"/>
      <c r="MX397" s="641"/>
      <c r="MY397" s="641"/>
      <c r="MZ397" s="641"/>
      <c r="NA397" s="641"/>
      <c r="NB397" s="641"/>
      <c r="NC397" s="641"/>
      <c r="ND397" s="641"/>
      <c r="NE397" s="641"/>
      <c r="NF397" s="641"/>
      <c r="NG397" s="641"/>
      <c r="NH397" s="641"/>
      <c r="NI397" s="641"/>
      <c r="NJ397" s="641"/>
      <c r="NK397" s="641"/>
      <c r="NL397" s="641"/>
      <c r="NM397" s="641"/>
      <c r="NN397" s="641"/>
      <c r="NO397" s="641"/>
      <c r="NP397" s="641"/>
      <c r="NQ397" s="641"/>
      <c r="NR397" s="641"/>
      <c r="NS397" s="641"/>
      <c r="NT397" s="641"/>
      <c r="NU397" s="641"/>
      <c r="NV397" s="641"/>
      <c r="NW397" s="641"/>
      <c r="NX397" s="641"/>
      <c r="NY397" s="641"/>
      <c r="NZ397" s="641"/>
      <c r="OA397" s="641"/>
      <c r="OB397" s="641"/>
      <c r="OC397" s="641"/>
      <c r="OD397" s="641"/>
      <c r="OE397" s="641"/>
      <c r="OF397" s="641"/>
      <c r="OG397" s="641"/>
      <c r="OH397" s="641"/>
      <c r="OI397" s="641"/>
      <c r="OJ397" s="641"/>
      <c r="OK397" s="641"/>
      <c r="OL397" s="641"/>
      <c r="OM397" s="641"/>
      <c r="ON397" s="641"/>
      <c r="OO397" s="641"/>
      <c r="OP397" s="641"/>
      <c r="OQ397" s="641"/>
      <c r="OR397" s="641"/>
      <c r="OS397" s="641"/>
      <c r="OT397" s="641"/>
      <c r="OU397" s="641"/>
      <c r="OV397" s="641"/>
      <c r="OW397" s="641"/>
      <c r="OX397" s="641"/>
      <c r="OY397" s="641"/>
      <c r="OZ397" s="641"/>
      <c r="PA397" s="641"/>
      <c r="PB397" s="641"/>
      <c r="PC397" s="641"/>
      <c r="PD397" s="641"/>
      <c r="PE397" s="641"/>
      <c r="PF397" s="641"/>
      <c r="PG397" s="641"/>
      <c r="PH397" s="641"/>
      <c r="PI397" s="641"/>
      <c r="PJ397" s="641"/>
      <c r="PK397" s="641"/>
      <c r="PL397" s="641"/>
      <c r="PM397" s="641"/>
      <c r="PN397" s="641"/>
      <c r="PO397" s="641"/>
      <c r="PP397" s="641"/>
      <c r="PQ397" s="641"/>
      <c r="PR397" s="641"/>
      <c r="PS397" s="641"/>
      <c r="PT397" s="641"/>
      <c r="PU397" s="641"/>
      <c r="PV397" s="641"/>
      <c r="PW397" s="641"/>
      <c r="PX397" s="641"/>
      <c r="PY397" s="641"/>
      <c r="PZ397" s="641"/>
      <c r="QA397" s="641"/>
      <c r="QB397" s="641"/>
      <c r="QC397" s="641"/>
      <c r="QD397" s="641"/>
      <c r="QE397" s="641"/>
      <c r="QF397" s="641"/>
      <c r="QG397" s="641"/>
      <c r="QH397" s="641"/>
      <c r="QI397" s="641"/>
      <c r="QJ397" s="641"/>
      <c r="QK397" s="641"/>
      <c r="QL397" s="641"/>
      <c r="QM397" s="641"/>
      <c r="QN397" s="641"/>
      <c r="QO397" s="641"/>
      <c r="QP397" s="641"/>
      <c r="QQ397" s="641"/>
      <c r="QR397" s="641"/>
      <c r="QS397" s="641"/>
      <c r="QT397" s="641"/>
      <c r="QU397" s="641"/>
      <c r="QV397" s="641"/>
      <c r="QW397" s="641"/>
      <c r="QX397" s="641"/>
      <c r="QY397" s="641"/>
      <c r="QZ397" s="641"/>
      <c r="RA397" s="641"/>
      <c r="RB397" s="641"/>
      <c r="RC397" s="641"/>
      <c r="RD397" s="641"/>
      <c r="RE397" s="641"/>
      <c r="RF397" s="641"/>
      <c r="RG397" s="641"/>
      <c r="RH397" s="641"/>
      <c r="RI397" s="641"/>
      <c r="RJ397" s="641"/>
      <c r="RK397" s="641"/>
      <c r="RL397" s="641"/>
      <c r="RM397" s="641"/>
      <c r="RN397" s="641"/>
      <c r="RO397" s="641"/>
      <c r="RP397" s="641"/>
      <c r="RQ397" s="641"/>
      <c r="RR397" s="641"/>
      <c r="RS397" s="641"/>
      <c r="RT397" s="641"/>
      <c r="RU397" s="641"/>
      <c r="RV397" s="641"/>
      <c r="RW397" s="641"/>
      <c r="RX397" s="641"/>
      <c r="RY397" s="641"/>
      <c r="RZ397" s="641"/>
      <c r="SA397" s="641"/>
      <c r="SB397" s="641"/>
      <c r="SC397" s="641"/>
      <c r="SD397" s="641"/>
      <c r="SE397" s="641"/>
      <c r="SF397" s="641"/>
      <c r="SG397" s="641"/>
      <c r="SH397" s="641"/>
      <c r="SI397" s="641"/>
      <c r="SJ397" s="641"/>
      <c r="SK397" s="641"/>
      <c r="SL397" s="641"/>
      <c r="SM397" s="641"/>
      <c r="SN397" s="641"/>
      <c r="SO397" s="641"/>
      <c r="SP397" s="641"/>
      <c r="SQ397" s="641"/>
      <c r="SR397" s="641"/>
      <c r="SS397" s="641"/>
      <c r="ST397" s="641"/>
      <c r="SU397" s="641"/>
      <c r="SV397" s="641"/>
      <c r="SW397" s="641"/>
      <c r="SX397" s="641"/>
      <c r="SY397" s="641"/>
      <c r="SZ397" s="641"/>
      <c r="TA397" s="641"/>
      <c r="TB397" s="641"/>
      <c r="TC397" s="641"/>
      <c r="TD397" s="641"/>
      <c r="TE397" s="641"/>
      <c r="TF397" s="641"/>
      <c r="TG397" s="641"/>
      <c r="TH397" s="641"/>
      <c r="TI397" s="641"/>
      <c r="TJ397" s="641"/>
      <c r="TK397" s="641"/>
      <c r="TL397" s="641"/>
      <c r="TM397" s="641"/>
      <c r="TN397" s="641"/>
      <c r="TO397" s="641"/>
      <c r="TP397" s="641"/>
      <c r="TQ397" s="641"/>
      <c r="TR397" s="641"/>
      <c r="TS397" s="641"/>
      <c r="TT397" s="641"/>
      <c r="TU397" s="641"/>
      <c r="TV397" s="641"/>
      <c r="TW397" s="641"/>
      <c r="TX397" s="641"/>
      <c r="TY397" s="641"/>
      <c r="TZ397" s="641"/>
      <c r="UA397" s="641"/>
      <c r="UB397" s="641"/>
      <c r="UC397" s="641"/>
      <c r="UD397" s="641"/>
      <c r="UE397" s="641"/>
      <c r="UF397" s="641"/>
      <c r="UG397" s="641"/>
      <c r="UH397" s="641"/>
      <c r="UI397" s="641"/>
      <c r="UJ397" s="641"/>
      <c r="UK397" s="641"/>
      <c r="UL397" s="641"/>
      <c r="UM397" s="641"/>
      <c r="UN397" s="641"/>
      <c r="UO397" s="641"/>
      <c r="UP397" s="641"/>
      <c r="UQ397" s="641"/>
      <c r="UR397" s="641"/>
      <c r="US397" s="641"/>
      <c r="UT397" s="641"/>
      <c r="UU397" s="641"/>
      <c r="UV397" s="641"/>
      <c r="UW397" s="641"/>
      <c r="UX397" s="641"/>
      <c r="UY397" s="641"/>
      <c r="UZ397" s="641"/>
      <c r="VA397" s="641"/>
      <c r="VB397" s="641"/>
      <c r="VC397" s="641"/>
      <c r="VD397" s="641"/>
      <c r="VE397" s="641"/>
      <c r="VF397" s="641"/>
      <c r="VG397" s="641"/>
      <c r="VH397" s="641"/>
      <c r="VI397" s="641"/>
      <c r="VJ397" s="641"/>
      <c r="VK397" s="641"/>
      <c r="VL397" s="641"/>
      <c r="VM397" s="641"/>
      <c r="VN397" s="641"/>
      <c r="VO397" s="641"/>
      <c r="VP397" s="641"/>
      <c r="VQ397" s="641"/>
      <c r="VR397" s="641"/>
      <c r="VS397" s="641"/>
      <c r="VT397" s="641"/>
      <c r="VU397" s="641"/>
      <c r="VV397" s="641"/>
      <c r="VW397" s="641"/>
      <c r="VX397" s="641"/>
      <c r="VY397" s="641"/>
      <c r="VZ397" s="641"/>
      <c r="WA397" s="641"/>
      <c r="WB397" s="641"/>
      <c r="WC397" s="641"/>
      <c r="WD397" s="641"/>
      <c r="WE397" s="641"/>
      <c r="WF397" s="641"/>
      <c r="WG397" s="641"/>
      <c r="WH397" s="641"/>
      <c r="WI397" s="641"/>
      <c r="WJ397" s="641"/>
      <c r="WK397" s="641"/>
      <c r="WL397" s="641"/>
      <c r="WM397" s="641"/>
      <c r="WN397" s="641"/>
      <c r="WO397" s="641"/>
      <c r="WP397" s="641"/>
      <c r="WQ397" s="641"/>
      <c r="WR397" s="641"/>
      <c r="WS397" s="641"/>
      <c r="WT397" s="641"/>
      <c r="WU397" s="641"/>
      <c r="WV397" s="641"/>
      <c r="WW397" s="641"/>
      <c r="WX397" s="641"/>
      <c r="WY397" s="641"/>
      <c r="WZ397" s="641"/>
      <c r="XA397" s="641"/>
      <c r="XB397" s="641"/>
      <c r="XC397" s="641"/>
      <c r="XD397" s="641"/>
      <c r="XE397" s="641"/>
      <c r="XF397" s="641"/>
      <c r="XG397" s="641"/>
      <c r="XH397" s="641"/>
      <c r="XI397" s="641"/>
      <c r="XJ397" s="641"/>
      <c r="XK397" s="641"/>
      <c r="XL397" s="641"/>
      <c r="XM397" s="641"/>
      <c r="XN397" s="641"/>
      <c r="XO397" s="641"/>
      <c r="XP397" s="641"/>
      <c r="XQ397" s="641"/>
      <c r="XR397" s="641"/>
      <c r="XS397" s="641"/>
      <c r="XT397" s="641"/>
      <c r="XU397" s="641"/>
      <c r="XV397" s="641"/>
      <c r="XW397" s="641"/>
      <c r="XX397" s="641"/>
      <c r="XY397" s="641"/>
      <c r="XZ397" s="641"/>
      <c r="YA397" s="641"/>
      <c r="YB397" s="641"/>
      <c r="YC397" s="641"/>
      <c r="YD397" s="641"/>
      <c r="YE397" s="641"/>
      <c r="YF397" s="641"/>
      <c r="YG397" s="641"/>
      <c r="YH397" s="641"/>
      <c r="YI397" s="641"/>
      <c r="YJ397" s="641"/>
      <c r="YK397" s="641"/>
      <c r="YL397" s="641"/>
      <c r="YM397" s="641"/>
      <c r="YN397" s="641"/>
      <c r="YO397" s="641"/>
      <c r="YP397" s="641"/>
      <c r="YQ397" s="641"/>
      <c r="YR397" s="641"/>
      <c r="YS397" s="641"/>
      <c r="YT397" s="641"/>
      <c r="YU397" s="641"/>
      <c r="YV397" s="641"/>
      <c r="YW397" s="641"/>
      <c r="YX397" s="641"/>
      <c r="YY397" s="641"/>
      <c r="YZ397" s="641"/>
      <c r="ZA397" s="641"/>
      <c r="ZB397" s="641"/>
      <c r="ZC397" s="641"/>
      <c r="ZD397" s="641"/>
      <c r="ZE397" s="641"/>
      <c r="ZF397" s="641"/>
      <c r="ZG397" s="641"/>
      <c r="ZH397" s="641"/>
      <c r="ZI397" s="641"/>
      <c r="ZJ397" s="641"/>
      <c r="ZK397" s="641"/>
      <c r="ZL397" s="641"/>
      <c r="ZM397" s="641"/>
      <c r="ZN397" s="641"/>
      <c r="ZO397" s="641"/>
      <c r="ZP397" s="641"/>
      <c r="ZQ397" s="641"/>
      <c r="ZR397" s="641"/>
      <c r="ZS397" s="641"/>
      <c r="ZT397" s="641"/>
      <c r="ZU397" s="641"/>
      <c r="ZV397" s="641"/>
      <c r="ZW397" s="641"/>
      <c r="ZX397" s="641"/>
      <c r="ZY397" s="618"/>
      <c r="ZZ397" s="36"/>
      <c r="AAA397" s="588"/>
      <c r="AAD397" s="112"/>
      <c r="AAE397" s="551">
        <v>1</v>
      </c>
      <c r="AAF397" s="112"/>
      <c r="AAG397" s="78"/>
      <c r="AAH397" s="78"/>
      <c r="AAI397" s="77"/>
      <c r="AAJ397" s="89" t="str">
        <f>IF(S.RuleType=1,"STAFF.RPT.Permanent (blank in folder 6)","STAFF.RPT.Temporary (blank in folder 6)")</f>
        <v>STAFF.RPT.Permanent (blank in folder 6)</v>
      </c>
      <c r="AAK397" s="57"/>
      <c r="AAL397" s="57"/>
      <c r="AAM397" s="112"/>
      <c r="AAU397" s="44"/>
    </row>
    <row r="398" spans="1:732" ht="15" customHeight="1" outlineLevel="1">
      <c r="A398" s="558"/>
      <c r="B398" s="483" t="s">
        <v>370</v>
      </c>
      <c r="C398" s="722"/>
      <c r="D398" s="190" t="s">
        <v>0</v>
      </c>
      <c r="E398" s="191"/>
      <c r="F398" s="191"/>
      <c r="G398" s="192"/>
      <c r="H398" s="304"/>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v>1</v>
      </c>
      <c r="AAF398" s="583" t="s">
        <v>174</v>
      </c>
      <c r="AAG398" s="117"/>
      <c r="AAH398" s="117"/>
      <c r="AAI398" s="77"/>
      <c r="AAJ398" s="574" t="s">
        <v>0</v>
      </c>
      <c r="AAK398" s="574"/>
      <c r="AAL398" s="57"/>
      <c r="AAM398" s="112"/>
      <c r="AAN398"/>
      <c r="AAT398" s="23"/>
      <c r="AAU398" s="44"/>
      <c r="AAV398" s="23"/>
      <c r="AAW398" s="23"/>
      <c r="AAX398" s="23"/>
      <c r="AAY398" s="23"/>
      <c r="AAZ398" s="23"/>
      <c r="ABA398" s="23"/>
      <c r="ABB398" s="23"/>
      <c r="ABC398" s="23"/>
      <c r="ABD398" s="23"/>
    </row>
    <row r="399" spans="1:732" ht="15" customHeight="1" outlineLevel="1">
      <c r="A399" s="558"/>
      <c r="B399" s="132" t="s">
        <v>371</v>
      </c>
      <c r="C399" s="722"/>
      <c r="D399" s="161"/>
      <c r="E399" s="160"/>
      <c r="F399" s="160"/>
      <c r="G399" s="161"/>
      <c r="H399" s="161"/>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f>IF(S.InvolveNotice=TRUE,1,0)</f>
        <v>1</v>
      </c>
      <c r="AAF399" s="583" t="s">
        <v>174</v>
      </c>
      <c r="AAG399" s="117"/>
      <c r="AAH399" s="117"/>
      <c r="AAI399" s="77"/>
      <c r="AAJ399" s="89" t="str">
        <f>IF(S.InvolveNotice=TRUE,"Integrate NOTICE into staff report","Integrate NOTICE into "&amp;S.CodeName&amp;"STAFF.RPT.Temporary")</f>
        <v>Integrate NOTICE into staff report</v>
      </c>
      <c r="AAK399" s="574"/>
      <c r="AAL399" s="57"/>
      <c r="AAM399" s="112"/>
      <c r="AAN399"/>
      <c r="AAT399" s="23"/>
      <c r="AAU399" s="44"/>
    </row>
    <row r="400" spans="1:732" ht="15" customHeight="1" outlineLevel="1">
      <c r="A400" s="558"/>
      <c r="B400" s="669" t="s">
        <v>312</v>
      </c>
      <c r="C400" s="305" t="s">
        <v>88</v>
      </c>
      <c r="D400" s="153"/>
      <c r="E400" s="154"/>
      <c r="F400" s="154"/>
      <c r="G400" s="153"/>
      <c r="H400" s="153"/>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v>1</v>
      </c>
      <c r="AAF400" s="583" t="s">
        <v>174</v>
      </c>
      <c r="AAG400" s="117"/>
      <c r="AAH400" s="117"/>
      <c r="AAI400" s="77"/>
      <c r="AAJ400" s="89" t="str">
        <f>"Verify "&amp;S.CodeName&amp;"PROPOSED.RULES.6.01"</f>
        <v>Verify PROPOSED.RULES.6.01</v>
      </c>
      <c r="AAK400" s="574"/>
      <c r="AAL400" s="57"/>
      <c r="AAM400" s="112"/>
      <c r="AAN400"/>
      <c r="AAT400" s="23"/>
      <c r="AAU400" s="44"/>
    </row>
    <row r="401" spans="1:732" ht="15" customHeight="1" outlineLevel="1">
      <c r="A401" s="558"/>
      <c r="B401" s="481" t="s">
        <v>40</v>
      </c>
      <c r="C401" s="723"/>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ref="AAE401:AAE406" si="983">IF(S.InvolveNotice=TRUE,1,0)</f>
        <v>1</v>
      </c>
      <c r="AAF401" s="583" t="s">
        <v>174</v>
      </c>
      <c r="AAG401" s="117"/>
      <c r="AAH401" s="117"/>
      <c r="AAI401" s="77"/>
      <c r="AAJ401" s="57"/>
      <c r="AAK401" s="57"/>
      <c r="AAL401" s="57"/>
      <c r="AAM401" s="112"/>
      <c r="AAN401"/>
      <c r="AAT401" s="23"/>
      <c r="AAU401" s="44"/>
    </row>
    <row r="402" spans="1:732" ht="15" customHeight="1" outlineLevel="1">
      <c r="A402" s="558"/>
      <c r="B402" s="346" t="s">
        <v>39</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174</v>
      </c>
      <c r="AAG402" s="117"/>
      <c r="AAH402" s="117"/>
      <c r="AAI402" s="77"/>
      <c r="AAJ402" s="57"/>
      <c r="AAK402" s="57"/>
      <c r="AAL402" s="57"/>
      <c r="AAM402" s="112"/>
      <c r="AAN402"/>
      <c r="AAT402" s="23"/>
      <c r="AAU402" s="44"/>
    </row>
    <row r="403" spans="1:732" ht="15" customHeight="1" outlineLevel="1">
      <c r="A403" s="558"/>
      <c r="B403" s="346" t="s">
        <v>38</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174</v>
      </c>
      <c r="AAG403" s="117"/>
      <c r="AAH403" s="117"/>
      <c r="AAI403" s="77"/>
      <c r="AAJ403" s="57"/>
      <c r="AAK403" s="57"/>
      <c r="AAL403" s="57"/>
      <c r="AAM403" s="112"/>
      <c r="AAN403"/>
      <c r="AAT403" s="23"/>
      <c r="AAU403" s="44"/>
    </row>
    <row r="404" spans="1:732" ht="15" customHeight="1" outlineLevel="1">
      <c r="A404" s="558"/>
      <c r="B404" s="346" t="s">
        <v>37</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174</v>
      </c>
      <c r="AAG404" s="117"/>
      <c r="AAH404" s="117"/>
      <c r="AAI404" s="77"/>
      <c r="AAJ404" s="57"/>
      <c r="AAK404" s="57"/>
      <c r="AAL404" s="57"/>
      <c r="AAM404" s="112"/>
      <c r="AAN404"/>
      <c r="AAT404" s="23"/>
      <c r="AAU404" s="44"/>
    </row>
    <row r="405" spans="1:732" ht="15" customHeight="1" outlineLevel="1">
      <c r="A405" s="558"/>
      <c r="B405" s="346" t="s">
        <v>1</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174</v>
      </c>
      <c r="AAG405" s="117"/>
      <c r="AAH405" s="117"/>
      <c r="AAI405" s="77"/>
      <c r="AAJ405" s="57"/>
      <c r="AAK405" s="57"/>
      <c r="AAL405" s="57"/>
      <c r="AAM405" s="112"/>
      <c r="AAN405"/>
      <c r="AAT405" s="23"/>
      <c r="AAU405" s="44"/>
    </row>
    <row r="406" spans="1:732" ht="15" customHeight="1" outlineLevel="1">
      <c r="A406" s="558"/>
      <c r="B406" s="482" t="s">
        <v>36</v>
      </c>
      <c r="C406" s="724"/>
      <c r="D406" s="174"/>
      <c r="E406" s="160"/>
      <c r="F406" s="160"/>
      <c r="G406" s="174"/>
      <c r="H406" s="174"/>
      <c r="I406" s="588"/>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8"/>
      <c r="ZZ406" s="36"/>
      <c r="AAA406" s="588"/>
      <c r="AAD406" s="112"/>
      <c r="AAE406" s="551">
        <f t="shared" si="983"/>
        <v>1</v>
      </c>
      <c r="AAF406" s="583" t="s">
        <v>174</v>
      </c>
      <c r="AAG406" s="117"/>
      <c r="AAH406" s="117"/>
      <c r="AAI406" s="77"/>
      <c r="AAJ406" s="57"/>
      <c r="AAK406" s="57"/>
      <c r="AAL406" s="57"/>
      <c r="AAM406" s="112"/>
      <c r="AAN406"/>
      <c r="AAT406" s="23"/>
      <c r="AAU406" s="44"/>
    </row>
    <row r="407" spans="1:732" ht="15" customHeight="1" outlineLevel="1">
      <c r="A407" s="558"/>
      <c r="B407" s="462" t="s">
        <v>156</v>
      </c>
      <c r="C407" s="721" t="s">
        <v>0</v>
      </c>
      <c r="D407" s="277" t="s">
        <v>359</v>
      </c>
      <c r="E407" s="436">
        <f t="shared" ref="E407" si="984">NETWORKDAYS(G407,H407,S.DDL_DEQClosed)</f>
        <v>100</v>
      </c>
      <c r="F407" s="491">
        <f t="shared" ref="F407" ca="1" si="985">NETWORKDAYS(TODAY(),H407)</f>
        <v>131</v>
      </c>
      <c r="G407" s="437">
        <f t="shared" ref="G407:H407" si="986">AAG407</f>
        <v>41530</v>
      </c>
      <c r="H407" s="437">
        <f t="shared" si="986"/>
        <v>41676</v>
      </c>
      <c r="I407" s="627"/>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88"/>
      <c r="AAD407" s="112"/>
      <c r="AAE407" s="551">
        <v>1</v>
      </c>
      <c r="AAF407" s="112"/>
      <c r="AAG407" s="78">
        <f>S.BANNER.EQCStart</f>
        <v>41530</v>
      </c>
      <c r="AAH407" s="78">
        <f t="shared" ref="AAH407" si="987">S.SubmitStaffRpt</f>
        <v>41676</v>
      </c>
      <c r="AAI407" s="77"/>
      <c r="AAJ407" s="57"/>
      <c r="AAK407" s="57"/>
      <c r="AAL407" s="57"/>
      <c r="AAM407" s="112"/>
      <c r="AAN407"/>
      <c r="AAT407" s="23"/>
      <c r="AAU407" s="44"/>
    </row>
    <row r="408" spans="1:732" ht="15" customHeight="1" outlineLevel="1">
      <c r="A408" s="558"/>
      <c r="B408" s="483" t="str">
        <f>AAJ408</f>
        <v>Finalize following sections in STAFF.RPT.Permanent</v>
      </c>
      <c r="C408" s="193"/>
      <c r="D408" s="174"/>
      <c r="E408" s="160"/>
      <c r="F408" s="160"/>
      <c r="G408" s="174"/>
      <c r="H408" s="174"/>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174</v>
      </c>
      <c r="AAG408" s="117"/>
      <c r="AAH408" s="117"/>
      <c r="AAI408" s="77"/>
      <c r="AAJ408" s="89" t="str">
        <f>IF(S.RuleType=1,"Finalize following sections in "&amp;S.CodeName&amp;"STAFF.RPT.Permanent","Finalize following sections in "&amp;S.CodeName&amp;"STAFF.RPT.Temporary")</f>
        <v>Finalize following sections in STAFF.RPT.Permanent</v>
      </c>
      <c r="AAK408" s="574"/>
      <c r="AAL408" s="57"/>
      <c r="AAM408" s="112"/>
      <c r="AAN408"/>
      <c r="AAT408" s="23"/>
      <c r="AAU408" s="44"/>
    </row>
    <row r="409" spans="1:732" ht="15" customHeight="1" outlineLevel="1">
      <c r="A409" s="558"/>
      <c r="B409" s="362" t="s">
        <v>35</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174</v>
      </c>
      <c r="AAG409" s="117"/>
      <c r="AAH409" s="117"/>
      <c r="AAI409" s="77"/>
      <c r="AAJ409" s="57"/>
      <c r="AAK409" s="57"/>
      <c r="AAL409" s="57"/>
      <c r="AAM409" s="112"/>
      <c r="AAN409"/>
      <c r="AAT409" s="23"/>
      <c r="AAU409" s="44"/>
    </row>
    <row r="410" spans="1:732" ht="15" customHeight="1" outlineLevel="1">
      <c r="A410" s="558"/>
      <c r="B410" s="362" t="s">
        <v>150</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174</v>
      </c>
      <c r="AAG410" s="117"/>
      <c r="AAH410" s="117"/>
      <c r="AAI410" s="77"/>
      <c r="AAJ410" s="57"/>
      <c r="AAK410" s="57"/>
      <c r="AAL410" s="57"/>
      <c r="AAM410" s="112"/>
      <c r="AAN410"/>
      <c r="AAT410" s="23"/>
      <c r="AAU410" s="44"/>
    </row>
    <row r="411" spans="1:732" ht="15" customHeight="1" outlineLevel="1">
      <c r="A411" s="558"/>
      <c r="B411" s="362" t="s">
        <v>34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174</v>
      </c>
      <c r="AAG411" s="117"/>
      <c r="AAH411" s="117"/>
      <c r="AAI411" s="77"/>
      <c r="AAJ411" s="57"/>
      <c r="AAK411" s="57"/>
      <c r="AAL411" s="57"/>
      <c r="AAM411" s="112"/>
      <c r="AAN411"/>
      <c r="AAT411" s="23"/>
      <c r="AAU411" s="44"/>
    </row>
    <row r="412" spans="1:732" ht="15" customHeight="1" outlineLevel="1">
      <c r="A412" s="558"/>
      <c r="B412" s="362" t="s">
        <v>14</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v>1</v>
      </c>
      <c r="AAF412" s="583" t="s">
        <v>174</v>
      </c>
      <c r="AAG412" s="117"/>
      <c r="AAH412" s="117"/>
      <c r="AAI412" s="77"/>
      <c r="AAJ412" s="57"/>
      <c r="AAK412" s="57"/>
      <c r="AAL412" s="57"/>
      <c r="AAM412" s="112"/>
      <c r="AAN412"/>
      <c r="AAT412" s="23"/>
      <c r="AAU412" s="44"/>
    </row>
    <row r="413" spans="1:732" ht="15" customHeight="1" outlineLevel="1">
      <c r="A413" s="558"/>
      <c r="B413" s="362" t="s">
        <v>33</v>
      </c>
      <c r="C413" s="722"/>
      <c r="D413" s="161"/>
      <c r="E413" s="160"/>
      <c r="F413" s="160"/>
      <c r="G413" s="161"/>
      <c r="H413" s="161"/>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174</v>
      </c>
      <c r="AAG413" s="117"/>
      <c r="AAH413" s="117"/>
      <c r="AAI413" s="77"/>
      <c r="AAJ413" s="57"/>
      <c r="AAK413" s="57"/>
      <c r="AAL413" s="57"/>
      <c r="AAM413" s="112"/>
      <c r="AAN413"/>
      <c r="AAT413" s="23"/>
      <c r="AAU413" s="44"/>
    </row>
    <row r="414" spans="1:732" ht="15" customHeight="1" outlineLevel="1">
      <c r="A414" s="558"/>
      <c r="B414" s="362" t="s">
        <v>32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f>IF(S.InvolveNotice=TRUE,1,0)</f>
        <v>1</v>
      </c>
      <c r="AAF414" s="583" t="s">
        <v>174</v>
      </c>
      <c r="AAG414" s="117"/>
      <c r="AAH414" s="117"/>
      <c r="AAI414" s="77"/>
      <c r="AAJ414" s="57"/>
      <c r="AAK414" s="57"/>
      <c r="AAL414" s="57"/>
      <c r="AAM414" s="112"/>
      <c r="AAN414"/>
      <c r="AAT414" s="23"/>
      <c r="AAU414" s="44"/>
    </row>
    <row r="415" spans="1:732" ht="15" customHeight="1" outlineLevel="1">
      <c r="A415" s="558"/>
      <c r="B415" s="362" t="s">
        <v>182</v>
      </c>
      <c r="C415" s="722"/>
      <c r="D415" s="174"/>
      <c r="E415" s="182"/>
      <c r="F415" s="182"/>
      <c r="G415" s="174"/>
      <c r="H415" s="174"/>
      <c r="I415" s="588"/>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8"/>
      <c r="ZZ415" s="36"/>
      <c r="AAA415" s="588"/>
      <c r="AAD415" s="112"/>
      <c r="AAE415" s="551">
        <v>1</v>
      </c>
      <c r="AAF415" s="583" t="s">
        <v>174</v>
      </c>
      <c r="AAG415" s="117"/>
      <c r="AAH415" s="117"/>
      <c r="AAI415" s="77"/>
      <c r="AAJ415" s="57"/>
      <c r="AAK415" s="57"/>
      <c r="AAL415" s="57"/>
      <c r="AAM415" s="112"/>
      <c r="AAN415"/>
      <c r="AAT415" s="23"/>
      <c r="AAU415" s="44"/>
      <c r="AAV415" s="23"/>
      <c r="AAW415" s="23"/>
      <c r="AAX415" s="23"/>
      <c r="AAY415" s="23"/>
      <c r="AAZ415" s="23"/>
      <c r="ABA415" s="23"/>
      <c r="ABB415" s="23"/>
      <c r="ABC415" s="23"/>
      <c r="ABD415" s="23"/>
    </row>
    <row r="416" spans="1:732" ht="15" customHeight="1" outlineLevel="1">
      <c r="A416" s="558"/>
      <c r="B416" s="343" t="s">
        <v>272</v>
      </c>
      <c r="C416" s="194"/>
      <c r="D416" s="277" t="s">
        <v>151</v>
      </c>
      <c r="E416" s="436">
        <f t="shared" ref="E416" si="988">NETWORKDAYS(G416,H416,S.DDL_DEQClosed)</f>
        <v>100</v>
      </c>
      <c r="F416" s="491">
        <f t="shared" ref="F416" ca="1" si="989">NETWORKDAYS(TODAY(),H416)</f>
        <v>131</v>
      </c>
      <c r="G416" s="437">
        <f t="shared" ref="G416:H416" si="990">AAG416</f>
        <v>41530</v>
      </c>
      <c r="H416" s="437">
        <f t="shared" si="990"/>
        <v>41676</v>
      </c>
      <c r="I416" s="627"/>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88"/>
      <c r="AAD416" s="112"/>
      <c r="AAE416" s="551">
        <v>1</v>
      </c>
      <c r="AAF416" s="112"/>
      <c r="AAG416" s="78">
        <f>S.BANNER.EQCStart</f>
        <v>41530</v>
      </c>
      <c r="AAH416" s="78">
        <f t="shared" ref="AAH416" si="991">S.SubmitStaffRpt</f>
        <v>41676</v>
      </c>
      <c r="AAI416" s="77"/>
      <c r="AAJ416" s="89" t="str">
        <f>IF(S.RuleType=1,"STAFF.RPT.Permanent","STAFF.RPT.Temporary")</f>
        <v>STAFF.RPT.Permanent</v>
      </c>
      <c r="AAK416" s="574"/>
      <c r="AAL416" s="57"/>
      <c r="AAM416" s="112"/>
      <c r="AAN416"/>
      <c r="AAT416" s="23"/>
      <c r="AAU416" s="44"/>
    </row>
    <row r="417" spans="1:732" s="23" customFormat="1" ht="15" customHeight="1" outlineLevel="1">
      <c r="A417" s="558"/>
      <c r="B417" s="132" t="str">
        <f>AAJ416</f>
        <v>STAFF.RPT.Permanent</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B417"/>
      <c r="AAC417"/>
      <c r="AAD417" s="112"/>
      <c r="AAE417" s="551">
        <v>1</v>
      </c>
      <c r="AAF417" s="583" t="s">
        <v>174</v>
      </c>
      <c r="AAG417" s="117"/>
      <c r="AAH417" s="117"/>
      <c r="AAI417" s="77"/>
      <c r="AAJ417" s="89" t="str">
        <f>S.CodeName&amp;"INVITATION.TO.COMMENT"</f>
        <v>INVITATION.TO.COMMENT</v>
      </c>
      <c r="AAK417" s="574"/>
      <c r="AAL417" s="57"/>
      <c r="AAM417" s="112"/>
      <c r="AAU417" s="44"/>
      <c r="AAV417"/>
      <c r="AAW417"/>
      <c r="AAX417"/>
      <c r="AAY417"/>
      <c r="AAZ417"/>
      <c r="ABA417"/>
      <c r="ABB417"/>
      <c r="ABC417"/>
      <c r="ABD417"/>
    </row>
    <row r="418" spans="1:732" ht="15" customHeight="1" outlineLevel="1">
      <c r="A418" s="558"/>
      <c r="B418" s="132" t="str">
        <f t="shared" ref="B418:B420" si="992">AAJ418</f>
        <v>PROPOSED RULES</v>
      </c>
      <c r="C418" s="722"/>
      <c r="D418" s="153"/>
      <c r="E418" s="154"/>
      <c r="F418" s="154"/>
      <c r="G418" s="153"/>
      <c r="H418" s="153"/>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v>1</v>
      </c>
      <c r="AAF418" s="583" t="s">
        <v>174</v>
      </c>
      <c r="AAG418" s="117"/>
      <c r="AAH418" s="117"/>
      <c r="AAI418" s="77"/>
      <c r="AAJ418" s="89" t="str">
        <f>S.CodeName&amp;"PROPOSED RULES"</f>
        <v>PROPOSED RULES</v>
      </c>
      <c r="AAK418" s="574"/>
      <c r="AAL418" s="57"/>
      <c r="AAM418" s="112"/>
      <c r="AAN418"/>
      <c r="AAT418" s="23"/>
      <c r="AAU418" s="44"/>
    </row>
    <row r="419" spans="1:732" ht="15" customHeight="1" outlineLevel="1">
      <c r="A419" s="558"/>
      <c r="B419" s="132" t="str">
        <f t="shared" si="992"/>
        <v>STATE IMPLEMENTATION PLAN</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f>IF(S.InvolveSIP=TRUE,1,0)</f>
        <v>1</v>
      </c>
      <c r="AAF419" s="583" t="s">
        <v>174</v>
      </c>
      <c r="AAG419" s="117"/>
      <c r="AAH419" s="117"/>
      <c r="AAI419" s="77"/>
      <c r="AAJ419" s="89" t="s">
        <v>345</v>
      </c>
      <c r="AAK419" s="574"/>
      <c r="AAL419" s="57"/>
      <c r="AAM419" s="112"/>
      <c r="AAN419"/>
      <c r="AAT419" s="23"/>
      <c r="AAU419" s="44"/>
    </row>
    <row r="420" spans="1:732" ht="15" customHeight="1" outlineLevel="1">
      <c r="A420" s="558"/>
      <c r="B420" s="132" t="str">
        <f t="shared" si="992"/>
        <v>Optional SUPPORTING.DOCS</v>
      </c>
      <c r="C420" s="722"/>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174</v>
      </c>
      <c r="AAG420" s="117"/>
      <c r="AAH420" s="117"/>
      <c r="AAI420" s="77"/>
      <c r="AAJ420" s="89" t="str">
        <f>"Optional "&amp;S.CodeName&amp;"SUPPORTING.DOCS"</f>
        <v>Optional SUPPORTING.DOCS</v>
      </c>
      <c r="AAK420" s="574"/>
      <c r="AAL420" s="57"/>
      <c r="AAM420" s="112"/>
      <c r="AAN420"/>
      <c r="AAT420" s="23"/>
      <c r="AAU420" s="44"/>
    </row>
    <row r="421" spans="1:732" ht="15" customHeight="1" outlineLevel="1">
      <c r="A421" s="558"/>
      <c r="B421" s="465" t="s">
        <v>273</v>
      </c>
      <c r="C421" s="725"/>
      <c r="D421" s="174"/>
      <c r="E421" s="182"/>
      <c r="F421" s="182"/>
      <c r="G421" s="174"/>
      <c r="H421" s="174"/>
      <c r="I421" s="588"/>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618"/>
      <c r="ZZ421" s="36"/>
      <c r="AAA421" s="588"/>
      <c r="AAD421" s="112"/>
      <c r="AAE421" s="551">
        <v>1</v>
      </c>
      <c r="AAF421" s="583" t="s">
        <v>174</v>
      </c>
      <c r="AAG421" s="117"/>
      <c r="AAH421" s="117"/>
      <c r="AAI421" s="77"/>
      <c r="AAJ421" s="57"/>
      <c r="AAK421" s="57"/>
      <c r="AAL421" s="57"/>
      <c r="AAM421" s="112"/>
      <c r="AAN421"/>
      <c r="AAT421" s="23"/>
      <c r="AAU421" s="44"/>
    </row>
    <row r="422" spans="1:732" ht="15" customHeight="1" outlineLevel="1">
      <c r="A422" s="558"/>
      <c r="B422" s="484" t="s">
        <v>109</v>
      </c>
      <c r="C422" s="239"/>
      <c r="D422" s="279" t="s">
        <v>384</v>
      </c>
      <c r="E422" s="379">
        <f>NETWORKDAYS(G422,H422,S.DDL_DEQClosed)</f>
        <v>100</v>
      </c>
      <c r="F422" s="491">
        <f t="shared" ref="F422:F425" ca="1" si="993">NETWORKDAYS(TODAY(),H422)</f>
        <v>131</v>
      </c>
      <c r="G422" s="437">
        <f t="shared" ref="G422:H425" si="994">AAG422</f>
        <v>41530</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G396</f>
        <v>41530</v>
      </c>
      <c r="AAH422" s="78">
        <f>S.SubmitStaffRpt</f>
        <v>41676</v>
      </c>
      <c r="AAI422" s="77"/>
      <c r="AAJ422" s="57"/>
      <c r="AAK422" s="57"/>
      <c r="AAL422" s="57"/>
      <c r="AAM422" s="112"/>
      <c r="AAN422"/>
      <c r="AAT422" s="23"/>
      <c r="AAU422" s="44"/>
    </row>
    <row r="423" spans="1:732" ht="15" customHeight="1" outlineLevel="1">
      <c r="A423" s="558"/>
      <c r="B423" s="485" t="s">
        <v>106</v>
      </c>
      <c r="C423" s="239"/>
      <c r="D423" s="279" t="s">
        <v>384</v>
      </c>
      <c r="E423" s="379">
        <f>NETWORKDAYS(G423,H423,S.DDL_DEQClosed)</f>
        <v>1</v>
      </c>
      <c r="F423" s="491">
        <f t="shared" ca="1" si="993"/>
        <v>131</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32" ht="15" customHeight="1" outlineLevel="1">
      <c r="A424" s="558"/>
      <c r="B424" s="424" t="s">
        <v>107</v>
      </c>
      <c r="C424" s="239"/>
      <c r="D424" s="279" t="s">
        <v>384</v>
      </c>
      <c r="E424" s="379">
        <f>NETWORKDAYS(G424,H424,S.DDL_DEQClosed)</f>
        <v>1</v>
      </c>
      <c r="F424" s="491">
        <f t="shared" ca="1" si="993"/>
        <v>131</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32" ht="15" customHeight="1" outlineLevel="1">
      <c r="A425" s="558"/>
      <c r="B425" s="425" t="s">
        <v>108</v>
      </c>
      <c r="C425" s="239"/>
      <c r="D425" s="279" t="s">
        <v>384</v>
      </c>
      <c r="E425" s="379">
        <f>NETWORKDAYS(G425,H425,S.DDL_DEQClosed)</f>
        <v>1</v>
      </c>
      <c r="F425" s="491">
        <f t="shared" ca="1" si="993"/>
        <v>131</v>
      </c>
      <c r="G425" s="437">
        <f t="shared" si="994"/>
        <v>41676</v>
      </c>
      <c r="H425" s="437">
        <f t="shared" si="994"/>
        <v>41676</v>
      </c>
      <c r="I425" s="627"/>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88"/>
      <c r="AAD425" s="112"/>
      <c r="AAE425" s="551">
        <v>1</v>
      </c>
      <c r="AAF425" s="112"/>
      <c r="AAG425" s="78">
        <f>H424</f>
        <v>41676</v>
      </c>
      <c r="AAH425" s="78">
        <f>S.SubmitStaffRpt</f>
        <v>41676</v>
      </c>
      <c r="AAI425" s="77"/>
      <c r="AAJ425" s="57"/>
      <c r="AAK425" s="57"/>
      <c r="AAL425" s="57"/>
      <c r="AAM425" s="112"/>
      <c r="AAN425"/>
      <c r="AAT425" s="23"/>
      <c r="AAU425" s="44"/>
    </row>
    <row r="426" spans="1:732" ht="89.25" customHeight="1" outlineLevel="1">
      <c r="A426" s="558"/>
      <c r="B426" s="765" t="s">
        <v>346</v>
      </c>
      <c r="C426" s="765"/>
      <c r="D426" s="765"/>
      <c r="E426" s="765"/>
      <c r="F426" s="765"/>
      <c r="G426" s="765"/>
      <c r="H426" s="765"/>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174</v>
      </c>
      <c r="AAG426" s="112"/>
      <c r="AAH426" s="112"/>
      <c r="AAI426" s="77"/>
      <c r="AAJ426" s="57"/>
      <c r="AAK426" s="57"/>
      <c r="AAL426" s="57"/>
      <c r="AAM426" s="112"/>
      <c r="AAN426"/>
      <c r="AAT426" s="23"/>
      <c r="AAU426" s="44"/>
    </row>
    <row r="427" spans="1:732" ht="15" customHeight="1" outlineLevel="1">
      <c r="A427" s="558"/>
      <c r="B427" s="479" t="s">
        <v>49</v>
      </c>
      <c r="C427" s="396"/>
      <c r="D427" s="281" t="s">
        <v>0</v>
      </c>
      <c r="E427" s="282"/>
      <c r="F427" s="282"/>
      <c r="G427" s="283"/>
      <c r="H427" s="283"/>
      <c r="I427" s="588"/>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18"/>
      <c r="ZZ427" s="36"/>
      <c r="AAA427" s="588"/>
      <c r="AAD427" s="112"/>
      <c r="AAE427" s="551">
        <v>1</v>
      </c>
      <c r="AAF427" s="583" t="s">
        <v>174</v>
      </c>
      <c r="AAG427" s="112"/>
      <c r="AAH427" s="112"/>
      <c r="AAI427" s="77"/>
      <c r="AAJ427" s="57"/>
      <c r="AAK427" s="57"/>
      <c r="AAL427" s="57"/>
      <c r="AAM427" s="112"/>
      <c r="AAN427"/>
      <c r="AAT427" s="23"/>
      <c r="AAU427" s="44"/>
    </row>
    <row r="428" spans="1:732" ht="15" customHeight="1" outlineLevel="1">
      <c r="A428" s="558"/>
      <c r="B428" s="343" t="s">
        <v>271</v>
      </c>
      <c r="C428" s="722"/>
      <c r="D428" s="277" t="s">
        <v>378</v>
      </c>
      <c r="E428" s="368">
        <f>NETWORKDAYS(G428,H428,S.DDL_DEQClosed)</f>
        <v>1</v>
      </c>
      <c r="F428" s="491">
        <f t="shared" ref="F428" ca="1" si="995">NETWORKDAYS(TODAY(),H428)</f>
        <v>131</v>
      </c>
      <c r="G428" s="472">
        <f t="shared" ref="G428:H434" si="996">AAG428</f>
        <v>41676</v>
      </c>
      <c r="H428" s="370">
        <f>AAH428</f>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t="s">
        <v>0</v>
      </c>
      <c r="AAG428" s="78">
        <f>H425</f>
        <v>41676</v>
      </c>
      <c r="AAH428" s="78">
        <f>S.SubmitStaffRpt</f>
        <v>41676</v>
      </c>
      <c r="AAI428" s="77"/>
      <c r="AAJ428" s="57"/>
      <c r="AAK428" s="57"/>
      <c r="AAL428" s="57"/>
      <c r="AAM428" s="112"/>
      <c r="AAN428"/>
      <c r="AAT428" s="23"/>
      <c r="AAU428" s="44"/>
    </row>
    <row r="429" spans="1:732" ht="18" customHeight="1" outlineLevel="1">
      <c r="A429" s="558"/>
      <c r="B429" s="306" t="s">
        <v>254</v>
      </c>
      <c r="C429" s="722"/>
      <c r="D429" s="277" t="s">
        <v>151</v>
      </c>
      <c r="E429" s="448">
        <f>NETWORKDAYS(G429,H429,S.DDL_DEQClosed)</f>
        <v>1</v>
      </c>
      <c r="F429" s="491">
        <f ca="1">NETWORKDAYS(TODAY(),H429)</f>
        <v>131</v>
      </c>
      <c r="G429" s="455">
        <f t="shared" ref="G429:H429" si="997">AAG429</f>
        <v>41676</v>
      </c>
      <c r="H429" s="473">
        <f t="shared" si="997"/>
        <v>41676</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H429</f>
        <v>41676</v>
      </c>
      <c r="AAH429" s="78">
        <f>S.SubmitStaffRpt</f>
        <v>41676</v>
      </c>
      <c r="AAI429" s="77"/>
      <c r="AAJ429" s="57"/>
      <c r="AAK429" s="57"/>
      <c r="AAL429" s="57"/>
      <c r="AAM429" s="112"/>
      <c r="AAN429"/>
      <c r="AAT429" s="23"/>
      <c r="AAU429" s="44"/>
    </row>
    <row r="430" spans="1:732" ht="15" customHeight="1" outlineLevel="1">
      <c r="A430" s="558"/>
      <c r="B430" s="666" t="s">
        <v>116</v>
      </c>
      <c r="C430" s="722"/>
      <c r="D430" s="277" t="s">
        <v>366</v>
      </c>
      <c r="E430" s="448">
        <f>NETWORKDAYS(G430,H430,S.DDL_DEQClosed)</f>
        <v>4</v>
      </c>
      <c r="F430" s="491">
        <f ca="1">NETWORKDAYS(TODAY(),H430)</f>
        <v>134</v>
      </c>
      <c r="G430" s="472">
        <f t="shared" si="996"/>
        <v>41676</v>
      </c>
      <c r="H430" s="472">
        <f t="shared" si="996"/>
        <v>41681</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H429</f>
        <v>41676</v>
      </c>
      <c r="AAH430" s="78">
        <f>WORKDAY(S.SubmitStaffRpt+4,1, S.DDL_DEQClosed)</f>
        <v>41681</v>
      </c>
      <c r="AAI430" s="77"/>
      <c r="AAJ430" s="57"/>
      <c r="AAK430" s="57"/>
      <c r="AAL430" s="57"/>
      <c r="AAM430" s="112"/>
      <c r="AAN430"/>
      <c r="AAT430" s="23"/>
      <c r="AAU430" s="44"/>
    </row>
    <row r="431" spans="1:732" ht="15" customHeight="1" outlineLevel="1">
      <c r="A431" s="558"/>
      <c r="B431" s="133" t="s">
        <v>30</v>
      </c>
      <c r="C431" s="722"/>
      <c r="D431" s="277" t="s">
        <v>361</v>
      </c>
      <c r="E431" s="448">
        <f>NETWORKDAYS(G431,H431,S.DDL_DEQClosed)</f>
        <v>127</v>
      </c>
      <c r="F431" s="491">
        <f ca="1">NETWORKDAYS(TODAY(),H431)</f>
        <v>159</v>
      </c>
      <c r="G431" s="472">
        <f t="shared" si="996"/>
        <v>41530</v>
      </c>
      <c r="H431" s="472">
        <f t="shared" si="996"/>
        <v>41716</v>
      </c>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112"/>
      <c r="AAG431" s="78">
        <f>S.BANNER.EQCStart</f>
        <v>41530</v>
      </c>
      <c r="AAH431" s="78">
        <f>S.EQCMeeting-1</f>
        <v>41716</v>
      </c>
      <c r="AAI431" s="77"/>
      <c r="AAJ431" s="57"/>
      <c r="AAK431" s="57"/>
      <c r="AAL431" s="57"/>
      <c r="AAM431" s="112"/>
      <c r="AAN431"/>
      <c r="AAT431" s="23"/>
      <c r="AAU431" s="44"/>
    </row>
    <row r="432" spans="1:732" ht="15" customHeight="1" outlineLevel="1">
      <c r="A432" s="558"/>
      <c r="B432" s="439" t="s">
        <v>183</v>
      </c>
      <c r="C432" s="307"/>
      <c r="D432" s="195" t="s">
        <v>0</v>
      </c>
      <c r="E432" s="123" t="s">
        <v>0</v>
      </c>
      <c r="F432" s="124" t="s">
        <v>0</v>
      </c>
      <c r="G432" s="196"/>
      <c r="H432" s="196"/>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583" t="s">
        <v>174</v>
      </c>
      <c r="AAG432" s="117"/>
      <c r="AAH432" s="117"/>
      <c r="AAI432" s="77"/>
      <c r="AAJ432" s="57"/>
      <c r="AAK432" s="57"/>
      <c r="AAL432" s="57"/>
      <c r="AAM432" s="112"/>
      <c r="AAN432"/>
      <c r="AAT432" s="23"/>
      <c r="AAU432" s="44"/>
    </row>
    <row r="433" spans="1:732" ht="15" customHeight="1" outlineLevel="1">
      <c r="A433" s="558"/>
      <c r="B433" s="475" t="s">
        <v>121</v>
      </c>
      <c r="C433" s="726"/>
      <c r="D433" s="278" t="s">
        <v>359</v>
      </c>
      <c r="E433" s="368">
        <f>NETWORKDAYS(G433,H433,S.DDL_DEQClosed)</f>
        <v>1</v>
      </c>
      <c r="F433" s="491">
        <f ca="1">NETWORKDAYS(TODAY(),H433)</f>
        <v>159</v>
      </c>
      <c r="G433" s="472">
        <f t="shared" si="996"/>
        <v>41716</v>
      </c>
      <c r="H433" s="472">
        <f t="shared" si="996"/>
        <v>41716</v>
      </c>
      <c r="I433" s="627"/>
      <c r="J433" s="592"/>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88"/>
      <c r="AAD433" s="112"/>
      <c r="AAE433" s="551">
        <v>1</v>
      </c>
      <c r="AAF433" s="112"/>
      <c r="AAG433" s="78">
        <f>H431</f>
        <v>41716</v>
      </c>
      <c r="AAH433" s="78">
        <f>G433</f>
        <v>41716</v>
      </c>
      <c r="AAI433" s="77"/>
      <c r="AAJ433" s="57"/>
      <c r="AAK433" s="57"/>
      <c r="AAL433" s="57" t="s">
        <v>0</v>
      </c>
      <c r="AAM433" s="112"/>
      <c r="AAN433"/>
      <c r="AAT433" s="23"/>
      <c r="AAU433" s="44"/>
    </row>
    <row r="434" spans="1:732" ht="15" customHeight="1" outlineLevel="1">
      <c r="A434" s="558"/>
      <c r="B434" s="476" t="s">
        <v>29</v>
      </c>
      <c r="C434" s="726"/>
      <c r="D434" s="308" t="s">
        <v>151</v>
      </c>
      <c r="E434" s="368">
        <f>NETWORKDAYS(G434,H434,S.DDL_DEQClosed)</f>
        <v>1</v>
      </c>
      <c r="F434" s="491">
        <f ca="1">NETWORKDAYS(TODAY(),H434)</f>
        <v>159</v>
      </c>
      <c r="G434" s="472">
        <f t="shared" si="996"/>
        <v>41716</v>
      </c>
      <c r="H434" s="472">
        <f t="shared" si="996"/>
        <v>41716</v>
      </c>
      <c r="I434" s="627"/>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50"/>
      <c r="ZZ434" s="50"/>
      <c r="AAA434" s="588"/>
      <c r="AAD434" s="112"/>
      <c r="AAE434" s="551">
        <v>1</v>
      </c>
      <c r="AAF434" s="112"/>
      <c r="AAG434" s="78">
        <f>H433</f>
        <v>41716</v>
      </c>
      <c r="AAH434" s="78">
        <f>G434</f>
        <v>41716</v>
      </c>
      <c r="AAI434" s="77"/>
      <c r="AAJ434" s="56"/>
      <c r="AAK434" s="56"/>
      <c r="AAL434" s="56"/>
      <c r="AAM434" s="112"/>
      <c r="AAN434"/>
      <c r="AAT434" s="23"/>
      <c r="AAU434" s="44"/>
    </row>
    <row r="435" spans="1:732" ht="15" customHeight="1" outlineLevel="1">
      <c r="A435" s="558"/>
      <c r="B435" s="477" t="s">
        <v>21</v>
      </c>
      <c r="C435" s="309"/>
      <c r="D435" s="197"/>
      <c r="E435" s="123"/>
      <c r="F435" s="124"/>
      <c r="G435" s="196"/>
      <c r="H435" s="196"/>
      <c r="I435" s="588"/>
      <c r="J435" s="591"/>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c r="GS435" s="47"/>
      <c r="GT435" s="47"/>
      <c r="GU435" s="47"/>
      <c r="GV435" s="47"/>
      <c r="GW435" s="47"/>
      <c r="GX435" s="47"/>
      <c r="GY435" s="47"/>
      <c r="GZ435" s="47"/>
      <c r="HA435" s="47"/>
      <c r="HB435" s="47"/>
      <c r="HC435" s="47"/>
      <c r="HD435" s="47"/>
      <c r="HE435" s="47"/>
      <c r="HF435" s="47"/>
      <c r="HG435" s="47"/>
      <c r="HH435" s="47"/>
      <c r="HI435" s="47"/>
      <c r="HJ435" s="47"/>
      <c r="HK435" s="47"/>
      <c r="HL435" s="47"/>
      <c r="HM435" s="47"/>
      <c r="HN435" s="47"/>
      <c r="HO435" s="47"/>
      <c r="HP435" s="47"/>
      <c r="HQ435" s="47"/>
      <c r="HR435" s="47"/>
      <c r="HS435" s="47"/>
      <c r="HT435" s="47"/>
      <c r="HU435" s="47"/>
      <c r="HV435" s="47"/>
      <c r="HW435" s="47"/>
      <c r="HX435" s="47"/>
      <c r="HY435" s="47"/>
      <c r="HZ435" s="47"/>
      <c r="IA435" s="47"/>
      <c r="IB435" s="47"/>
      <c r="IC435" s="47"/>
      <c r="ID435" s="47"/>
      <c r="IE435" s="47"/>
      <c r="IF435" s="47"/>
      <c r="IG435" s="47"/>
      <c r="IH435" s="47"/>
      <c r="II435" s="47"/>
      <c r="IJ435" s="47"/>
      <c r="IK435" s="47"/>
      <c r="IL435" s="47"/>
      <c r="IM435" s="47"/>
      <c r="IN435" s="47"/>
      <c r="IO435" s="47"/>
      <c r="IP435" s="47"/>
      <c r="IQ435" s="47"/>
      <c r="IR435" s="47"/>
      <c r="IS435" s="47"/>
      <c r="IT435" s="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c r="KR435" s="47"/>
      <c r="KS435" s="47"/>
      <c r="KT435" s="47"/>
      <c r="KU435" s="47"/>
      <c r="KV435" s="47"/>
      <c r="KW435" s="47"/>
      <c r="KX435" s="47"/>
      <c r="KY435" s="47"/>
      <c r="KZ435" s="47"/>
      <c r="LA435" s="47"/>
      <c r="LB435" s="47"/>
      <c r="LC435" s="47"/>
      <c r="LD435" s="47"/>
      <c r="LE435" s="47"/>
      <c r="LF435" s="47"/>
      <c r="LG435" s="47"/>
      <c r="LH435" s="47"/>
      <c r="LI435" s="47"/>
      <c r="LJ435" s="47"/>
      <c r="LK435" s="47"/>
      <c r="LL435" s="47"/>
      <c r="LM435" s="47"/>
      <c r="LN435" s="47"/>
      <c r="LO435" s="47"/>
      <c r="LP435" s="47"/>
      <c r="LQ435" s="47"/>
      <c r="LR435" s="47"/>
      <c r="LS435" s="47"/>
      <c r="LT435" s="47"/>
      <c r="LU435" s="47"/>
      <c r="LV435" s="47"/>
      <c r="LW435" s="47"/>
      <c r="LX435" s="47"/>
      <c r="LY435" s="47"/>
      <c r="LZ435" s="47"/>
      <c r="MA435" s="47"/>
      <c r="MB435" s="47"/>
      <c r="MC435" s="47"/>
      <c r="MD435" s="47"/>
      <c r="ME435" s="47"/>
      <c r="MF435" s="47"/>
      <c r="MG435" s="47"/>
      <c r="MH435" s="47"/>
      <c r="MI435" s="47"/>
      <c r="MJ435" s="47"/>
      <c r="MK435" s="47"/>
      <c r="ML435" s="47"/>
      <c r="MM435" s="47"/>
      <c r="MN435" s="47"/>
      <c r="MO435" s="47"/>
      <c r="MP435" s="47"/>
      <c r="MQ435" s="47"/>
      <c r="MR435" s="47"/>
      <c r="MS435" s="47"/>
      <c r="MT435" s="47"/>
      <c r="MU435" s="47"/>
      <c r="MV435" s="47"/>
      <c r="MW435" s="47"/>
      <c r="MX435" s="47"/>
      <c r="MY435" s="47"/>
      <c r="MZ435" s="47"/>
      <c r="NA435" s="47"/>
      <c r="NB435" s="47"/>
      <c r="NC435" s="47"/>
      <c r="ND435" s="47"/>
      <c r="NE435" s="47"/>
      <c r="NF435" s="47"/>
      <c r="NG435" s="47"/>
      <c r="NH435" s="47"/>
      <c r="NI435" s="47"/>
      <c r="NJ435" s="47"/>
      <c r="NK435" s="47"/>
      <c r="NL435" s="47"/>
      <c r="NM435" s="47"/>
      <c r="NN435" s="47"/>
      <c r="NO435" s="47"/>
      <c r="NP435" s="47"/>
      <c r="NQ435" s="47"/>
      <c r="NR435" s="47"/>
      <c r="NS435" s="47"/>
      <c r="NT435" s="47"/>
      <c r="NU435" s="47"/>
      <c r="NV435" s="47"/>
      <c r="NW435" s="47"/>
      <c r="NX435" s="47"/>
      <c r="NY435" s="47"/>
      <c r="NZ435" s="47"/>
      <c r="OA435" s="47"/>
      <c r="OB435" s="47"/>
      <c r="OC435" s="47"/>
      <c r="OD435" s="47"/>
      <c r="OE435" s="47"/>
      <c r="OF435" s="47"/>
      <c r="OG435" s="47"/>
      <c r="OH435" s="47"/>
      <c r="OI435" s="47"/>
      <c r="OJ435" s="47"/>
      <c r="OK435" s="47"/>
      <c r="OL435" s="47"/>
      <c r="OM435" s="47"/>
      <c r="ON435" s="47"/>
      <c r="OO435" s="47"/>
      <c r="OP435" s="47"/>
      <c r="OQ435" s="47"/>
      <c r="OR435" s="47"/>
      <c r="OS435" s="47"/>
      <c r="OT435" s="47"/>
      <c r="OU435" s="47"/>
      <c r="OV435" s="47"/>
      <c r="OW435" s="47"/>
      <c r="OX435" s="47"/>
      <c r="OY435" s="47"/>
      <c r="OZ435" s="47"/>
      <c r="PA435" s="47"/>
      <c r="PB435" s="47"/>
      <c r="PC435" s="47"/>
      <c r="PD435" s="47"/>
      <c r="PE435" s="47"/>
      <c r="PF435" s="47"/>
      <c r="PG435" s="47"/>
      <c r="PH435" s="47"/>
      <c r="PI435" s="47"/>
      <c r="PJ435" s="47"/>
      <c r="PK435" s="47"/>
      <c r="PL435" s="47"/>
      <c r="PM435" s="47"/>
      <c r="PN435" s="47"/>
      <c r="PO435" s="47"/>
      <c r="PP435" s="47"/>
      <c r="PQ435" s="47"/>
      <c r="PR435" s="47"/>
      <c r="PS435" s="47"/>
      <c r="PT435" s="47"/>
      <c r="PU435" s="47"/>
      <c r="PV435" s="47"/>
      <c r="PW435" s="47"/>
      <c r="PX435" s="47"/>
      <c r="PY435" s="47"/>
      <c r="PZ435" s="47"/>
      <c r="QA435" s="47"/>
      <c r="QB435" s="47"/>
      <c r="QC435" s="47"/>
      <c r="QD435" s="47"/>
      <c r="QE435" s="47"/>
      <c r="QF435" s="47"/>
      <c r="QG435" s="47"/>
      <c r="QH435" s="47"/>
      <c r="QI435" s="47"/>
      <c r="QJ435" s="47"/>
      <c r="QK435" s="47"/>
      <c r="QL435" s="47"/>
      <c r="QM435" s="47"/>
      <c r="QN435" s="47"/>
      <c r="QO435" s="47"/>
      <c r="QP435" s="47"/>
      <c r="QQ435" s="47"/>
      <c r="QR435" s="47"/>
      <c r="QS435" s="47"/>
      <c r="QT435" s="47"/>
      <c r="QU435" s="47"/>
      <c r="QV435" s="47"/>
      <c r="QW435" s="47"/>
      <c r="QX435" s="47"/>
      <c r="QY435" s="47"/>
      <c r="QZ435" s="47"/>
      <c r="RA435" s="47"/>
      <c r="RB435" s="47"/>
      <c r="RC435" s="47"/>
      <c r="RD435" s="47"/>
      <c r="RE435" s="47"/>
      <c r="RF435" s="47"/>
      <c r="RG435" s="47"/>
      <c r="RH435" s="47"/>
      <c r="RI435" s="47"/>
      <c r="RJ435" s="47"/>
      <c r="RK435" s="47"/>
      <c r="RL435" s="47"/>
      <c r="RM435" s="47"/>
      <c r="RN435" s="47"/>
      <c r="RO435" s="47"/>
      <c r="RP435" s="47"/>
      <c r="RQ435" s="47"/>
      <c r="RR435" s="47"/>
      <c r="RS435" s="47"/>
      <c r="RT435" s="47"/>
      <c r="RU435" s="47"/>
      <c r="RV435" s="47"/>
      <c r="RW435" s="47"/>
      <c r="RX435" s="47"/>
      <c r="RY435" s="47"/>
      <c r="RZ435" s="47"/>
      <c r="SA435" s="47"/>
      <c r="SB435" s="47"/>
      <c r="SC435" s="47"/>
      <c r="SD435" s="47"/>
      <c r="SE435" s="47"/>
      <c r="SF435" s="47"/>
      <c r="SG435" s="47"/>
      <c r="SH435" s="47"/>
      <c r="SI435" s="47"/>
      <c r="SJ435" s="47"/>
      <c r="SK435" s="47"/>
      <c r="SL435" s="47"/>
      <c r="SM435" s="47"/>
      <c r="SN435" s="47"/>
      <c r="SO435" s="47"/>
      <c r="SP435" s="47"/>
      <c r="SQ435" s="47"/>
      <c r="SR435" s="47"/>
      <c r="SS435" s="47"/>
      <c r="ST435" s="47"/>
      <c r="SU435" s="47"/>
      <c r="SV435" s="47"/>
      <c r="SW435" s="47"/>
      <c r="SX435" s="47"/>
      <c r="SY435" s="47"/>
      <c r="SZ435" s="47"/>
      <c r="TA435" s="47"/>
      <c r="TB435" s="47"/>
      <c r="TC435" s="47"/>
      <c r="TD435" s="47"/>
      <c r="TE435" s="47"/>
      <c r="TF435" s="47"/>
      <c r="TG435" s="47"/>
      <c r="TH435" s="47"/>
      <c r="TI435" s="47"/>
      <c r="TJ435" s="47"/>
      <c r="TK435" s="47"/>
      <c r="TL435" s="47"/>
      <c r="TM435" s="47"/>
      <c r="TN435" s="47"/>
      <c r="TO435" s="47"/>
      <c r="TP435" s="47"/>
      <c r="TQ435" s="47"/>
      <c r="TR435" s="47"/>
      <c r="TS435" s="47"/>
      <c r="TT435" s="47"/>
      <c r="TU435" s="47"/>
      <c r="TV435" s="47"/>
      <c r="TW435" s="47"/>
      <c r="TX435" s="47"/>
      <c r="TY435" s="47"/>
      <c r="TZ435" s="47"/>
      <c r="UA435" s="47"/>
      <c r="UB435" s="47"/>
      <c r="UC435" s="47"/>
      <c r="UD435" s="47"/>
      <c r="UE435" s="47"/>
      <c r="UF435" s="47"/>
      <c r="UG435" s="47"/>
      <c r="UH435" s="47"/>
      <c r="UI435" s="47"/>
      <c r="UJ435" s="47"/>
      <c r="UK435" s="47"/>
      <c r="UL435" s="47"/>
      <c r="UM435" s="47"/>
      <c r="UN435" s="47"/>
      <c r="UO435" s="47"/>
      <c r="UP435" s="47"/>
      <c r="UQ435" s="47"/>
      <c r="UR435" s="47"/>
      <c r="US435" s="47"/>
      <c r="UT435" s="47"/>
      <c r="UU435" s="47"/>
      <c r="UV435" s="47"/>
      <c r="UW435" s="47"/>
      <c r="UX435" s="47"/>
      <c r="UY435" s="47"/>
      <c r="UZ435" s="47"/>
      <c r="VA435" s="47"/>
      <c r="VB435" s="47"/>
      <c r="VC435" s="47"/>
      <c r="VD435" s="47"/>
      <c r="VE435" s="47"/>
      <c r="VF435" s="47"/>
      <c r="VG435" s="47"/>
      <c r="VH435" s="47"/>
      <c r="VI435" s="47"/>
      <c r="VJ435" s="47"/>
      <c r="VK435" s="47"/>
      <c r="VL435" s="47"/>
      <c r="VM435" s="47"/>
      <c r="VN435" s="47"/>
      <c r="VO435" s="47"/>
      <c r="VP435" s="47"/>
      <c r="VQ435" s="47"/>
      <c r="VR435" s="47"/>
      <c r="VS435" s="47"/>
      <c r="VT435" s="47"/>
      <c r="VU435" s="47"/>
      <c r="VV435" s="47"/>
      <c r="VW435" s="47"/>
      <c r="VX435" s="47"/>
      <c r="VY435" s="47"/>
      <c r="VZ435" s="47"/>
      <c r="WA435" s="47"/>
      <c r="WB435" s="47"/>
      <c r="WC435" s="47"/>
      <c r="WD435" s="47"/>
      <c r="WE435" s="47"/>
      <c r="WF435" s="47"/>
      <c r="WG435" s="47"/>
      <c r="WH435" s="47"/>
      <c r="WI435" s="47"/>
      <c r="WJ435" s="47"/>
      <c r="WK435" s="47"/>
      <c r="WL435" s="47"/>
      <c r="WM435" s="47"/>
      <c r="WN435" s="47"/>
      <c r="WO435" s="47"/>
      <c r="WP435" s="47"/>
      <c r="WQ435" s="47"/>
      <c r="WR435" s="47"/>
      <c r="WS435" s="47"/>
      <c r="WT435" s="47"/>
      <c r="WU435" s="47"/>
      <c r="WV435" s="47"/>
      <c r="WW435" s="47"/>
      <c r="WX435" s="47"/>
      <c r="WY435" s="47"/>
      <c r="WZ435" s="47"/>
      <c r="XA435" s="47"/>
      <c r="XB435" s="47"/>
      <c r="XC435" s="47"/>
      <c r="XD435" s="47"/>
      <c r="XE435" s="47"/>
      <c r="XF435" s="47"/>
      <c r="XG435" s="47"/>
      <c r="XH435" s="47"/>
      <c r="XI435" s="47"/>
      <c r="XJ435" s="47"/>
      <c r="XK435" s="47"/>
      <c r="XL435" s="47"/>
      <c r="XM435" s="47"/>
      <c r="XN435" s="47"/>
      <c r="XO435" s="47"/>
      <c r="XP435" s="47"/>
      <c r="XQ435" s="47"/>
      <c r="XR435" s="47"/>
      <c r="XS435" s="47"/>
      <c r="XT435" s="47"/>
      <c r="XU435" s="47"/>
      <c r="XV435" s="47"/>
      <c r="XW435" s="47"/>
      <c r="XX435" s="47"/>
      <c r="XY435" s="47"/>
      <c r="XZ435" s="47"/>
      <c r="YA435" s="47"/>
      <c r="YB435" s="47"/>
      <c r="YC435" s="47"/>
      <c r="YD435" s="47"/>
      <c r="YE435" s="47"/>
      <c r="YF435" s="47"/>
      <c r="YG435" s="47"/>
      <c r="YH435" s="47"/>
      <c r="YI435" s="47"/>
      <c r="YJ435" s="47"/>
      <c r="YK435" s="47"/>
      <c r="YL435" s="47"/>
      <c r="YM435" s="47"/>
      <c r="YN435" s="47"/>
      <c r="YO435" s="47"/>
      <c r="YP435" s="47"/>
      <c r="YQ435" s="47"/>
      <c r="YR435" s="47"/>
      <c r="YS435" s="47"/>
      <c r="YT435" s="47"/>
      <c r="YU435" s="47"/>
      <c r="YV435" s="47"/>
      <c r="YW435" s="47"/>
      <c r="YX435" s="47"/>
      <c r="YY435" s="47"/>
      <c r="YZ435" s="47"/>
      <c r="ZA435" s="47"/>
      <c r="ZB435" s="47"/>
      <c r="ZC435" s="47"/>
      <c r="ZD435" s="47"/>
      <c r="ZE435" s="47"/>
      <c r="ZF435" s="47"/>
      <c r="ZG435" s="47"/>
      <c r="ZH435" s="47"/>
      <c r="ZI435" s="47"/>
      <c r="ZJ435" s="47"/>
      <c r="ZK435" s="47"/>
      <c r="ZL435" s="47"/>
      <c r="ZM435" s="47"/>
      <c r="ZN435" s="47"/>
      <c r="ZO435" s="47"/>
      <c r="ZP435" s="47"/>
      <c r="ZQ435" s="47"/>
      <c r="ZR435" s="47"/>
      <c r="ZS435" s="47"/>
      <c r="ZT435" s="47"/>
      <c r="ZU435" s="47"/>
      <c r="ZV435" s="47"/>
      <c r="ZW435" s="47"/>
      <c r="ZX435" s="47"/>
      <c r="ZY435" s="617"/>
      <c r="ZZ435" s="622"/>
      <c r="AAA435" s="588"/>
      <c r="AAD435" s="112"/>
      <c r="AAE435" s="551">
        <v>1</v>
      </c>
      <c r="AAF435" s="583" t="s">
        <v>174</v>
      </c>
      <c r="AAG435" s="112"/>
      <c r="AAH435" s="112"/>
      <c r="AAI435" s="77"/>
      <c r="AAJ435" s="56"/>
      <c r="AAK435" s="56"/>
      <c r="AAL435" s="56"/>
      <c r="AAM435" s="112"/>
      <c r="AAN435"/>
      <c r="AAT435" s="23"/>
      <c r="AAU435" s="44"/>
    </row>
    <row r="436" spans="1:732" ht="15" customHeight="1" outlineLevel="1">
      <c r="A436" s="558"/>
      <c r="B436" s="478" t="s">
        <v>165</v>
      </c>
      <c r="C436" s="307"/>
      <c r="D436" s="195"/>
      <c r="E436" s="123"/>
      <c r="F436" s="124"/>
      <c r="G436" s="280"/>
      <c r="H436" s="232"/>
      <c r="I436" s="588"/>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8"/>
      <c r="ZZ436" s="36"/>
      <c r="AAA436" s="588"/>
      <c r="AAD436" s="112"/>
      <c r="AAE436" s="551">
        <v>1</v>
      </c>
      <c r="AAF436" s="583" t="s">
        <v>174</v>
      </c>
      <c r="AAG436" s="112"/>
      <c r="AAH436" s="112"/>
      <c r="AAI436" s="77"/>
      <c r="AAJ436" s="57"/>
      <c r="AAK436" s="57"/>
      <c r="AAL436" s="57"/>
      <c r="AAM436" s="112"/>
      <c r="AAN436"/>
      <c r="AAT436" s="23"/>
      <c r="AAU436" s="44"/>
    </row>
    <row r="437" spans="1:732" ht="18" outlineLevel="1">
      <c r="A437" s="558"/>
      <c r="B437" s="306" t="s">
        <v>28</v>
      </c>
      <c r="C437" s="306"/>
      <c r="D437" s="122"/>
      <c r="E437" s="122"/>
      <c r="F437" s="122"/>
      <c r="G437" s="122"/>
      <c r="H437" s="486">
        <f>AAH437</f>
        <v>41717</v>
      </c>
      <c r="I437" s="627"/>
      <c r="J437" s="59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88"/>
      <c r="AAD437" s="112"/>
      <c r="AAE437" s="551">
        <v>1</v>
      </c>
      <c r="AAF437" s="112"/>
      <c r="AAG437" s="78">
        <f>S.EQCMeeting</f>
        <v>41717</v>
      </c>
      <c r="AAH437" s="78">
        <f>S.EQCMeeting</f>
        <v>41717</v>
      </c>
      <c r="AAI437" s="77"/>
      <c r="AAJ437" s="57"/>
      <c r="AAK437" s="57"/>
      <c r="AAL437" s="57"/>
      <c r="AAM437" s="112"/>
      <c r="AAN437"/>
      <c r="AAT437" s="23"/>
      <c r="AAU437" s="44"/>
    </row>
    <row r="438" spans="1:732" ht="5.25" customHeight="1">
      <c r="A438" s="558"/>
      <c r="B438" s="310"/>
      <c r="C438" s="198"/>
      <c r="D438" s="199"/>
      <c r="E438" s="200"/>
      <c r="F438" s="200"/>
      <c r="G438" s="311"/>
      <c r="H438" s="312"/>
      <c r="I438" s="588"/>
      <c r="J438" s="633"/>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618"/>
      <c r="ZZ438" s="36"/>
      <c r="AAA438" s="588"/>
      <c r="AAD438" s="112"/>
      <c r="AAE438" s="551" t="s">
        <v>26</v>
      </c>
      <c r="AAF438" s="583" t="s">
        <v>174</v>
      </c>
      <c r="AAG438" s="63"/>
      <c r="AAH438" s="63"/>
      <c r="AAI438" s="77"/>
      <c r="AAJ438" s="57"/>
      <c r="AAK438" s="57"/>
      <c r="AAL438" s="57"/>
      <c r="AAM438" s="112"/>
      <c r="AAN438"/>
      <c r="AAT438" s="23"/>
      <c r="AAU438" s="44"/>
    </row>
    <row r="439" spans="1:732" s="23" customFormat="1" ht="18" customHeight="1">
      <c r="A439" s="558"/>
      <c r="B439" s="786" t="s">
        <v>172</v>
      </c>
      <c r="C439" s="786"/>
      <c r="D439" s="786"/>
      <c r="E439" s="786"/>
      <c r="F439" s="786"/>
      <c r="G439" s="786"/>
      <c r="H439" s="786"/>
      <c r="I439" s="627"/>
      <c r="J439" s="63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27</v>
      </c>
      <c r="AAF439" s="583" t="s">
        <v>174</v>
      </c>
      <c r="AAG439" s="77"/>
      <c r="AAH439" s="77"/>
      <c r="AAI439" s="77"/>
      <c r="AAJ439" s="90"/>
      <c r="AAK439" s="90"/>
      <c r="AAL439" s="76"/>
      <c r="AAM439" s="112"/>
      <c r="AAU439" s="44"/>
    </row>
    <row r="440" spans="1:732" s="23" customFormat="1" ht="18" customHeight="1">
      <c r="A440" s="558"/>
      <c r="B440" s="301" t="s">
        <v>15</v>
      </c>
      <c r="C440" s="703"/>
      <c r="D440" s="150" t="s">
        <v>241</v>
      </c>
      <c r="E440" s="151" t="s">
        <v>15</v>
      </c>
      <c r="F440" s="487" t="s">
        <v>2</v>
      </c>
      <c r="G440" s="152" t="s">
        <v>85</v>
      </c>
      <c r="H440" s="152" t="s">
        <v>86</v>
      </c>
      <c r="I440" s="627"/>
      <c r="J440" s="593"/>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c r="OE440" s="48"/>
      <c r="OF440" s="48"/>
      <c r="OG440" s="48"/>
      <c r="OH440" s="48"/>
      <c r="OI440" s="48"/>
      <c r="OJ440" s="48"/>
      <c r="OK440" s="48"/>
      <c r="OL440" s="48"/>
      <c r="OM440" s="48"/>
      <c r="ON440" s="48"/>
      <c r="OO440" s="48"/>
      <c r="OP440" s="48"/>
      <c r="OQ440" s="48"/>
      <c r="OR440" s="48"/>
      <c r="OS440" s="48"/>
      <c r="OT440" s="48"/>
      <c r="OU440" s="48"/>
      <c r="OV440" s="48"/>
      <c r="OW440" s="48"/>
      <c r="OX440" s="48"/>
      <c r="OY440" s="48"/>
      <c r="OZ440" s="48"/>
      <c r="PA440" s="48"/>
      <c r="PB440" s="48"/>
      <c r="PC440" s="48"/>
      <c r="PD440" s="48"/>
      <c r="PE440" s="48"/>
      <c r="PF440" s="48"/>
      <c r="PG440" s="48"/>
      <c r="PH440" s="48"/>
      <c r="PI440" s="48"/>
      <c r="PJ440" s="48"/>
      <c r="PK440" s="48"/>
      <c r="PL440" s="48"/>
      <c r="PM440" s="48"/>
      <c r="PN440" s="48"/>
      <c r="PO440" s="48"/>
      <c r="PP440" s="48"/>
      <c r="PQ440" s="48"/>
      <c r="PR440" s="48"/>
      <c r="PS440" s="48"/>
      <c r="PT440" s="48"/>
      <c r="PU440" s="48"/>
      <c r="PV440" s="48"/>
      <c r="PW440" s="48"/>
      <c r="PX440" s="48"/>
      <c r="PY440" s="48"/>
      <c r="PZ440" s="48"/>
      <c r="QA440" s="48"/>
      <c r="QB440" s="48"/>
      <c r="QC440" s="48"/>
      <c r="QD440" s="48"/>
      <c r="QE440" s="48"/>
      <c r="QF440" s="48"/>
      <c r="QG440" s="48"/>
      <c r="QH440" s="48"/>
      <c r="QI440" s="48"/>
      <c r="QJ440" s="48"/>
      <c r="QK440" s="48"/>
      <c r="QL440" s="48"/>
      <c r="QM440" s="48"/>
      <c r="QN440" s="48"/>
      <c r="QO440" s="48"/>
      <c r="QP440" s="48"/>
      <c r="QQ440" s="48"/>
      <c r="QR440" s="48"/>
      <c r="QS440" s="48"/>
      <c r="QT440" s="48"/>
      <c r="QU440" s="48"/>
      <c r="QV440" s="48"/>
      <c r="QW440" s="48"/>
      <c r="QX440" s="48"/>
      <c r="QY440" s="48"/>
      <c r="QZ440" s="48"/>
      <c r="RA440" s="48"/>
      <c r="RB440" s="48"/>
      <c r="RC440" s="48"/>
      <c r="RD440" s="48"/>
      <c r="RE440" s="48"/>
      <c r="RF440" s="48"/>
      <c r="RG440" s="48"/>
      <c r="RH440" s="48"/>
      <c r="RI440" s="48"/>
      <c r="RJ440" s="48"/>
      <c r="RK440" s="48"/>
      <c r="RL440" s="48"/>
      <c r="RM440" s="48"/>
      <c r="RN440" s="48"/>
      <c r="RO440" s="48"/>
      <c r="RP440" s="48"/>
      <c r="RQ440" s="48"/>
      <c r="RR440" s="48"/>
      <c r="RS440" s="48"/>
      <c r="RT440" s="48"/>
      <c r="RU440" s="48"/>
      <c r="RV440" s="48"/>
      <c r="RW440" s="48"/>
      <c r="RX440" s="48"/>
      <c r="RY440" s="48"/>
      <c r="RZ440" s="48"/>
      <c r="SA440" s="48"/>
      <c r="SB440" s="48"/>
      <c r="SC440" s="48"/>
      <c r="SD440" s="48"/>
      <c r="SE440" s="48"/>
      <c r="SF440" s="48"/>
      <c r="SG440" s="48"/>
      <c r="SH440" s="48"/>
      <c r="SI440" s="48"/>
      <c r="SJ440" s="48"/>
      <c r="SK440" s="48"/>
      <c r="SL440" s="48"/>
      <c r="SM440" s="48"/>
      <c r="SN440" s="48"/>
      <c r="SO440" s="48"/>
      <c r="SP440" s="48"/>
      <c r="SQ440" s="48"/>
      <c r="SR440" s="48"/>
      <c r="SS440" s="48"/>
      <c r="ST440" s="48"/>
      <c r="SU440" s="48"/>
      <c r="SV440" s="48"/>
      <c r="SW440" s="48"/>
      <c r="SX440" s="48"/>
      <c r="SY440" s="48"/>
      <c r="SZ440" s="48"/>
      <c r="TA440" s="48"/>
      <c r="TB440" s="48"/>
      <c r="TC440" s="48"/>
      <c r="TD440" s="48"/>
      <c r="TE440" s="48"/>
      <c r="TF440" s="48"/>
      <c r="TG440" s="48"/>
      <c r="TH440" s="48"/>
      <c r="TI440" s="48"/>
      <c r="TJ440" s="48"/>
      <c r="TK440" s="48"/>
      <c r="TL440" s="48"/>
      <c r="TM440" s="48"/>
      <c r="TN440" s="48"/>
      <c r="TO440" s="48"/>
      <c r="TP440" s="48"/>
      <c r="TQ440" s="48"/>
      <c r="TR440" s="48"/>
      <c r="TS440" s="48"/>
      <c r="TT440" s="48"/>
      <c r="TU440" s="48"/>
      <c r="TV440" s="48"/>
      <c r="TW440" s="48"/>
      <c r="TX440" s="48"/>
      <c r="TY440" s="48"/>
      <c r="TZ440" s="48"/>
      <c r="UA440" s="48"/>
      <c r="UB440" s="48"/>
      <c r="UC440" s="48"/>
      <c r="UD440" s="48"/>
      <c r="UE440" s="48"/>
      <c r="UF440" s="48"/>
      <c r="UG440" s="48"/>
      <c r="UH440" s="48"/>
      <c r="UI440" s="48"/>
      <c r="UJ440" s="48"/>
      <c r="UK440" s="48"/>
      <c r="UL440" s="48"/>
      <c r="UM440" s="48"/>
      <c r="UN440" s="48"/>
      <c r="UO440" s="48"/>
      <c r="UP440" s="48"/>
      <c r="UQ440" s="48"/>
      <c r="UR440" s="48"/>
      <c r="US440" s="48"/>
      <c r="UT440" s="48"/>
      <c r="UU440" s="48"/>
      <c r="UV440" s="48"/>
      <c r="UW440" s="48"/>
      <c r="UX440" s="48"/>
      <c r="UY440" s="48"/>
      <c r="UZ440" s="48"/>
      <c r="VA440" s="48"/>
      <c r="VB440" s="48"/>
      <c r="VC440" s="48"/>
      <c r="VD440" s="48"/>
      <c r="VE440" s="48"/>
      <c r="VF440" s="48"/>
      <c r="VG440" s="48"/>
      <c r="VH440" s="48"/>
      <c r="VI440" s="48"/>
      <c r="VJ440" s="48"/>
      <c r="VK440" s="48"/>
      <c r="VL440" s="48"/>
      <c r="VM440" s="48"/>
      <c r="VN440" s="48"/>
      <c r="VO440" s="48"/>
      <c r="VP440" s="48"/>
      <c r="VQ440" s="48"/>
      <c r="VR440" s="48"/>
      <c r="VS440" s="48"/>
      <c r="VT440" s="48"/>
      <c r="VU440" s="48"/>
      <c r="VV440" s="48"/>
      <c r="VW440" s="48"/>
      <c r="VX440" s="48"/>
      <c r="VY440" s="48"/>
      <c r="VZ440" s="48"/>
      <c r="WA440" s="48"/>
      <c r="WB440" s="48"/>
      <c r="WC440" s="48"/>
      <c r="WD440" s="48"/>
      <c r="WE440" s="48"/>
      <c r="WF440" s="48"/>
      <c r="WG440" s="48"/>
      <c r="WH440" s="48"/>
      <c r="WI440" s="48"/>
      <c r="WJ440" s="48"/>
      <c r="WK440" s="48"/>
      <c r="WL440" s="48"/>
      <c r="WM440" s="48"/>
      <c r="WN440" s="48"/>
      <c r="WO440" s="48"/>
      <c r="WP440" s="48"/>
      <c r="WQ440" s="48"/>
      <c r="WR440" s="48"/>
      <c r="WS440" s="48"/>
      <c r="WT440" s="48"/>
      <c r="WU440" s="48"/>
      <c r="WV440" s="48"/>
      <c r="WW440" s="48"/>
      <c r="WX440" s="48"/>
      <c r="WY440" s="48"/>
      <c r="WZ440" s="48"/>
      <c r="XA440" s="48"/>
      <c r="XB440" s="48"/>
      <c r="XC440" s="48"/>
      <c r="XD440" s="48"/>
      <c r="XE440" s="48"/>
      <c r="XF440" s="48"/>
      <c r="XG440" s="48"/>
      <c r="XH440" s="48"/>
      <c r="XI440" s="48"/>
      <c r="XJ440" s="48"/>
      <c r="XK440" s="48"/>
      <c r="XL440" s="48"/>
      <c r="XM440" s="48"/>
      <c r="XN440" s="48"/>
      <c r="XO440" s="48"/>
      <c r="XP440" s="48"/>
      <c r="XQ440" s="48"/>
      <c r="XR440" s="48"/>
      <c r="XS440" s="48"/>
      <c r="XT440" s="48"/>
      <c r="XU440" s="48"/>
      <c r="XV440" s="48"/>
      <c r="XW440" s="48"/>
      <c r="XX440" s="48"/>
      <c r="XY440" s="48"/>
      <c r="XZ440" s="48"/>
      <c r="YA440" s="48"/>
      <c r="YB440" s="48"/>
      <c r="YC440" s="48"/>
      <c r="YD440" s="48"/>
      <c r="YE440" s="48"/>
      <c r="YF440" s="48"/>
      <c r="YG440" s="48"/>
      <c r="YH440" s="48"/>
      <c r="YI440" s="48"/>
      <c r="YJ440" s="48"/>
      <c r="YK440" s="48"/>
      <c r="YL440" s="48"/>
      <c r="YM440" s="48"/>
      <c r="YN440" s="48"/>
      <c r="YO440" s="48"/>
      <c r="YP440" s="48"/>
      <c r="YQ440" s="48"/>
      <c r="YR440" s="48"/>
      <c r="YS440" s="48"/>
      <c r="YT440" s="48"/>
      <c r="YU440" s="48"/>
      <c r="YV440" s="48"/>
      <c r="YW440" s="48"/>
      <c r="YX440" s="48"/>
      <c r="YY440" s="48"/>
      <c r="YZ440" s="48"/>
      <c r="ZA440" s="48"/>
      <c r="ZB440" s="48"/>
      <c r="ZC440" s="48"/>
      <c r="ZD440" s="48"/>
      <c r="ZE440" s="48"/>
      <c r="ZF440" s="48"/>
      <c r="ZG440" s="48"/>
      <c r="ZH440" s="48"/>
      <c r="ZI440" s="48"/>
      <c r="ZJ440" s="48"/>
      <c r="ZK440" s="48"/>
      <c r="ZL440" s="48"/>
      <c r="ZM440" s="48"/>
      <c r="ZN440" s="48"/>
      <c r="ZO440" s="48"/>
      <c r="ZP440" s="48"/>
      <c r="ZQ440" s="48"/>
      <c r="ZR440" s="48"/>
      <c r="ZS440" s="48"/>
      <c r="ZT440" s="48"/>
      <c r="ZU440" s="48"/>
      <c r="ZV440" s="48"/>
      <c r="ZW440" s="48"/>
      <c r="ZX440" s="48"/>
      <c r="ZY440" s="619"/>
      <c r="ZZ440" s="119"/>
      <c r="AAA440" s="588"/>
      <c r="AAB440"/>
      <c r="AAC440"/>
      <c r="AAD440" s="112"/>
      <c r="AAE440" s="551" t="s">
        <v>245</v>
      </c>
      <c r="AAF440" s="583" t="s">
        <v>174</v>
      </c>
      <c r="AAG440" s="77"/>
      <c r="AAH440" s="77"/>
      <c r="AAI440" s="77"/>
      <c r="AAJ440" s="90"/>
      <c r="AAK440" s="90"/>
      <c r="AAL440" s="76"/>
      <c r="AAM440" s="112"/>
      <c r="AAU440" s="44"/>
    </row>
    <row r="441" spans="1:732" ht="18" customHeight="1">
      <c r="A441" s="558"/>
      <c r="B441" s="223"/>
      <c r="C441" s="224"/>
      <c r="D441" s="313" t="s">
        <v>0</v>
      </c>
      <c r="E441" s="293"/>
      <c r="F441" s="466">
        <f>NETWORKDAYS(S.BANNER.PostEQCStart,S.BANNER.PostEQCEnd,S.DDL_DEQClosed)</f>
        <v>1</v>
      </c>
      <c r="G441" s="314">
        <f>AAG441</f>
        <v>41676</v>
      </c>
      <c r="H441" s="274">
        <f>AAH441</f>
        <v>41778</v>
      </c>
      <c r="I441" s="627"/>
      <c r="J441" s="629"/>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c r="CX441" s="635"/>
      <c r="CY441" s="635"/>
      <c r="CZ441" s="635"/>
      <c r="DA441" s="635"/>
      <c r="DB441" s="635"/>
      <c r="DC441" s="635"/>
      <c r="DD441" s="635"/>
      <c r="DE441" s="635"/>
      <c r="DF441" s="635"/>
      <c r="DG441" s="635"/>
      <c r="DH441" s="635"/>
      <c r="DI441" s="635"/>
      <c r="DJ441" s="635"/>
      <c r="DK441" s="635"/>
      <c r="DL441" s="635"/>
      <c r="DM441" s="635"/>
      <c r="DN441" s="635"/>
      <c r="DO441" s="635"/>
      <c r="DP441" s="635"/>
      <c r="DQ441" s="635"/>
      <c r="DR441" s="635"/>
      <c r="DS441" s="635"/>
      <c r="DT441" s="635"/>
      <c r="DU441" s="635"/>
      <c r="DV441" s="635"/>
      <c r="DW441" s="635"/>
      <c r="DX441" s="635"/>
      <c r="DY441" s="635"/>
      <c r="DZ441" s="635"/>
      <c r="EA441" s="635"/>
      <c r="EB441" s="635"/>
      <c r="EC441" s="635"/>
      <c r="ED441" s="635"/>
      <c r="EE441" s="635"/>
      <c r="EF441" s="635"/>
      <c r="EG441" s="635"/>
      <c r="EH441" s="635"/>
      <c r="EI441" s="635"/>
      <c r="EJ441" s="635"/>
      <c r="EK441" s="635"/>
      <c r="EL441" s="635"/>
      <c r="EM441" s="635"/>
      <c r="EN441" s="635"/>
      <c r="EO441" s="635"/>
      <c r="EP441" s="635"/>
      <c r="EQ441" s="635"/>
      <c r="ER441" s="635"/>
      <c r="ES441" s="635"/>
      <c r="ET441" s="635"/>
      <c r="EU441" s="635"/>
      <c r="EV441" s="635"/>
      <c r="EW441" s="635"/>
      <c r="EX441" s="635"/>
      <c r="EY441" s="635"/>
      <c r="EZ441" s="635"/>
      <c r="FA441" s="635"/>
      <c r="FB441" s="635"/>
      <c r="FC441" s="635"/>
      <c r="FD441" s="635"/>
      <c r="FE441" s="635"/>
      <c r="FF441" s="635"/>
      <c r="FG441" s="635"/>
      <c r="FH441" s="635"/>
      <c r="FI441" s="635"/>
      <c r="FJ441" s="635"/>
      <c r="FK441" s="635"/>
      <c r="FL441" s="635"/>
      <c r="FM441" s="635"/>
      <c r="FN441" s="635"/>
      <c r="FO441" s="635"/>
      <c r="FP441" s="635"/>
      <c r="FQ441" s="635"/>
      <c r="FR441" s="635"/>
      <c r="FS441" s="635"/>
      <c r="FT441" s="635"/>
      <c r="FU441" s="635"/>
      <c r="FV441" s="635"/>
      <c r="FW441" s="635"/>
      <c r="FX441" s="635"/>
      <c r="FY441" s="635"/>
      <c r="FZ441" s="635"/>
      <c r="GA441" s="635"/>
      <c r="GB441" s="635"/>
      <c r="GC441" s="635"/>
      <c r="GD441" s="635"/>
      <c r="GE441" s="635"/>
      <c r="GF441" s="635"/>
      <c r="GG441" s="635"/>
      <c r="GH441" s="635"/>
      <c r="GI441" s="635"/>
      <c r="GJ441" s="635"/>
      <c r="GK441" s="635"/>
      <c r="GL441" s="635"/>
      <c r="GM441" s="635"/>
      <c r="GN441" s="635"/>
      <c r="GO441" s="635"/>
      <c r="GP441" s="635"/>
      <c r="GQ441" s="635"/>
      <c r="GR441" s="635"/>
      <c r="GS441" s="635"/>
      <c r="GT441" s="635"/>
      <c r="GU441" s="635"/>
      <c r="GV441" s="635"/>
      <c r="GW441" s="635"/>
      <c r="GX441" s="635"/>
      <c r="GY441" s="635"/>
      <c r="GZ441" s="635"/>
      <c r="HA441" s="635"/>
      <c r="HB441" s="635"/>
      <c r="HC441" s="635"/>
      <c r="HD441" s="635"/>
      <c r="HE441" s="635"/>
      <c r="HF441" s="635"/>
      <c r="HG441" s="635"/>
      <c r="HH441" s="635"/>
      <c r="HI441" s="635"/>
      <c r="HJ441" s="635"/>
      <c r="HK441" s="635"/>
      <c r="HL441" s="635"/>
      <c r="HM441" s="635"/>
      <c r="HN441" s="635"/>
      <c r="HO441" s="635"/>
      <c r="HP441" s="635"/>
      <c r="HQ441" s="635"/>
      <c r="HR441" s="635"/>
      <c r="HS441" s="635"/>
      <c r="HT441" s="635"/>
      <c r="HU441" s="635"/>
      <c r="HV441" s="635"/>
      <c r="HW441" s="635"/>
      <c r="HX441" s="635"/>
      <c r="HY441" s="635"/>
      <c r="HZ441" s="635"/>
      <c r="IA441" s="635"/>
      <c r="IB441" s="635"/>
      <c r="IC441" s="635"/>
      <c r="ID441" s="635"/>
      <c r="IE441" s="635"/>
      <c r="IF441" s="635"/>
      <c r="IG441" s="635"/>
      <c r="IH441" s="635"/>
      <c r="II441" s="635"/>
      <c r="IJ441" s="635"/>
      <c r="IK441" s="635"/>
      <c r="IL441" s="635"/>
      <c r="IM441" s="635"/>
      <c r="IN441" s="635"/>
      <c r="IO441" s="635"/>
      <c r="IP441" s="635"/>
      <c r="IQ441" s="635"/>
      <c r="IR441" s="635"/>
      <c r="IS441" s="635"/>
      <c r="IT441" s="635"/>
      <c r="IU441" s="635"/>
      <c r="IV441" s="635"/>
      <c r="IW441" s="635"/>
      <c r="IX441" s="635"/>
      <c r="IY441" s="635"/>
      <c r="IZ441" s="635"/>
      <c r="JA441" s="635"/>
      <c r="JB441" s="635"/>
      <c r="JC441" s="635"/>
      <c r="JD441" s="635"/>
      <c r="JE441" s="635"/>
      <c r="JF441" s="635"/>
      <c r="JG441" s="635"/>
      <c r="JH441" s="635"/>
      <c r="JI441" s="635"/>
      <c r="JJ441" s="635"/>
      <c r="JK441" s="635"/>
      <c r="JL441" s="635"/>
      <c r="JM441" s="635"/>
      <c r="JN441" s="635"/>
      <c r="JO441" s="635"/>
      <c r="JP441" s="635"/>
      <c r="JQ441" s="635"/>
      <c r="JR441" s="635"/>
      <c r="JS441" s="635"/>
      <c r="JT441" s="635"/>
      <c r="JU441" s="635"/>
      <c r="JV441" s="635"/>
      <c r="JW441" s="635"/>
      <c r="JX441" s="635"/>
      <c r="JY441" s="635"/>
      <c r="JZ441" s="635"/>
      <c r="KA441" s="635"/>
      <c r="KB441" s="635"/>
      <c r="KC441" s="635"/>
      <c r="KD441" s="635"/>
      <c r="KE441" s="635"/>
      <c r="KF441" s="635"/>
      <c r="KG441" s="635"/>
      <c r="KH441" s="635"/>
      <c r="KI441" s="635"/>
      <c r="KJ441" s="635"/>
      <c r="KK441" s="635"/>
      <c r="KL441" s="635"/>
      <c r="KM441" s="635"/>
      <c r="KN441" s="635"/>
      <c r="KO441" s="635"/>
      <c r="KP441" s="635"/>
      <c r="KQ441" s="635"/>
      <c r="KR441" s="635"/>
      <c r="KS441" s="635"/>
      <c r="KT441" s="635"/>
      <c r="KU441" s="635"/>
      <c r="KV441" s="635"/>
      <c r="KW441" s="635"/>
      <c r="KX441" s="635"/>
      <c r="KY441" s="635"/>
      <c r="KZ441" s="635"/>
      <c r="LA441" s="635"/>
      <c r="LB441" s="635"/>
      <c r="LC441" s="635"/>
      <c r="LD441" s="635"/>
      <c r="LE441" s="635"/>
      <c r="LF441" s="635"/>
      <c r="LG441" s="635"/>
      <c r="LH441" s="635"/>
      <c r="LI441" s="635"/>
      <c r="LJ441" s="635"/>
      <c r="LK441" s="635"/>
      <c r="LL441" s="635"/>
      <c r="LM441" s="635"/>
      <c r="LN441" s="635"/>
      <c r="LO441" s="635"/>
      <c r="LP441" s="635"/>
      <c r="LQ441" s="635"/>
      <c r="LR441" s="635"/>
      <c r="LS441" s="635"/>
      <c r="LT441" s="635"/>
      <c r="LU441" s="635"/>
      <c r="LV441" s="635"/>
      <c r="LW441" s="635"/>
      <c r="LX441" s="635"/>
      <c r="LY441" s="635"/>
      <c r="LZ441" s="635"/>
      <c r="MA441" s="635"/>
      <c r="MB441" s="635"/>
      <c r="MC441" s="635"/>
      <c r="MD441" s="635"/>
      <c r="ME441" s="635"/>
      <c r="MF441" s="635"/>
      <c r="MG441" s="635"/>
      <c r="MH441" s="635"/>
      <c r="MI441" s="635"/>
      <c r="MJ441" s="635"/>
      <c r="MK441" s="635"/>
      <c r="ML441" s="635"/>
      <c r="MM441" s="635"/>
      <c r="MN441" s="635"/>
      <c r="MO441" s="635"/>
      <c r="MP441" s="635"/>
      <c r="MQ441" s="635"/>
      <c r="MR441" s="635"/>
      <c r="MS441" s="635"/>
      <c r="MT441" s="635"/>
      <c r="MU441" s="635"/>
      <c r="MV441" s="635"/>
      <c r="MW441" s="635"/>
      <c r="MX441" s="635"/>
      <c r="MY441" s="635"/>
      <c r="MZ441" s="635"/>
      <c r="NA441" s="635"/>
      <c r="NB441" s="635"/>
      <c r="NC441" s="635"/>
      <c r="ND441" s="635"/>
      <c r="NE441" s="635"/>
      <c r="NF441" s="635"/>
      <c r="NG441" s="635"/>
      <c r="NH441" s="635"/>
      <c r="NI441" s="635"/>
      <c r="NJ441" s="635"/>
      <c r="NK441" s="635"/>
      <c r="NL441" s="635"/>
      <c r="NM441" s="635"/>
      <c r="NN441" s="635"/>
      <c r="NO441" s="635"/>
      <c r="NP441" s="635"/>
      <c r="NQ441" s="635"/>
      <c r="NR441" s="635"/>
      <c r="NS441" s="635"/>
      <c r="NT441" s="635"/>
      <c r="NU441" s="635"/>
      <c r="NV441" s="635"/>
      <c r="NW441" s="635"/>
      <c r="NX441" s="635"/>
      <c r="NY441" s="635"/>
      <c r="NZ441" s="635"/>
      <c r="OA441" s="635"/>
      <c r="OB441" s="635"/>
      <c r="OC441" s="635"/>
      <c r="OD441" s="635"/>
      <c r="OE441" s="635"/>
      <c r="OF441" s="635"/>
      <c r="OG441" s="635"/>
      <c r="OH441" s="635"/>
      <c r="OI441" s="635"/>
      <c r="OJ441" s="635"/>
      <c r="OK441" s="635"/>
      <c r="OL441" s="635"/>
      <c r="OM441" s="635"/>
      <c r="ON441" s="635"/>
      <c r="OO441" s="635"/>
      <c r="OP441" s="635"/>
      <c r="OQ441" s="635"/>
      <c r="OR441" s="635"/>
      <c r="OS441" s="635"/>
      <c r="OT441" s="635"/>
      <c r="OU441" s="635"/>
      <c r="OV441" s="635"/>
      <c r="OW441" s="635"/>
      <c r="OX441" s="635"/>
      <c r="OY441" s="635"/>
      <c r="OZ441" s="635"/>
      <c r="PA441" s="635"/>
      <c r="PB441" s="635"/>
      <c r="PC441" s="635"/>
      <c r="PD441" s="635"/>
      <c r="PE441" s="635"/>
      <c r="PF441" s="635"/>
      <c r="PG441" s="635"/>
      <c r="PH441" s="635"/>
      <c r="PI441" s="635"/>
      <c r="PJ441" s="635"/>
      <c r="PK441" s="635"/>
      <c r="PL441" s="635"/>
      <c r="PM441" s="635"/>
      <c r="PN441" s="635"/>
      <c r="PO441" s="635"/>
      <c r="PP441" s="635"/>
      <c r="PQ441" s="635"/>
      <c r="PR441" s="635"/>
      <c r="PS441" s="635"/>
      <c r="PT441" s="635"/>
      <c r="PU441" s="635"/>
      <c r="PV441" s="635"/>
      <c r="PW441" s="635"/>
      <c r="PX441" s="635"/>
      <c r="PY441" s="635"/>
      <c r="PZ441" s="635"/>
      <c r="QA441" s="635"/>
      <c r="QB441" s="635"/>
      <c r="QC441" s="635"/>
      <c r="QD441" s="635"/>
      <c r="QE441" s="635"/>
      <c r="QF441" s="635"/>
      <c r="QG441" s="635"/>
      <c r="QH441" s="635"/>
      <c r="QI441" s="635"/>
      <c r="QJ441" s="635"/>
      <c r="QK441" s="635"/>
      <c r="QL441" s="635"/>
      <c r="QM441" s="635"/>
      <c r="QN441" s="635"/>
      <c r="QO441" s="635"/>
      <c r="QP441" s="635"/>
      <c r="QQ441" s="635"/>
      <c r="QR441" s="635"/>
      <c r="QS441" s="635"/>
      <c r="QT441" s="635"/>
      <c r="QU441" s="635"/>
      <c r="QV441" s="635"/>
      <c r="QW441" s="635"/>
      <c r="QX441" s="635"/>
      <c r="QY441" s="635"/>
      <c r="QZ441" s="635"/>
      <c r="RA441" s="635"/>
      <c r="RB441" s="635"/>
      <c r="RC441" s="635"/>
      <c r="RD441" s="635"/>
      <c r="RE441" s="635"/>
      <c r="RF441" s="635"/>
      <c r="RG441" s="635"/>
      <c r="RH441" s="635"/>
      <c r="RI441" s="635"/>
      <c r="RJ441" s="635"/>
      <c r="RK441" s="635"/>
      <c r="RL441" s="635"/>
      <c r="RM441" s="635"/>
      <c r="RN441" s="635"/>
      <c r="RO441" s="635"/>
      <c r="RP441" s="635"/>
      <c r="RQ441" s="635"/>
      <c r="RR441" s="635"/>
      <c r="RS441" s="635"/>
      <c r="RT441" s="635"/>
      <c r="RU441" s="635"/>
      <c r="RV441" s="635"/>
      <c r="RW441" s="635"/>
      <c r="RX441" s="635"/>
      <c r="RY441" s="635"/>
      <c r="RZ441" s="635"/>
      <c r="SA441" s="635"/>
      <c r="SB441" s="635"/>
      <c r="SC441" s="635"/>
      <c r="SD441" s="635"/>
      <c r="SE441" s="635"/>
      <c r="SF441" s="635"/>
      <c r="SG441" s="635"/>
      <c r="SH441" s="635"/>
      <c r="SI441" s="635"/>
      <c r="SJ441" s="635"/>
      <c r="SK441" s="635"/>
      <c r="SL441" s="635"/>
      <c r="SM441" s="635"/>
      <c r="SN441" s="635"/>
      <c r="SO441" s="635"/>
      <c r="SP441" s="635"/>
      <c r="SQ441" s="635"/>
      <c r="SR441" s="635"/>
      <c r="SS441" s="635"/>
      <c r="ST441" s="635"/>
      <c r="SU441" s="635"/>
      <c r="SV441" s="635"/>
      <c r="SW441" s="635"/>
      <c r="SX441" s="635"/>
      <c r="SY441" s="635"/>
      <c r="SZ441" s="635"/>
      <c r="TA441" s="635"/>
      <c r="TB441" s="635"/>
      <c r="TC441" s="635"/>
      <c r="TD441" s="635"/>
      <c r="TE441" s="635"/>
      <c r="TF441" s="635"/>
      <c r="TG441" s="635"/>
      <c r="TH441" s="635"/>
      <c r="TI441" s="635"/>
      <c r="TJ441" s="635"/>
      <c r="TK441" s="635"/>
      <c r="TL441" s="635"/>
      <c r="TM441" s="635"/>
      <c r="TN441" s="635"/>
      <c r="TO441" s="635"/>
      <c r="TP441" s="635"/>
      <c r="TQ441" s="635"/>
      <c r="TR441" s="635"/>
      <c r="TS441" s="635"/>
      <c r="TT441" s="635"/>
      <c r="TU441" s="635"/>
      <c r="TV441" s="635"/>
      <c r="TW441" s="635"/>
      <c r="TX441" s="635"/>
      <c r="TY441" s="635"/>
      <c r="TZ441" s="635"/>
      <c r="UA441" s="635"/>
      <c r="UB441" s="635"/>
      <c r="UC441" s="635"/>
      <c r="UD441" s="635"/>
      <c r="UE441" s="635"/>
      <c r="UF441" s="635"/>
      <c r="UG441" s="635"/>
      <c r="UH441" s="635"/>
      <c r="UI441" s="635"/>
      <c r="UJ441" s="635"/>
      <c r="UK441" s="635"/>
      <c r="UL441" s="635"/>
      <c r="UM441" s="635"/>
      <c r="UN441" s="635"/>
      <c r="UO441" s="635"/>
      <c r="UP441" s="635"/>
      <c r="UQ441" s="635"/>
      <c r="UR441" s="635"/>
      <c r="US441" s="635"/>
      <c r="UT441" s="635"/>
      <c r="UU441" s="635"/>
      <c r="UV441" s="635"/>
      <c r="UW441" s="635"/>
      <c r="UX441" s="635"/>
      <c r="UY441" s="635"/>
      <c r="UZ441" s="635"/>
      <c r="VA441" s="635"/>
      <c r="VB441" s="635"/>
      <c r="VC441" s="635"/>
      <c r="VD441" s="635"/>
      <c r="VE441" s="635"/>
      <c r="VF441" s="635"/>
      <c r="VG441" s="635"/>
      <c r="VH441" s="635"/>
      <c r="VI441" s="635"/>
      <c r="VJ441" s="635"/>
      <c r="VK441" s="635"/>
      <c r="VL441" s="635"/>
      <c r="VM441" s="635"/>
      <c r="VN441" s="635"/>
      <c r="VO441" s="635"/>
      <c r="VP441" s="635"/>
      <c r="VQ441" s="635"/>
      <c r="VR441" s="635"/>
      <c r="VS441" s="635"/>
      <c r="VT441" s="635"/>
      <c r="VU441" s="635"/>
      <c r="VV441" s="635"/>
      <c r="VW441" s="635"/>
      <c r="VX441" s="635"/>
      <c r="VY441" s="635"/>
      <c r="VZ441" s="635"/>
      <c r="WA441" s="635"/>
      <c r="WB441" s="635"/>
      <c r="WC441" s="635"/>
      <c r="WD441" s="635"/>
      <c r="WE441" s="635"/>
      <c r="WF441" s="635"/>
      <c r="WG441" s="635"/>
      <c r="WH441" s="635"/>
      <c r="WI441" s="635"/>
      <c r="WJ441" s="635"/>
      <c r="WK441" s="635"/>
      <c r="WL441" s="635"/>
      <c r="WM441" s="635"/>
      <c r="WN441" s="635"/>
      <c r="WO441" s="635"/>
      <c r="WP441" s="635"/>
      <c r="WQ441" s="635"/>
      <c r="WR441" s="635"/>
      <c r="WS441" s="635"/>
      <c r="WT441" s="635"/>
      <c r="WU441" s="635"/>
      <c r="WV441" s="635"/>
      <c r="WW441" s="635"/>
      <c r="WX441" s="635"/>
      <c r="WY441" s="635"/>
      <c r="WZ441" s="635"/>
      <c r="XA441" s="635"/>
      <c r="XB441" s="635"/>
      <c r="XC441" s="635"/>
      <c r="XD441" s="635"/>
      <c r="XE441" s="635"/>
      <c r="XF441" s="635"/>
      <c r="XG441" s="635"/>
      <c r="XH441" s="635"/>
      <c r="XI441" s="635"/>
      <c r="XJ441" s="635"/>
      <c r="XK441" s="635"/>
      <c r="XL441" s="635"/>
      <c r="XM441" s="635"/>
      <c r="XN441" s="635"/>
      <c r="XO441" s="635"/>
      <c r="XP441" s="635"/>
      <c r="XQ441" s="635"/>
      <c r="XR441" s="635"/>
      <c r="XS441" s="635"/>
      <c r="XT441" s="635"/>
      <c r="XU441" s="635"/>
      <c r="XV441" s="635"/>
      <c r="XW441" s="635"/>
      <c r="XX441" s="635"/>
      <c r="XY441" s="635"/>
      <c r="XZ441" s="635"/>
      <c r="YA441" s="635"/>
      <c r="YB441" s="635"/>
      <c r="YC441" s="635"/>
      <c r="YD441" s="635"/>
      <c r="YE441" s="635"/>
      <c r="YF441" s="635"/>
      <c r="YG441" s="635"/>
      <c r="YH441" s="635"/>
      <c r="YI441" s="635"/>
      <c r="YJ441" s="635"/>
      <c r="YK441" s="635"/>
      <c r="YL441" s="635"/>
      <c r="YM441" s="635"/>
      <c r="YN441" s="635"/>
      <c r="YO441" s="635"/>
      <c r="YP441" s="635"/>
      <c r="YQ441" s="635"/>
      <c r="YR441" s="635"/>
      <c r="YS441" s="635"/>
      <c r="YT441" s="635"/>
      <c r="YU441" s="635"/>
      <c r="YV441" s="635"/>
      <c r="YW441" s="635"/>
      <c r="YX441" s="635"/>
      <c r="YY441" s="635"/>
      <c r="YZ441" s="635"/>
      <c r="ZA441" s="635"/>
      <c r="ZB441" s="635"/>
      <c r="ZC441" s="635"/>
      <c r="ZD441" s="635"/>
      <c r="ZE441" s="635"/>
      <c r="ZF441" s="635"/>
      <c r="ZG441" s="635"/>
      <c r="ZH441" s="635"/>
      <c r="ZI441" s="635"/>
      <c r="ZJ441" s="635"/>
      <c r="ZK441" s="635"/>
      <c r="ZL441" s="635"/>
      <c r="ZM441" s="635"/>
      <c r="ZN441" s="635"/>
      <c r="ZO441" s="635"/>
      <c r="ZP441" s="635"/>
      <c r="ZQ441" s="635"/>
      <c r="ZR441" s="635"/>
      <c r="ZS441" s="635"/>
      <c r="ZT441" s="635"/>
      <c r="ZU441" s="635"/>
      <c r="ZV441" s="635"/>
      <c r="ZW441" s="635"/>
      <c r="ZX441" s="635"/>
      <c r="ZY441" s="638"/>
      <c r="ZZ441" s="119"/>
      <c r="AAA441" s="588"/>
      <c r="AAD441" s="112"/>
      <c r="AAE441" s="551" t="s">
        <v>245</v>
      </c>
      <c r="AAF441" s="583" t="s">
        <v>174</v>
      </c>
      <c r="AAG441" s="78">
        <f>S.SubmitStaffRpt</f>
        <v>41676</v>
      </c>
      <c r="AAH441" s="78">
        <f>WORKDAY(S.EQCMeeting+60,1,S.DDL_DEQClosed)</f>
        <v>41778</v>
      </c>
      <c r="AAI441" s="77"/>
      <c r="AAJ441" s="57"/>
      <c r="AAK441" s="57"/>
      <c r="AAL441" s="57"/>
      <c r="AAM441" s="112"/>
      <c r="AAN441"/>
      <c r="AAT441" s="23"/>
      <c r="AAU441" s="44"/>
    </row>
    <row r="442" spans="1:732" ht="6" customHeight="1">
      <c r="A442" s="558"/>
      <c r="B442" s="206"/>
      <c r="C442" s="688"/>
      <c r="D442" s="180"/>
      <c r="E442" s="181"/>
      <c r="F442" s="181"/>
      <c r="G442" s="180"/>
      <c r="H442" s="180"/>
      <c r="I442" s="588"/>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588"/>
      <c r="AAD442" s="112"/>
      <c r="AAE442" s="551" t="s">
        <v>20</v>
      </c>
      <c r="AAF442" s="583" t="s">
        <v>174</v>
      </c>
      <c r="AAG442" s="63"/>
      <c r="AAH442" s="63"/>
      <c r="AAI442" s="77"/>
      <c r="AAJ442" s="57"/>
      <c r="AAK442" s="57"/>
      <c r="AAL442" s="57"/>
      <c r="AAM442" s="112"/>
      <c r="AAN442"/>
      <c r="AAT442" s="23"/>
      <c r="AAU442" s="44"/>
    </row>
    <row r="443" spans="1:732" ht="16.5" customHeight="1" outlineLevel="2">
      <c r="A443" s="558"/>
      <c r="B443" s="462" t="s">
        <v>162</v>
      </c>
      <c r="C443" s="689"/>
      <c r="D443" s="145"/>
      <c r="E443" s="146"/>
      <c r="F443" s="146"/>
      <c r="G443" s="161"/>
      <c r="H443" s="161"/>
      <c r="I443" s="588"/>
      <c r="J443" s="631"/>
      <c r="K443" s="630"/>
      <c r="L443" s="630"/>
      <c r="M443" s="630"/>
      <c r="N443" s="630"/>
      <c r="O443" s="630"/>
      <c r="P443" s="630"/>
      <c r="Q443" s="630"/>
      <c r="R443" s="630"/>
      <c r="S443" s="630"/>
      <c r="T443" s="630"/>
      <c r="U443" s="630"/>
      <c r="V443" s="630"/>
      <c r="W443" s="630"/>
      <c r="X443" s="630"/>
      <c r="Y443" s="630"/>
      <c r="Z443" s="630"/>
      <c r="AA443" s="630"/>
      <c r="AB443" s="630"/>
      <c r="AC443" s="630"/>
      <c r="AD443" s="630"/>
      <c r="AE443" s="630"/>
      <c r="AF443" s="630"/>
      <c r="AG443" s="630"/>
      <c r="AH443" s="630"/>
      <c r="AI443" s="630"/>
      <c r="AJ443" s="630"/>
      <c r="AK443" s="630"/>
      <c r="AL443" s="630"/>
      <c r="AM443" s="630"/>
      <c r="AN443" s="630"/>
      <c r="AO443" s="630"/>
      <c r="AP443" s="630"/>
      <c r="AQ443" s="630"/>
      <c r="AR443" s="630"/>
      <c r="AS443" s="630"/>
      <c r="AT443" s="630"/>
      <c r="AU443" s="630"/>
      <c r="AV443" s="630"/>
      <c r="AW443" s="630"/>
      <c r="AX443" s="630"/>
      <c r="AY443" s="630"/>
      <c r="AZ443" s="630"/>
      <c r="BA443" s="630"/>
      <c r="BB443" s="630"/>
      <c r="BC443" s="630"/>
      <c r="BD443" s="630"/>
      <c r="BE443" s="630"/>
      <c r="BF443" s="630"/>
      <c r="BG443" s="630"/>
      <c r="BH443" s="630"/>
      <c r="BI443" s="630"/>
      <c r="BJ443" s="630"/>
      <c r="BK443" s="630"/>
      <c r="BL443" s="630"/>
      <c r="BM443" s="630"/>
      <c r="BN443" s="630"/>
      <c r="BO443" s="630"/>
      <c r="BP443" s="630"/>
      <c r="BQ443" s="630"/>
      <c r="BR443" s="630"/>
      <c r="BS443" s="630"/>
      <c r="BT443" s="630"/>
      <c r="BU443" s="630"/>
      <c r="BV443" s="630"/>
      <c r="BW443" s="630"/>
      <c r="BX443" s="630"/>
      <c r="BY443" s="630"/>
      <c r="BZ443" s="630"/>
      <c r="CA443" s="630"/>
      <c r="CB443" s="630"/>
      <c r="CC443" s="630"/>
      <c r="CD443" s="630"/>
      <c r="CE443" s="630"/>
      <c r="CF443" s="630"/>
      <c r="CG443" s="630"/>
      <c r="CH443" s="630"/>
      <c r="CI443" s="630"/>
      <c r="CJ443" s="630"/>
      <c r="CK443" s="630"/>
      <c r="CL443" s="630"/>
      <c r="CM443" s="630"/>
      <c r="CN443" s="630"/>
      <c r="CO443" s="630"/>
      <c r="CP443" s="630"/>
      <c r="CQ443" s="630"/>
      <c r="CR443" s="630"/>
      <c r="CS443" s="630"/>
      <c r="CT443" s="630"/>
      <c r="CU443" s="630"/>
      <c r="CV443" s="630"/>
      <c r="CW443" s="630"/>
      <c r="CX443" s="630"/>
      <c r="CY443" s="630"/>
      <c r="CZ443" s="630"/>
      <c r="DA443" s="630"/>
      <c r="DB443" s="630"/>
      <c r="DC443" s="630"/>
      <c r="DD443" s="630"/>
      <c r="DE443" s="630"/>
      <c r="DF443" s="630"/>
      <c r="DG443" s="630"/>
      <c r="DH443" s="630"/>
      <c r="DI443" s="630"/>
      <c r="DJ443" s="630"/>
      <c r="DK443" s="630"/>
      <c r="DL443" s="630"/>
      <c r="DM443" s="630"/>
      <c r="DN443" s="630"/>
      <c r="DO443" s="630"/>
      <c r="DP443" s="630"/>
      <c r="DQ443" s="630"/>
      <c r="DR443" s="630"/>
      <c r="DS443" s="630"/>
      <c r="DT443" s="630"/>
      <c r="DU443" s="630"/>
      <c r="DV443" s="630"/>
      <c r="DW443" s="630"/>
      <c r="DX443" s="630"/>
      <c r="DY443" s="630"/>
      <c r="DZ443" s="630"/>
      <c r="EA443" s="630"/>
      <c r="EB443" s="630"/>
      <c r="EC443" s="630"/>
      <c r="ED443" s="630"/>
      <c r="EE443" s="630"/>
      <c r="EF443" s="630"/>
      <c r="EG443" s="630"/>
      <c r="EH443" s="630"/>
      <c r="EI443" s="630"/>
      <c r="EJ443" s="630"/>
      <c r="EK443" s="630"/>
      <c r="EL443" s="630"/>
      <c r="EM443" s="630"/>
      <c r="EN443" s="630"/>
      <c r="EO443" s="630"/>
      <c r="EP443" s="630"/>
      <c r="EQ443" s="630"/>
      <c r="ER443" s="630"/>
      <c r="ES443" s="630"/>
      <c r="ET443" s="630"/>
      <c r="EU443" s="630"/>
      <c r="EV443" s="630"/>
      <c r="EW443" s="630"/>
      <c r="EX443" s="630"/>
      <c r="EY443" s="630"/>
      <c r="EZ443" s="630"/>
      <c r="FA443" s="630"/>
      <c r="FB443" s="630"/>
      <c r="FC443" s="630"/>
      <c r="FD443" s="630"/>
      <c r="FE443" s="630"/>
      <c r="FF443" s="630"/>
      <c r="FG443" s="630"/>
      <c r="FH443" s="630"/>
      <c r="FI443" s="630"/>
      <c r="FJ443" s="630"/>
      <c r="FK443" s="630"/>
      <c r="FL443" s="630"/>
      <c r="FM443" s="630"/>
      <c r="FN443" s="630"/>
      <c r="FO443" s="630"/>
      <c r="FP443" s="630"/>
      <c r="FQ443" s="630"/>
      <c r="FR443" s="630"/>
      <c r="FS443" s="630"/>
      <c r="FT443" s="630"/>
      <c r="FU443" s="630"/>
      <c r="FV443" s="630"/>
      <c r="FW443" s="630"/>
      <c r="FX443" s="630"/>
      <c r="FY443" s="630"/>
      <c r="FZ443" s="630"/>
      <c r="GA443" s="630"/>
      <c r="GB443" s="630"/>
      <c r="GC443" s="630"/>
      <c r="GD443" s="630"/>
      <c r="GE443" s="630"/>
      <c r="GF443" s="630"/>
      <c r="GG443" s="630"/>
      <c r="GH443" s="630"/>
      <c r="GI443" s="630"/>
      <c r="GJ443" s="630"/>
      <c r="GK443" s="630"/>
      <c r="GL443" s="630"/>
      <c r="GM443" s="630"/>
      <c r="GN443" s="630"/>
      <c r="GO443" s="630"/>
      <c r="GP443" s="630"/>
      <c r="GQ443" s="630"/>
      <c r="GR443" s="630"/>
      <c r="GS443" s="630"/>
      <c r="GT443" s="630"/>
      <c r="GU443" s="630"/>
      <c r="GV443" s="630"/>
      <c r="GW443" s="630"/>
      <c r="GX443" s="630"/>
      <c r="GY443" s="630"/>
      <c r="GZ443" s="630"/>
      <c r="HA443" s="630"/>
      <c r="HB443" s="630"/>
      <c r="HC443" s="630"/>
      <c r="HD443" s="630"/>
      <c r="HE443" s="630"/>
      <c r="HF443" s="630"/>
      <c r="HG443" s="630"/>
      <c r="HH443" s="630"/>
      <c r="HI443" s="630"/>
      <c r="HJ443" s="630"/>
      <c r="HK443" s="630"/>
      <c r="HL443" s="630"/>
      <c r="HM443" s="630"/>
      <c r="HN443" s="630"/>
      <c r="HO443" s="630"/>
      <c r="HP443" s="630"/>
      <c r="HQ443" s="630"/>
      <c r="HR443" s="630"/>
      <c r="HS443" s="630"/>
      <c r="HT443" s="630"/>
      <c r="HU443" s="630"/>
      <c r="HV443" s="630"/>
      <c r="HW443" s="630"/>
      <c r="HX443" s="630"/>
      <c r="HY443" s="630"/>
      <c r="HZ443" s="630"/>
      <c r="IA443" s="630"/>
      <c r="IB443" s="630"/>
      <c r="IC443" s="630"/>
      <c r="ID443" s="630"/>
      <c r="IE443" s="630"/>
      <c r="IF443" s="630"/>
      <c r="IG443" s="630"/>
      <c r="IH443" s="630"/>
      <c r="II443" s="630"/>
      <c r="IJ443" s="630"/>
      <c r="IK443" s="630"/>
      <c r="IL443" s="630"/>
      <c r="IM443" s="630"/>
      <c r="IN443" s="630"/>
      <c r="IO443" s="630"/>
      <c r="IP443" s="630"/>
      <c r="IQ443" s="630"/>
      <c r="IR443" s="630"/>
      <c r="IS443" s="630"/>
      <c r="IT443" s="630"/>
      <c r="IU443" s="630"/>
      <c r="IV443" s="630"/>
      <c r="IW443" s="630"/>
      <c r="IX443" s="630"/>
      <c r="IY443" s="630"/>
      <c r="IZ443" s="630"/>
      <c r="JA443" s="630"/>
      <c r="JB443" s="630"/>
      <c r="JC443" s="630"/>
      <c r="JD443" s="630"/>
      <c r="JE443" s="630"/>
      <c r="JF443" s="630"/>
      <c r="JG443" s="630"/>
      <c r="JH443" s="630"/>
      <c r="JI443" s="630"/>
      <c r="JJ443" s="630"/>
      <c r="JK443" s="630"/>
      <c r="JL443" s="630"/>
      <c r="JM443" s="630"/>
      <c r="JN443" s="630"/>
      <c r="JO443" s="630"/>
      <c r="JP443" s="630"/>
      <c r="JQ443" s="630"/>
      <c r="JR443" s="630"/>
      <c r="JS443" s="630"/>
      <c r="JT443" s="630"/>
      <c r="JU443" s="630"/>
      <c r="JV443" s="630"/>
      <c r="JW443" s="630"/>
      <c r="JX443" s="630"/>
      <c r="JY443" s="630"/>
      <c r="JZ443" s="630"/>
      <c r="KA443" s="630"/>
      <c r="KB443" s="630"/>
      <c r="KC443" s="630"/>
      <c r="KD443" s="630"/>
      <c r="KE443" s="630"/>
      <c r="KF443" s="630"/>
      <c r="KG443" s="630"/>
      <c r="KH443" s="630"/>
      <c r="KI443" s="630"/>
      <c r="KJ443" s="630"/>
      <c r="KK443" s="630"/>
      <c r="KL443" s="630"/>
      <c r="KM443" s="630"/>
      <c r="KN443" s="630"/>
      <c r="KO443" s="630"/>
      <c r="KP443" s="630"/>
      <c r="KQ443" s="630"/>
      <c r="KR443" s="630"/>
      <c r="KS443" s="630"/>
      <c r="KT443" s="630"/>
      <c r="KU443" s="630"/>
      <c r="KV443" s="630"/>
      <c r="KW443" s="630"/>
      <c r="KX443" s="630"/>
      <c r="KY443" s="630"/>
      <c r="KZ443" s="630"/>
      <c r="LA443" s="630"/>
      <c r="LB443" s="630"/>
      <c r="LC443" s="630"/>
      <c r="LD443" s="630"/>
      <c r="LE443" s="630"/>
      <c r="LF443" s="630"/>
      <c r="LG443" s="630"/>
      <c r="LH443" s="630"/>
      <c r="LI443" s="630"/>
      <c r="LJ443" s="630"/>
      <c r="LK443" s="630"/>
      <c r="LL443" s="630"/>
      <c r="LM443" s="630"/>
      <c r="LN443" s="630"/>
      <c r="LO443" s="630"/>
      <c r="LP443" s="630"/>
      <c r="LQ443" s="630"/>
      <c r="LR443" s="630"/>
      <c r="LS443" s="630"/>
      <c r="LT443" s="630"/>
      <c r="LU443" s="630"/>
      <c r="LV443" s="630"/>
      <c r="LW443" s="630"/>
      <c r="LX443" s="630"/>
      <c r="LY443" s="630"/>
      <c r="LZ443" s="630"/>
      <c r="MA443" s="630"/>
      <c r="MB443" s="630"/>
      <c r="MC443" s="630"/>
      <c r="MD443" s="630"/>
      <c r="ME443" s="630"/>
      <c r="MF443" s="630"/>
      <c r="MG443" s="630"/>
      <c r="MH443" s="630"/>
      <c r="MI443" s="630"/>
      <c r="MJ443" s="630"/>
      <c r="MK443" s="630"/>
      <c r="ML443" s="630"/>
      <c r="MM443" s="630"/>
      <c r="MN443" s="630"/>
      <c r="MO443" s="630"/>
      <c r="MP443" s="630"/>
      <c r="MQ443" s="630"/>
      <c r="MR443" s="630"/>
      <c r="MS443" s="630"/>
      <c r="MT443" s="630"/>
      <c r="MU443" s="630"/>
      <c r="MV443" s="630"/>
      <c r="MW443" s="630"/>
      <c r="MX443" s="630"/>
      <c r="MY443" s="630"/>
      <c r="MZ443" s="630"/>
      <c r="NA443" s="630"/>
      <c r="NB443" s="630"/>
      <c r="NC443" s="630"/>
      <c r="ND443" s="630"/>
      <c r="NE443" s="630"/>
      <c r="NF443" s="630"/>
      <c r="NG443" s="630"/>
      <c r="NH443" s="630"/>
      <c r="NI443" s="630"/>
      <c r="NJ443" s="630"/>
      <c r="NK443" s="630"/>
      <c r="NL443" s="630"/>
      <c r="NM443" s="630"/>
      <c r="NN443" s="630"/>
      <c r="NO443" s="630"/>
      <c r="NP443" s="630"/>
      <c r="NQ443" s="630"/>
      <c r="NR443" s="630"/>
      <c r="NS443" s="630"/>
      <c r="NT443" s="630"/>
      <c r="NU443" s="630"/>
      <c r="NV443" s="630"/>
      <c r="NW443" s="630"/>
      <c r="NX443" s="630"/>
      <c r="NY443" s="630"/>
      <c r="NZ443" s="630"/>
      <c r="OA443" s="630"/>
      <c r="OB443" s="630"/>
      <c r="OC443" s="630"/>
      <c r="OD443" s="630"/>
      <c r="OE443" s="630"/>
      <c r="OF443" s="630"/>
      <c r="OG443" s="630"/>
      <c r="OH443" s="630"/>
      <c r="OI443" s="630"/>
      <c r="OJ443" s="630"/>
      <c r="OK443" s="630"/>
      <c r="OL443" s="630"/>
      <c r="OM443" s="630"/>
      <c r="ON443" s="630"/>
      <c r="OO443" s="630"/>
      <c r="OP443" s="630"/>
      <c r="OQ443" s="630"/>
      <c r="OR443" s="630"/>
      <c r="OS443" s="630"/>
      <c r="OT443" s="630"/>
      <c r="OU443" s="630"/>
      <c r="OV443" s="630"/>
      <c r="OW443" s="630"/>
      <c r="OX443" s="630"/>
      <c r="OY443" s="630"/>
      <c r="OZ443" s="630"/>
      <c r="PA443" s="630"/>
      <c r="PB443" s="630"/>
      <c r="PC443" s="630"/>
      <c r="PD443" s="630"/>
      <c r="PE443" s="630"/>
      <c r="PF443" s="630"/>
      <c r="PG443" s="630"/>
      <c r="PH443" s="630"/>
      <c r="PI443" s="630"/>
      <c r="PJ443" s="630"/>
      <c r="PK443" s="630"/>
      <c r="PL443" s="630"/>
      <c r="PM443" s="630"/>
      <c r="PN443" s="630"/>
      <c r="PO443" s="630"/>
      <c r="PP443" s="630"/>
      <c r="PQ443" s="630"/>
      <c r="PR443" s="630"/>
      <c r="PS443" s="630"/>
      <c r="PT443" s="630"/>
      <c r="PU443" s="630"/>
      <c r="PV443" s="630"/>
      <c r="PW443" s="630"/>
      <c r="PX443" s="630"/>
      <c r="PY443" s="630"/>
      <c r="PZ443" s="630"/>
      <c r="QA443" s="630"/>
      <c r="QB443" s="630"/>
      <c r="QC443" s="630"/>
      <c r="QD443" s="630"/>
      <c r="QE443" s="630"/>
      <c r="QF443" s="630"/>
      <c r="QG443" s="630"/>
      <c r="QH443" s="630"/>
      <c r="QI443" s="630"/>
      <c r="QJ443" s="630"/>
      <c r="QK443" s="630"/>
      <c r="QL443" s="630"/>
      <c r="QM443" s="630"/>
      <c r="QN443" s="630"/>
      <c r="QO443" s="630"/>
      <c r="QP443" s="630"/>
      <c r="QQ443" s="630"/>
      <c r="QR443" s="630"/>
      <c r="QS443" s="630"/>
      <c r="QT443" s="630"/>
      <c r="QU443" s="630"/>
      <c r="QV443" s="630"/>
      <c r="QW443" s="630"/>
      <c r="QX443" s="630"/>
      <c r="QY443" s="630"/>
      <c r="QZ443" s="630"/>
      <c r="RA443" s="630"/>
      <c r="RB443" s="630"/>
      <c r="RC443" s="630"/>
      <c r="RD443" s="630"/>
      <c r="RE443" s="630"/>
      <c r="RF443" s="630"/>
      <c r="RG443" s="630"/>
      <c r="RH443" s="630"/>
      <c r="RI443" s="630"/>
      <c r="RJ443" s="630"/>
      <c r="RK443" s="630"/>
      <c r="RL443" s="630"/>
      <c r="RM443" s="630"/>
      <c r="RN443" s="630"/>
      <c r="RO443" s="630"/>
      <c r="RP443" s="630"/>
      <c r="RQ443" s="630"/>
      <c r="RR443" s="630"/>
      <c r="RS443" s="630"/>
      <c r="RT443" s="630"/>
      <c r="RU443" s="630"/>
      <c r="RV443" s="630"/>
      <c r="RW443" s="630"/>
      <c r="RX443" s="630"/>
      <c r="RY443" s="630"/>
      <c r="RZ443" s="630"/>
      <c r="SA443" s="630"/>
      <c r="SB443" s="630"/>
      <c r="SC443" s="630"/>
      <c r="SD443" s="630"/>
      <c r="SE443" s="630"/>
      <c r="SF443" s="630"/>
      <c r="SG443" s="630"/>
      <c r="SH443" s="630"/>
      <c r="SI443" s="630"/>
      <c r="SJ443" s="630"/>
      <c r="SK443" s="630"/>
      <c r="SL443" s="630"/>
      <c r="SM443" s="630"/>
      <c r="SN443" s="630"/>
      <c r="SO443" s="630"/>
      <c r="SP443" s="630"/>
      <c r="SQ443" s="630"/>
      <c r="SR443" s="630"/>
      <c r="SS443" s="630"/>
      <c r="ST443" s="630"/>
      <c r="SU443" s="630"/>
      <c r="SV443" s="630"/>
      <c r="SW443" s="630"/>
      <c r="SX443" s="630"/>
      <c r="SY443" s="630"/>
      <c r="SZ443" s="630"/>
      <c r="TA443" s="630"/>
      <c r="TB443" s="630"/>
      <c r="TC443" s="630"/>
      <c r="TD443" s="630"/>
      <c r="TE443" s="630"/>
      <c r="TF443" s="630"/>
      <c r="TG443" s="630"/>
      <c r="TH443" s="630"/>
      <c r="TI443" s="630"/>
      <c r="TJ443" s="630"/>
      <c r="TK443" s="630"/>
      <c r="TL443" s="630"/>
      <c r="TM443" s="630"/>
      <c r="TN443" s="630"/>
      <c r="TO443" s="630"/>
      <c r="TP443" s="630"/>
      <c r="TQ443" s="630"/>
      <c r="TR443" s="630"/>
      <c r="TS443" s="630"/>
      <c r="TT443" s="630"/>
      <c r="TU443" s="630"/>
      <c r="TV443" s="630"/>
      <c r="TW443" s="630"/>
      <c r="TX443" s="630"/>
      <c r="TY443" s="630"/>
      <c r="TZ443" s="630"/>
      <c r="UA443" s="630"/>
      <c r="UB443" s="630"/>
      <c r="UC443" s="630"/>
      <c r="UD443" s="630"/>
      <c r="UE443" s="630"/>
      <c r="UF443" s="630"/>
      <c r="UG443" s="630"/>
      <c r="UH443" s="630"/>
      <c r="UI443" s="630"/>
      <c r="UJ443" s="630"/>
      <c r="UK443" s="630"/>
      <c r="UL443" s="630"/>
      <c r="UM443" s="630"/>
      <c r="UN443" s="630"/>
      <c r="UO443" s="630"/>
      <c r="UP443" s="630"/>
      <c r="UQ443" s="630"/>
      <c r="UR443" s="630"/>
      <c r="US443" s="630"/>
      <c r="UT443" s="630"/>
      <c r="UU443" s="630"/>
      <c r="UV443" s="630"/>
      <c r="UW443" s="630"/>
      <c r="UX443" s="630"/>
      <c r="UY443" s="630"/>
      <c r="UZ443" s="630"/>
      <c r="VA443" s="630"/>
      <c r="VB443" s="630"/>
      <c r="VC443" s="630"/>
      <c r="VD443" s="630"/>
      <c r="VE443" s="630"/>
      <c r="VF443" s="630"/>
      <c r="VG443" s="630"/>
      <c r="VH443" s="630"/>
      <c r="VI443" s="630"/>
      <c r="VJ443" s="630"/>
      <c r="VK443" s="630"/>
      <c r="VL443" s="630"/>
      <c r="VM443" s="630"/>
      <c r="VN443" s="630"/>
      <c r="VO443" s="630"/>
      <c r="VP443" s="630"/>
      <c r="VQ443" s="630"/>
      <c r="VR443" s="630"/>
      <c r="VS443" s="630"/>
      <c r="VT443" s="630"/>
      <c r="VU443" s="630"/>
      <c r="VV443" s="630"/>
      <c r="VW443" s="630"/>
      <c r="VX443" s="630"/>
      <c r="VY443" s="630"/>
      <c r="VZ443" s="630"/>
      <c r="WA443" s="630"/>
      <c r="WB443" s="630"/>
      <c r="WC443" s="630"/>
      <c r="WD443" s="630"/>
      <c r="WE443" s="630"/>
      <c r="WF443" s="630"/>
      <c r="WG443" s="630"/>
      <c r="WH443" s="630"/>
      <c r="WI443" s="630"/>
      <c r="WJ443" s="630"/>
      <c r="WK443" s="630"/>
      <c r="WL443" s="630"/>
      <c r="WM443" s="630"/>
      <c r="WN443" s="630"/>
      <c r="WO443" s="630"/>
      <c r="WP443" s="630"/>
      <c r="WQ443" s="630"/>
      <c r="WR443" s="630"/>
      <c r="WS443" s="630"/>
      <c r="WT443" s="630"/>
      <c r="WU443" s="630"/>
      <c r="WV443" s="630"/>
      <c r="WW443" s="630"/>
      <c r="WX443" s="630"/>
      <c r="WY443" s="630"/>
      <c r="WZ443" s="630"/>
      <c r="XA443" s="630"/>
      <c r="XB443" s="630"/>
      <c r="XC443" s="630"/>
      <c r="XD443" s="630"/>
      <c r="XE443" s="630"/>
      <c r="XF443" s="630"/>
      <c r="XG443" s="630"/>
      <c r="XH443" s="630"/>
      <c r="XI443" s="630"/>
      <c r="XJ443" s="630"/>
      <c r="XK443" s="630"/>
      <c r="XL443" s="630"/>
      <c r="XM443" s="630"/>
      <c r="XN443" s="630"/>
      <c r="XO443" s="630"/>
      <c r="XP443" s="630"/>
      <c r="XQ443" s="630"/>
      <c r="XR443" s="630"/>
      <c r="XS443" s="630"/>
      <c r="XT443" s="630"/>
      <c r="XU443" s="630"/>
      <c r="XV443" s="630"/>
      <c r="XW443" s="630"/>
      <c r="XX443" s="630"/>
      <c r="XY443" s="630"/>
      <c r="XZ443" s="630"/>
      <c r="YA443" s="630"/>
      <c r="YB443" s="630"/>
      <c r="YC443" s="630"/>
      <c r="YD443" s="630"/>
      <c r="YE443" s="630"/>
      <c r="YF443" s="630"/>
      <c r="YG443" s="630"/>
      <c r="YH443" s="630"/>
      <c r="YI443" s="630"/>
      <c r="YJ443" s="630"/>
      <c r="YK443" s="630"/>
      <c r="YL443" s="630"/>
      <c r="YM443" s="630"/>
      <c r="YN443" s="630"/>
      <c r="YO443" s="630"/>
      <c r="YP443" s="630"/>
      <c r="YQ443" s="630"/>
      <c r="YR443" s="630"/>
      <c r="YS443" s="630"/>
      <c r="YT443" s="630"/>
      <c r="YU443" s="630"/>
      <c r="YV443" s="630"/>
      <c r="YW443" s="630"/>
      <c r="YX443" s="630"/>
      <c r="YY443" s="630"/>
      <c r="YZ443" s="630"/>
      <c r="ZA443" s="630"/>
      <c r="ZB443" s="630"/>
      <c r="ZC443" s="630"/>
      <c r="ZD443" s="630"/>
      <c r="ZE443" s="630"/>
      <c r="ZF443" s="630"/>
      <c r="ZG443" s="630"/>
      <c r="ZH443" s="630"/>
      <c r="ZI443" s="630"/>
      <c r="ZJ443" s="630"/>
      <c r="ZK443" s="630"/>
      <c r="ZL443" s="630"/>
      <c r="ZM443" s="630"/>
      <c r="ZN443" s="630"/>
      <c r="ZO443" s="630"/>
      <c r="ZP443" s="630"/>
      <c r="ZQ443" s="630"/>
      <c r="ZR443" s="630"/>
      <c r="ZS443" s="630"/>
      <c r="ZT443" s="630"/>
      <c r="ZU443" s="630"/>
      <c r="ZV443" s="630"/>
      <c r="ZW443" s="630"/>
      <c r="ZX443" s="630"/>
      <c r="ZY443" s="643"/>
      <c r="ZZ443" s="32"/>
      <c r="AAA443" s="588"/>
      <c r="AAD443" s="112"/>
      <c r="AAE443" s="551">
        <v>0</v>
      </c>
      <c r="AAF443" s="583" t="s">
        <v>174</v>
      </c>
      <c r="AAG443" s="63"/>
      <c r="AAH443" s="63"/>
      <c r="AAI443" s="77"/>
      <c r="AAJ443" s="57"/>
      <c r="AAK443" s="57"/>
      <c r="AAL443" s="57"/>
      <c r="AAM443" s="112"/>
      <c r="AAN443"/>
      <c r="AAT443" s="23"/>
      <c r="AAU443" s="44"/>
    </row>
    <row r="444" spans="1:732" ht="15.75" customHeight="1" outlineLevel="2">
      <c r="A444" s="558"/>
      <c r="B444" s="415" t="s">
        <v>126</v>
      </c>
      <c r="C444" s="727"/>
      <c r="D444" s="277" t="s">
        <v>390</v>
      </c>
      <c r="E444" s="368">
        <f t="shared" ref="E444:E459" si="998">NETWORKDAYS(G444,H444,S.DDL_DEQClosed)</f>
        <v>1</v>
      </c>
      <c r="F444" s="372">
        <f t="shared" ref="F444:F459" ca="1" si="999">NETWORKDAYS(TODAY(),H444)</f>
        <v>160</v>
      </c>
      <c r="G444" s="471">
        <f>AAG444</f>
        <v>41717</v>
      </c>
      <c r="H444" s="369">
        <f>AAH444</f>
        <v>41717</v>
      </c>
      <c r="I444" s="627"/>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88"/>
      <c r="AAD444" s="112"/>
      <c r="AAE444" s="551">
        <v>1</v>
      </c>
      <c r="AAF444" s="112"/>
      <c r="AAG444" s="78">
        <f>S.EQCMeeting</f>
        <v>41717</v>
      </c>
      <c r="AAH444" s="78">
        <f>G444</f>
        <v>41717</v>
      </c>
      <c r="AAI444" s="77"/>
      <c r="AAJ444" s="57" t="s">
        <v>0</v>
      </c>
      <c r="AAK444" s="57"/>
      <c r="AAL444" s="57"/>
      <c r="AAM444" s="112"/>
      <c r="AAN444"/>
      <c r="AAT444" s="23"/>
      <c r="AAU444" s="44"/>
    </row>
    <row r="445" spans="1:732" ht="15.75" customHeight="1" outlineLevel="2">
      <c r="A445" s="558"/>
      <c r="B445" s="467" t="str">
        <f>"EQC.RULES."&amp;TEXT(S.EQCMeeting,"m.d.yyyy")</f>
        <v>EQC.RULES.3.19.2014</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174</v>
      </c>
      <c r="AAG445" s="76"/>
      <c r="AAH445" s="76"/>
      <c r="AAI445" s="77"/>
      <c r="AAJ445" s="77"/>
      <c r="AAK445" s="77"/>
      <c r="AAL445" s="89" t="str">
        <f>S.CodeName&amp;"EQC.RULES."&amp;TEXT(S.EQCMeeting,"m.d.yyyy")</f>
        <v>EQC.RULES.3.19.2014</v>
      </c>
      <c r="AAM445" s="112"/>
      <c r="AAN445"/>
      <c r="AAT445" s="23"/>
      <c r="AAU445" s="44"/>
    </row>
    <row r="446" spans="1:732" ht="15.75" customHeight="1" outlineLevel="2">
      <c r="A446" s="558"/>
      <c r="B446" s="467" t="str">
        <f>AAL446</f>
        <v>EQC.REDLINE.3.19.2014</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174</v>
      </c>
      <c r="AAG446" s="76"/>
      <c r="AAH446" s="76"/>
      <c r="AAI446" s="77"/>
      <c r="AAJ446" s="77"/>
      <c r="AAK446" s="77"/>
      <c r="AAL446" s="89" t="str">
        <f>S.CodeName&amp;"EQC.REDLINE."&amp;TEXT(S.EQCMeeting,"m.d.yyyy")</f>
        <v>EQC.REDLINE.3.19.2014</v>
      </c>
      <c r="AAM446" s="112"/>
      <c r="AAN446"/>
      <c r="AAT446" s="23"/>
      <c r="AAU446" s="44"/>
    </row>
    <row r="447" spans="1:732" ht="15.75" customHeight="1" outlineLevel="2">
      <c r="A447" s="558"/>
      <c r="B447" s="467" t="s">
        <v>331</v>
      </c>
      <c r="C447" s="722"/>
      <c r="D447" s="174"/>
      <c r="E447" s="400"/>
      <c r="F447" s="400"/>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174</v>
      </c>
      <c r="AAG447" s="76"/>
      <c r="AAH447" s="76"/>
      <c r="AAI447" s="77"/>
      <c r="AAJ447" s="77"/>
      <c r="AAK447" s="77"/>
      <c r="AAL447" s="89" t="str">
        <f>S.CodeName&amp; "340-###-###.TABLE##-##"</f>
        <v>340-###-###.TABLE##-##</v>
      </c>
      <c r="AAM447" s="112"/>
      <c r="AAN447"/>
      <c r="AAT447" s="23"/>
      <c r="AAU447" s="44"/>
      <c r="AAV447" s="23"/>
      <c r="AAW447" s="23"/>
      <c r="AAX447" s="23"/>
      <c r="AAY447" s="23"/>
      <c r="AAZ447" s="23"/>
      <c r="ABA447" s="23"/>
      <c r="ABB447" s="23"/>
      <c r="ABC447" s="23"/>
      <c r="ABD447" s="23"/>
    </row>
    <row r="448" spans="1:732" ht="15.75" customHeight="1" outlineLevel="2">
      <c r="A448" s="558"/>
      <c r="B448" s="467" t="s">
        <v>332</v>
      </c>
      <c r="C448" s="722"/>
      <c r="D448" s="174"/>
      <c r="E448" s="400"/>
      <c r="F448" s="400" t="s">
        <v>0</v>
      </c>
      <c r="G448" s="469"/>
      <c r="H448" s="469"/>
      <c r="I448" s="588"/>
      <c r="J448" s="592"/>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8"/>
      <c r="ZZ448" s="36"/>
      <c r="AAA448" s="588"/>
      <c r="AAD448" s="112"/>
      <c r="AAE448" s="551">
        <v>1</v>
      </c>
      <c r="AAF448" s="583" t="s">
        <v>174</v>
      </c>
      <c r="AAG448" s="76"/>
      <c r="AAH448" s="76"/>
      <c r="AAI448" s="77"/>
      <c r="AAJ448" s="77"/>
      <c r="AAK448" s="77"/>
      <c r="AAL448" s="89" t="str">
        <f>S.CodeName&amp; "EQC.ACTION"</f>
        <v>EQC.ACTION</v>
      </c>
      <c r="AAM448" s="112"/>
      <c r="AAN448"/>
      <c r="AAT448" s="23"/>
      <c r="AAU448" s="44"/>
      <c r="AAV448" s="23"/>
      <c r="AAW448" s="23"/>
      <c r="AAX448" s="23"/>
      <c r="AAY448" s="23"/>
      <c r="AAZ448" s="23"/>
      <c r="ABA448" s="23"/>
      <c r="ABB448" s="23"/>
      <c r="ABC448" s="23"/>
      <c r="ABD448" s="23"/>
    </row>
    <row r="449" spans="1:732" s="23" customFormat="1" ht="18" customHeight="1" outlineLevel="2">
      <c r="A449" s="558"/>
      <c r="B449" s="534" t="str">
        <f>AAL449</f>
        <v>Fees not involved</v>
      </c>
      <c r="C449" s="193"/>
      <c r="D449" s="277" t="s">
        <v>152</v>
      </c>
      <c r="E449" s="368">
        <f t="shared" ref="E449" si="1000">NETWORKDAYS(G449,H449,S.DDL_DEQClosed)</f>
        <v>90</v>
      </c>
      <c r="F449" s="372">
        <f ca="1">NETWORKDAYS(TODAY(),H449)</f>
        <v>5</v>
      </c>
      <c r="G449" s="369">
        <f>AAG449</f>
        <v>41369</v>
      </c>
      <c r="H449" s="369">
        <f>AAH449</f>
        <v>41500</v>
      </c>
      <c r="I449" s="627"/>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88"/>
      <c r="AAB449"/>
      <c r="AAC449"/>
      <c r="AAD449" s="112"/>
      <c r="AAE449" s="551">
        <f>IF(AND(S.InvolveFee=TRUE,S.DASApprovalRequired=TRUE),1,0)</f>
        <v>0</v>
      </c>
      <c r="AAF449" s="112" t="s">
        <v>0</v>
      </c>
      <c r="AAG449" s="78">
        <f>S.BANNER.FeeStart</f>
        <v>41369</v>
      </c>
      <c r="AAH449" s="78">
        <f>S.SubmitNoticeToSOS-30</f>
        <v>41500</v>
      </c>
      <c r="AAI449" s="77"/>
      <c r="AAJ449" s="77"/>
      <c r="AAK449" s="77"/>
      <c r="AAL449" s="89" t="str">
        <f>IF(S.DASApprovalRequired=TRUE,"DAS fee approval - Part 2",IF(S.InvolveFee=TRUE,"See DAS notification below","Fees not involved"))</f>
        <v>Fees not involved</v>
      </c>
      <c r="AAM449" s="112"/>
      <c r="AAU449" s="44"/>
    </row>
    <row r="450" spans="1:732" s="23" customFormat="1" ht="15" outlineLevel="2">
      <c r="A450" s="558"/>
      <c r="B450" s="525" t="str">
        <f>AAL450</f>
        <v>a. SIGNED.PART.1</v>
      </c>
      <c r="C450" s="713"/>
      <c r="D450" s="179" t="s">
        <v>0</v>
      </c>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174</v>
      </c>
      <c r="AAG450" s="76"/>
      <c r="AAH450" s="76"/>
      <c r="AAI450" s="77"/>
      <c r="AAJ450" s="77"/>
      <c r="AAK450" s="77"/>
      <c r="AAL450" s="89" t="str">
        <f>"a. "&amp;S.CodeName&amp;"SIGNED.PART.1"</f>
        <v>a. SIGNED.PART.1</v>
      </c>
      <c r="AAM450" s="112"/>
      <c r="AAU450" s="44"/>
      <c r="AAV450"/>
      <c r="AAW450"/>
      <c r="AAX450"/>
      <c r="AAY450"/>
      <c r="AAZ450"/>
      <c r="ABA450"/>
      <c r="ABB450"/>
      <c r="ABC450"/>
      <c r="ABD450"/>
    </row>
    <row r="451" spans="1:732" s="23" customFormat="1" ht="15" outlineLevel="2">
      <c r="A451" s="558"/>
      <c r="B451" s="525" t="str">
        <f>AAL451</f>
        <v>b. FEE.EXCERPT.FROM.RULE</v>
      </c>
      <c r="C451" s="713"/>
      <c r="D451" s="179"/>
      <c r="E451" s="400"/>
      <c r="F451" s="400"/>
      <c r="G451" s="356"/>
      <c r="H451" s="356"/>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B451"/>
      <c r="AAC451"/>
      <c r="AAD451" s="112"/>
      <c r="AAE451" s="551">
        <f>IF(AND(S.InvolveFee=TRUE,S.DASApprovalRequired=TRUE),1,0)</f>
        <v>0</v>
      </c>
      <c r="AAF451" s="583" t="s">
        <v>174</v>
      </c>
      <c r="AAG451" s="76"/>
      <c r="AAH451" s="76"/>
      <c r="AAI451" s="77"/>
      <c r="AAJ451" s="77"/>
      <c r="AAK451" s="77"/>
      <c r="AAL451" s="89" t="str">
        <f>"b. "&amp;S.CodeName&amp;"FEE.EXCERPT.FROM.RULE"</f>
        <v>b. FEE.EXCERPT.FROM.RULE</v>
      </c>
      <c r="AAM451" s="112"/>
      <c r="AAU451" s="44"/>
      <c r="AAV451"/>
      <c r="AAW451"/>
      <c r="AAX451"/>
      <c r="AAY451"/>
      <c r="AAZ451"/>
      <c r="ABA451"/>
      <c r="ABB451"/>
      <c r="ABC451"/>
      <c r="ABD451"/>
    </row>
    <row r="452" spans="1:732" ht="15.75" customHeight="1" outlineLevel="2">
      <c r="A452" s="558"/>
      <c r="B452" s="467" t="s">
        <v>333</v>
      </c>
      <c r="C452" s="168"/>
      <c r="D452" s="174"/>
      <c r="E452" s="400"/>
      <c r="F452" s="400"/>
      <c r="G452" s="469"/>
      <c r="H452" s="469"/>
      <c r="I452" s="588"/>
      <c r="J452" s="592"/>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18"/>
      <c r="ZZ452" s="36"/>
      <c r="AAA452" s="588"/>
      <c r="AAD452" s="112"/>
      <c r="AAE452" s="551">
        <f>IF(AND(S.InvolveFee=TRUE,S.DASApprovalRequired=TRUE),1,0)</f>
        <v>0</v>
      </c>
      <c r="AAF452" s="583" t="s">
        <v>174</v>
      </c>
      <c r="AAG452" s="41"/>
      <c r="AAH452" s="41"/>
      <c r="AAI452" s="77"/>
      <c r="AAJ452" s="77"/>
      <c r="AAK452" s="77"/>
      <c r="AAL452" s="89" t="str">
        <f>S.CodeName&amp; "PROOF.OF.DAS.SUBMITTAL"</f>
        <v>PROOF.OF.DAS.SUBMITTAL</v>
      </c>
      <c r="AAM452" s="112"/>
      <c r="AAN452"/>
      <c r="AAT452" s="23"/>
      <c r="AAU452" s="44"/>
    </row>
    <row r="453" spans="1:732" ht="15.75" customHeight="1" outlineLevel="2">
      <c r="A453" s="558"/>
      <c r="B453" s="416" t="s">
        <v>334</v>
      </c>
      <c r="C453" s="168"/>
      <c r="D453" s="315" t="s">
        <v>359</v>
      </c>
      <c r="E453" s="368">
        <f t="shared" si="998"/>
        <v>1</v>
      </c>
      <c r="F453" s="372">
        <f t="shared" ca="1" si="999"/>
        <v>203</v>
      </c>
      <c r="G453" s="472">
        <f t="shared" ref="G453:H459" si="1001">AAG453</f>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t="s">
        <v>0</v>
      </c>
      <c r="AAG453" s="78">
        <f t="shared" ref="AAG453:AAG459" si="1002">S.BANNER.PostEQCStart</f>
        <v>41778</v>
      </c>
      <c r="AAH453" s="78">
        <f t="shared" ref="AAH453:AAH459" si="1003">S.BANNER.PostEQCEnd</f>
        <v>41778</v>
      </c>
      <c r="AAI453" s="77"/>
      <c r="AAJ453" s="77"/>
      <c r="AAK453" s="77"/>
      <c r="AAL453" s="89" t="str">
        <f>"Optional "&amp;S.CodeName&amp; "STAKEHOLDER.NOTIFICATION"</f>
        <v>Optional STAKEHOLDER.NOTIFICATION</v>
      </c>
      <c r="AAM453" s="112"/>
      <c r="AAN453"/>
      <c r="AAT453" s="23"/>
      <c r="AAU453" s="44"/>
      <c r="AAV453" s="23"/>
      <c r="AAW453" s="23"/>
      <c r="AAX453" s="23"/>
      <c r="AAY453" s="23"/>
      <c r="AAZ453" s="23"/>
      <c r="ABA453" s="23"/>
      <c r="ABB453" s="23"/>
      <c r="ABC453" s="23"/>
      <c r="ABD453" s="23"/>
    </row>
    <row r="454" spans="1:732" ht="15.75" customHeight="1" outlineLevel="2">
      <c r="A454" s="558"/>
      <c r="B454" s="416" t="s">
        <v>335</v>
      </c>
      <c r="C454" s="168"/>
      <c r="D454" s="277" t="s">
        <v>385</v>
      </c>
      <c r="E454" s="368">
        <f t="shared" si="998"/>
        <v>1</v>
      </c>
      <c r="F454" s="372">
        <f t="shared" ca="1" si="999"/>
        <v>203</v>
      </c>
      <c r="G454" s="472">
        <f t="shared" si="1001"/>
        <v>41778</v>
      </c>
      <c r="H454" s="369">
        <f t="shared" si="1001"/>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D454" s="112"/>
      <c r="AAE454" s="551">
        <v>1</v>
      </c>
      <c r="AAF454" s="112"/>
      <c r="AAG454" s="78">
        <f t="shared" si="1002"/>
        <v>41778</v>
      </c>
      <c r="AAH454" s="78">
        <f t="shared" si="1003"/>
        <v>41778</v>
      </c>
      <c r="AAI454" s="77"/>
      <c r="AAJ454" s="77"/>
      <c r="AAK454" s="77"/>
      <c r="AAL454" s="89" t="str">
        <f>"Optional "&amp;S.CodeName&amp; "LEGISLATOR.NOTICE"</f>
        <v>Optional LEGISLATOR.NOTICE</v>
      </c>
      <c r="AAM454" s="112"/>
      <c r="AAN454"/>
      <c r="AAT454" s="23"/>
      <c r="AAU454" s="44"/>
    </row>
    <row r="455" spans="1:732" s="23" customFormat="1" ht="15.75" customHeight="1" outlineLevel="2">
      <c r="A455" s="558"/>
      <c r="B455" s="679" t="s">
        <v>336</v>
      </c>
      <c r="C455" s="168"/>
      <c r="D455" s="277" t="s">
        <v>385</v>
      </c>
      <c r="E455" s="368">
        <f t="shared" ref="E455" si="1004">NETWORKDAYS(G455,H455,S.DDL_DEQClosed)</f>
        <v>1</v>
      </c>
      <c r="F455" s="372">
        <f t="shared" ref="F455" ca="1" si="1005">NETWORKDAYS(TODAY(),H455)</f>
        <v>203</v>
      </c>
      <c r="G455" s="472">
        <f t="shared" ref="G455" si="1006">AAG455</f>
        <v>41778</v>
      </c>
      <c r="H455" s="369">
        <f t="shared" ref="H455" si="1007">AAH455</f>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B455"/>
      <c r="AAC455"/>
      <c r="AAD455" s="112"/>
      <c r="AAE455" s="552">
        <f>IF(S.InvolveSIP=TRUE,1,0)</f>
        <v>1</v>
      </c>
      <c r="AAF455" s="112"/>
      <c r="AAG455" s="78">
        <f t="shared" si="1002"/>
        <v>41778</v>
      </c>
      <c r="AAH455" s="78">
        <f t="shared" si="1003"/>
        <v>41778</v>
      </c>
      <c r="AAI455" s="77"/>
      <c r="AAJ455" s="77"/>
      <c r="AAK455" s="77"/>
      <c r="AAL455" s="89" t="str">
        <f>"Optional "&amp;S.CodeName&amp; "LEGISLATOR.NOTICE"</f>
        <v>Optional LEGISLATOR.NOTICE</v>
      </c>
      <c r="AAM455" s="112"/>
      <c r="AAU455" s="44"/>
      <c r="AAV455"/>
      <c r="AAW455"/>
      <c r="AAX455"/>
      <c r="AAY455"/>
      <c r="AAZ455"/>
      <c r="ABA455"/>
      <c r="ABB455"/>
      <c r="ABC455"/>
      <c r="ABD455"/>
    </row>
    <row r="456" spans="1:732" ht="15.75" customHeight="1" outlineLevel="2">
      <c r="A456" s="558"/>
      <c r="B456" s="416" t="s">
        <v>325</v>
      </c>
      <c r="C456" s="231" t="s">
        <v>69</v>
      </c>
      <c r="D456" s="277" t="s">
        <v>359</v>
      </c>
      <c r="E456" s="368">
        <f t="shared" si="998"/>
        <v>1</v>
      </c>
      <c r="F456" s="372">
        <f t="shared" ca="1" si="999"/>
        <v>203</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41778</v>
      </c>
      <c r="AAH456" s="78">
        <f t="shared" si="1003"/>
        <v>41778</v>
      </c>
      <c r="AAI456" s="77"/>
      <c r="AAJ456" s="77"/>
      <c r="AAK456" s="77"/>
      <c r="AAL456" s="89" t="str">
        <f>S.CodeName&amp; "COMMITTEE.THANK.YOU"</f>
        <v>COMMITTEE.THANK.YOU</v>
      </c>
      <c r="AAM456" s="112"/>
      <c r="AAN456"/>
      <c r="AAT456" s="23"/>
      <c r="AAU456" s="44"/>
    </row>
    <row r="457" spans="1:732" ht="15.75" customHeight="1" outlineLevel="2">
      <c r="A457" s="558"/>
      <c r="B457" s="416" t="s">
        <v>326</v>
      </c>
      <c r="C457" s="168"/>
      <c r="D457" s="277" t="s">
        <v>359</v>
      </c>
      <c r="E457" s="368">
        <f t="shared" si="998"/>
        <v>1</v>
      </c>
      <c r="F457" s="372">
        <f t="shared" ca="1" si="999"/>
        <v>203</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f>IF(S.InvolveCommittee=TRUE,1,0)</f>
        <v>0</v>
      </c>
      <c r="AAF457" s="112"/>
      <c r="AAG457" s="78">
        <f t="shared" si="1002"/>
        <v>41778</v>
      </c>
      <c r="AAH457" s="78">
        <f t="shared" si="1003"/>
        <v>41778</v>
      </c>
      <c r="AAI457" s="77"/>
      <c r="AAJ457" s="77"/>
      <c r="AAK457" s="77"/>
      <c r="AAL457" s="89" t="str">
        <f>S.CodeName&amp; "COMMITTEE.SURVEY"</f>
        <v>COMMITTEE.SURVEY</v>
      </c>
      <c r="AAM457" s="112"/>
      <c r="AAN457"/>
      <c r="AAT457" s="23"/>
      <c r="AAU457" s="44"/>
    </row>
    <row r="458" spans="1:732" ht="15.75" customHeight="1" outlineLevel="2">
      <c r="A458" s="558"/>
      <c r="B458" s="416" t="s">
        <v>327</v>
      </c>
      <c r="C458" s="168"/>
      <c r="D458" s="277" t="s">
        <v>359</v>
      </c>
      <c r="E458" s="368">
        <f t="shared" si="998"/>
        <v>1</v>
      </c>
      <c r="F458" s="372">
        <f t="shared" ca="1" si="999"/>
        <v>203</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"YourName.EMAILS"</f>
        <v>YourName.EMAILS</v>
      </c>
      <c r="AAM458" s="112"/>
      <c r="AAN458"/>
      <c r="AAT458" s="23"/>
      <c r="AAU458" s="44"/>
    </row>
    <row r="459" spans="1:732" ht="15.75" customHeight="1" outlineLevel="2">
      <c r="A459" s="558"/>
      <c r="B459" s="416" t="s">
        <v>328</v>
      </c>
      <c r="C459" s="168"/>
      <c r="D459" s="277" t="s">
        <v>359</v>
      </c>
      <c r="E459" s="368">
        <f t="shared" si="998"/>
        <v>1</v>
      </c>
      <c r="F459" s="372">
        <f t="shared" ca="1" si="999"/>
        <v>203</v>
      </c>
      <c r="G459" s="472">
        <f t="shared" si="1001"/>
        <v>41778</v>
      </c>
      <c r="H459" s="369">
        <f t="shared" si="1001"/>
        <v>41778</v>
      </c>
      <c r="I459" s="627"/>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8"/>
      <c r="AAD459" s="112"/>
      <c r="AAE459" s="551">
        <v>1</v>
      </c>
      <c r="AAF459" s="112"/>
      <c r="AAG459" s="78">
        <f t="shared" si="1002"/>
        <v>41778</v>
      </c>
      <c r="AAH459" s="78">
        <f t="shared" si="1003"/>
        <v>41778</v>
      </c>
      <c r="AAI459" s="77"/>
      <c r="AAJ459" s="77"/>
      <c r="AAK459" s="77"/>
      <c r="AAL459" s="89" t="str">
        <f>S.CodeName&amp; "EVALUATION"</f>
        <v>EVALUATION</v>
      </c>
      <c r="AAM459" s="112"/>
      <c r="AAN459"/>
      <c r="AAT459" s="23"/>
      <c r="AAU459" s="44"/>
    </row>
    <row r="460" spans="1:732" ht="15.75" customHeight="1" outlineLevel="2">
      <c r="A460" s="558"/>
      <c r="B460" s="462" t="s">
        <v>124</v>
      </c>
      <c r="C460" s="689"/>
      <c r="D460" s="145"/>
      <c r="E460" s="160"/>
      <c r="F460" s="160"/>
      <c r="G460" s="161"/>
      <c r="H460" s="161"/>
      <c r="I460" s="588"/>
      <c r="J460" s="597"/>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621"/>
      <c r="ZZ460" s="624"/>
      <c r="AAA460" s="588"/>
      <c r="AAD460" s="112"/>
      <c r="AAE460" s="551">
        <v>1</v>
      </c>
      <c r="AAF460" s="583" t="s">
        <v>174</v>
      </c>
      <c r="AAG460" s="63"/>
      <c r="AAH460" s="63"/>
      <c r="AAI460" s="63"/>
      <c r="AAJ460" s="79"/>
      <c r="AAK460" s="79"/>
      <c r="AAL460" s="58"/>
      <c r="AAM460" s="112"/>
      <c r="AAN460"/>
      <c r="AAT460" s="23"/>
      <c r="AAU460" s="44"/>
      <c r="AAV460" s="23"/>
      <c r="AAW460" s="23"/>
      <c r="AAX460" s="23"/>
      <c r="AAY460" s="23"/>
      <c r="AAZ460" s="23"/>
      <c r="ABA460" s="23"/>
      <c r="ABB460" s="23"/>
      <c r="ABC460" s="23"/>
      <c r="ABD460" s="23"/>
    </row>
    <row r="461" spans="1:732" ht="15.75" customHeight="1" outlineLevel="2">
      <c r="A461" s="558"/>
      <c r="B461" s="474" t="s">
        <v>171</v>
      </c>
      <c r="C461" s="168"/>
      <c r="D461" s="277" t="s">
        <v>188</v>
      </c>
      <c r="E461" s="368">
        <f t="shared" ref="E461" si="1008">NETWORKDAYS(G461,H461,S.DDL_DEQClosed)</f>
        <v>1</v>
      </c>
      <c r="F461" s="372">
        <f t="shared" ref="F461" ca="1" si="1009">NETWORKDAYS(TODAY(),H461)</f>
        <v>162</v>
      </c>
      <c r="G461" s="449">
        <f>AAG461</f>
        <v>41719</v>
      </c>
      <c r="H461" s="370">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D461" s="112"/>
      <c r="AAE461" s="551">
        <v>1</v>
      </c>
      <c r="AAF461" s="112"/>
      <c r="AAG461" s="78">
        <f>WORKDAY(S.EQCMeeting+4,-1,S.DDL_DEQClosed)</f>
        <v>41719</v>
      </c>
      <c r="AAH461" s="78">
        <f>S.FileRuleWithSOS</f>
        <v>41719</v>
      </c>
      <c r="AAI461" s="77"/>
      <c r="AAJ461" s="79"/>
      <c r="AAK461" s="79"/>
      <c r="AAL461" s="57"/>
      <c r="AAM461" s="112"/>
      <c r="AAN461"/>
      <c r="AAT461" s="23"/>
      <c r="AAU461" s="44"/>
    </row>
    <row r="462" spans="1:732" s="23" customFormat="1" ht="20.25" customHeight="1" outlineLevel="2">
      <c r="A462" s="558"/>
      <c r="B462" s="316" t="s">
        <v>173</v>
      </c>
      <c r="C462" s="316"/>
      <c r="D462" s="122"/>
      <c r="E462" s="368">
        <f t="shared" ref="E462" si="1010">NETWORKDAYS(G462,H462,S.DDL_DEQClosed)</f>
        <v>1</v>
      </c>
      <c r="F462" s="372">
        <f t="shared" ref="F462" ca="1" si="1011">NETWORKDAYS(TODAY(),H462)</f>
        <v>162</v>
      </c>
      <c r="G462" s="455">
        <f>AAG462</f>
        <v>41719</v>
      </c>
      <c r="H462" s="473">
        <f>AAH462</f>
        <v>41719</v>
      </c>
      <c r="I462" s="627"/>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88"/>
      <c r="AAB462"/>
      <c r="AAC462"/>
      <c r="AAD462" s="112"/>
      <c r="AAE462" s="551">
        <v>1</v>
      </c>
      <c r="AAF462" s="112"/>
      <c r="AAG462" s="78">
        <f>S.RuleEffective</f>
        <v>41719</v>
      </c>
      <c r="AAH462" s="78">
        <f>S.FileRuleWithSOS</f>
        <v>41719</v>
      </c>
      <c r="AAI462" s="77"/>
      <c r="AAJ462" s="77"/>
      <c r="AAK462" s="77"/>
      <c r="AAL462" s="57"/>
      <c r="AAM462" s="112"/>
      <c r="AAU462" s="44"/>
      <c r="AAV462"/>
      <c r="AAW462"/>
      <c r="AAX462"/>
      <c r="AAY462"/>
      <c r="AAZ462"/>
      <c r="ABA462"/>
      <c r="ABB462"/>
      <c r="ABC462"/>
      <c r="ABD462"/>
    </row>
    <row r="463" spans="1:732" ht="15.75" customHeight="1" outlineLevel="2">
      <c r="A463" s="558"/>
      <c r="B463" s="467" t="s">
        <v>330</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174</v>
      </c>
      <c r="AAG463" s="94"/>
      <c r="AAH463" s="94"/>
      <c r="AAI463" s="77"/>
      <c r="AAJ463" s="79"/>
      <c r="AAK463" s="79"/>
      <c r="AAL463" s="89" t="str">
        <f>"Save as "&amp;S.CodeName&amp;"PROOF.OF.SOS.FILING"</f>
        <v>Save as PROOF.OF.SOS.FILING</v>
      </c>
      <c r="AAM463" s="112"/>
      <c r="AAN463"/>
      <c r="AAT463" s="23"/>
      <c r="AAU463" s="44"/>
      <c r="AAV463" s="23"/>
      <c r="AAW463" s="23"/>
      <c r="AAX463" s="23"/>
      <c r="AAY463" s="23"/>
      <c r="AAZ463" s="23"/>
      <c r="ABA463" s="23"/>
      <c r="ABB463" s="23"/>
      <c r="ABC463" s="23"/>
      <c r="ABD463" s="23"/>
    </row>
    <row r="464" spans="1:732" ht="15.75" customHeight="1" outlineLevel="2">
      <c r="A464" s="558"/>
      <c r="B464" s="467" t="s">
        <v>329</v>
      </c>
      <c r="C464" s="201"/>
      <c r="D464" s="174"/>
      <c r="E464" s="160"/>
      <c r="F464" s="160"/>
      <c r="G464" s="174"/>
      <c r="H464" s="174"/>
      <c r="I464" s="588"/>
      <c r="J464" s="592"/>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8"/>
      <c r="ZZ464" s="36"/>
      <c r="AAA464" s="588"/>
      <c r="AAD464" s="112"/>
      <c r="AAE464" s="551">
        <v>1</v>
      </c>
      <c r="AAF464" s="583" t="s">
        <v>174</v>
      </c>
      <c r="AAG464" s="94"/>
      <c r="AAH464" s="94"/>
      <c r="AAI464" s="77"/>
      <c r="AAJ464" s="79"/>
      <c r="AAK464" s="79"/>
      <c r="AAL464" s="89" t="str">
        <f>"Save as "&amp;S.CodeName&amp;"LC.SHUTTLE.PROOF"</f>
        <v>Save as LC.SHUTTLE.PROOF</v>
      </c>
      <c r="AAM464" s="112"/>
      <c r="AAN464"/>
      <c r="AAT464" s="23"/>
      <c r="AAU464" s="44"/>
      <c r="AAV464" s="23"/>
      <c r="AAW464" s="23"/>
      <c r="AAX464" s="23"/>
      <c r="AAY464" s="23"/>
      <c r="AAZ464" s="23"/>
      <c r="ABA464" s="23"/>
      <c r="ABB464" s="23"/>
      <c r="ABC464" s="23"/>
      <c r="ABD464" s="23"/>
    </row>
    <row r="465" spans="1:732" s="23" customFormat="1" ht="18" customHeight="1" outlineLevel="2">
      <c r="A465" s="558"/>
      <c r="B465" s="534" t="str">
        <f>AAL465</f>
        <v>No DAS involvement</v>
      </c>
      <c r="C465" s="193"/>
      <c r="D465" s="277" t="s">
        <v>188</v>
      </c>
      <c r="E465" s="379">
        <f t="shared" ref="E465" si="1012">NETWORKDAYS(G465,H465,S.DDL_DEQClosed)</f>
        <v>210</v>
      </c>
      <c r="F465" s="380">
        <f ca="1">NETWORKDAYS(TODAY(),H465)</f>
        <v>131</v>
      </c>
      <c r="G465" s="382">
        <f>AAG465</f>
        <v>41369</v>
      </c>
      <c r="H465" s="382">
        <f>AAH465</f>
        <v>41676</v>
      </c>
      <c r="I465" s="627"/>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88"/>
      <c r="AAB465"/>
      <c r="AAC465"/>
      <c r="AAD465" s="112"/>
      <c r="AAE465" s="551">
        <f>IF(AND(S.InvolveFee=TRUE,S.DASApprovalRequired=FALSE),1,0)</f>
        <v>0</v>
      </c>
      <c r="AAF465" s="112"/>
      <c r="AAG465" s="78">
        <f>S.BANNER.FeeStart</f>
        <v>41369</v>
      </c>
      <c r="AAH465" s="78">
        <f>S.SubmitStaffRpt</f>
        <v>41676</v>
      </c>
      <c r="AAI465" s="77"/>
      <c r="AAJ465" s="57"/>
      <c r="AAK465" s="57"/>
      <c r="AAL465" s="89" t="str">
        <f>IF(S.DASApprovalRequired=TRUE,"See DAS fee approval - Part 2 above",IF(S.InvolveFee=TRUE,"DAS notification for fees that don't require approval","No DAS involvement"))</f>
        <v>No DAS involvement</v>
      </c>
      <c r="AAM465" s="112"/>
      <c r="AAU465" s="44"/>
    </row>
    <row r="466" spans="1:732" s="23" customFormat="1" ht="15" outlineLevel="2">
      <c r="A466" s="558"/>
      <c r="B466" s="468" t="str">
        <f>AAL466</f>
        <v>a. FEE.EXCERPT.FROM.RULE</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174</v>
      </c>
      <c r="AAG466" s="76"/>
      <c r="AAH466" s="76"/>
      <c r="AAI466" s="77"/>
      <c r="AAJ466" s="77"/>
      <c r="AAK466" s="77"/>
      <c r="AAL466" s="89" t="str">
        <f>"a. "&amp;S.CodeName&amp;"FEE.EXCERPT.FROM.RULE"</f>
        <v>a. FEE.EXCERPT.FROM.RULE</v>
      </c>
      <c r="AAM466" s="112"/>
      <c r="AAU466" s="44"/>
    </row>
    <row r="467" spans="1:732" s="23" customFormat="1" ht="15" outlineLevel="2">
      <c r="A467" s="558"/>
      <c r="B467" s="468" t="str">
        <f>AAL467</f>
        <v>b. FEE.EXEMPT.EMAIL</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174</v>
      </c>
      <c r="AAG467" s="76"/>
      <c r="AAH467" s="76"/>
      <c r="AAI467" s="76"/>
      <c r="AAJ467" s="77"/>
      <c r="AAK467" s="77"/>
      <c r="AAL467" s="89" t="str">
        <f>"b. "&amp;S.CodeName&amp;"FEE.EXEMPT.EMAIL"</f>
        <v>b. FEE.EXEMPT.EMAIL</v>
      </c>
      <c r="AAM467" s="112"/>
      <c r="AAU467" s="44"/>
      <c r="AAV467"/>
      <c r="AAW467"/>
      <c r="AAX467"/>
      <c r="AAY467"/>
      <c r="AAZ467"/>
      <c r="ABA467"/>
      <c r="ABB467"/>
      <c r="ABC467"/>
      <c r="ABD467"/>
    </row>
    <row r="468" spans="1:732" s="23" customFormat="1" ht="15" outlineLevel="2">
      <c r="A468" s="558"/>
      <c r="B468" s="468" t="str">
        <f>AAL468</f>
        <v>c. DAS.SHUTTLE.PROOF</v>
      </c>
      <c r="C468" s="168"/>
      <c r="D468" s="175"/>
      <c r="E468" s="176"/>
      <c r="F468" s="176"/>
      <c r="G468" s="161"/>
      <c r="H468" s="161"/>
      <c r="I468" s="588"/>
      <c r="J468" s="592"/>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18"/>
      <c r="ZZ468" s="36"/>
      <c r="AAA468" s="588"/>
      <c r="AAB468"/>
      <c r="AAC468"/>
      <c r="AAD468" s="112"/>
      <c r="AAE468" s="551">
        <f>IF(AND(S.InvolveFee=TRUE,S.DASApprovalRequired=FALSE),1,0)</f>
        <v>0</v>
      </c>
      <c r="AAF468" s="583" t="s">
        <v>174</v>
      </c>
      <c r="AAG468" s="76"/>
      <c r="AAH468" s="76"/>
      <c r="AAI468" s="76"/>
      <c r="AAJ468" s="77"/>
      <c r="AAK468" s="77"/>
      <c r="AAL468" s="89" t="str">
        <f>"c. "&amp;S.CodeName&amp;"DAS.SHUTTLE.PROOF"</f>
        <v>c. DAS.SHUTTLE.PROOF</v>
      </c>
      <c r="AAM468" s="112"/>
      <c r="AAU468" s="44"/>
      <c r="AAV468"/>
      <c r="AAW468"/>
      <c r="AAX468"/>
      <c r="AAY468"/>
      <c r="AAZ468"/>
      <c r="ABA468"/>
      <c r="ABB468"/>
      <c r="ABC468"/>
      <c r="ABD468"/>
    </row>
    <row r="469" spans="1:732" ht="15.75" customHeight="1" outlineLevel="2">
      <c r="A469" s="558"/>
      <c r="B469" s="462" t="s">
        <v>163</v>
      </c>
      <c r="C469" s="689"/>
      <c r="D469" s="145"/>
      <c r="E469" s="160"/>
      <c r="F469" s="160"/>
      <c r="G469" s="161"/>
      <c r="H469" s="161"/>
      <c r="I469" s="588"/>
      <c r="J469" s="597"/>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621"/>
      <c r="ZZ469" s="624"/>
      <c r="AAA469" s="588"/>
      <c r="AAD469" s="112"/>
      <c r="AAE469" s="551">
        <v>1</v>
      </c>
      <c r="AAF469" s="583" t="s">
        <v>174</v>
      </c>
      <c r="AAG469" s="63"/>
      <c r="AAH469" s="63"/>
      <c r="AAI469" s="63"/>
      <c r="AAJ469" s="59"/>
      <c r="AAK469" s="59"/>
      <c r="AAL469" s="54"/>
      <c r="AAM469" s="112"/>
      <c r="AAN469"/>
      <c r="AAT469" s="23"/>
      <c r="AAU469" s="44"/>
    </row>
    <row r="470" spans="1:732" ht="15.75" customHeight="1" outlineLevel="2">
      <c r="A470" s="558"/>
      <c r="B470" s="474" t="s">
        <v>125</v>
      </c>
      <c r="C470" s="168"/>
      <c r="D470" s="277"/>
      <c r="E470" s="368">
        <f t="shared" ref="E470" si="1013">NETWORKDAYS(G470,H470,S.DDL_DEQClosed)</f>
        <v>1</v>
      </c>
      <c r="F470" s="372">
        <f t="shared" ref="F470" ca="1" si="1014">NETWORKDAYS(TODAY(),H470)</f>
        <v>203</v>
      </c>
      <c r="G470" s="449">
        <f t="shared" ref="G470:H470" si="1015">AAG470</f>
        <v>41778</v>
      </c>
      <c r="H470" s="449">
        <f t="shared" si="1015"/>
        <v>41778</v>
      </c>
      <c r="I470" s="627"/>
      <c r="J470" s="592"/>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588"/>
      <c r="AAD470" s="112"/>
      <c r="AAE470" s="551">
        <v>1</v>
      </c>
      <c r="AAF470" s="112"/>
      <c r="AAG470" s="78">
        <f>S.BANNER.PostEQCStart</f>
        <v>41778</v>
      </c>
      <c r="AAH470" s="78">
        <f>S.BANNER.PostEQCEnd</f>
        <v>41778</v>
      </c>
      <c r="AAI470" s="77"/>
      <c r="AAJ470" s="60"/>
      <c r="AAK470" s="60"/>
      <c r="AAL470" s="42"/>
      <c r="AAM470" s="112"/>
      <c r="AAN470"/>
      <c r="AAT470" s="23"/>
      <c r="AAU470" s="44"/>
    </row>
    <row r="471" spans="1:732" ht="15">
      <c r="A471" s="558"/>
      <c r="B471" s="144"/>
      <c r="C471" s="689"/>
      <c r="D471" s="145"/>
      <c r="E471" s="146"/>
      <c r="F471" s="146"/>
      <c r="G471" s="145"/>
      <c r="H471" s="333" t="str">
        <f ca="1">CELL("address")</f>
        <v>$D$373</v>
      </c>
      <c r="I471" s="588"/>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c r="XF471" s="36"/>
      <c r="XG471" s="36"/>
      <c r="XH471" s="36"/>
      <c r="XI471" s="36"/>
      <c r="XJ471" s="36"/>
      <c r="XK471" s="36"/>
      <c r="XL471" s="36"/>
      <c r="XM471" s="36"/>
      <c r="XN471" s="36"/>
      <c r="XO471" s="36"/>
      <c r="XP471" s="36"/>
      <c r="XQ471" s="36"/>
      <c r="XR471" s="36"/>
      <c r="XS471" s="36"/>
      <c r="XT471" s="36"/>
      <c r="XU471" s="36"/>
      <c r="XV471" s="36"/>
      <c r="XW471" s="36"/>
      <c r="XX471" s="36"/>
      <c r="XY471" s="36"/>
      <c r="XZ471" s="36"/>
      <c r="YA471" s="36"/>
      <c r="YB471" s="36"/>
      <c r="YC471" s="36"/>
      <c r="YD471" s="36"/>
      <c r="YE471" s="36"/>
      <c r="YF471" s="36"/>
      <c r="YG471" s="36"/>
      <c r="YH471" s="36"/>
      <c r="YI471" s="36"/>
      <c r="YJ471" s="36"/>
      <c r="YK471" s="36"/>
      <c r="YL471" s="36"/>
      <c r="YM471" s="36"/>
      <c r="YN471" s="36"/>
      <c r="YO471" s="36"/>
      <c r="YP471" s="36"/>
      <c r="YQ471" s="36"/>
      <c r="YR471" s="36"/>
      <c r="YS471" s="36"/>
      <c r="YT471" s="36"/>
      <c r="YU471" s="36"/>
      <c r="YV471" s="36"/>
      <c r="YW471" s="36"/>
      <c r="YX471" s="36"/>
      <c r="YY471" s="36"/>
      <c r="YZ471" s="36"/>
      <c r="ZA471" s="36"/>
      <c r="ZB471" s="36"/>
      <c r="ZC471" s="36"/>
      <c r="ZD471" s="36"/>
      <c r="ZE471" s="36"/>
      <c r="ZF471" s="36"/>
      <c r="ZG471" s="36"/>
      <c r="ZH471" s="36"/>
      <c r="ZI471" s="36"/>
      <c r="ZJ471" s="36"/>
      <c r="ZK471" s="36"/>
      <c r="ZL471" s="36"/>
      <c r="ZM471" s="36"/>
      <c r="ZN471" s="36"/>
      <c r="ZO471" s="36"/>
      <c r="ZP471" s="36"/>
      <c r="ZQ471" s="36"/>
      <c r="ZR471" s="36"/>
      <c r="ZS471" s="36"/>
      <c r="ZT471" s="36"/>
      <c r="ZU471" s="36"/>
      <c r="ZV471" s="36"/>
      <c r="ZW471" s="36"/>
      <c r="ZX471" s="36"/>
      <c r="ZY471" s="36"/>
      <c r="ZZ471" s="36"/>
      <c r="AAA471" s="588"/>
      <c r="AAD471" s="112"/>
      <c r="AAE471" s="549" t="s">
        <v>0</v>
      </c>
      <c r="AAF471" s="583" t="s">
        <v>174</v>
      </c>
      <c r="AAG471" s="63"/>
      <c r="AAH471" s="63"/>
      <c r="AAI471" s="63"/>
      <c r="AAJ471" s="60"/>
      <c r="AAK471" s="60"/>
      <c r="AAL471" s="42"/>
      <c r="AAM471" s="112"/>
      <c r="AAN471"/>
      <c r="AAT471" s="23"/>
      <c r="AAU471" s="44"/>
    </row>
    <row r="472" spans="1:732" ht="9" customHeight="1">
      <c r="A472" s="558"/>
      <c r="B472" s="615"/>
      <c r="C472" s="728"/>
      <c r="D472" s="648"/>
      <c r="E472" s="649"/>
      <c r="F472" s="649"/>
      <c r="G472" s="648"/>
      <c r="H472" s="648"/>
      <c r="I472" s="614"/>
      <c r="J472" s="615"/>
      <c r="K472" s="615"/>
      <c r="L472" s="615"/>
      <c r="M472" s="615"/>
      <c r="N472" s="615"/>
      <c r="O472" s="615"/>
      <c r="P472" s="615"/>
      <c r="Q472" s="615"/>
      <c r="R472" s="615"/>
      <c r="S472" s="615"/>
      <c r="T472" s="615"/>
      <c r="U472" s="615"/>
      <c r="V472" s="615"/>
      <c r="W472" s="615"/>
      <c r="X472" s="615"/>
      <c r="Y472" s="615"/>
      <c r="Z472" s="615"/>
      <c r="AA472" s="615"/>
      <c r="AB472" s="615"/>
      <c r="AC472" s="615"/>
      <c r="AD472" s="615"/>
      <c r="AE472" s="615"/>
      <c r="AF472" s="615"/>
      <c r="AG472" s="615"/>
      <c r="AH472" s="615"/>
      <c r="AI472" s="615"/>
      <c r="AJ472" s="615"/>
      <c r="AK472" s="615"/>
      <c r="AL472" s="615"/>
      <c r="AM472" s="615"/>
      <c r="AN472" s="615"/>
      <c r="AO472" s="615"/>
      <c r="AP472" s="615"/>
      <c r="AQ472" s="615"/>
      <c r="AR472" s="615"/>
      <c r="AS472" s="615"/>
      <c r="AT472" s="615"/>
      <c r="AU472" s="615"/>
      <c r="AV472" s="615"/>
      <c r="AW472" s="615"/>
      <c r="AX472" s="615"/>
      <c r="AY472" s="615"/>
      <c r="AZ472" s="615"/>
      <c r="BA472" s="615"/>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c r="BV472" s="615"/>
      <c r="BW472" s="615"/>
      <c r="BX472" s="615"/>
      <c r="BY472" s="615"/>
      <c r="BZ472" s="615"/>
      <c r="CA472" s="615"/>
      <c r="CB472" s="615"/>
      <c r="CC472" s="615"/>
      <c r="CD472" s="615"/>
      <c r="CE472" s="615"/>
      <c r="CF472" s="615"/>
      <c r="CG472" s="615"/>
      <c r="CH472" s="615"/>
      <c r="CI472" s="615"/>
      <c r="CJ472" s="615"/>
      <c r="CK472" s="615"/>
      <c r="CL472" s="615"/>
      <c r="CM472" s="615"/>
      <c r="CN472" s="615"/>
      <c r="CO472" s="615"/>
      <c r="CP472" s="615"/>
      <c r="CQ472" s="615"/>
      <c r="CR472" s="615"/>
      <c r="CS472" s="615"/>
      <c r="CT472" s="615"/>
      <c r="CU472" s="615"/>
      <c r="CV472" s="615"/>
      <c r="CW472" s="615"/>
      <c r="CX472" s="615"/>
      <c r="CY472" s="615"/>
      <c r="CZ472" s="615"/>
      <c r="DA472" s="615"/>
      <c r="DB472" s="615"/>
      <c r="DC472" s="615"/>
      <c r="DD472" s="615"/>
      <c r="DE472" s="615"/>
      <c r="DF472" s="615"/>
      <c r="DG472" s="615"/>
      <c r="DH472" s="615"/>
      <c r="DI472" s="615"/>
      <c r="DJ472" s="615"/>
      <c r="DK472" s="615"/>
      <c r="DL472" s="615"/>
      <c r="DM472" s="615"/>
      <c r="DN472" s="615"/>
      <c r="DO472" s="615"/>
      <c r="DP472" s="615"/>
      <c r="DQ472" s="615"/>
      <c r="DR472" s="615"/>
      <c r="DS472" s="615"/>
      <c r="DT472" s="615"/>
      <c r="DU472" s="615"/>
      <c r="DV472" s="615"/>
      <c r="DW472" s="615"/>
      <c r="DX472" s="615"/>
      <c r="DY472" s="615"/>
      <c r="DZ472" s="615"/>
      <c r="EA472" s="615"/>
      <c r="EB472" s="615"/>
      <c r="EC472" s="615"/>
      <c r="ED472" s="615"/>
      <c r="EE472" s="615"/>
      <c r="EF472" s="615"/>
      <c r="EG472" s="615"/>
      <c r="EH472" s="615"/>
      <c r="EI472" s="615"/>
      <c r="EJ472" s="615"/>
      <c r="EK472" s="615"/>
      <c r="EL472" s="615"/>
      <c r="EM472" s="615"/>
      <c r="EN472" s="615"/>
      <c r="EO472" s="615"/>
      <c r="EP472" s="615"/>
      <c r="EQ472" s="615"/>
      <c r="ER472" s="615"/>
      <c r="ES472" s="615"/>
      <c r="ET472" s="615"/>
      <c r="EU472" s="615"/>
      <c r="EV472" s="615"/>
      <c r="EW472" s="615"/>
      <c r="EX472" s="615"/>
      <c r="EY472" s="615"/>
      <c r="EZ472" s="615"/>
      <c r="FA472" s="615"/>
      <c r="FB472" s="615"/>
      <c r="FC472" s="615"/>
      <c r="FD472" s="615"/>
      <c r="FE472" s="615"/>
      <c r="FF472" s="615"/>
      <c r="FG472" s="615"/>
      <c r="FH472" s="615"/>
      <c r="FI472" s="615"/>
      <c r="FJ472" s="615"/>
      <c r="FK472" s="615"/>
      <c r="FL472" s="615"/>
      <c r="FM472" s="615"/>
      <c r="FN472" s="615"/>
      <c r="FO472" s="615"/>
      <c r="FP472" s="615"/>
      <c r="FQ472" s="615"/>
      <c r="FR472" s="615"/>
      <c r="FS472" s="615"/>
      <c r="FT472" s="615"/>
      <c r="FU472" s="615"/>
      <c r="FV472" s="615"/>
      <c r="FW472" s="615"/>
      <c r="FX472" s="615"/>
      <c r="FY472" s="615"/>
      <c r="FZ472" s="615"/>
      <c r="GA472" s="615"/>
      <c r="GB472" s="615"/>
      <c r="GC472" s="615"/>
      <c r="GD472" s="615"/>
      <c r="GE472" s="615"/>
      <c r="GF472" s="615"/>
      <c r="GG472" s="615"/>
      <c r="GH472" s="615"/>
      <c r="GI472" s="615"/>
      <c r="GJ472" s="615"/>
      <c r="GK472" s="615"/>
      <c r="GL472" s="615"/>
      <c r="GM472" s="615"/>
      <c r="GN472" s="615"/>
      <c r="GO472" s="615"/>
      <c r="GP472" s="615"/>
      <c r="GQ472" s="615"/>
      <c r="GR472" s="615"/>
      <c r="GS472" s="615"/>
      <c r="GT472" s="615"/>
      <c r="GU472" s="615"/>
      <c r="GV472" s="615"/>
      <c r="GW472" s="615"/>
      <c r="GX472" s="615"/>
      <c r="GY472" s="615"/>
      <c r="GZ472" s="615"/>
      <c r="HA472" s="615"/>
      <c r="HB472" s="615"/>
      <c r="HC472" s="615"/>
      <c r="HD472" s="615"/>
      <c r="HE472" s="615"/>
      <c r="HF472" s="615"/>
      <c r="HG472" s="615"/>
      <c r="HH472" s="615"/>
      <c r="HI472" s="615"/>
      <c r="HJ472" s="615"/>
      <c r="HK472" s="615"/>
      <c r="HL472" s="615"/>
      <c r="HM472" s="615"/>
      <c r="HN472" s="615"/>
      <c r="HO472" s="615"/>
      <c r="HP472" s="615"/>
      <c r="HQ472" s="615"/>
      <c r="HR472" s="615"/>
      <c r="HS472" s="615"/>
      <c r="HT472" s="615"/>
      <c r="HU472" s="615"/>
      <c r="HV472" s="615"/>
      <c r="HW472" s="615"/>
      <c r="HX472" s="615"/>
      <c r="HY472" s="615"/>
      <c r="HZ472" s="615"/>
      <c r="IA472" s="615"/>
      <c r="IB472" s="615"/>
      <c r="IC472" s="615"/>
      <c r="ID472" s="615"/>
      <c r="IE472" s="615"/>
      <c r="IF472" s="615"/>
      <c r="IG472" s="615"/>
      <c r="IH472" s="615"/>
      <c r="II472" s="615"/>
      <c r="IJ472" s="615"/>
      <c r="IK472" s="615"/>
      <c r="IL472" s="615"/>
      <c r="IM472" s="615"/>
      <c r="IN472" s="615"/>
      <c r="IO472" s="615"/>
      <c r="IP472" s="615"/>
      <c r="IQ472" s="615"/>
      <c r="IR472" s="615"/>
      <c r="IS472" s="615"/>
      <c r="IT472" s="615"/>
      <c r="IU472" s="615"/>
      <c r="IV472" s="615"/>
      <c r="IW472" s="615"/>
      <c r="IX472" s="615"/>
      <c r="IY472" s="615"/>
      <c r="IZ472" s="615"/>
      <c r="JA472" s="615"/>
      <c r="JB472" s="615"/>
      <c r="JC472" s="615"/>
      <c r="JD472" s="615"/>
      <c r="JE472" s="615"/>
      <c r="JF472" s="615"/>
      <c r="JG472" s="615"/>
      <c r="JH472" s="615"/>
      <c r="JI472" s="615"/>
      <c r="JJ472" s="615"/>
      <c r="JK472" s="615"/>
      <c r="JL472" s="615"/>
      <c r="JM472" s="615"/>
      <c r="JN472" s="615"/>
      <c r="JO472" s="615"/>
      <c r="JP472" s="615"/>
      <c r="JQ472" s="615"/>
      <c r="JR472" s="615"/>
      <c r="JS472" s="615"/>
      <c r="JT472" s="615"/>
      <c r="JU472" s="615"/>
      <c r="JV472" s="615"/>
      <c r="JW472" s="615"/>
      <c r="JX472" s="615"/>
      <c r="JY472" s="615"/>
      <c r="JZ472" s="615"/>
      <c r="KA472" s="615"/>
      <c r="KB472" s="615"/>
      <c r="KC472" s="615"/>
      <c r="KD472" s="615"/>
      <c r="KE472" s="615"/>
      <c r="KF472" s="615"/>
      <c r="KG472" s="615"/>
      <c r="KH472" s="615"/>
      <c r="KI472" s="615"/>
      <c r="KJ472" s="615"/>
      <c r="KK472" s="615"/>
      <c r="KL472" s="615"/>
      <c r="KM472" s="615"/>
      <c r="KN472" s="615"/>
      <c r="KO472" s="615"/>
      <c r="KP472" s="615"/>
      <c r="KQ472" s="615"/>
      <c r="KR472" s="615"/>
      <c r="KS472" s="615"/>
      <c r="KT472" s="615"/>
      <c r="KU472" s="615"/>
      <c r="KV472" s="615"/>
      <c r="KW472" s="615"/>
      <c r="KX472" s="615"/>
      <c r="KY472" s="615"/>
      <c r="KZ472" s="615"/>
      <c r="LA472" s="615"/>
      <c r="LB472" s="615"/>
      <c r="LC472" s="615"/>
      <c r="LD472" s="615"/>
      <c r="LE472" s="615"/>
      <c r="LF472" s="615"/>
      <c r="LG472" s="615"/>
      <c r="LH472" s="615"/>
      <c r="LI472" s="615"/>
      <c r="LJ472" s="615"/>
      <c r="LK472" s="615"/>
      <c r="LL472" s="615"/>
      <c r="LM472" s="615"/>
      <c r="LN472" s="615"/>
      <c r="LO472" s="615"/>
      <c r="LP472" s="615"/>
      <c r="LQ472" s="615"/>
      <c r="LR472" s="615"/>
      <c r="LS472" s="615"/>
      <c r="LT472" s="615"/>
      <c r="LU472" s="615"/>
      <c r="LV472" s="615"/>
      <c r="LW472" s="615"/>
      <c r="LX472" s="615"/>
      <c r="LY472" s="615"/>
      <c r="LZ472" s="615"/>
      <c r="MA472" s="615"/>
      <c r="MB472" s="615"/>
      <c r="MC472" s="615"/>
      <c r="MD472" s="615"/>
      <c r="ME472" s="615"/>
      <c r="MF472" s="615"/>
      <c r="MG472" s="615"/>
      <c r="MH472" s="615"/>
      <c r="MI472" s="615"/>
      <c r="MJ472" s="615"/>
      <c r="MK472" s="615"/>
      <c r="ML472" s="615"/>
      <c r="MM472" s="615"/>
      <c r="MN472" s="615"/>
      <c r="MO472" s="615"/>
      <c r="MP472" s="615"/>
      <c r="MQ472" s="615"/>
      <c r="MR472" s="615"/>
      <c r="MS472" s="615"/>
      <c r="MT472" s="615"/>
      <c r="MU472" s="615"/>
      <c r="MV472" s="615"/>
      <c r="MW472" s="615"/>
      <c r="MX472" s="615"/>
      <c r="MY472" s="615"/>
      <c r="MZ472" s="615"/>
      <c r="NA472" s="615"/>
      <c r="NB472" s="615"/>
      <c r="NC472" s="615"/>
      <c r="ND472" s="615"/>
      <c r="NE472" s="615"/>
      <c r="NF472" s="615"/>
      <c r="NG472" s="615"/>
      <c r="NH472" s="615"/>
      <c r="NI472" s="615"/>
      <c r="NJ472" s="615"/>
      <c r="NK472" s="615"/>
      <c r="NL472" s="615"/>
      <c r="NM472" s="615"/>
      <c r="NN472" s="615"/>
      <c r="NO472" s="615"/>
      <c r="NP472" s="615"/>
      <c r="NQ472" s="615"/>
      <c r="NR472" s="615"/>
      <c r="NS472" s="615"/>
      <c r="NT472" s="615"/>
      <c r="NU472" s="615"/>
      <c r="NV472" s="615"/>
      <c r="NW472" s="615"/>
      <c r="NX472" s="615"/>
      <c r="NY472" s="615"/>
      <c r="NZ472" s="615"/>
      <c r="OA472" s="615"/>
      <c r="OB472" s="615"/>
      <c r="OC472" s="615"/>
      <c r="OD472" s="615"/>
      <c r="OE472" s="615"/>
      <c r="OF472" s="615"/>
      <c r="OG472" s="615"/>
      <c r="OH472" s="615"/>
      <c r="OI472" s="615"/>
      <c r="OJ472" s="615"/>
      <c r="OK472" s="615"/>
      <c r="OL472" s="615"/>
      <c r="OM472" s="615"/>
      <c r="ON472" s="615"/>
      <c r="OO472" s="615"/>
      <c r="OP472" s="615"/>
      <c r="OQ472" s="615"/>
      <c r="OR472" s="615"/>
      <c r="OS472" s="615"/>
      <c r="OT472" s="615"/>
      <c r="OU472" s="615"/>
      <c r="OV472" s="615"/>
      <c r="OW472" s="615"/>
      <c r="OX472" s="615"/>
      <c r="OY472" s="615"/>
      <c r="OZ472" s="615"/>
      <c r="PA472" s="615"/>
      <c r="PB472" s="615"/>
      <c r="PC472" s="615"/>
      <c r="PD472" s="615"/>
      <c r="PE472" s="615"/>
      <c r="PF472" s="615"/>
      <c r="PG472" s="615"/>
      <c r="PH472" s="615"/>
      <c r="PI472" s="615"/>
      <c r="PJ472" s="615"/>
      <c r="PK472" s="615"/>
      <c r="PL472" s="615"/>
      <c r="PM472" s="615"/>
      <c r="PN472" s="615"/>
      <c r="PO472" s="615"/>
      <c r="PP472" s="615"/>
      <c r="PQ472" s="615"/>
      <c r="PR472" s="615"/>
      <c r="PS472" s="615"/>
      <c r="PT472" s="615"/>
      <c r="PU472" s="615"/>
      <c r="PV472" s="615"/>
      <c r="PW472" s="615"/>
      <c r="PX472" s="615"/>
      <c r="PY472" s="615"/>
      <c r="PZ472" s="615"/>
      <c r="QA472" s="615"/>
      <c r="QB472" s="615"/>
      <c r="QC472" s="615"/>
      <c r="QD472" s="615"/>
      <c r="QE472" s="615"/>
      <c r="QF472" s="615"/>
      <c r="QG472" s="615"/>
      <c r="QH472" s="615"/>
      <c r="QI472" s="615"/>
      <c r="QJ472" s="615"/>
      <c r="QK472" s="615"/>
      <c r="QL472" s="615"/>
      <c r="QM472" s="615"/>
      <c r="QN472" s="615"/>
      <c r="QO472" s="615"/>
      <c r="QP472" s="615"/>
      <c r="QQ472" s="615"/>
      <c r="QR472" s="615"/>
      <c r="QS472" s="615"/>
      <c r="QT472" s="615"/>
      <c r="QU472" s="615"/>
      <c r="QV472" s="615"/>
      <c r="QW472" s="615"/>
      <c r="QX472" s="615"/>
      <c r="QY472" s="615"/>
      <c r="QZ472" s="615"/>
      <c r="RA472" s="615"/>
      <c r="RB472" s="615"/>
      <c r="RC472" s="615"/>
      <c r="RD472" s="615"/>
      <c r="RE472" s="615"/>
      <c r="RF472" s="615"/>
      <c r="RG472" s="615"/>
      <c r="RH472" s="615"/>
      <c r="RI472" s="615"/>
      <c r="RJ472" s="615"/>
      <c r="RK472" s="615"/>
      <c r="RL472" s="615"/>
      <c r="RM472" s="615"/>
      <c r="RN472" s="615"/>
      <c r="RO472" s="615"/>
      <c r="RP472" s="615"/>
      <c r="RQ472" s="615"/>
      <c r="RR472" s="615"/>
      <c r="RS472" s="615"/>
      <c r="RT472" s="615"/>
      <c r="RU472" s="615"/>
      <c r="RV472" s="615"/>
      <c r="RW472" s="615"/>
      <c r="RX472" s="615"/>
      <c r="RY472" s="615"/>
      <c r="RZ472" s="615"/>
      <c r="SA472" s="615"/>
      <c r="SB472" s="615"/>
      <c r="SC472" s="615"/>
      <c r="SD472" s="615"/>
      <c r="SE472" s="615"/>
      <c r="SF472" s="615"/>
      <c r="SG472" s="615"/>
      <c r="SH472" s="615"/>
      <c r="SI472" s="615"/>
      <c r="SJ472" s="615"/>
      <c r="SK472" s="615"/>
      <c r="SL472" s="615"/>
      <c r="SM472" s="615"/>
      <c r="SN472" s="615"/>
      <c r="SO472" s="615"/>
      <c r="SP472" s="615"/>
      <c r="SQ472" s="615"/>
      <c r="SR472" s="615"/>
      <c r="SS472" s="615"/>
      <c r="ST472" s="615"/>
      <c r="SU472" s="615"/>
      <c r="SV472" s="615"/>
      <c r="SW472" s="615"/>
      <c r="SX472" s="615"/>
      <c r="SY472" s="615"/>
      <c r="SZ472" s="615"/>
      <c r="TA472" s="615"/>
      <c r="TB472" s="615"/>
      <c r="TC472" s="615"/>
      <c r="TD472" s="615"/>
      <c r="TE472" s="615"/>
      <c r="TF472" s="615"/>
      <c r="TG472" s="615"/>
      <c r="TH472" s="615"/>
      <c r="TI472" s="615"/>
      <c r="TJ472" s="615"/>
      <c r="TK472" s="615"/>
      <c r="TL472" s="615"/>
      <c r="TM472" s="615"/>
      <c r="TN472" s="615"/>
      <c r="TO472" s="615"/>
      <c r="TP472" s="615"/>
      <c r="TQ472" s="615"/>
      <c r="TR472" s="615"/>
      <c r="TS472" s="615"/>
      <c r="TT472" s="615"/>
      <c r="TU472" s="615"/>
      <c r="TV472" s="615"/>
      <c r="TW472" s="615"/>
      <c r="TX472" s="615"/>
      <c r="TY472" s="615"/>
      <c r="TZ472" s="615"/>
      <c r="UA472" s="615"/>
      <c r="UB472" s="615"/>
      <c r="UC472" s="615"/>
      <c r="UD472" s="615"/>
      <c r="UE472" s="615"/>
      <c r="UF472" s="615"/>
      <c r="UG472" s="615"/>
      <c r="UH472" s="615"/>
      <c r="UI472" s="615"/>
      <c r="UJ472" s="615"/>
      <c r="UK472" s="615"/>
      <c r="UL472" s="615"/>
      <c r="UM472" s="615"/>
      <c r="UN472" s="615"/>
      <c r="UO472" s="615"/>
      <c r="UP472" s="615"/>
      <c r="UQ472" s="615"/>
      <c r="UR472" s="615"/>
      <c r="US472" s="615"/>
      <c r="UT472" s="615"/>
      <c r="UU472" s="615"/>
      <c r="UV472" s="615"/>
      <c r="UW472" s="615"/>
      <c r="UX472" s="615"/>
      <c r="UY472" s="615"/>
      <c r="UZ472" s="615"/>
      <c r="VA472" s="615"/>
      <c r="VB472" s="615"/>
      <c r="VC472" s="615"/>
      <c r="VD472" s="615"/>
      <c r="VE472" s="615"/>
      <c r="VF472" s="615"/>
      <c r="VG472" s="615"/>
      <c r="VH472" s="615"/>
      <c r="VI472" s="615"/>
      <c r="VJ472" s="615"/>
      <c r="VK472" s="615"/>
      <c r="VL472" s="615"/>
      <c r="VM472" s="615"/>
      <c r="VN472" s="615"/>
      <c r="VO472" s="615"/>
      <c r="VP472" s="615"/>
      <c r="VQ472" s="615"/>
      <c r="VR472" s="615"/>
      <c r="VS472" s="615"/>
      <c r="VT472" s="615"/>
      <c r="VU472" s="615"/>
      <c r="VV472" s="615"/>
      <c r="VW472" s="615"/>
      <c r="VX472" s="615"/>
      <c r="VY472" s="615"/>
      <c r="VZ472" s="615"/>
      <c r="WA472" s="615"/>
      <c r="WB472" s="615"/>
      <c r="WC472" s="615"/>
      <c r="WD472" s="615"/>
      <c r="WE472" s="615"/>
      <c r="WF472" s="615"/>
      <c r="WG472" s="615"/>
      <c r="WH472" s="615"/>
      <c r="WI472" s="615"/>
      <c r="WJ472" s="615"/>
      <c r="WK472" s="615"/>
      <c r="WL472" s="615"/>
      <c r="WM472" s="615"/>
      <c r="WN472" s="615"/>
      <c r="WO472" s="615"/>
      <c r="WP472" s="615"/>
      <c r="WQ472" s="615"/>
      <c r="WR472" s="615"/>
      <c r="WS472" s="615"/>
      <c r="WT472" s="615"/>
      <c r="WU472" s="615"/>
      <c r="WV472" s="615"/>
      <c r="WW472" s="615"/>
      <c r="WX472" s="615"/>
      <c r="WY472" s="615"/>
      <c r="WZ472" s="615"/>
      <c r="XA472" s="615"/>
      <c r="XB472" s="615"/>
      <c r="XC472" s="615"/>
      <c r="XD472" s="615"/>
      <c r="XE472" s="615"/>
      <c r="XF472" s="615"/>
      <c r="XG472" s="615"/>
      <c r="XH472" s="615"/>
      <c r="XI472" s="615"/>
      <c r="XJ472" s="615"/>
      <c r="XK472" s="615"/>
      <c r="XL472" s="615"/>
      <c r="XM472" s="615"/>
      <c r="XN472" s="615"/>
      <c r="XO472" s="615"/>
      <c r="XP472" s="615"/>
      <c r="XQ472" s="615"/>
      <c r="XR472" s="615"/>
      <c r="XS472" s="615"/>
      <c r="XT472" s="615"/>
      <c r="XU472" s="615"/>
      <c r="XV472" s="615"/>
      <c r="XW472" s="615"/>
      <c r="XX472" s="615"/>
      <c r="XY472" s="615"/>
      <c r="XZ472" s="615"/>
      <c r="YA472" s="615"/>
      <c r="YB472" s="615"/>
      <c r="YC472" s="615"/>
      <c r="YD472" s="615"/>
      <c r="YE472" s="615"/>
      <c r="YF472" s="615"/>
      <c r="YG472" s="615"/>
      <c r="YH472" s="615"/>
      <c r="YI472" s="615"/>
      <c r="YJ472" s="615"/>
      <c r="YK472" s="615"/>
      <c r="YL472" s="615"/>
      <c r="YM472" s="615"/>
      <c r="YN472" s="615"/>
      <c r="YO472" s="615"/>
      <c r="YP472" s="615"/>
      <c r="YQ472" s="615"/>
      <c r="YR472" s="615"/>
      <c r="YS472" s="615"/>
      <c r="YT472" s="615"/>
      <c r="YU472" s="615"/>
      <c r="YV472" s="615"/>
      <c r="YW472" s="615"/>
      <c r="YX472" s="615"/>
      <c r="YY472" s="615"/>
      <c r="YZ472" s="615"/>
      <c r="ZA472" s="615"/>
      <c r="ZB472" s="615"/>
      <c r="ZC472" s="615"/>
      <c r="ZD472" s="615"/>
      <c r="ZE472" s="615"/>
      <c r="ZF472" s="615"/>
      <c r="ZG472" s="615"/>
      <c r="ZH472" s="615"/>
      <c r="ZI472" s="615"/>
      <c r="ZJ472" s="615"/>
      <c r="ZK472" s="615"/>
      <c r="ZL472" s="615"/>
      <c r="ZM472" s="615"/>
      <c r="ZN472" s="615"/>
      <c r="ZO472" s="615"/>
      <c r="ZP472" s="615"/>
      <c r="ZQ472" s="615"/>
      <c r="ZR472" s="615"/>
      <c r="ZS472" s="615"/>
      <c r="ZT472" s="615"/>
      <c r="ZU472" s="615"/>
      <c r="ZV472" s="615"/>
      <c r="ZW472" s="615"/>
      <c r="ZX472" s="615"/>
      <c r="ZY472" s="615"/>
      <c r="ZZ472" s="625"/>
      <c r="AAA472" s="614"/>
      <c r="AAB472" s="615"/>
      <c r="AAC472" s="615"/>
      <c r="AAD472" s="612"/>
      <c r="AAE472" s="613" t="s">
        <v>245</v>
      </c>
      <c r="AAF472" s="613"/>
      <c r="AAG472" s="612"/>
      <c r="AAH472" s="612"/>
      <c r="AAI472" s="612"/>
      <c r="AAJ472" s="612"/>
      <c r="AAK472" s="612"/>
      <c r="AAL472" s="612"/>
      <c r="AAM472" s="612"/>
      <c r="AAN472"/>
      <c r="AAT472" s="23"/>
      <c r="AAU472" s="44"/>
    </row>
  </sheetData>
  <sheetProtection formatRows="0" insertHyperlinks="0"/>
  <mergeCells count="139">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9:H439"/>
    <mergeCell ref="D261:F261"/>
    <mergeCell ref="D262:F262"/>
    <mergeCell ref="B426:H426"/>
    <mergeCell ref="B363:C363"/>
    <mergeCell ref="B359:H359"/>
    <mergeCell ref="B388:H388"/>
    <mergeCell ref="B341:H341"/>
    <mergeCell ref="B392:H392"/>
    <mergeCell ref="B273:H273"/>
    <mergeCell ref="B299:H299"/>
    <mergeCell ref="A2:A3"/>
    <mergeCell ref="B25:D25"/>
    <mergeCell ref="B12:D12"/>
    <mergeCell ref="B17:C17"/>
    <mergeCell ref="E4:F4"/>
    <mergeCell ref="B2:B3"/>
    <mergeCell ref="B241:C241"/>
    <mergeCell ref="D256:F256"/>
    <mergeCell ref="B250:H250"/>
    <mergeCell ref="D128:F128"/>
    <mergeCell ref="D148:F148"/>
    <mergeCell ref="D168:F168"/>
    <mergeCell ref="D188:F188"/>
    <mergeCell ref="B210:H210"/>
    <mergeCell ref="B41:C41"/>
    <mergeCell ref="B38:D38"/>
    <mergeCell ref="D108:F108"/>
    <mergeCell ref="G4:H4"/>
    <mergeCell ref="B40:D40"/>
    <mergeCell ref="B26:D26"/>
    <mergeCell ref="B27:D27"/>
    <mergeCell ref="D6:E6"/>
    <mergeCell ref="E43:F43"/>
    <mergeCell ref="B29:D29"/>
    <mergeCell ref="D260:F260"/>
    <mergeCell ref="D257:F257"/>
    <mergeCell ref="D258:F258"/>
    <mergeCell ref="D259:F259"/>
    <mergeCell ref="B246:H246"/>
    <mergeCell ref="B248:C248"/>
    <mergeCell ref="D255:F255"/>
    <mergeCell ref="B237:C237"/>
    <mergeCell ref="B231:H231"/>
    <mergeCell ref="B233:C233"/>
    <mergeCell ref="B236:C236"/>
    <mergeCell ref="AAE1:AAK2"/>
    <mergeCell ref="ABK6:ABQ6"/>
    <mergeCell ref="AAS20:AAS21"/>
    <mergeCell ref="B32:D32"/>
    <mergeCell ref="B28:D28"/>
    <mergeCell ref="B99:H99"/>
    <mergeCell ref="B81:G81"/>
    <mergeCell ref="E44:E45"/>
    <mergeCell ref="D30:E30"/>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2">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70">
    <cfRule type="expression" dxfId="11" priority="3847" stopIfTrue="1">
      <formula>IF(WORKDAY($G17-1,1,S.DDL_DEQClosed)&lt;&gt;$G17,TRUE)</formula>
    </cfRule>
  </conditionalFormatting>
  <conditionalFormatting sqref="H17:H470">
    <cfRule type="expression" dxfId="10" priority="4047" stopIfTrue="1">
      <formula>IF(WORKDAY($H17-1,1,S.DDL_DEQClosed)&lt;&gt;$H17,TRUE)</formula>
    </cfRule>
  </conditionalFormatting>
  <conditionalFormatting sqref="J8:ZZ470">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2">
    <cfRule type="expression" dxfId="5" priority="4138" stopIfTrue="1">
      <formula>IF($AAE91=0,TRUE)</formula>
    </cfRule>
  </conditionalFormatting>
  <conditionalFormatting sqref="B91">
    <cfRule type="expression" dxfId="4" priority="4139" stopIfTrue="1">
      <formula>IF($AAE86=0,TRUE)</formula>
    </cfRule>
  </conditionalFormatting>
  <conditionalFormatting sqref="B4:ZZ470">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7:G230 G244">
      <formula1>H222</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4">
      <formula1>G214</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5">
      <formula1>G302</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3">
      <formula1>G263</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8">
      <formula1>H241</formula1>
      <formula2>H212</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9">
      <formula1>G239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4">
      <formula1>H230</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5">
      <formula1>H234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1">
      <formula1>G221</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5">
      <formula1>H241</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6:H230">
      <formula1>G226</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9 H95:H98 H122 H111:H115 H117:H120 H124:H127 H129 H142 H131:H135 H137:H140 H144:H147 H149 H162 H151:H155 H157:H160 H164:H167 H169 H182 H171:H175 H177:H180 H184:H187 H189 H202 H191:H195 H197:H200 H204:H208 H86:H93 H101:H107">
      <formula1>G86</formula1>
      <formula2>S.BANNER.AdvisoryCommitteeEnd</formula2>
    </dataValidation>
    <dataValidation type="date" allowBlank="1" showErrorMessage="1" errorTitle="INVALID DATE" error="If you need a differenct date, change the Submit notice to SOS under Key dates." sqref="H333 H311 H324">
      <formula1>G311</formula1>
      <formula2>G311</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7:H378 H372:H373 H381:H387">
      <formula1>G372</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5:H270">
      <formula1>G265</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6 H271 H362">
      <formula1>$F271</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8 H308">
      <formula1>G308</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 G221">
      <formula1>H215</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9 H220">
      <formula1>G220</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5 H215">
      <formula1>G215</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3">
      <formula1>G311</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1:H302 H309">
      <formula1>G301</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7 H422:H425 H416 H396:H397">
      <formula1>G396</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2">
      <formula1>H240</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2 AAH41">
      <formula1>G40</formula1>
    </dataValidation>
    <dataValidation type="date" allowBlank="1" showInputMessage="1" showErrorMessage="1" errorTitle="DATE RANGE ERROR" error="The date entered must be between the START and END date on the Planning section heade." sqref="G47">
      <formula1>G33</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40">
      <formula1>AAE240</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5">
      <formula1>AAE235</formula1>
      <formula2>S.BANNER.FeeEnd</formula2>
    </dataValidation>
    <dataValidation type="date" allowBlank="1" showInputMessage="1" showErrorMessage="1" errorTitle="DATE RANGE ERROR" error="The date entered must be between the START and END date on the Planning section heade." sqref="H47">
      <formula1>#REF!</formula1>
      <formula2>AAE33</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8:H50 H68:H71">
      <formula1>G48</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1">
      <formula1>S.BANNER.NoticeStart</formula1>
      <formula2>G302</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2">
      <formula1>S.BANNER.FeeStart</formula1>
      <formula2>AAH212</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H244">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5">
      <formula1>G245</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10">
      <formula1>H305</formula1>
      <formula2>G311</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8">
      <formula1>H305</formula1>
      <formula2>G310</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10">
      <formula1>H305</formula1>
      <formula2>G311</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9">
      <formula1>H305</formula1>
      <formula2>G311</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7">
      <formula1>H305</formula1>
      <formula2>G310</formula2>
    </dataValidation>
    <dataValidation type="date" allowBlank="1" showErrorMessage="1" errorTitle="LOCKED" error="Change the Submit notice to SOS under Overview of Key Dates banner." sqref="H313">
      <formula1>G313</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7">
      <formula1>G307</formula1>
      <formula2>G310</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G310</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2">
      <formula1>S.BANNER.NoticeStart</formula1>
      <formula2>WORKDAY(G310,-5,S.DDL_DEQClosed)</formula2>
    </dataValidation>
    <dataValidation type="date" allowBlank="1" showErrorMessage="1" errorTitle="DATE OUT OF RANGE" error="Enter a date between the date to the left and the &quot;LA briefing meeting&quot; date below." sqref="AAH298">
      <formula1>G298</formula1>
      <formula2>WORKDAY(G301,-2,S.DDL_DEQClosed)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5:G298 G286 G289">
      <formula1>S.BANNER.NoticeStart</formula1>
      <formula2>G315</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2 H274:H277 H285:H289 H295:H298">
      <formula1>G272</formula1>
      <formula2>$G$301</formula2>
    </dataValidation>
    <dataValidation allowBlank="1" showInputMessage="1" showErrorMessage="1" promptTitle="TEAM DISCRETION" prompt="The team may place an &quot;X&quot; in this location to indicate the task has been completed." sqref="C417:C420 C422:C425 C409:C415 C461 C470 C466:C468 C452:C455 C445:C448 C433:C434 C428:C431 C457:C459 C222:C230 C87 C104 C72:C79 C101:C102 C92:C93 C96:C98 C48:C51 C90 C68:C70 C364:C373 C398:C399 C390 C207:C208 C172:C175 C204:C205 C202 C192:C195 C187:C189 C152:C155 C184:C185 C182 C198:C200 C167:C169 C132:C135 C164:C165 C162 C178:C180 C147:C149 C112:C115 C144:C145 C142 C158:C160 C127:C129 C124:C125 C122 C138:C140 C214 C217:C218 C118:C120 C238:C240 C242:C245 C255:C263 C350 C377:C378 C381:C387 C361 C345 C335:C339 C276:C286 C328:C333 C326 C324 C305:C313 C301:C302 C265:C270 C274 C352:C358 C295:C298 C288:C289 C106:C109"/>
    <dataValidation allowBlank="1" showErrorMessage="1" sqref="AAL452:AAL459 B452:B459 B447:B448 AAL447:AAL448 B99:H99"/>
    <dataValidation allowBlank="1" sqref="AAG433 AAG265"/>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4 AAG354:AAG358 AAG361 AAG266:AAG270">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5 G449 G215 G220">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3"/>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2">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0">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0">
      <formula1>S.BANNER.PostEQCStart</formula1>
      <formula2>S.BANNER.PostEQCEnd</formula2>
    </dataValidation>
    <dataValidation type="date" allowBlank="1" showInputMessage="1" showErrorMessage="1" sqref="H444">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6 G271 G362">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9">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3:G434 G422:G425 G407 G416 G428 G430:G431 G396:G397">
      <formula1>S.BANNER.EQCStart</formula1>
      <formula2>S.BANNER.EQCEnd</formula2>
    </dataValidation>
    <dataValidation type="date" allowBlank="1" showInputMessage="1" showErrorMessage="1" errorTitle="DATE RANGE ERROR" error="Enter a date between the date to the left and 45 days after the date to the left." sqref="H441">
      <formula1>S.BANNER.PostEQCStart</formula1>
      <formula2>S.BANNER.PostEQCStart+45</formula2>
    </dataValidation>
    <dataValidation type="date" allowBlank="1" showInputMessage="1" showErrorMessage="1" sqref="G444">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9">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0">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3:H434 H431">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40 E44 E82 E342 E251 E211 E39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0 G44 G82 G393 G342 G251 G211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0 H44 H82 H393 H342 H251 H211 H5"/>
    <dataValidation operator="greaterThanOrEqual" allowBlank="1" showInputMessage="1" showErrorMessage="1" sqref="AAG426 AAG359 AAG295:AAG299 AAG272:AAG277 AAG263 AAG231 AAG246 AAG285:AAG289 AAG388"/>
    <dataValidation allowBlank="1" showInputMessage="1" showErrorMessage="1" promptTitle="OUTCOME BASED MEASURE" prompt="The number of loops is a reportable measure for outcome-based measures. Please track the start and end date for each loop. Ask the PE to add more loop lines if needed." sqref="B422:B426 B384:B388 B227:B232 B246 B267:B270 B295:B299 B355:B359"/>
    <dataValidation allowBlank="1" showInputMessage="1" showErrorMessage="1" promptTitle="VERIFY COMPILATION" prompt="Verify redline/strikethrough is based on the latest compilation. See Hist.: at the bottom of each rule._x000a_" sqref="B400"/>
    <dataValidation allowBlank="1" showInputMessage="1" showErrorMessage="1" promptTitle="Project Assistant" prompt="Meeting mechanics tab" sqref="D109 D90 D105 D189 D169 D149 D129"/>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1">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5">
      <formula1>S.MgrNoticeApproval</formula1>
      <formula2>S.SubmitNoticeToSOS</formula2>
    </dataValidation>
    <dataValidation type="date" allowBlank="1" showInputMessage="1" showErrorMessage="1" promptTitle="LOCKED" prompt="DEFAULT   EQC Meeting date selected in cell G10" sqref="H394">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4">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90">
      <formula1>S.PublicNoticeInBulletin</formula1>
      <formula2>S.SubmitStaffRpt</formula2>
    </dataValidation>
    <dataValidation allowBlank="1" showInputMessage="1" showErrorMessage="1" promptTitle="ENTER NUMBER" prompt="Enter the number of loops." sqref="C389"/>
    <dataValidation type="date" allowBlank="1" showInputMessage="1" showErrorMessage="1" promptTitle="ENTER DATE" prompt="DEFAULT   30 days before submitting the SOS notice." sqref="G398">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3">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1 H345 H348 H354:H358">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4:G358 G361 G345 G348">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2:G373">
      <formula1>S.HearingFirst</formula1>
      <formula2>S.BANNER.HearingEnd</formula2>
    </dataValidation>
    <dataValidation allowBlank="1" showInputMessage="1" showErrorMessage="1" promptTitle="LOCKED: CANNOT CHANGE DATE HERE" prompt="Change the hearing dates under Public notice section." sqref="G364:H371"/>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3">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3 G324">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7"/>
    <dataValidation allowBlank="1" showInputMessage="1" showErrorMessage="1" promptTitle="ENTER CITY" prompt="Enter the city where this hearing will be held." sqref="D255:F262"/>
    <dataValidation allowBlank="1" showInputMessage="1" showErrorMessage="1" promptTitle="ENTER TIME" prompt="Enter the time of this hearing as hh:mm followed by a.m. or p.m._x000a__x000a__x000a_" sqref="H255:H262"/>
    <dataValidation type="date" allowBlank="1" showInputMessage="1" showErrorMessage="1" errorTitle="LOCKED" error="Change under notice section of OVerview of Key Dates" promptTitle="LOCKED" prompt="Change under notice section of Overview of Key Dates_x000a__x000a__x000a_" sqref="G238">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#REF!</formula1>
      <formula2>S.BANNER.FeeEnd</formula2>
    </dataValidation>
    <dataValidation allowBlank="1" showInputMessage="1" showErrorMessage="1" promptTitle="DAS PROCESS IMPROVEMENTS" prompt="This information willl help us  gather data to support our requests for DAS process improvements." sqref="B242:B245"/>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2">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2">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0">
      <formula1>S.BANNER.FeeStart</formula1>
      <formula2>S.BANNER.FeeEnd</formula2>
    </dataValidation>
    <dataValidation type="date" allowBlank="1" showInputMessage="1" showErrorMessage="1" errorTitle="LOCKED" promptTitle="LOCKED" prompt="Entered under Overview of Key Dates" sqref="G212">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4">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2 G101:G107 G87:G93 G95:G98 G204:G208 G191:G195 G189 G197:G200 G202 G184:G187 G171:G175 G169 G177:G180 G182 G164:G167 G151:G155 G149 G157:G160 G162 G144:G147 G131:G135 G129 G137:G140 G142 G124:G127 G111:G115 G109 G117:G120">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10 C94 C190 C170 C150 C130"/>
    <dataValidation allowBlank="1" showInputMessage="1" showErrorMessage="1" promptTitle="ENTER TIME" prompt="Enter the time of the advisory committee meeting as hh:mm followed by a.m. or p.m._x000a__x000a__x000a_" sqref="H188 H168 H148 H128 H108"/>
    <dataValidation allowBlank="1" showInputMessage="1" showErrorMessage="1" promptTitle="ENTER DATE" prompt="Enter the date of the advisory committee meeting as mm/dd/yy._x000a__x000a_" sqref="G108 G188 G168 G148 G128"/>
    <dataValidation allowBlank="1" showInputMessage="1" showErrorMessage="1" promptTitle="ENTER LOCATION" prompt="Enter location of advisory committee meeting." sqref="D108:F108 D188:F188 D168:F168 D148:F148 D128:F128"/>
    <dataValidation type="date" allowBlank="1" showInputMessage="1" showErrorMessage="1" promptTitle="ENTER DATE" prompt="Enter the date of this hearing as mm/dd/yy._x000a__x000a_" sqref="G256:G262">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9">
      <formula1>S.BANNER.FeeStart</formula1>
      <formula2>S.SubmitFeeToDAS</formula2>
    </dataValidation>
    <dataValidation allowBlank="1" showInputMessage="1" showErrorMessage="1" errorTitle="LOCKED" error="Change under Overview of Key Dates" promptTitle="LOCKED" prompt="Change under Overview of Key Dates" sqref="H374"/>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7:G378 G381:G387">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3 G265:G270">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2 G274:G277 G285 G287:G288">
      <formula1>S.BANNER.NoticeStart</formula1>
      <formula2>$G$301</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9"/>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3">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7"/>
    <dataValidation allowBlank="1" showInputMessage="1" showErrorMessage="1" promptTitle="ADVISORY COMMITTEE CHARTER" prompt="The Considerations workbook helps the team  identify what is in- and out- of the advisory committee's scope." sqref="B93"/>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8:G71 G48:G5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5">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2">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1">
      <formula1>S.BANNER.PlanningStart</formula1>
      <formula2>S.BANNER.PlanningEnd</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30">
      <formula1>S.DDL_Bulletin</formula1>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1">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9">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0">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8">
      <formula1>S.EQCMeeting</formula1>
      <formula2>S.BANNER.OverviewEnd</formula2>
    </dataValidation>
    <dataValidation type="date" allowBlank="1" showInputMessage="1" showErrorMessage="1" errorTitle="LOCKED" error="Change the Start Task Date on the Overview of Key Dates banner" promptTitle="LOCKED" prompt="This is the Start Task Date on the Overview of Key Dates banner" sqref="G45">
      <formula1>S.BANNER.OverviewStart</formula1>
      <formula2>S.BANNER.OverviewStart</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H29">
      <formula1>S.BANNER.OverviewStart</formula1>
      <formula2>VLOOKUP(S.PublicNoticeInBulletin,VL_Bulletin,2,FALSE)</formula2>
    </dataValidation>
    <dataValidation operator="equal" allowBlank="1" showInputMessage="1" showErrorMessage="1" promptTitle="ADJUST L8" prompt="_x000a_ENTER        A positive or negative whole number to adjust the date in L8._x000a__x000a_DEFAULT     Today" sqref="AAF3"/>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5" r:id="rId1"/>
    <hyperlink ref="C287" r:id="rId2"/>
    <hyperlink ref="C126" r:id="rId3"/>
    <hyperlink ref="C71" r:id="rId4"/>
    <hyperlink ref="C95" r:id="rId5"/>
    <hyperlink ref="C347" r:id="rId6"/>
    <hyperlink ref="C54" r:id="rId7"/>
    <hyperlink ref="C58" r:id="rId8"/>
    <hyperlink ref="C327" r:id="rId9"/>
    <hyperlink ref="C325" r:id="rId10"/>
    <hyperlink ref="C88" r:id="rId11"/>
    <hyperlink ref="C89" r:id="rId12" display=" i"/>
    <hyperlink ref="C400" r:id="rId13"/>
    <hyperlink ref="C105" r:id="rId14"/>
    <hyperlink ref="C456" r:id="rId15"/>
    <hyperlink ref="C315" r:id="rId16"/>
    <hyperlink ref="C35" r:id="rId17"/>
    <hyperlink ref="C351" r:id="rId18"/>
    <hyperlink ref="C90" r:id="rId19"/>
    <hyperlink ref="C36" r:id="rId20"/>
    <hyperlink ref="C85" r:id="rId21"/>
    <hyperlink ref="C47" r:id="rId22"/>
    <hyperlink ref="C86" r:id="rId23"/>
    <hyperlink ref="C103" r:id="rId24"/>
    <hyperlink ref="C111" r:id="rId25"/>
    <hyperlink ref="C146" r:id="rId26"/>
    <hyperlink ref="C131" r:id="rId27"/>
    <hyperlink ref="C151" r:id="rId28"/>
    <hyperlink ref="C166" r:id="rId29"/>
    <hyperlink ref="C171" r:id="rId30"/>
    <hyperlink ref="C186" r:id="rId31"/>
    <hyperlink ref="C191" r:id="rId32"/>
    <hyperlink ref="C206" r:id="rId33"/>
    <hyperlink ref="C197" r:id="rId34"/>
    <hyperlink ref="C177" r:id="rId35"/>
    <hyperlink ref="C157" r:id="rId36"/>
    <hyperlink ref="C137" r:id="rId37"/>
    <hyperlink ref="C117" r:id="rId38"/>
  </hyperlinks>
  <pageMargins left="0.25" right="0.25" top="0.36" bottom="0.36" header="0.3" footer="0.3"/>
  <pageSetup orientation="portrait" horizontalDpi="4294967293" r:id="rId39"/>
  <rowBreaks count="8" manualBreakCount="8">
    <brk id="42" min="1" max="7" man="1"/>
    <brk id="80" min="1" max="7" man="1"/>
    <brk id="127" min="1" max="7" man="1"/>
    <brk id="167" min="1" max="7" man="1"/>
    <brk id="209" min="1" max="7" man="1"/>
    <brk id="249" min="1" max="7" man="1"/>
    <brk id="340" min="1" max="7" man="1"/>
    <brk id="438" min="1" max="7" man="1"/>
  </rowBreaks>
  <ignoredErrors>
    <ignoredError sqref="G91:H93 G122:H122 G220:H220 G234:H235 G248 G214:H214 G345:H345 G348:H348 G354:H358 G361:H361 G390 G396:H396 G416:H416 G407:H407 G422:H424 H239:H240 G226:H230 G240 H444 G456:H459 G461:H461 G470:H470 H441 G324:H324 G333:H333 H312 G394 H462 H429:H431 G428 G430:G431 G433:H434 G95:H98 G109:H109 G125:H127 G106:H107 G111:H115 G119:H120 G117:H117 G372:H373 H215 G453:H454 G243:G245 H377:H378 H265:H270 G425 G101:H104 G86:H86"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139</v>
      </c>
      <c r="E1" s="38" t="s">
        <v>142</v>
      </c>
      <c r="F1" s="38" t="s">
        <v>128</v>
      </c>
      <c r="G1" s="330" t="s">
        <v>256</v>
      </c>
    </row>
    <row r="2" spans="1:7" s="23" customFormat="1" ht="25.5" customHeight="1">
      <c r="A2" s="105"/>
      <c r="B2" s="792" t="s">
        <v>140</v>
      </c>
      <c r="C2" s="792"/>
      <c r="D2" s="105"/>
      <c r="E2" s="105"/>
      <c r="F2" s="105"/>
      <c r="G2" s="105"/>
    </row>
    <row r="3" spans="1:7" s="23" customFormat="1">
      <c r="A3" s="105"/>
      <c r="B3" s="557" t="s">
        <v>27</v>
      </c>
      <c r="C3" s="105" t="s">
        <v>144</v>
      </c>
      <c r="D3" s="559" t="s">
        <v>80</v>
      </c>
      <c r="E3" s="560" t="s">
        <v>304</v>
      </c>
      <c r="F3" s="560" t="s">
        <v>302</v>
      </c>
      <c r="G3" s="105"/>
    </row>
    <row r="4" spans="1:7" s="23" customFormat="1">
      <c r="A4" s="105"/>
      <c r="B4" s="557" t="s">
        <v>20</v>
      </c>
      <c r="C4" s="105" t="s">
        <v>289</v>
      </c>
      <c r="D4" s="561" t="s">
        <v>129</v>
      </c>
      <c r="E4" s="560" t="s">
        <v>303</v>
      </c>
      <c r="F4" s="667" t="s">
        <v>143</v>
      </c>
      <c r="G4" s="105"/>
    </row>
    <row r="5" spans="1:7" s="23" customFormat="1">
      <c r="A5" s="105"/>
      <c r="B5" s="557" t="s">
        <v>26</v>
      </c>
      <c r="C5" s="105"/>
      <c r="D5" s="556" t="s">
        <v>288</v>
      </c>
      <c r="E5" s="560" t="s">
        <v>305</v>
      </c>
      <c r="F5" s="667" t="s">
        <v>143</v>
      </c>
      <c r="G5" s="105"/>
    </row>
    <row r="6" spans="1:7" s="23" customFormat="1">
      <c r="A6" s="105"/>
      <c r="B6" s="557" t="s">
        <v>286</v>
      </c>
      <c r="C6" s="105" t="s">
        <v>287</v>
      </c>
      <c r="D6" s="556" t="s">
        <v>288</v>
      </c>
      <c r="E6" s="563" t="s">
        <v>306</v>
      </c>
      <c r="F6" s="667" t="s">
        <v>143</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92" t="s">
        <v>141</v>
      </c>
      <c r="C9" s="792"/>
      <c r="D9" s="567" t="s">
        <v>145</v>
      </c>
      <c r="E9" s="568" t="s">
        <v>146</v>
      </c>
      <c r="F9" s="105"/>
      <c r="G9" s="105"/>
    </row>
    <row r="10" spans="1:7">
      <c r="A10" s="105"/>
      <c r="B10" s="557"/>
      <c r="C10" s="558"/>
      <c r="D10" s="569" t="s">
        <v>133</v>
      </c>
      <c r="E10" s="560" t="s">
        <v>292</v>
      </c>
      <c r="F10" s="105" t="s">
        <v>293</v>
      </c>
      <c r="G10" s="105"/>
    </row>
    <row r="11" spans="1:7">
      <c r="A11" s="105"/>
      <c r="B11" s="557"/>
      <c r="C11" s="558"/>
      <c r="D11" s="569" t="s">
        <v>133</v>
      </c>
      <c r="E11" s="560" t="s">
        <v>295</v>
      </c>
      <c r="F11" s="105" t="s">
        <v>294</v>
      </c>
      <c r="G11" s="105"/>
    </row>
    <row r="12" spans="1:7" s="23" customFormat="1">
      <c r="A12" s="105"/>
      <c r="B12" s="557"/>
      <c r="C12" s="105"/>
      <c r="D12" s="566" t="s">
        <v>115</v>
      </c>
      <c r="E12" s="560" t="s">
        <v>134</v>
      </c>
      <c r="F12" s="105" t="s">
        <v>290</v>
      </c>
      <c r="G12" s="105"/>
    </row>
    <row r="13" spans="1:7" s="23" customFormat="1">
      <c r="A13" s="105"/>
      <c r="B13" s="557"/>
      <c r="C13" s="105"/>
      <c r="D13" s="565" t="s">
        <v>143</v>
      </c>
      <c r="E13" s="560" t="s">
        <v>132</v>
      </c>
      <c r="F13" s="105" t="s">
        <v>291</v>
      </c>
      <c r="G13" s="105"/>
    </row>
    <row r="14" spans="1:7" ht="18">
      <c r="A14" s="105"/>
      <c r="B14" s="792" t="s">
        <v>211</v>
      </c>
      <c r="C14" s="792"/>
      <c r="D14" s="105"/>
      <c r="E14" s="105"/>
      <c r="F14" s="105"/>
      <c r="G14" s="105"/>
    </row>
    <row r="15" spans="1:7">
      <c r="A15" s="105"/>
      <c r="B15" s="557"/>
      <c r="C15" s="105" t="s">
        <v>257</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258</v>
      </c>
      <c r="F21" s="105" t="s">
        <v>0</v>
      </c>
      <c r="G21" s="105"/>
    </row>
    <row r="22" spans="1:7">
      <c r="A22" s="105"/>
      <c r="B22" s="557"/>
      <c r="C22" s="105"/>
      <c r="D22" s="105"/>
      <c r="E22" s="105" t="s">
        <v>259</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A263DAD0-2B8A-4897-A4FA-F1995F6DB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2013-08-08T19:38:25Z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