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6420" yWindow="-180"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ScheduleTasks!$B$2:$H$471</definedName>
    <definedName name="S.2ndHearingCity">ScheduleTasks!$D$256</definedName>
    <definedName name="S.2ndHearingDate">ScheduleTasks!$G$256</definedName>
    <definedName name="S.3rdHearingCity">ScheduleTasks!$D$257</definedName>
    <definedName name="S.3rdHearingDate">ScheduleTasks!$G$257</definedName>
    <definedName name="S.4thHearingCity">ScheduleTasks!$D$258</definedName>
    <definedName name="S.4thHearingDate">ScheduleTasks!$G$258</definedName>
    <definedName name="S.5thHearingCity">ScheduleTasks!$D$259</definedName>
    <definedName name="S.5thHearingDate">ScheduleTasks!$G$259</definedName>
    <definedName name="S.6thHearingCity">ScheduleTasks!$D$260</definedName>
    <definedName name="S.6thHearingDate">ScheduleTasks!$G$260</definedName>
    <definedName name="S.7thHearingCity">ScheduleTasks!$D$261</definedName>
    <definedName name="S.7thHearingDate">ScheduleTasks!$G$261</definedName>
    <definedName name="S.BANNER.AdvisoryCommitteeEnd">ScheduleTasks!$H$19</definedName>
    <definedName name="S.BANNER.AdvisoryCommitteeStart">ScheduleTasks!$G$19</definedName>
    <definedName name="S.BANNER.EQCEnd">ScheduleTasks!$H$394</definedName>
    <definedName name="S.BANNER.EQCStart">ScheduleTasks!$G$394</definedName>
    <definedName name="S.BANNER.FeeEnd">ScheduleTasks!$H$212</definedName>
    <definedName name="S.BANNER.FeeStart">ScheduleTasks!$G$212</definedName>
    <definedName name="S.BANNER.HearingEnd">ScheduleTasks!$H$343</definedName>
    <definedName name="S.BANNER.HearingStart">ScheduleTasks!$G$343</definedName>
    <definedName name="S.BANNER.NoticeEnd">ScheduleTasks!$H$252</definedName>
    <definedName name="S.BANNER.NoticeStart">ScheduleTasks!$G$252</definedName>
    <definedName name="S.BANNER.OverviewEnd">ScheduleTasks!$H$6</definedName>
    <definedName name="S.BANNER.OverviewStart">ScheduleTasks!$G$6</definedName>
    <definedName name="S.BANNER.PlanningEnd">ScheduleTasks!$H$45</definedName>
    <definedName name="S.BANNER.PlanningStart">ScheduleTasks!$G$45</definedName>
    <definedName name="S.BANNER.PostEQCEnd">ScheduleTasks!$H$441</definedName>
    <definedName name="S.BANNER.PostEQCStart">ScheduleTasks!$H$441</definedName>
    <definedName name="S.CloseComment">ScheduleTasks!$H$33</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ScheduleTasks!$H$248</definedName>
    <definedName name="S.FileRuleWithSOS">ScheduleTasks!$H$38</definedName>
    <definedName name="S.FirstHearingCity">ScheduleTasks!$D$255</definedName>
    <definedName name="S.FirstHearingDate">ScheduleTasks!$H$32</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ScheduleTasks!$AAJ$32</definedName>
    <definedName name="S.InvolveNotice">ScheduleTasks!$AAJ$30</definedName>
    <definedName name="S.InvolveSIP">ScheduleTasks!$AAJ$17</definedName>
    <definedName name="S.LastCellGantt">ScheduleTasks!#REF!</definedName>
    <definedName name="S.LastCellSchedule">ScheduleTasks!$H$471</definedName>
    <definedName name="S.LastHearingCity">ScheduleTasks!$D$262</definedName>
    <definedName name="S.LastHearingDate">ScheduleTasks!$G$262</definedName>
    <definedName name="S.MgrNoticeApproval">ScheduleTasks!$H$310</definedName>
    <definedName name="S.Pace">ScheduleTasks!$G$9</definedName>
    <definedName name="S.PostNoticeToRegistry">ScheduleTasks!$G$324</definedName>
    <definedName name="S.PublicNoticeInBulletin">ScheduleTasks!$H$30</definedName>
    <definedName name="S.RuleEffective">ScheduleTasks!$H$41</definedName>
    <definedName name="S.RuleType">ScheduleTasks!$AAJ$6</definedName>
    <definedName name="S.SipEnd">ScheduleTasks!$H$17</definedName>
    <definedName name="S.SIPStart">ScheduleTasks!$G$17</definedName>
    <definedName name="S.SubmitDASPart2">ScheduleTasks!$H$40</definedName>
    <definedName name="S.SubmitFeeToDAS">ScheduleTasks!$H$27</definedName>
    <definedName name="S.SubmitNoticeToEPA">ScheduleTasks!$H$26</definedName>
    <definedName name="S.SubmitNoticeToSOS">ScheduleTasks!$H$28</definedName>
    <definedName name="S.SubmitSIPToEPA.PostEQC">ScheduleTasks!$H$39</definedName>
    <definedName name="S.SubmitStaffRpt">ScheduleTasks!$H$35</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L29" i="94"/>
  <c r="AAH29"/>
  <c r="AAE29"/>
  <c r="G29"/>
  <c r="F29"/>
  <c r="AAJ399" l="1"/>
  <c r="AAJ397"/>
  <c r="B397" s="1"/>
  <c r="AAL351"/>
  <c r="AAL350"/>
  <c r="AAL274"/>
  <c r="AAL216"/>
  <c r="AAL224"/>
  <c r="AAL223"/>
  <c r="AAL221"/>
  <c r="AAH40"/>
  <c r="AAH39"/>
  <c r="AAE401"/>
  <c r="AAL373"/>
  <c r="AAL290"/>
  <c r="G4"/>
  <c r="AAE419"/>
  <c r="AAJ418"/>
  <c r="AAJ416"/>
  <c r="B417" s="1"/>
  <c r="AAJ408"/>
  <c r="B408" s="1"/>
  <c r="AAL372"/>
  <c r="AAL380"/>
  <c r="AAL376"/>
  <c r="AAL445"/>
  <c r="AAL468"/>
  <c r="AAL467"/>
  <c r="AAL466"/>
  <c r="AAL464"/>
  <c r="AAL463"/>
  <c r="AAL459"/>
  <c r="AAL458"/>
  <c r="AAL457"/>
  <c r="AAL456"/>
  <c r="AAL455"/>
  <c r="AAL446"/>
  <c r="B445"/>
  <c r="AAL309"/>
  <c r="AAL454"/>
  <c r="AAL453"/>
  <c r="AAL452"/>
  <c r="AAL448"/>
  <c r="AAL447"/>
  <c r="AAL450"/>
  <c r="AAL283"/>
  <c r="AAL21" l="1"/>
  <c r="AAJ420"/>
  <c r="AAJ417"/>
  <c r="AAL378"/>
  <c r="AAL349"/>
  <c r="AAL339"/>
  <c r="AAL337"/>
  <c r="AAL335"/>
  <c r="AAL334"/>
  <c r="AAL332"/>
  <c r="AAL331"/>
  <c r="AAL323"/>
  <c r="AAL322"/>
  <c r="AAL321"/>
  <c r="AAL320"/>
  <c r="AAL319"/>
  <c r="AAL318"/>
  <c r="AAL317"/>
  <c r="AAL316"/>
  <c r="AAL287"/>
  <c r="AAL286"/>
  <c r="AAL285"/>
  <c r="AAL275"/>
  <c r="AAL451"/>
  <c r="AAL238"/>
  <c r="AAL222"/>
  <c r="AAL217"/>
  <c r="AAL66"/>
  <c r="AAL65"/>
  <c r="AAE85"/>
  <c r="AAE61"/>
  <c r="AAL293"/>
  <c r="AAL292"/>
  <c r="AAL308"/>
  <c r="AAL26" l="1"/>
  <c r="AAL27"/>
  <c r="AAL28"/>
  <c r="AAL32"/>
  <c r="G45"/>
  <c r="AAG45"/>
  <c r="J6"/>
  <c r="J5" s="1"/>
  <c r="J4" s="1"/>
  <c r="AAG21"/>
  <c r="AAK32"/>
  <c r="AAK6"/>
  <c r="AAK30"/>
  <c r="AAL15"/>
  <c r="B15" s="1"/>
  <c r="AAL30"/>
  <c r="AAG19"/>
  <c r="AAL17"/>
  <c r="AAL19"/>
  <c r="AAH262"/>
  <c r="AAH261"/>
  <c r="H261" s="1"/>
  <c r="AAH260"/>
  <c r="H260" s="1"/>
  <c r="AAH259"/>
  <c r="H259" s="1"/>
  <c r="AAH258"/>
  <c r="H258" s="1"/>
  <c r="AAH257"/>
  <c r="H257" s="1"/>
  <c r="AAH256"/>
  <c r="H256" s="1"/>
  <c r="AAE299"/>
  <c r="AAE63"/>
  <c r="AAE312"/>
  <c r="AAE457"/>
  <c r="AAE456"/>
  <c r="AAE413"/>
  <c r="AAE414"/>
  <c r="AAE406"/>
  <c r="AAE405"/>
  <c r="AAE404"/>
  <c r="AAE403"/>
  <c r="AAE402"/>
  <c r="AAE399"/>
  <c r="AAE388"/>
  <c r="AAE389"/>
  <c r="AAE390"/>
  <c r="AAE380"/>
  <c r="AAE381"/>
  <c r="AAE382"/>
  <c r="AAE383"/>
  <c r="AAE384"/>
  <c r="AAE385"/>
  <c r="AAE386"/>
  <c r="AAE387"/>
  <c r="AAE375"/>
  <c r="AAE376"/>
  <c r="AAE377"/>
  <c r="AAE378"/>
  <c r="AAE379"/>
  <c r="AAE374"/>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39"/>
  <c r="AAE338"/>
  <c r="AAE337"/>
  <c r="AAE336"/>
  <c r="AAE335"/>
  <c r="AAE334"/>
  <c r="AAE333"/>
  <c r="AAE332"/>
  <c r="AAE331"/>
  <c r="AAE330"/>
  <c r="AAE329"/>
  <c r="AAE328"/>
  <c r="AAE327"/>
  <c r="AAE325"/>
  <c r="AAE326"/>
  <c r="AAE324"/>
  <c r="AAE320"/>
  <c r="AAE319"/>
  <c r="AAE318"/>
  <c r="AAE317"/>
  <c r="AAE316"/>
  <c r="AAE315"/>
  <c r="AAE314"/>
  <c r="AAE313"/>
  <c r="AAE311"/>
  <c r="AAE310"/>
  <c r="AAE309"/>
  <c r="AAE308"/>
  <c r="AAE307"/>
  <c r="AAE306"/>
  <c r="AAE305"/>
  <c r="AAE304"/>
  <c r="AAE303"/>
  <c r="AAE302"/>
  <c r="AAE301"/>
  <c r="AAE300"/>
  <c r="AAE292"/>
  <c r="AAE290"/>
  <c r="AAE298"/>
  <c r="AAE297"/>
  <c r="AAE296"/>
  <c r="AAE295"/>
  <c r="AAE294"/>
  <c r="AAE293"/>
  <c r="AAE291"/>
  <c r="AAE289"/>
  <c r="AAE288"/>
  <c r="AAE287"/>
  <c r="AAE286"/>
  <c r="AAE283"/>
  <c r="AAE272"/>
  <c r="AAE273"/>
  <c r="AAE274"/>
  <c r="AAE275"/>
  <c r="AAE276"/>
  <c r="AAE277"/>
  <c r="AAE278"/>
  <c r="AAE279"/>
  <c r="AAE280"/>
  <c r="AAE281"/>
  <c r="AAE282"/>
  <c r="AAE284"/>
  <c r="AAE285"/>
  <c r="AAE265"/>
  <c r="AAE266"/>
  <c r="AAE267"/>
  <c r="AAE268"/>
  <c r="AAE269"/>
  <c r="AAE270"/>
  <c r="AAE271"/>
  <c r="AAE264"/>
  <c r="AAE263"/>
  <c r="AAE255"/>
  <c r="AAE256"/>
  <c r="AAE257"/>
  <c r="AAE258"/>
  <c r="AAE259"/>
  <c r="AAE260"/>
  <c r="AAE261"/>
  <c r="AAE262"/>
  <c r="AAE254"/>
  <c r="AAE86"/>
  <c r="AAE91"/>
  <c r="AAE92"/>
  <c r="AAE93"/>
  <c r="AAE94"/>
  <c r="AAE95"/>
  <c r="AAE96"/>
  <c r="AAE97"/>
  <c r="AAE98"/>
  <c r="AAE99"/>
  <c r="AAE100"/>
  <c r="AAE101"/>
  <c r="AAE102"/>
  <c r="AAE103"/>
  <c r="AAE104"/>
  <c r="AAE88"/>
  <c r="AAE89"/>
  <c r="AAE106"/>
  <c r="AAE107"/>
  <c r="AAE105"/>
  <c r="AAE90"/>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207"/>
  <c r="AAE39"/>
  <c r="AAE27"/>
  <c r="AAE25"/>
  <c r="AAE26"/>
  <c r="AAE31"/>
  <c r="AAE32"/>
  <c r="AAE33"/>
  <c r="AAE30"/>
  <c r="AAE28"/>
  <c r="AAE214"/>
  <c r="AAE62"/>
  <c r="AAE40"/>
  <c r="AAE23"/>
  <c r="AAE22"/>
  <c r="AAE455"/>
  <c r="AAE79"/>
  <c r="AAE78"/>
  <c r="AAE77"/>
  <c r="AAE76"/>
  <c r="AAE75"/>
  <c r="AAE74"/>
  <c r="AAE73"/>
  <c r="AAE72"/>
  <c r="AAE17"/>
  <c r="AAE19"/>
  <c r="AAE21"/>
  <c r="AAE15"/>
  <c r="AAE14"/>
  <c r="AAE13"/>
  <c r="AAJ12"/>
  <c r="AAL12" s="1"/>
  <c r="AAG6"/>
  <c r="K6" l="1"/>
  <c r="AAE12"/>
  <c r="H262"/>
  <c r="B81"/>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L210" s="1"/>
  <c r="B210" s="1"/>
  <c r="AAP14"/>
  <c r="AAQ14"/>
  <c r="AAR14"/>
  <c r="AAS14"/>
  <c r="AAP13"/>
  <c r="AAQ13"/>
  <c r="AAR13"/>
  <c r="AAS13"/>
  <c r="AAL2"/>
  <c r="AAG9"/>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41" i="94"/>
  <c r="B341" s="1"/>
  <c r="AAL33"/>
  <c r="B33" s="1"/>
  <c r="B40"/>
  <c r="AAL40"/>
  <c r="B30"/>
  <c r="AAL39"/>
  <c r="AAL25"/>
  <c r="B250" s="1"/>
  <c r="AAL22"/>
  <c r="B66"/>
  <c r="B65"/>
  <c r="H471"/>
  <c r="K5" l="1"/>
  <c r="K4"/>
  <c r="AAE217"/>
  <c r="AAE219"/>
  <c r="AAE216"/>
  <c r="AAE218"/>
  <c r="AAE215"/>
  <c r="L6"/>
  <c r="AAK27"/>
  <c r="AAK37" s="1"/>
  <c r="AAH11" s="1"/>
  <c r="AAL465"/>
  <c r="B465" s="1"/>
  <c r="AAL449"/>
  <c r="B449" s="1"/>
  <c r="AAL324"/>
  <c r="B321" s="1"/>
  <c r="AAL215"/>
  <c r="B215" s="1"/>
  <c r="AAL220"/>
  <c r="B220" s="1"/>
  <c r="AAE242"/>
  <c r="AAE244"/>
  <c r="AAE246"/>
  <c r="AAE248"/>
  <c r="AAE232"/>
  <c r="AAE234"/>
  <c r="AAE236"/>
  <c r="AAE238"/>
  <c r="AAE240"/>
  <c r="AAE222"/>
  <c r="AAE224"/>
  <c r="AAE226"/>
  <c r="AAE228"/>
  <c r="AAE230"/>
  <c r="AAE241"/>
  <c r="AAE243"/>
  <c r="AAE245"/>
  <c r="AAE247"/>
  <c r="AAE231"/>
  <c r="AAE233"/>
  <c r="AAE235"/>
  <c r="AAE237"/>
  <c r="AAE239"/>
  <c r="AAE221"/>
  <c r="AAE223"/>
  <c r="AAE225"/>
  <c r="AAE227"/>
  <c r="AAE229"/>
  <c r="AAE220"/>
  <c r="AAE323"/>
  <c r="AAE466"/>
  <c r="AAE468"/>
  <c r="AAE451"/>
  <c r="AAE449"/>
  <c r="AAE322"/>
  <c r="AAE321"/>
  <c r="AAE467"/>
  <c r="AAE465"/>
  <c r="AAE450"/>
  <c r="AAE452"/>
  <c r="AAP17"/>
  <c r="AAP20" s="1"/>
  <c r="AAQ17"/>
  <c r="AAQ20" s="1"/>
  <c r="AAR17"/>
  <c r="AAR20" s="1"/>
  <c r="AAS17"/>
  <c r="AAS20" s="1"/>
  <c r="AAS11" s="1"/>
  <c r="AAL5"/>
  <c r="D20" i="84"/>
  <c r="B12" i="94"/>
  <c r="B28"/>
  <c r="B39"/>
  <c r="AAL23"/>
  <c r="B23" s="1"/>
  <c r="B22"/>
  <c r="B27"/>
  <c r="B26"/>
  <c r="B25"/>
  <c r="AAL363"/>
  <c r="AAL254"/>
  <c r="B254" s="1"/>
  <c r="B32"/>
  <c r="H40" l="1"/>
  <c r="L4"/>
  <c r="L5"/>
  <c r="M6"/>
  <c r="F11"/>
  <c r="AAP11"/>
  <c r="AAR11"/>
  <c r="AAQ11"/>
  <c r="B373"/>
  <c r="B371"/>
  <c r="B370"/>
  <c r="B369"/>
  <c r="B368"/>
  <c r="B367"/>
  <c r="B366"/>
  <c r="B365"/>
  <c r="B364"/>
  <c r="B376"/>
  <c r="AAL206"/>
  <c r="AAL202"/>
  <c r="AAL191"/>
  <c r="G188"/>
  <c r="B206" s="1"/>
  <c r="AAL186"/>
  <c r="AAL182"/>
  <c r="AAL171"/>
  <c r="G168"/>
  <c r="B197" s="1"/>
  <c r="AAL166"/>
  <c r="AAL162"/>
  <c r="AAL151"/>
  <c r="G148"/>
  <c r="AAL146"/>
  <c r="AAL142"/>
  <c r="AAL131"/>
  <c r="G128"/>
  <c r="G108"/>
  <c r="B468"/>
  <c r="B467"/>
  <c r="B466"/>
  <c r="B451"/>
  <c r="B450"/>
  <c r="B418"/>
  <c r="B320"/>
  <c r="C75" i="84"/>
  <c r="B351" i="94"/>
  <c r="AAL122"/>
  <c r="AAL315"/>
  <c r="B19"/>
  <c r="B191" l="1"/>
  <c r="B202"/>
  <c r="B182"/>
  <c r="B186"/>
  <c r="B171"/>
  <c r="B177"/>
  <c r="B162"/>
  <c r="B166"/>
  <c r="B151"/>
  <c r="B157"/>
  <c r="B142"/>
  <c r="B146"/>
  <c r="B131"/>
  <c r="B137"/>
  <c r="B122"/>
  <c r="B126"/>
  <c r="B111"/>
  <c r="B117"/>
  <c r="G11"/>
  <c r="AAH35"/>
  <c r="H39"/>
  <c r="AAH38"/>
  <c r="H38" s="1"/>
  <c r="G38" s="1"/>
  <c r="AAI41"/>
  <c r="M5"/>
  <c r="N6"/>
  <c r="M4"/>
  <c r="G40"/>
  <c r="B21"/>
  <c r="B238"/>
  <c r="B225"/>
  <c r="B224"/>
  <c r="B223"/>
  <c r="B222"/>
  <c r="B218"/>
  <c r="B217"/>
  <c r="AAL291"/>
  <c r="B420"/>
  <c r="B419"/>
  <c r="AAJ400"/>
  <c r="B380"/>
  <c r="AAL288"/>
  <c r="AAL126"/>
  <c r="AAL111"/>
  <c r="G39" l="1"/>
  <c r="AAH17"/>
  <c r="N5"/>
  <c r="O6"/>
  <c r="N4"/>
  <c r="B378"/>
  <c r="B372"/>
  <c r="B363"/>
  <c r="B352"/>
  <c r="B350"/>
  <c r="B339"/>
  <c r="B337"/>
  <c r="B322"/>
  <c r="B319"/>
  <c r="B335"/>
  <c r="B334"/>
  <c r="B332"/>
  <c r="B331"/>
  <c r="B330"/>
  <c r="B323"/>
  <c r="B318"/>
  <c r="B317"/>
  <c r="B316"/>
  <c r="B287"/>
  <c r="B286"/>
  <c r="B285"/>
  <c r="B275"/>
  <c r="B274"/>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2"/>
  <c r="G252" s="1"/>
  <c r="AAG272" s="1"/>
  <c r="G272" s="1"/>
  <c r="ABB5"/>
  <c r="AAO9"/>
  <c r="AAW15"/>
  <c r="AAW17"/>
  <c r="AAW19"/>
  <c r="AAW18"/>
  <c r="Q5" l="1"/>
  <c r="R6"/>
  <c r="Q4"/>
  <c r="AAG263"/>
  <c r="AAG48"/>
  <c r="G48" s="1"/>
  <c r="G263" l="1"/>
  <c r="AAH263" s="1"/>
  <c r="H263" s="1"/>
  <c r="R5"/>
  <c r="S6"/>
  <c r="R4"/>
  <c r="AAH48"/>
  <c r="E263" l="1"/>
  <c r="AAG265"/>
  <c r="G265" s="1"/>
  <c r="F263"/>
  <c r="S5"/>
  <c r="T6"/>
  <c r="S4"/>
  <c r="H48"/>
  <c r="AAG49" s="1"/>
  <c r="G49" s="1"/>
  <c r="AAH49" s="1"/>
  <c r="AAH265"/>
  <c r="H265" s="1"/>
  <c r="E265" s="1"/>
  <c r="E48" l="1"/>
  <c r="T5"/>
  <c r="U6"/>
  <c r="T4"/>
  <c r="F48"/>
  <c r="H49"/>
  <c r="E49" s="1"/>
  <c r="F265"/>
  <c r="AAG266"/>
  <c r="G266" s="1"/>
  <c r="U5" l="1"/>
  <c r="V6"/>
  <c r="U4"/>
  <c r="F49"/>
  <c r="AAG50"/>
  <c r="G50" s="1"/>
  <c r="AAH50" s="1"/>
  <c r="AAH266"/>
  <c r="H266" s="1"/>
  <c r="E266" s="1"/>
  <c r="V5" l="1"/>
  <c r="W6"/>
  <c r="V4"/>
  <c r="H50"/>
  <c r="E50" s="1"/>
  <c r="F266"/>
  <c r="AAG267"/>
  <c r="G267" s="1"/>
  <c r="W5" l="1"/>
  <c r="X6"/>
  <c r="W4"/>
  <c r="AAG51"/>
  <c r="G51" s="1"/>
  <c r="AAH51" s="1"/>
  <c r="H51" s="1"/>
  <c r="E51" s="1"/>
  <c r="F50"/>
  <c r="AAH267"/>
  <c r="H267" s="1"/>
  <c r="E267" s="1"/>
  <c r="X5" l="1"/>
  <c r="Y6"/>
  <c r="X4"/>
  <c r="F51"/>
  <c r="AAG68"/>
  <c r="G68" s="1"/>
  <c r="F267"/>
  <c r="AAG268"/>
  <c r="G268" s="1"/>
  <c r="Y5" l="1"/>
  <c r="Z6"/>
  <c r="Y4"/>
  <c r="AAH68"/>
  <c r="AAH268"/>
  <c r="H268" s="1"/>
  <c r="E268" s="1"/>
  <c r="Z5" l="1"/>
  <c r="AA6"/>
  <c r="Z4"/>
  <c r="H68"/>
  <c r="E68" s="1"/>
  <c r="F268"/>
  <c r="AAG269"/>
  <c r="G269" s="1"/>
  <c r="F68" l="1"/>
  <c r="AAG69"/>
  <c r="G69" s="1"/>
  <c r="AAH69" s="1"/>
  <c r="H69" s="1"/>
  <c r="AA5"/>
  <c r="AB6"/>
  <c r="AA4"/>
  <c r="AAH269"/>
  <c r="H269" s="1"/>
  <c r="E269" s="1"/>
  <c r="AB5" l="1"/>
  <c r="AC6"/>
  <c r="AB4"/>
  <c r="AAG70"/>
  <c r="G70" s="1"/>
  <c r="AAH70" s="1"/>
  <c r="F69"/>
  <c r="E69"/>
  <c r="F269"/>
  <c r="AAG270"/>
  <c r="G270" s="1"/>
  <c r="AC5" l="1"/>
  <c r="AD6"/>
  <c r="AC4"/>
  <c r="H70"/>
  <c r="E70" s="1"/>
  <c r="AAH270"/>
  <c r="H270" s="1"/>
  <c r="E270" s="1"/>
  <c r="AD5" l="1"/>
  <c r="AE6"/>
  <c r="AD4"/>
  <c r="AAG71"/>
  <c r="G71" s="1"/>
  <c r="AAH71" s="1"/>
  <c r="F70"/>
  <c r="F270"/>
  <c r="AE5" l="1"/>
  <c r="AF6"/>
  <c r="AE4"/>
  <c r="H71"/>
  <c r="E71" s="1"/>
  <c r="AAG289"/>
  <c r="G289" s="1"/>
  <c r="AAG287"/>
  <c r="G287" s="1"/>
  <c r="AAG277"/>
  <c r="AAG275"/>
  <c r="G275" s="1"/>
  <c r="AAG288"/>
  <c r="G288" s="1"/>
  <c r="AAG286"/>
  <c r="G286" s="1"/>
  <c r="AAG285"/>
  <c r="G285" s="1"/>
  <c r="AAG276"/>
  <c r="G276" s="1"/>
  <c r="AAG274"/>
  <c r="F71" l="1"/>
  <c r="AF5"/>
  <c r="AG6"/>
  <c r="AF4"/>
  <c r="AG5" l="1"/>
  <c r="AH6"/>
  <c r="AG4"/>
  <c r="AH5" l="1"/>
  <c r="AI6"/>
  <c r="AH4"/>
  <c r="AI5" l="1"/>
  <c r="AJ6"/>
  <c r="AI4"/>
  <c r="AJ5" l="1"/>
  <c r="AK6"/>
  <c r="AJ4"/>
  <c r="AK5" l="1"/>
  <c r="AL6"/>
  <c r="AK4"/>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3" s="1"/>
  <c r="G73" s="1"/>
  <c r="AAG74" s="1"/>
  <c r="G74" s="1"/>
  <c r="AAG75" s="1"/>
  <c r="BH6" l="1"/>
  <c r="BH5" s="1"/>
  <c r="BG4"/>
  <c r="G72"/>
  <c r="AAG72"/>
  <c r="AAH73"/>
  <c r="H73" s="1"/>
  <c r="E73" s="1"/>
  <c r="BI6" l="1"/>
  <c r="BI5" s="1"/>
  <c r="BH4"/>
  <c r="F73"/>
  <c r="BJ6" l="1"/>
  <c r="BJ5" s="1"/>
  <c r="BI4"/>
  <c r="AAH74"/>
  <c r="H74" s="1"/>
  <c r="BK6" l="1"/>
  <c r="BK5" s="1"/>
  <c r="BJ4"/>
  <c r="E74"/>
  <c r="G75"/>
  <c r="AAG76" s="1"/>
  <c r="BL6" l="1"/>
  <c r="BL5" s="1"/>
  <c r="BK4"/>
  <c r="F74"/>
  <c r="AAH75"/>
  <c r="H75" s="1"/>
  <c r="BM6" l="1"/>
  <c r="BM5" s="1"/>
  <c r="BL4"/>
  <c r="E75"/>
  <c r="F75"/>
  <c r="G76"/>
  <c r="AAG77" s="1"/>
  <c r="BN6" l="1"/>
  <c r="BN5" s="1"/>
  <c r="BM4"/>
  <c r="AAH76"/>
  <c r="H76" s="1"/>
  <c r="BO6" l="1"/>
  <c r="BO5" s="1"/>
  <c r="BN4"/>
  <c r="F76"/>
  <c r="G77"/>
  <c r="AAG78" s="1"/>
  <c r="E76"/>
  <c r="BP6" l="1"/>
  <c r="BP5" s="1"/>
  <c r="BO4"/>
  <c r="AAH77"/>
  <c r="H77" s="1"/>
  <c r="BQ6" l="1"/>
  <c r="BQ5" s="1"/>
  <c r="BP4"/>
  <c r="F77"/>
  <c r="G78"/>
  <c r="E77"/>
  <c r="BR6" l="1"/>
  <c r="BR5" s="1"/>
  <c r="BQ4"/>
  <c r="AAH78"/>
  <c r="H78" s="1"/>
  <c r="BS6" l="1"/>
  <c r="BS5" s="1"/>
  <c r="BR4"/>
  <c r="F78"/>
  <c r="BT6" l="1"/>
  <c r="BT5" s="1"/>
  <c r="BS4"/>
  <c r="E78"/>
  <c r="AAG437"/>
  <c r="B446"/>
  <c r="AAG461"/>
  <c r="G461" s="1"/>
  <c r="AAH36"/>
  <c r="H36" s="1"/>
  <c r="AAH30"/>
  <c r="AAH32" s="1"/>
  <c r="AAH394"/>
  <c r="H394" s="1"/>
  <c r="AAH431"/>
  <c r="H431" s="1"/>
  <c r="AAH437"/>
  <c r="H437" s="1"/>
  <c r="AAG444"/>
  <c r="G444" s="1"/>
  <c r="H35"/>
  <c r="AAH19"/>
  <c r="H19" s="1"/>
  <c r="AAG13"/>
  <c r="G13" s="1"/>
  <c r="AAG15"/>
  <c r="G15" s="1"/>
  <c r="ABB19"/>
  <c r="ABD19" s="1"/>
  <c r="AAG14"/>
  <c r="G14" s="1"/>
  <c r="F40"/>
  <c r="AAH441"/>
  <c r="H441" s="1"/>
  <c r="AAH424" l="1"/>
  <c r="AAH422"/>
  <c r="AAH425"/>
  <c r="AAH423"/>
  <c r="AAH428"/>
  <c r="G35"/>
  <c r="AAH387"/>
  <c r="H387" s="1"/>
  <c r="AAH386"/>
  <c r="H386" s="1"/>
  <c r="AAH385"/>
  <c r="H385" s="1"/>
  <c r="AAH384"/>
  <c r="H384" s="1"/>
  <c r="AAH383"/>
  <c r="H383" s="1"/>
  <c r="AAH382"/>
  <c r="H382" s="1"/>
  <c r="AAH381"/>
  <c r="H381" s="1"/>
  <c r="BU6"/>
  <c r="BU5" s="1"/>
  <c r="BT4"/>
  <c r="F36"/>
  <c r="G36"/>
  <c r="AAH83"/>
  <c r="H83"/>
  <c r="AAH14"/>
  <c r="AAH15"/>
  <c r="H15" s="1"/>
  <c r="AAH13"/>
  <c r="H13" s="1"/>
  <c r="AAH454"/>
  <c r="H454" s="1"/>
  <c r="F454" s="1"/>
  <c r="AAH6"/>
  <c r="F431"/>
  <c r="AAG433"/>
  <c r="G433" s="1"/>
  <c r="AAH41"/>
  <c r="H41" s="1"/>
  <c r="G41" s="1"/>
  <c r="AAH461"/>
  <c r="H461" s="1"/>
  <c r="F461" s="1"/>
  <c r="F38"/>
  <c r="AAH462"/>
  <c r="H462" s="1"/>
  <c r="F462" s="1"/>
  <c r="F39"/>
  <c r="H17"/>
  <c r="E17" s="1"/>
  <c r="F441"/>
  <c r="AAH377"/>
  <c r="H377" s="1"/>
  <c r="AAG456"/>
  <c r="G456" s="1"/>
  <c r="AAH378"/>
  <c r="H378" s="1"/>
  <c r="AAG453"/>
  <c r="G453" s="1"/>
  <c r="AAG441"/>
  <c r="G441" s="1"/>
  <c r="AAH430"/>
  <c r="H430" s="1"/>
  <c r="F430" s="1"/>
  <c r="AAG458"/>
  <c r="G458" s="1"/>
  <c r="AAG454"/>
  <c r="G454" s="1"/>
  <c r="F35"/>
  <c r="AAH465"/>
  <c r="H465" s="1"/>
  <c r="AAH396"/>
  <c r="H396" s="1"/>
  <c r="AAH343"/>
  <c r="H343" s="1"/>
  <c r="AAH407"/>
  <c r="H407" s="1"/>
  <c r="AAG457"/>
  <c r="G457" s="1"/>
  <c r="AAH416"/>
  <c r="H416" s="1"/>
  <c r="AAH429"/>
  <c r="H429" s="1"/>
  <c r="AAG470"/>
  <c r="G470" s="1"/>
  <c r="AAG455"/>
  <c r="G455" s="1"/>
  <c r="AAG459"/>
  <c r="G459" s="1"/>
  <c r="AAH444"/>
  <c r="H444" s="1"/>
  <c r="F444" s="1"/>
  <c r="ABB18"/>
  <c r="AAH455"/>
  <c r="H455" s="1"/>
  <c r="F455" s="1"/>
  <c r="AAH470"/>
  <c r="H470" s="1"/>
  <c r="F470" s="1"/>
  <c r="AAH457"/>
  <c r="H457" s="1"/>
  <c r="F457" s="1"/>
  <c r="ABC19"/>
  <c r="AAH453"/>
  <c r="H453" s="1"/>
  <c r="F453" s="1"/>
  <c r="AAH459"/>
  <c r="H459" s="1"/>
  <c r="F459" s="1"/>
  <c r="AAZ19"/>
  <c r="AAH456"/>
  <c r="H456" s="1"/>
  <c r="F456" s="1"/>
  <c r="AAH458"/>
  <c r="H458" s="1"/>
  <c r="F458" s="1"/>
  <c r="AAG387" l="1"/>
  <c r="G387" s="1"/>
  <c r="AAG386"/>
  <c r="G386" s="1"/>
  <c r="AAG385"/>
  <c r="G385" s="1"/>
  <c r="AAG384"/>
  <c r="G384" s="1"/>
  <c r="AAG383"/>
  <c r="G383" s="1"/>
  <c r="AAG382"/>
  <c r="G382" s="1"/>
  <c r="E382" s="1"/>
  <c r="AAG381"/>
  <c r="G381" s="1"/>
  <c r="E381" s="1"/>
  <c r="AAH315"/>
  <c r="BV6"/>
  <c r="BV5" s="1"/>
  <c r="BU4"/>
  <c r="AAH45"/>
  <c r="H45" s="1"/>
  <c r="F45" s="1"/>
  <c r="F15"/>
  <c r="AAI13"/>
  <c r="D13" s="1"/>
  <c r="F14"/>
  <c r="AAI15"/>
  <c r="D15" s="1"/>
  <c r="AAI14"/>
  <c r="D14" s="1"/>
  <c r="AAI30"/>
  <c r="D30" s="1"/>
  <c r="E454"/>
  <c r="E444"/>
  <c r="E455"/>
  <c r="E457"/>
  <c r="AAG378"/>
  <c r="AAH28"/>
  <c r="H315"/>
  <c r="F315" s="1"/>
  <c r="F30"/>
  <c r="E453"/>
  <c r="AAZ18"/>
  <c r="ABD18"/>
  <c r="ABB17" s="1"/>
  <c r="F429"/>
  <c r="AAG429"/>
  <c r="G429" s="1"/>
  <c r="E429" s="1"/>
  <c r="AAG430"/>
  <c r="G430" s="1"/>
  <c r="E430" s="1"/>
  <c r="F378"/>
  <c r="F377"/>
  <c r="F17"/>
  <c r="F41"/>
  <c r="AAG462"/>
  <c r="G462" s="1"/>
  <c r="E462" s="1"/>
  <c r="AAH4"/>
  <c r="F465"/>
  <c r="AAY19"/>
  <c r="AAX19" s="1"/>
  <c r="ABA19"/>
  <c r="AAV19" s="1"/>
  <c r="F382"/>
  <c r="F416"/>
  <c r="F407"/>
  <c r="F396"/>
  <c r="F381"/>
  <c r="AAH433"/>
  <c r="H433" s="1"/>
  <c r="E433" s="1"/>
  <c r="E459"/>
  <c r="E470"/>
  <c r="E458"/>
  <c r="E456"/>
  <c r="E461"/>
  <c r="G378" l="1"/>
  <c r="E378" s="1"/>
  <c r="BW6"/>
  <c r="BW5" s="1"/>
  <c r="BV4"/>
  <c r="AAH345"/>
  <c r="H345" s="1"/>
  <c r="F345" s="1"/>
  <c r="G32"/>
  <c r="AAG333"/>
  <c r="G333" s="1"/>
  <c r="F13"/>
  <c r="AAG255"/>
  <c r="G255" s="1"/>
  <c r="AAG257" s="1"/>
  <c r="G257" s="1"/>
  <c r="F32"/>
  <c r="AAH348"/>
  <c r="H348" s="1"/>
  <c r="F348" s="1"/>
  <c r="G364"/>
  <c r="AAH26"/>
  <c r="G26" s="1"/>
  <c r="H364"/>
  <c r="F364" s="1"/>
  <c r="G19"/>
  <c r="ABD17"/>
  <c r="ABC17" s="1"/>
  <c r="AAZ17"/>
  <c r="F433"/>
  <c r="AAG434"/>
  <c r="G434" s="1"/>
  <c r="H422"/>
  <c r="ABA18"/>
  <c r="AAV18" s="1"/>
  <c r="AAY18"/>
  <c r="AAX18" s="1"/>
  <c r="ABC18"/>
  <c r="AAG423" l="1"/>
  <c r="G423" s="1"/>
  <c r="AAH449"/>
  <c r="H449" s="1"/>
  <c r="F449" s="1"/>
  <c r="AAG324"/>
  <c r="G324" s="1"/>
  <c r="AAG377" s="1"/>
  <c r="G377" s="1"/>
  <c r="E377" s="1"/>
  <c r="AAH215"/>
  <c r="H215" s="1"/>
  <c r="F215" s="1"/>
  <c r="AAG315"/>
  <c r="G315" s="1"/>
  <c r="E315" s="1"/>
  <c r="AAG302"/>
  <c r="G302" s="1"/>
  <c r="AAG301" s="1"/>
  <c r="G301" s="1"/>
  <c r="AAH313"/>
  <c r="AAG311"/>
  <c r="AAG260"/>
  <c r="G260" s="1"/>
  <c r="H369" s="1"/>
  <c r="F369" s="1"/>
  <c r="AAG256"/>
  <c r="G256" s="1"/>
  <c r="G365" s="1"/>
  <c r="F26"/>
  <c r="AAG262"/>
  <c r="G262" s="1"/>
  <c r="AAH33" s="1"/>
  <c r="G33" s="1"/>
  <c r="AAG259"/>
  <c r="G259" s="1"/>
  <c r="H368" s="1"/>
  <c r="F368" s="1"/>
  <c r="AAG394"/>
  <c r="G394" s="1"/>
  <c r="F28"/>
  <c r="AAG261"/>
  <c r="G261" s="1"/>
  <c r="H370" s="1"/>
  <c r="F370" s="1"/>
  <c r="AAG258"/>
  <c r="G258" s="1"/>
  <c r="H367" s="1"/>
  <c r="F367" s="1"/>
  <c r="AAG343"/>
  <c r="G343" s="1"/>
  <c r="F343" s="1"/>
  <c r="AAH220"/>
  <c r="H220" s="1"/>
  <c r="F220" s="1"/>
  <c r="AAH212"/>
  <c r="H212" s="1"/>
  <c r="AAH21" s="1"/>
  <c r="H21" s="1"/>
  <c r="BX6"/>
  <c r="BX5" s="1"/>
  <c r="BW4"/>
  <c r="AAH27"/>
  <c r="H27" s="1"/>
  <c r="AAH238" s="1"/>
  <c r="H238" s="1"/>
  <c r="G28"/>
  <c r="E19"/>
  <c r="AAG83"/>
  <c r="AAG86" s="1"/>
  <c r="AAG79"/>
  <c r="G79" s="1"/>
  <c r="AAH72"/>
  <c r="H72" s="1"/>
  <c r="AAH79"/>
  <c r="H79" s="1"/>
  <c r="F79" s="1"/>
  <c r="E364"/>
  <c r="H366"/>
  <c r="F366" s="1"/>
  <c r="G366"/>
  <c r="AAG431"/>
  <c r="G431" s="1"/>
  <c r="E431" s="1"/>
  <c r="G83"/>
  <c r="F83" s="1"/>
  <c r="F19"/>
  <c r="AAH333"/>
  <c r="H333" s="1"/>
  <c r="F333" s="1"/>
  <c r="G21"/>
  <c r="AAG212" s="1"/>
  <c r="ABB15"/>
  <c r="AAZ15" s="1"/>
  <c r="F383"/>
  <c r="F422"/>
  <c r="AAH434"/>
  <c r="H434" s="1"/>
  <c r="F434" s="1"/>
  <c r="AAY17"/>
  <c r="AAX17" s="1"/>
  <c r="ABA17"/>
  <c r="AAV17" s="1"/>
  <c r="E383"/>
  <c r="H371" l="1"/>
  <c r="F371" s="1"/>
  <c r="G371"/>
  <c r="E371" s="1"/>
  <c r="F27"/>
  <c r="F394"/>
  <c r="AAG416"/>
  <c r="G416" s="1"/>
  <c r="E416" s="1"/>
  <c r="AAG396"/>
  <c r="G396" s="1"/>
  <c r="AAG407"/>
  <c r="G407" s="1"/>
  <c r="E407" s="1"/>
  <c r="AAH324"/>
  <c r="H324" s="1"/>
  <c r="F324" s="1"/>
  <c r="G368"/>
  <c r="G369"/>
  <c r="E369" s="1"/>
  <c r="G370"/>
  <c r="H365"/>
  <c r="F365" s="1"/>
  <c r="G367"/>
  <c r="E367" s="1"/>
  <c r="AAG373"/>
  <c r="G373" s="1"/>
  <c r="AAG372"/>
  <c r="G372" s="1"/>
  <c r="AAG310"/>
  <c r="G311"/>
  <c r="AAG226"/>
  <c r="G226" s="1"/>
  <c r="AAH226" s="1"/>
  <c r="H226" s="1"/>
  <c r="AAG227" s="1"/>
  <c r="G227" s="1"/>
  <c r="AAH227" s="1"/>
  <c r="H227" s="1"/>
  <c r="AAG345"/>
  <c r="G345" s="1"/>
  <c r="E345" s="1"/>
  <c r="AAG348"/>
  <c r="G348" s="1"/>
  <c r="E348" s="1"/>
  <c r="G27"/>
  <c r="AAG238"/>
  <c r="G238" s="1"/>
  <c r="E238" s="1"/>
  <c r="BY6"/>
  <c r="BY5" s="1"/>
  <c r="BX4"/>
  <c r="E79"/>
  <c r="F72"/>
  <c r="E72"/>
  <c r="E365"/>
  <c r="E366"/>
  <c r="AAG374"/>
  <c r="AAH252"/>
  <c r="H252" s="1"/>
  <c r="F252" s="1"/>
  <c r="H374"/>
  <c r="AAH372"/>
  <c r="H372" s="1"/>
  <c r="F372" s="1"/>
  <c r="AAH373"/>
  <c r="H373" s="1"/>
  <c r="F373" s="1"/>
  <c r="F33"/>
  <c r="E370"/>
  <c r="E368"/>
  <c r="ABD15"/>
  <c r="ABC15" s="1"/>
  <c r="E21"/>
  <c r="F21"/>
  <c r="F226"/>
  <c r="E434"/>
  <c r="E324"/>
  <c r="E333"/>
  <c r="H423"/>
  <c r="ABA15"/>
  <c r="AAV15" s="1"/>
  <c r="AAY15"/>
  <c r="AAX15" s="1"/>
  <c r="G310" l="1"/>
  <c r="AAH307" s="1"/>
  <c r="AAG354"/>
  <c r="G354" s="1"/>
  <c r="AAH354" s="1"/>
  <c r="H354" s="1"/>
  <c r="F354" s="1"/>
  <c r="E226"/>
  <c r="E396"/>
  <c r="AAG422"/>
  <c r="G422" s="1"/>
  <c r="E422" s="1"/>
  <c r="E423"/>
  <c r="AAG424"/>
  <c r="AAH310"/>
  <c r="AAG313"/>
  <c r="G313" s="1"/>
  <c r="AAG239"/>
  <c r="G239" s="1"/>
  <c r="AAH239" s="1"/>
  <c r="H239" s="1"/>
  <c r="E239" s="1"/>
  <c r="F238"/>
  <c r="BZ6"/>
  <c r="BZ5" s="1"/>
  <c r="BY4"/>
  <c r="E372"/>
  <c r="E373"/>
  <c r="E227"/>
  <c r="AAG228"/>
  <c r="G228" s="1"/>
  <c r="AAH228" s="1"/>
  <c r="H228" s="1"/>
  <c r="F227"/>
  <c r="AAG355"/>
  <c r="G355" s="1"/>
  <c r="AAH355" s="1"/>
  <c r="H355" s="1"/>
  <c r="G86"/>
  <c r="F384"/>
  <c r="F423"/>
  <c r="G424"/>
  <c r="E384"/>
  <c r="E354" l="1"/>
  <c r="F239"/>
  <c r="AAG240"/>
  <c r="G240" s="1"/>
  <c r="AAH240" s="1"/>
  <c r="H240" s="1"/>
  <c r="AAG242" s="1"/>
  <c r="G242" s="1"/>
  <c r="AAH242" s="1"/>
  <c r="H242" s="1"/>
  <c r="CA6"/>
  <c r="CA5" s="1"/>
  <c r="BZ4"/>
  <c r="AAH86"/>
  <c r="H86" s="1"/>
  <c r="E86" s="1"/>
  <c r="E355"/>
  <c r="AAG356"/>
  <c r="G356" s="1"/>
  <c r="AAH356" s="1"/>
  <c r="H356" s="1"/>
  <c r="F355"/>
  <c r="E228"/>
  <c r="AAG229"/>
  <c r="G229" s="1"/>
  <c r="F228"/>
  <c r="H424"/>
  <c r="E385"/>
  <c r="E424" l="1"/>
  <c r="AAG425"/>
  <c r="E240"/>
  <c r="F240"/>
  <c r="CB6"/>
  <c r="CB5" s="1"/>
  <c r="CA4"/>
  <c r="AAH229"/>
  <c r="H229" s="1"/>
  <c r="E229" s="1"/>
  <c r="F86"/>
  <c r="AAG91"/>
  <c r="G91" s="1"/>
  <c r="E242"/>
  <c r="AAG243"/>
  <c r="G243" s="1"/>
  <c r="AAH243" s="1"/>
  <c r="H243" s="1"/>
  <c r="F242"/>
  <c r="E356"/>
  <c r="AAG357"/>
  <c r="G357" s="1"/>
  <c r="AAH357" s="1"/>
  <c r="H357" s="1"/>
  <c r="F356"/>
  <c r="F385"/>
  <c r="F424"/>
  <c r="G425"/>
  <c r="CC6" l="1"/>
  <c r="CC5" s="1"/>
  <c r="CB4"/>
  <c r="E357"/>
  <c r="AAG358"/>
  <c r="G358" s="1"/>
  <c r="AAH358" s="1"/>
  <c r="H358" s="1"/>
  <c r="F357"/>
  <c r="AAG230"/>
  <c r="G230" s="1"/>
  <c r="AAH230" s="1"/>
  <c r="H230" s="1"/>
  <c r="F229"/>
  <c r="E243"/>
  <c r="F243"/>
  <c r="AAG244"/>
  <c r="G244" s="1"/>
  <c r="AAH244" s="1"/>
  <c r="H244" s="1"/>
  <c r="AAH91"/>
  <c r="H91" s="1"/>
  <c r="E386"/>
  <c r="H425"/>
  <c r="AAG428" s="1"/>
  <c r="CD6" l="1"/>
  <c r="CD5" s="1"/>
  <c r="CC4"/>
  <c r="AAG92"/>
  <c r="G92" s="1"/>
  <c r="F91"/>
  <c r="E244"/>
  <c r="F244"/>
  <c r="AAG245"/>
  <c r="G245" s="1"/>
  <c r="AAH245" s="1"/>
  <c r="H245" s="1"/>
  <c r="AAH272"/>
  <c r="H272" s="1"/>
  <c r="E230"/>
  <c r="AAG234"/>
  <c r="G234" s="1"/>
  <c r="AAH234" s="1"/>
  <c r="H234" s="1"/>
  <c r="F230"/>
  <c r="E358"/>
  <c r="F358"/>
  <c r="AAG361"/>
  <c r="G361" s="1"/>
  <c r="E91"/>
  <c r="F425"/>
  <c r="F386"/>
  <c r="E425"/>
  <c r="AAH288" l="1"/>
  <c r="H288" s="1"/>
  <c r="AAH276"/>
  <c r="H276" s="1"/>
  <c r="F272"/>
  <c r="AAH275"/>
  <c r="AAH286"/>
  <c r="AAH274"/>
  <c r="AAH277"/>
  <c r="H277" s="1"/>
  <c r="AAH287"/>
  <c r="AAH285"/>
  <c r="AAH289"/>
  <c r="E272"/>
  <c r="CE6"/>
  <c r="CE5" s="1"/>
  <c r="CD4"/>
  <c r="AAH301"/>
  <c r="H301" s="1"/>
  <c r="E301" s="1"/>
  <c r="E245"/>
  <c r="AAG248"/>
  <c r="G248" s="1"/>
  <c r="F245"/>
  <c r="AAH92"/>
  <c r="H92" s="1"/>
  <c r="E92" s="1"/>
  <c r="AAH361"/>
  <c r="H361" s="1"/>
  <c r="F361" s="1"/>
  <c r="E234"/>
  <c r="AAG235"/>
  <c r="G235" s="1"/>
  <c r="F234"/>
  <c r="E387"/>
  <c r="H285" l="1"/>
  <c r="F285" s="1"/>
  <c r="F288"/>
  <c r="E288"/>
  <c r="H289"/>
  <c r="E289" s="1"/>
  <c r="E276"/>
  <c r="F276"/>
  <c r="H275"/>
  <c r="F275" s="1"/>
  <c r="H286"/>
  <c r="E286" s="1"/>
  <c r="F274"/>
  <c r="E274"/>
  <c r="E277"/>
  <c r="F277"/>
  <c r="H287"/>
  <c r="E287" s="1"/>
  <c r="CF6"/>
  <c r="CF5" s="1"/>
  <c r="CE4"/>
  <c r="E361"/>
  <c r="F301"/>
  <c r="AAH235"/>
  <c r="H235" s="1"/>
  <c r="F235" s="1"/>
  <c r="F92"/>
  <c r="AAG93"/>
  <c r="G93" s="1"/>
  <c r="AAH248"/>
  <c r="H248" s="1"/>
  <c r="F248" s="1"/>
  <c r="F387"/>
  <c r="AAG390"/>
  <c r="G390" s="1"/>
  <c r="E285" l="1"/>
  <c r="E275"/>
  <c r="F287"/>
  <c r="F286"/>
  <c r="AAG295"/>
  <c r="G295" s="1"/>
  <c r="F289"/>
  <c r="CG6"/>
  <c r="CG5" s="1"/>
  <c r="CF4"/>
  <c r="AAH93"/>
  <c r="H93" s="1"/>
  <c r="E93" s="1"/>
  <c r="E248"/>
  <c r="E235"/>
  <c r="AAH390"/>
  <c r="H390" s="1"/>
  <c r="F390" s="1"/>
  <c r="AAH295" l="1"/>
  <c r="H295" s="1"/>
  <c r="CH6"/>
  <c r="CH5" s="1"/>
  <c r="CG4"/>
  <c r="AAG95"/>
  <c r="G95" s="1"/>
  <c r="F93"/>
  <c r="E390"/>
  <c r="AAG296" l="1"/>
  <c r="G296" s="1"/>
  <c r="F295"/>
  <c r="E295"/>
  <c r="CI6"/>
  <c r="CI5" s="1"/>
  <c r="CH4"/>
  <c r="AAH95"/>
  <c r="H95" s="1"/>
  <c r="E95" s="1"/>
  <c r="G428"/>
  <c r="AAH296" l="1"/>
  <c r="H296" s="1"/>
  <c r="E296" s="1"/>
  <c r="CJ6"/>
  <c r="CJ5" s="1"/>
  <c r="CI4"/>
  <c r="AAG96"/>
  <c r="G96" s="1"/>
  <c r="F95"/>
  <c r="H428"/>
  <c r="F428" s="1"/>
  <c r="F296" l="1"/>
  <c r="AAG297"/>
  <c r="G297" s="1"/>
  <c r="CK6"/>
  <c r="CK5" s="1"/>
  <c r="CJ4"/>
  <c r="AAH96"/>
  <c r="H96" s="1"/>
  <c r="E96" s="1"/>
  <c r="E428"/>
  <c r="AAH297" l="1"/>
  <c r="H297" s="1"/>
  <c r="E297" s="1"/>
  <c r="CL6"/>
  <c r="CL5" s="1"/>
  <c r="CK4"/>
  <c r="F96"/>
  <c r="AAG97"/>
  <c r="G97" s="1"/>
  <c r="F297" l="1"/>
  <c r="AAG298"/>
  <c r="G298" s="1"/>
  <c r="H310"/>
  <c r="CM6"/>
  <c r="CM5" s="1"/>
  <c r="CL4"/>
  <c r="AAH97"/>
  <c r="H97" s="1"/>
  <c r="E97" s="1"/>
  <c r="AAH298" l="1"/>
  <c r="H298" s="1"/>
  <c r="F298" s="1"/>
  <c r="AAG308"/>
  <c r="AAH308"/>
  <c r="H308" s="1"/>
  <c r="F308" s="1"/>
  <c r="E310"/>
  <c r="F310"/>
  <c r="AAH311"/>
  <c r="H311" s="1"/>
  <c r="CN6"/>
  <c r="CN5" s="1"/>
  <c r="CM4"/>
  <c r="F97"/>
  <c r="AAG98"/>
  <c r="G98" s="1"/>
  <c r="E298" l="1"/>
  <c r="G308"/>
  <c r="E308" s="1"/>
  <c r="AAG309"/>
  <c r="G309" s="1"/>
  <c r="E311"/>
  <c r="F311"/>
  <c r="AAG312"/>
  <c r="G312" s="1"/>
  <c r="AAH312" s="1"/>
  <c r="H312" s="1"/>
  <c r="CO6"/>
  <c r="CO5" s="1"/>
  <c r="CN4"/>
  <c r="AAH98"/>
  <c r="H98" s="1"/>
  <c r="E98" s="1"/>
  <c r="AAH309" l="1"/>
  <c r="H309" s="1"/>
  <c r="F309" s="1"/>
  <c r="AAH306"/>
  <c r="H306" s="1"/>
  <c r="F306" s="1"/>
  <c r="E312"/>
  <c r="F312"/>
  <c r="CP6"/>
  <c r="CP5" s="1"/>
  <c r="CO4"/>
  <c r="F98"/>
  <c r="AAG101"/>
  <c r="G101" s="1"/>
  <c r="E309" l="1"/>
  <c r="H313"/>
  <c r="F313" s="1"/>
  <c r="CQ6"/>
  <c r="CQ5" s="1"/>
  <c r="CP4"/>
  <c r="AAH101"/>
  <c r="H101" s="1"/>
  <c r="E101" s="1"/>
  <c r="E313" l="1"/>
  <c r="CR6"/>
  <c r="CR5" s="1"/>
  <c r="CQ4"/>
  <c r="AAG102"/>
  <c r="G102" s="1"/>
  <c r="F101"/>
  <c r="CS6" l="1"/>
  <c r="CS5" s="1"/>
  <c r="CR4"/>
  <c r="AAH102"/>
  <c r="H102" s="1"/>
  <c r="E102" s="1"/>
  <c r="CT6" l="1"/>
  <c r="CT5" s="1"/>
  <c r="CS4"/>
  <c r="AAG103"/>
  <c r="G103" s="1"/>
  <c r="AAH103" s="1"/>
  <c r="H103" s="1"/>
  <c r="F102"/>
  <c r="CU6" l="1"/>
  <c r="CU5" s="1"/>
  <c r="CT4"/>
  <c r="F103"/>
  <c r="AAG104"/>
  <c r="G104" s="1"/>
  <c r="CV6" l="1"/>
  <c r="CV5" s="1"/>
  <c r="CU4"/>
  <c r="AAH104"/>
  <c r="H104" s="1"/>
  <c r="E104" s="1"/>
  <c r="CW6" l="1"/>
  <c r="CW5" s="1"/>
  <c r="CV4"/>
  <c r="AAG88"/>
  <c r="G88" s="1"/>
  <c r="AAH88" s="1"/>
  <c r="H88" s="1"/>
  <c r="F104"/>
  <c r="CX6" l="1"/>
  <c r="CX5" s="1"/>
  <c r="CW4"/>
  <c r="F88"/>
  <c r="AAG89"/>
  <c r="G89" s="1"/>
  <c r="CY6" l="1"/>
  <c r="CY5" s="1"/>
  <c r="CX4"/>
  <c r="AAH89"/>
  <c r="H89" s="1"/>
  <c r="E89" l="1"/>
  <c r="CZ6"/>
  <c r="CZ5" s="1"/>
  <c r="CY4"/>
  <c r="AAG106"/>
  <c r="G106" s="1"/>
  <c r="F89"/>
  <c r="DA6" l="1"/>
  <c r="DA5" s="1"/>
  <c r="CZ4"/>
  <c r="AAH106"/>
  <c r="H106" s="1"/>
  <c r="E106" s="1"/>
  <c r="DB6" l="1"/>
  <c r="DB5" s="1"/>
  <c r="DA4"/>
  <c r="AAG107"/>
  <c r="G107" s="1"/>
  <c r="F106"/>
  <c r="DC6" l="1"/>
  <c r="DC5" s="1"/>
  <c r="DB4"/>
  <c r="AAH107"/>
  <c r="H107" s="1"/>
  <c r="E107" s="1"/>
  <c r="DD6" l="1"/>
  <c r="DD5" s="1"/>
  <c r="DC4"/>
  <c r="AAG105"/>
  <c r="G105" s="1"/>
  <c r="F107"/>
  <c r="DE6" l="1"/>
  <c r="DE5" s="1"/>
  <c r="DD4"/>
  <c r="AAH105"/>
  <c r="H105" s="1"/>
  <c r="E105" s="1"/>
  <c r="DF6" l="1"/>
  <c r="DF5" s="1"/>
  <c r="DE4"/>
  <c r="AAG109"/>
  <c r="G109" s="1"/>
  <c r="AAG90"/>
  <c r="G90" s="1"/>
  <c r="F105"/>
  <c r="DG6" l="1"/>
  <c r="DG5" s="1"/>
  <c r="DF4"/>
  <c r="AAH109"/>
  <c r="H109" s="1"/>
  <c r="E109" s="1"/>
  <c r="AAH90"/>
  <c r="H90" s="1"/>
  <c r="F90" s="1"/>
  <c r="DH6" l="1"/>
  <c r="DH5" s="1"/>
  <c r="DG4"/>
  <c r="E90"/>
  <c r="AAG111"/>
  <c r="G111" s="1"/>
  <c r="F109"/>
  <c r="DI6" l="1"/>
  <c r="DI5" s="1"/>
  <c r="DH4"/>
  <c r="AAH111"/>
  <c r="H111" s="1"/>
  <c r="E111" s="1"/>
  <c r="DJ6" l="1"/>
  <c r="DJ5" s="1"/>
  <c r="DI4"/>
  <c r="AAG112"/>
  <c r="G112" s="1"/>
  <c r="F111"/>
  <c r="DK6" l="1"/>
  <c r="DK5" s="1"/>
  <c r="DJ4"/>
  <c r="AAH112"/>
  <c r="H112" s="1"/>
  <c r="E112" s="1"/>
  <c r="DL6" l="1"/>
  <c r="DL5" s="1"/>
  <c r="DK4"/>
  <c r="AAG113"/>
  <c r="G113" s="1"/>
  <c r="F112"/>
  <c r="DM6" l="1"/>
  <c r="DM5" s="1"/>
  <c r="DL4"/>
  <c r="AAH113"/>
  <c r="H113" s="1"/>
  <c r="E113" s="1"/>
  <c r="DN6" l="1"/>
  <c r="DN5" s="1"/>
  <c r="DM4"/>
  <c r="AAG114"/>
  <c r="G114" s="1"/>
  <c r="F113"/>
  <c r="DO6" l="1"/>
  <c r="DO5" s="1"/>
  <c r="DN4"/>
  <c r="AAH114"/>
  <c r="H114" s="1"/>
  <c r="E114" s="1"/>
  <c r="DP6" l="1"/>
  <c r="DP5" s="1"/>
  <c r="DO4"/>
  <c r="AAG115"/>
  <c r="G115" s="1"/>
  <c r="F114"/>
  <c r="DQ6" l="1"/>
  <c r="DQ5" s="1"/>
  <c r="DP4"/>
  <c r="AAH115"/>
  <c r="H115" s="1"/>
  <c r="E115" s="1"/>
  <c r="DR6" l="1"/>
  <c r="DR5" s="1"/>
  <c r="DQ4"/>
  <c r="AAG117"/>
  <c r="G117" s="1"/>
  <c r="F115"/>
  <c r="DS6" l="1"/>
  <c r="DS5" s="1"/>
  <c r="DR4"/>
  <c r="AAH117"/>
  <c r="H117" s="1"/>
  <c r="E117" s="1"/>
  <c r="DT6" l="1"/>
  <c r="DT5" s="1"/>
  <c r="DS4"/>
  <c r="AAG118"/>
  <c r="G118" s="1"/>
  <c r="F117"/>
  <c r="DU6" l="1"/>
  <c r="DU5" s="1"/>
  <c r="DT4"/>
  <c r="AAH118"/>
  <c r="H118" s="1"/>
  <c r="E118" s="1"/>
  <c r="DV6" l="1"/>
  <c r="DV5" s="1"/>
  <c r="DU4"/>
  <c r="AAG119"/>
  <c r="G119" s="1"/>
  <c r="F118"/>
  <c r="DW6" l="1"/>
  <c r="DW5" s="1"/>
  <c r="DV4"/>
  <c r="AAH119"/>
  <c r="H119" s="1"/>
  <c r="E119" s="1"/>
  <c r="DX6" l="1"/>
  <c r="DX5" s="1"/>
  <c r="DW4"/>
  <c r="AAG120"/>
  <c r="G120" s="1"/>
  <c r="F119"/>
  <c r="DY6" l="1"/>
  <c r="DY5" s="1"/>
  <c r="DX4"/>
  <c r="AAH120"/>
  <c r="H120" s="1"/>
  <c r="E120" s="1"/>
  <c r="DZ6" l="1"/>
  <c r="DZ5" s="1"/>
  <c r="DY4"/>
  <c r="AAG122"/>
  <c r="G122" s="1"/>
  <c r="F120"/>
  <c r="EA6" l="1"/>
  <c r="EA5" s="1"/>
  <c r="DZ4"/>
  <c r="AAH122"/>
  <c r="H122" s="1"/>
  <c r="E122" s="1"/>
  <c r="EB6" l="1"/>
  <c r="EB5" s="1"/>
  <c r="EA4"/>
  <c r="AAG124"/>
  <c r="G124" s="1"/>
  <c r="F122"/>
  <c r="EC6" l="1"/>
  <c r="EC5" s="1"/>
  <c r="EB4"/>
  <c r="AAH124"/>
  <c r="H124" s="1"/>
  <c r="E124" s="1"/>
  <c r="ED6" l="1"/>
  <c r="ED5" s="1"/>
  <c r="EC4"/>
  <c r="AAG125"/>
  <c r="G125" s="1"/>
  <c r="F124"/>
  <c r="EE6" l="1"/>
  <c r="EE5" s="1"/>
  <c r="ED4"/>
  <c r="AAH125"/>
  <c r="H125" s="1"/>
  <c r="E125" s="1"/>
  <c r="EF6" l="1"/>
  <c r="EF5" s="1"/>
  <c r="EE4"/>
  <c r="AAG126"/>
  <c r="G126" s="1"/>
  <c r="F125"/>
  <c r="EG6" l="1"/>
  <c r="EG5" s="1"/>
  <c r="EF4"/>
  <c r="AAH126"/>
  <c r="H126" s="1"/>
  <c r="E126" s="1"/>
  <c r="EH6" l="1"/>
  <c r="EH5" s="1"/>
  <c r="EG4"/>
  <c r="AAG129"/>
  <c r="G129" s="1"/>
  <c r="AAG127"/>
  <c r="G127" s="1"/>
  <c r="F126"/>
  <c r="EI6" l="1"/>
  <c r="EI5" s="1"/>
  <c r="EH4"/>
  <c r="AAH129"/>
  <c r="H129" s="1"/>
  <c r="E129" s="1"/>
  <c r="AAH127"/>
  <c r="H127" s="1"/>
  <c r="F127" s="1"/>
  <c r="EJ6" l="1"/>
  <c r="EJ5" s="1"/>
  <c r="EI4"/>
  <c r="E127"/>
  <c r="AAG131"/>
  <c r="G131" s="1"/>
  <c r="F129"/>
  <c r="EK6" l="1"/>
  <c r="EK5" s="1"/>
  <c r="EJ4"/>
  <c r="AAH131"/>
  <c r="H131" s="1"/>
  <c r="E131" s="1"/>
  <c r="EL6" l="1"/>
  <c r="EL5" s="1"/>
  <c r="EK4"/>
  <c r="F131"/>
  <c r="AAG132"/>
  <c r="G132" s="1"/>
  <c r="EM6" l="1"/>
  <c r="EM5" s="1"/>
  <c r="EL4"/>
  <c r="AAH132"/>
  <c r="H132" s="1"/>
  <c r="E132" s="1"/>
  <c r="EN6" l="1"/>
  <c r="EN5" s="1"/>
  <c r="EM4"/>
  <c r="AAG133"/>
  <c r="G133" s="1"/>
  <c r="F132"/>
  <c r="EO6" l="1"/>
  <c r="EO5" s="1"/>
  <c r="EN4"/>
  <c r="AAH133"/>
  <c r="H133" s="1"/>
  <c r="E133" s="1"/>
  <c r="EP6" l="1"/>
  <c r="EP5" s="1"/>
  <c r="EO4"/>
  <c r="AAG134"/>
  <c r="G134" s="1"/>
  <c r="F133"/>
  <c r="EQ6" l="1"/>
  <c r="EQ5" s="1"/>
  <c r="EP4"/>
  <c r="AAH134"/>
  <c r="H134" s="1"/>
  <c r="E134" s="1"/>
  <c r="ER6" l="1"/>
  <c r="ER5" s="1"/>
  <c r="EQ4"/>
  <c r="AAG135"/>
  <c r="G135" s="1"/>
  <c r="F134"/>
  <c r="ES6" l="1"/>
  <c r="ES5" s="1"/>
  <c r="ER4"/>
  <c r="AAH135"/>
  <c r="H135" s="1"/>
  <c r="E135" s="1"/>
  <c r="ET6" l="1"/>
  <c r="ET5" s="1"/>
  <c r="ES4"/>
  <c r="AAG137"/>
  <c r="G137" s="1"/>
  <c r="F135"/>
  <c r="EU6" l="1"/>
  <c r="EU5" s="1"/>
  <c r="ET4"/>
  <c r="AAH137"/>
  <c r="H137" s="1"/>
  <c r="E137" s="1"/>
  <c r="EV6" l="1"/>
  <c r="EV5" s="1"/>
  <c r="EU4"/>
  <c r="AAG138"/>
  <c r="G138" s="1"/>
  <c r="F137"/>
  <c r="EW6" l="1"/>
  <c r="EW5" s="1"/>
  <c r="EV4"/>
  <c r="AAH138"/>
  <c r="H138" s="1"/>
  <c r="E138" s="1"/>
  <c r="EX6" l="1"/>
  <c r="EX5" s="1"/>
  <c r="EW4"/>
  <c r="AAG139"/>
  <c r="G139" s="1"/>
  <c r="F138"/>
  <c r="EY6" l="1"/>
  <c r="EY5" s="1"/>
  <c r="EX4"/>
  <c r="AAH139"/>
  <c r="H139" s="1"/>
  <c r="E139" s="1"/>
  <c r="EZ6" l="1"/>
  <c r="EZ5" s="1"/>
  <c r="EY4"/>
  <c r="AAG140"/>
  <c r="G140" s="1"/>
  <c r="F139"/>
  <c r="FA6" l="1"/>
  <c r="FA5" s="1"/>
  <c r="EZ4"/>
  <c r="AAH140"/>
  <c r="H140" s="1"/>
  <c r="E140" s="1"/>
  <c r="FB6" l="1"/>
  <c r="FB5" s="1"/>
  <c r="FA4"/>
  <c r="AAG142"/>
  <c r="G142" s="1"/>
  <c r="F140"/>
  <c r="FC6" l="1"/>
  <c r="FC5" s="1"/>
  <c r="FB4"/>
  <c r="AAH142"/>
  <c r="H142" s="1"/>
  <c r="E142" s="1"/>
  <c r="FD6" l="1"/>
  <c r="FD5" s="1"/>
  <c r="FC4"/>
  <c r="AAG144"/>
  <c r="G144" s="1"/>
  <c r="F142"/>
  <c r="FE6" l="1"/>
  <c r="FE5" s="1"/>
  <c r="FD4"/>
  <c r="AAH144"/>
  <c r="H144" s="1"/>
  <c r="E144" s="1"/>
  <c r="FF6" l="1"/>
  <c r="FF5" s="1"/>
  <c r="FE4"/>
  <c r="AAG145"/>
  <c r="G145" s="1"/>
  <c r="F144"/>
  <c r="FG6" l="1"/>
  <c r="FG5" s="1"/>
  <c r="FF4"/>
  <c r="AAH145"/>
  <c r="H145" s="1"/>
  <c r="E145" s="1"/>
  <c r="FH6" l="1"/>
  <c r="FH5" s="1"/>
  <c r="FG4"/>
  <c r="AAG146"/>
  <c r="G146" s="1"/>
  <c r="F145"/>
  <c r="FI6" l="1"/>
  <c r="FI5" s="1"/>
  <c r="FH4"/>
  <c r="AAH146"/>
  <c r="H146" s="1"/>
  <c r="E146" s="1"/>
  <c r="FJ6" l="1"/>
  <c r="FJ5" s="1"/>
  <c r="FI4"/>
  <c r="AAG149"/>
  <c r="G149" s="1"/>
  <c r="F146"/>
  <c r="AAG147"/>
  <c r="G147" s="1"/>
  <c r="FK6" l="1"/>
  <c r="FK5" s="1"/>
  <c r="FJ4"/>
  <c r="AAH147"/>
  <c r="H147" s="1"/>
  <c r="F147" s="1"/>
  <c r="AAH149"/>
  <c r="H149" s="1"/>
  <c r="E149" s="1"/>
  <c r="FL6" l="1"/>
  <c r="FL5" s="1"/>
  <c r="FK4"/>
  <c r="E147"/>
  <c r="AAG151"/>
  <c r="G151" s="1"/>
  <c r="F149"/>
  <c r="FM6" l="1"/>
  <c r="FM5" s="1"/>
  <c r="FL4"/>
  <c r="AAH151"/>
  <c r="H151" s="1"/>
  <c r="E151" s="1"/>
  <c r="FN6" l="1"/>
  <c r="FN5" s="1"/>
  <c r="FM4"/>
  <c r="F151"/>
  <c r="AAG152"/>
  <c r="G152" s="1"/>
  <c r="FO6" l="1"/>
  <c r="FO5" s="1"/>
  <c r="FN4"/>
  <c r="AAH152"/>
  <c r="H152" s="1"/>
  <c r="E152" s="1"/>
  <c r="FP6" l="1"/>
  <c r="FP5" s="1"/>
  <c r="FO4"/>
  <c r="AAG153"/>
  <c r="G153" s="1"/>
  <c r="F152"/>
  <c r="FQ6" l="1"/>
  <c r="FQ5" s="1"/>
  <c r="FP4"/>
  <c r="AAH153"/>
  <c r="H153" s="1"/>
  <c r="E153" s="1"/>
  <c r="FR6" l="1"/>
  <c r="FR5" s="1"/>
  <c r="FQ4"/>
  <c r="AAG154"/>
  <c r="G154" s="1"/>
  <c r="F153"/>
  <c r="FS6" l="1"/>
  <c r="FS5" s="1"/>
  <c r="FR4"/>
  <c r="AAH154"/>
  <c r="H154" s="1"/>
  <c r="E154" s="1"/>
  <c r="FT6" l="1"/>
  <c r="FT5" s="1"/>
  <c r="FS4"/>
  <c r="AAG155"/>
  <c r="G155" s="1"/>
  <c r="F154"/>
  <c r="FU6" l="1"/>
  <c r="FU5" s="1"/>
  <c r="FT4"/>
  <c r="AAH155"/>
  <c r="H155" s="1"/>
  <c r="E155" s="1"/>
  <c r="FV6" l="1"/>
  <c r="FV5" s="1"/>
  <c r="FU4"/>
  <c r="AAG157"/>
  <c r="G157" s="1"/>
  <c r="F155"/>
  <c r="FW6" l="1"/>
  <c r="FW5" s="1"/>
  <c r="FV4"/>
  <c r="AAH157"/>
  <c r="H157" s="1"/>
  <c r="E157" s="1"/>
  <c r="FX6" l="1"/>
  <c r="FX5" s="1"/>
  <c r="FW4"/>
  <c r="AAG158"/>
  <c r="G158" s="1"/>
  <c r="F157"/>
  <c r="FY6" l="1"/>
  <c r="FY5" s="1"/>
  <c r="FX4"/>
  <c r="AAH158"/>
  <c r="H158" s="1"/>
  <c r="E158" s="1"/>
  <c r="FZ6" l="1"/>
  <c r="FZ5" s="1"/>
  <c r="FY4"/>
  <c r="AAG159"/>
  <c r="G159" s="1"/>
  <c r="F158"/>
  <c r="GA6" l="1"/>
  <c r="GA5" s="1"/>
  <c r="FZ4"/>
  <c r="AAH159"/>
  <c r="H159" s="1"/>
  <c r="E159" s="1"/>
  <c r="GB6" l="1"/>
  <c r="GB5" s="1"/>
  <c r="GA4"/>
  <c r="AAG160"/>
  <c r="G160" s="1"/>
  <c r="F159"/>
  <c r="GC6" l="1"/>
  <c r="GC5" s="1"/>
  <c r="GB4"/>
  <c r="AAH160"/>
  <c r="H160" s="1"/>
  <c r="E160" s="1"/>
  <c r="GD6" l="1"/>
  <c r="GD5" s="1"/>
  <c r="GC4"/>
  <c r="AAG162"/>
  <c r="G162" s="1"/>
  <c r="F160"/>
  <c r="GE6" l="1"/>
  <c r="GE5" s="1"/>
  <c r="GD4"/>
  <c r="AAH162"/>
  <c r="H162" s="1"/>
  <c r="E162" s="1"/>
  <c r="GF6" l="1"/>
  <c r="GF5" s="1"/>
  <c r="GE4"/>
  <c r="AAG164"/>
  <c r="G164" s="1"/>
  <c r="F162"/>
  <c r="GG6" l="1"/>
  <c r="GG5" s="1"/>
  <c r="GF4"/>
  <c r="AAH164"/>
  <c r="H164" s="1"/>
  <c r="E164" s="1"/>
  <c r="GH6" l="1"/>
  <c r="GH5" s="1"/>
  <c r="GG4"/>
  <c r="AAG165"/>
  <c r="G165" s="1"/>
  <c r="F164"/>
  <c r="GI6" l="1"/>
  <c r="GI5" s="1"/>
  <c r="GH4"/>
  <c r="AAH165"/>
  <c r="H165" s="1"/>
  <c r="E165" s="1"/>
  <c r="GJ6" l="1"/>
  <c r="GJ5" s="1"/>
  <c r="GI4"/>
  <c r="AAG166"/>
  <c r="G166" s="1"/>
  <c r="F165"/>
  <c r="GK6" l="1"/>
  <c r="GK5" s="1"/>
  <c r="GJ4"/>
  <c r="AAH166"/>
  <c r="H166" s="1"/>
  <c r="E166" s="1"/>
  <c r="GL6" l="1"/>
  <c r="GL5" s="1"/>
  <c r="GK4"/>
  <c r="AAG169"/>
  <c r="G169" s="1"/>
  <c r="AAG167"/>
  <c r="G167" s="1"/>
  <c r="F166"/>
  <c r="GM6" l="1"/>
  <c r="GM5" s="1"/>
  <c r="GL4"/>
  <c r="AAH169"/>
  <c r="H169" s="1"/>
  <c r="E169" s="1"/>
  <c r="AAH167"/>
  <c r="H167" s="1"/>
  <c r="F167" s="1"/>
  <c r="GN6" l="1"/>
  <c r="GN5" s="1"/>
  <c r="GM4"/>
  <c r="E167"/>
  <c r="AAG171"/>
  <c r="G171" s="1"/>
  <c r="F169"/>
  <c r="GO6" l="1"/>
  <c r="GO5" s="1"/>
  <c r="GN4"/>
  <c r="AAH171"/>
  <c r="H171" s="1"/>
  <c r="E171" s="1"/>
  <c r="GP6" l="1"/>
  <c r="GP5" s="1"/>
  <c r="GO4"/>
  <c r="F171"/>
  <c r="AAG172"/>
  <c r="G172" s="1"/>
  <c r="GQ6" l="1"/>
  <c r="GQ5" s="1"/>
  <c r="GP4"/>
  <c r="AAH172"/>
  <c r="H172" s="1"/>
  <c r="E172" s="1"/>
  <c r="GR6" l="1"/>
  <c r="GR5" s="1"/>
  <c r="GQ4"/>
  <c r="AAG173"/>
  <c r="G173" s="1"/>
  <c r="F172"/>
  <c r="GS6" l="1"/>
  <c r="GS5" s="1"/>
  <c r="GR4"/>
  <c r="AAH173"/>
  <c r="H173" s="1"/>
  <c r="E173" s="1"/>
  <c r="GT6" l="1"/>
  <c r="GT5" s="1"/>
  <c r="GS4"/>
  <c r="AAG174"/>
  <c r="G174" s="1"/>
  <c r="F173"/>
  <c r="GU6" l="1"/>
  <c r="GU5" s="1"/>
  <c r="GT4"/>
  <c r="AAH174"/>
  <c r="H174" s="1"/>
  <c r="E174" s="1"/>
  <c r="GV6" l="1"/>
  <c r="GV5" s="1"/>
  <c r="GU4"/>
  <c r="AAG175"/>
  <c r="G175" s="1"/>
  <c r="F174"/>
  <c r="GW6" l="1"/>
  <c r="GW5" s="1"/>
  <c r="GV4"/>
  <c r="AAH175"/>
  <c r="H175" s="1"/>
  <c r="E175" s="1"/>
  <c r="GX6" l="1"/>
  <c r="GX5" s="1"/>
  <c r="GW4"/>
  <c r="AAG177"/>
  <c r="G177" s="1"/>
  <c r="F175"/>
  <c r="GY6" l="1"/>
  <c r="GY5" s="1"/>
  <c r="GX4"/>
  <c r="AAH177"/>
  <c r="H177" s="1"/>
  <c r="E177" s="1"/>
  <c r="GZ6" l="1"/>
  <c r="GZ5" s="1"/>
  <c r="GY4"/>
  <c r="AAG178"/>
  <c r="G178" s="1"/>
  <c r="F177"/>
  <c r="HA6" l="1"/>
  <c r="HA5" s="1"/>
  <c r="GZ4"/>
  <c r="AAH178"/>
  <c r="H178" s="1"/>
  <c r="E178" s="1"/>
  <c r="HB6" l="1"/>
  <c r="HB5" s="1"/>
  <c r="HA4"/>
  <c r="AAG179"/>
  <c r="G179" s="1"/>
  <c r="F178"/>
  <c r="HC6" l="1"/>
  <c r="HC5" s="1"/>
  <c r="HB4"/>
  <c r="AAH179"/>
  <c r="H179" s="1"/>
  <c r="E179" s="1"/>
  <c r="HD6" l="1"/>
  <c r="HD5" s="1"/>
  <c r="HC4"/>
  <c r="AAG180"/>
  <c r="G180" s="1"/>
  <c r="F179"/>
  <c r="HE6" l="1"/>
  <c r="HE5" s="1"/>
  <c r="HD4"/>
  <c r="AAH180"/>
  <c r="H180" s="1"/>
  <c r="E180" s="1"/>
  <c r="HF6" l="1"/>
  <c r="HF5" s="1"/>
  <c r="HE4"/>
  <c r="AAG182"/>
  <c r="G182" s="1"/>
  <c r="F180"/>
  <c r="HG6" l="1"/>
  <c r="HG5" s="1"/>
  <c r="HF4"/>
  <c r="AAH182"/>
  <c r="H182" s="1"/>
  <c r="E182" s="1"/>
  <c r="HH6" l="1"/>
  <c r="HH5" s="1"/>
  <c r="HG4"/>
  <c r="AAG184"/>
  <c r="G184" s="1"/>
  <c r="F182"/>
  <c r="HI6" l="1"/>
  <c r="HI5" s="1"/>
  <c r="HH4"/>
  <c r="AAH184"/>
  <c r="H184" s="1"/>
  <c r="E184" s="1"/>
  <c r="HJ6" l="1"/>
  <c r="HJ5" s="1"/>
  <c r="HI4"/>
  <c r="AAG185"/>
  <c r="G185" s="1"/>
  <c r="F184"/>
  <c r="HK6" l="1"/>
  <c r="HK5" s="1"/>
  <c r="HJ4"/>
  <c r="AAH185"/>
  <c r="H185" s="1"/>
  <c r="E185" s="1"/>
  <c r="HL6" l="1"/>
  <c r="HL5" s="1"/>
  <c r="HK4"/>
  <c r="AAG186"/>
  <c r="G186" s="1"/>
  <c r="F185"/>
  <c r="HM6" l="1"/>
  <c r="HM5" s="1"/>
  <c r="HL4"/>
  <c r="AAH186"/>
  <c r="H186" s="1"/>
  <c r="E186" s="1"/>
  <c r="HN6" l="1"/>
  <c r="HN5" s="1"/>
  <c r="HM4"/>
  <c r="AAG189"/>
  <c r="G189" s="1"/>
  <c r="F186"/>
  <c r="AAG187"/>
  <c r="G187" s="1"/>
  <c r="HO6" l="1"/>
  <c r="HO5" s="1"/>
  <c r="HN4"/>
  <c r="AAH187"/>
  <c r="H187" s="1"/>
  <c r="F187" s="1"/>
  <c r="AAH189"/>
  <c r="H189" s="1"/>
  <c r="E189" s="1"/>
  <c r="HP6" l="1"/>
  <c r="HP5" s="1"/>
  <c r="HO4"/>
  <c r="E187"/>
  <c r="AAG191"/>
  <c r="G191" s="1"/>
  <c r="F189"/>
  <c r="HQ6" l="1"/>
  <c r="HQ5" s="1"/>
  <c r="HP4"/>
  <c r="AAH191"/>
  <c r="H191" s="1"/>
  <c r="E191" s="1"/>
  <c r="HR6" l="1"/>
  <c r="HR5" s="1"/>
  <c r="HQ4"/>
  <c r="F191"/>
  <c r="AAG192"/>
  <c r="G192" s="1"/>
  <c r="HS6" l="1"/>
  <c r="HS5" s="1"/>
  <c r="HR4"/>
  <c r="AAH192"/>
  <c r="H192" s="1"/>
  <c r="E192" s="1"/>
  <c r="HT6" l="1"/>
  <c r="HT5" s="1"/>
  <c r="HS4"/>
  <c r="AAG193"/>
  <c r="G193" s="1"/>
  <c r="F192"/>
  <c r="HU6" l="1"/>
  <c r="HU5" s="1"/>
  <c r="HT4"/>
  <c r="AAH193"/>
  <c r="H193" s="1"/>
  <c r="E193" s="1"/>
  <c r="HV6" l="1"/>
  <c r="HV5" s="1"/>
  <c r="HU4"/>
  <c r="AAG194"/>
  <c r="G194" s="1"/>
  <c r="F193"/>
  <c r="HW6" l="1"/>
  <c r="HW5" s="1"/>
  <c r="HV4"/>
  <c r="AAH194"/>
  <c r="H194" s="1"/>
  <c r="E194" s="1"/>
  <c r="HX6" l="1"/>
  <c r="HX5" s="1"/>
  <c r="HW4"/>
  <c r="AAG195"/>
  <c r="G195" s="1"/>
  <c r="F194"/>
  <c r="HY6" l="1"/>
  <c r="HY5" s="1"/>
  <c r="HX4"/>
  <c r="AAH195"/>
  <c r="H195" s="1"/>
  <c r="E195" s="1"/>
  <c r="HZ6" l="1"/>
  <c r="HZ5" s="1"/>
  <c r="HY4"/>
  <c r="AAG197"/>
  <c r="G197" s="1"/>
  <c r="F195"/>
  <c r="IA6" l="1"/>
  <c r="IA5" s="1"/>
  <c r="HZ4"/>
  <c r="AAH197"/>
  <c r="H197" s="1"/>
  <c r="E197" s="1"/>
  <c r="IB6" l="1"/>
  <c r="IB5" s="1"/>
  <c r="IA4"/>
  <c r="AAG198"/>
  <c r="G198" s="1"/>
  <c r="F197"/>
  <c r="IC6" l="1"/>
  <c r="IC5" s="1"/>
  <c r="IB4"/>
  <c r="AAH198"/>
  <c r="H198" s="1"/>
  <c r="E198" s="1"/>
  <c r="ID6" l="1"/>
  <c r="ID5" s="1"/>
  <c r="IC4"/>
  <c r="AAG199"/>
  <c r="G199" s="1"/>
  <c r="F198"/>
  <c r="IE6" l="1"/>
  <c r="IE5" s="1"/>
  <c r="ID4"/>
  <c r="AAH199"/>
  <c r="H199" s="1"/>
  <c r="E199" s="1"/>
  <c r="IF6" l="1"/>
  <c r="IF5" s="1"/>
  <c r="IE4"/>
  <c r="AAG200"/>
  <c r="G200" s="1"/>
  <c r="F199"/>
  <c r="IG6" l="1"/>
  <c r="IG5" s="1"/>
  <c r="IF4"/>
  <c r="AAH200"/>
  <c r="H200" s="1"/>
  <c r="E200" s="1"/>
  <c r="IH6" l="1"/>
  <c r="IH5" s="1"/>
  <c r="IG4"/>
  <c r="AAG202"/>
  <c r="G202" s="1"/>
  <c r="F200"/>
  <c r="II6" l="1"/>
  <c r="II5" s="1"/>
  <c r="IH4"/>
  <c r="AAH202"/>
  <c r="H202" s="1"/>
  <c r="E202" s="1"/>
  <c r="IJ6" l="1"/>
  <c r="IJ5" s="1"/>
  <c r="II4"/>
  <c r="AAG204"/>
  <c r="G204" s="1"/>
  <c r="F202"/>
  <c r="IK6" l="1"/>
  <c r="IK5" s="1"/>
  <c r="IJ4"/>
  <c r="AAH204"/>
  <c r="H204" s="1"/>
  <c r="E204" s="1"/>
  <c r="IL6" l="1"/>
  <c r="IL5" s="1"/>
  <c r="IK4"/>
  <c r="AAG205"/>
  <c r="G205" s="1"/>
  <c r="F204"/>
  <c r="IM6" l="1"/>
  <c r="IM5" s="1"/>
  <c r="IL4"/>
  <c r="AAH205"/>
  <c r="H205" s="1"/>
  <c r="E205" s="1"/>
  <c r="IN6" l="1"/>
  <c r="IN5" s="1"/>
  <c r="IM4"/>
  <c r="AAG206"/>
  <c r="G206" s="1"/>
  <c r="F205"/>
  <c r="IO6" l="1"/>
  <c r="IO5" s="1"/>
  <c r="IN4"/>
  <c r="AAH206"/>
  <c r="H206" s="1"/>
  <c r="E206" s="1"/>
  <c r="IP6" l="1"/>
  <c r="IP5" s="1"/>
  <c r="IO4"/>
  <c r="AAG207"/>
  <c r="G207" s="1"/>
  <c r="F206"/>
  <c r="IQ6" l="1"/>
  <c r="IQ5" s="1"/>
  <c r="IP4"/>
  <c r="AAH207"/>
  <c r="H207" s="1"/>
  <c r="F207" s="1"/>
  <c r="H6"/>
  <c r="IR6" l="1"/>
  <c r="IR5" s="1"/>
  <c r="IQ4"/>
  <c r="E207"/>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2"/>
  <c r="F212" s="1"/>
  <c r="AAG214" l="1"/>
  <c r="G214" s="1"/>
  <c r="AAG465"/>
  <c r="G465" s="1"/>
  <c r="E465" s="1"/>
  <c r="AAG215"/>
  <c r="G215" s="1"/>
  <c r="E215" s="1"/>
  <c r="AAG449"/>
  <c r="G449" s="1"/>
  <c r="E449" s="1"/>
  <c r="AAG220"/>
  <c r="G220" s="1"/>
  <c r="E220" s="1"/>
  <c r="AAH214" l="1"/>
  <c r="H214" s="1"/>
  <c r="F214" s="1"/>
  <c r="H307"/>
  <c r="F307" s="1"/>
  <c r="AAH302"/>
  <c r="H302" s="1"/>
  <c r="AAH305"/>
  <c r="H305" s="1"/>
  <c r="E214" l="1"/>
  <c r="F302"/>
  <c r="E302"/>
  <c r="F305"/>
  <c r="AAG307"/>
  <c r="G307" s="1"/>
  <c r="E307" s="1"/>
  <c r="AAG305"/>
  <c r="G305" s="1"/>
  <c r="E305" s="1"/>
  <c r="AAG306"/>
  <c r="G306" s="1"/>
  <c r="E306" s="1"/>
</calcChain>
</file>

<file path=xl/sharedStrings.xml><?xml version="1.0" encoding="utf-8"?>
<sst xmlns="http://schemas.openxmlformats.org/spreadsheetml/2006/main" count="1352" uniqueCount="398">
  <si>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</si>
  <si>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</si>
  <si>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</si>
  <si>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</si>
  <si>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</si>
  <si>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</si>
  <si>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</si>
  <si>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</si>
  <si>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</si>
  <si>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</si>
  <si>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</si>
  <si>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</si>
  <si>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</si>
  <si>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</si>
  <si>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</si>
  <si>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</si>
  <si>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DDL_Bulletin</t>
  </si>
  <si>
    <t>VL_Bulletin</t>
  </si>
  <si>
    <t>EQCStaffRptDue</t>
  </si>
  <si>
    <t>EQCMaterialsDue</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</si>
  <si>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</si>
  <si>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</si>
  <si>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</si>
  <si>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</si>
  <si>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</si>
  <si>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</si>
  <si>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</si>
  <si>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</si>
  <si>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</si>
  <si>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</si>
  <si>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</si>
  <si>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</si>
  <si>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</si>
  <si>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</si>
  <si>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</si>
  <si>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</si>
  <si>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</si>
  <si>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</si>
  <si>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</si>
  <si>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</si>
  <si>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</si>
  <si>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</si>
  <si>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</si>
  <si>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</si>
  <si>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</si>
  <si>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</si>
  <si>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</si>
  <si>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Submit SIP &amp; DOJ approval to EPA</t>
  </si>
  <si>
    <t>Modify notice documents as needed</t>
  </si>
  <si>
    <t xml:space="preserve">Loop as needed </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</si>
  <si>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</si>
  <si>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</si>
  <si>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</si>
  <si>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</si>
  <si>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</si>
  <si>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</si>
  <si>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</si>
  <si>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</si>
  <si>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</si>
  <si>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</si>
  <si>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</si>
  <si>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Schedule recurring team meetings</t>
  </si>
  <si>
    <t>Closed</t>
  </si>
  <si>
    <t>Weekend</t>
  </si>
  <si>
    <t>Workday</t>
  </si>
  <si>
    <t>Decide how to address any feedback</t>
  </si>
  <si>
    <t>Identify potential meeting dates and venues</t>
  </si>
  <si>
    <t>Shared drive: Rules _Development</t>
  </si>
  <si>
    <t>Rulemaking SharePoint</t>
  </si>
  <si>
    <t>Q</t>
  </si>
  <si>
    <t/>
  </si>
  <si>
    <t>Fiscal staff</t>
  </si>
  <si>
    <t>Maintaining rulemaking record</t>
  </si>
  <si>
    <t>Notify new members</t>
  </si>
  <si>
    <t>Subtask</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</si>
  <si>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</si>
  <si>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</si>
  <si>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</si>
  <si>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</si>
  <si>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</si>
  <si>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</si>
  <si>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</si>
  <si>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</si>
  <si>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</si>
  <si>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</si>
  <si>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</si>
  <si>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</si>
  <si>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SP</t>
  </si>
  <si>
    <t>DEQ</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</si>
  <si>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</si>
  <si>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</si>
  <si>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</si>
  <si>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</si>
  <si>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</si>
  <si>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</si>
  <si>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</si>
  <si>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</si>
  <si>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</si>
  <si>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</si>
  <si>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</si>
  <si>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</si>
  <si>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</si>
  <si>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</si>
  <si>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</si>
  <si>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</si>
  <si>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</si>
  <si>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</si>
  <si>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</si>
  <si>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</si>
  <si>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</si>
  <si>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START option - informal DAS review</t>
  </si>
  <si>
    <t>1st approval loop</t>
  </si>
  <si>
    <t>2nd approval loop</t>
  </si>
  <si>
    <t>3rd approval loop</t>
  </si>
  <si>
    <t>Final approval loop</t>
  </si>
  <si>
    <t>Date has past</t>
  </si>
  <si>
    <t>Final OCO plain English review</t>
  </si>
  <si>
    <t>Schedule of Tasks</t>
  </si>
  <si>
    <t>Add hearing dates to DEQ meeting calendar</t>
  </si>
  <si>
    <t>Statement of fiscal impact</t>
  </si>
  <si>
    <t xml:space="preserve"> i</t>
  </si>
  <si>
    <t>Practice presentation</t>
  </si>
  <si>
    <t>START OPTION - information meeting</t>
  </si>
  <si>
    <t>Add meeting dates to DEQ public meetings</t>
  </si>
  <si>
    <t>Agency Rules Coordinator Responsibility</t>
  </si>
  <si>
    <t>Lead archival process</t>
  </si>
  <si>
    <t>Prepare documents and notify ARC when done</t>
  </si>
  <si>
    <t>File naming conventions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</si>
  <si>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</si>
  <si>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</si>
  <si>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</si>
  <si>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</si>
  <si>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</si>
  <si>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</si>
  <si>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</si>
  <si>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</si>
  <si>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</si>
  <si>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</si>
  <si>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</si>
  <si>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</si>
  <si>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</si>
  <si>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</si>
  <si>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</si>
  <si>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</si>
  <si>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</si>
  <si>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</si>
  <si>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</si>
  <si>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Meeting 5</t>
  </si>
  <si>
    <t>Notify DEQ contributing RESOURCES</t>
  </si>
  <si>
    <t>Close comment box in Outlook</t>
  </si>
  <si>
    <t>Rules affected, authorities, supporting docs</t>
  </si>
  <si>
    <t>DE</t>
  </si>
  <si>
    <t>DE, Fiscal staff</t>
  </si>
  <si>
    <t>Design Team Responsibilities</t>
  </si>
  <si>
    <t>Design Team Responsibility</t>
  </si>
  <si>
    <t>Design Expert (DE) Responsibility</t>
  </si>
  <si>
    <t>Design Team (DT) Responsibility</t>
  </si>
  <si>
    <t>DS</t>
  </si>
  <si>
    <t>DE, DS</t>
  </si>
  <si>
    <t>DS, webrep</t>
  </si>
  <si>
    <t>Design Support (DS) Responsibility</t>
  </si>
  <si>
    <t>DE, Fiscal</t>
  </si>
  <si>
    <t>Design Expert Responsibility</t>
  </si>
  <si>
    <t>Design Support Responsibility</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</si>
  <si>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</si>
  <si>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</si>
  <si>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</si>
  <si>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</si>
  <si>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</si>
  <si>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</si>
  <si>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</si>
  <si>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</si>
  <si>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</si>
  <si>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</si>
  <si>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X</t>
  </si>
  <si>
    <t>i</t>
  </si>
  <si>
    <t>Publish in local newspaper if required</t>
  </si>
  <si>
    <t>Verify using latest rules</t>
  </si>
  <si>
    <t>Enter comments</t>
  </si>
  <si>
    <t>Develop categories of responses</t>
  </si>
  <si>
    <t>This Task</t>
  </si>
  <si>
    <t>Go to next step in 4-Public Notice</t>
  </si>
  <si>
    <t xml:space="preserve">Approve as finalized </t>
  </si>
  <si>
    <t>START OPTION</t>
  </si>
  <si>
    <t>Obtain rules and new numbers if needed</t>
  </si>
  <si>
    <t>Work with SOS on any new division/rule numbers</t>
  </si>
  <si>
    <t>DE,MV</t>
  </si>
  <si>
    <t>MV, Fiscal</t>
  </si>
  <si>
    <t>MV</t>
  </si>
  <si>
    <t>START OPTION - Presentation</t>
  </si>
  <si>
    <t xml:space="preserve">END OPTION </t>
  </si>
  <si>
    <t>6:00 p.m.</t>
  </si>
  <si>
    <t>Add committee/EQC to GovDelivery</t>
  </si>
  <si>
    <t>Release unneeded venues</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</si>
  <si>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</si>
  <si>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</si>
  <si>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</si>
  <si>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</si>
  <si>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</si>
  <si>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</si>
  <si>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</si>
  <si>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</si>
  <si>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</si>
  <si>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</si>
  <si>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</si>
  <si>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</si>
  <si>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</si>
  <si>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</si>
  <si>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</si>
  <si>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</si>
  <si>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</si>
  <si>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</si>
  <si>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</si>
  <si>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</si>
  <si>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</si>
  <si>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</si>
  <si>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</si>
  <si>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</si>
  <si>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</si>
  <si>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</si>
  <si>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</si>
  <si>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</si>
  <si>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</si>
  <si>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</si>
  <si>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</si>
  <si>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</si>
  <si>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</si>
  <si>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</si>
  <si>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</si>
  <si>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</si>
  <si>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</si>
  <si>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</si>
  <si>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</si>
  <si>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</si>
  <si>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</si>
  <si>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</si>
  <si>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</si>
  <si>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</si>
  <si>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</si>
  <si>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</si>
  <si>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</si>
  <si>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</si>
  <si>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</si>
  <si>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</si>
  <si>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</si>
  <si>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</si>
  <si>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</si>
  <si>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</si>
  <si>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</si>
  <si>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</si>
  <si>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</si>
  <si>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</si>
  <si>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</si>
  <si>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</si>
  <si>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</si>
  <si>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</si>
  <si>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</si>
  <si>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</si>
  <si>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</si>
  <si>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</si>
  <si>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</si>
  <si>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</si>
  <si>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</si>
  <si>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</si>
  <si>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</si>
  <si>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</si>
  <si>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</si>
  <si>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</si>
  <si>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</si>
  <si>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</si>
  <si>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</si>
  <si>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</si>
  <si>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</si>
  <si>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</si>
  <si>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</si>
  <si>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</si>
  <si>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</si>
  <si>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</si>
  <si>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</si>
  <si>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</si>
  <si>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</si>
  <si>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</si>
  <si>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t xml:space="preserve">EQC Rulemaking Action Item                    </t>
  </si>
  <si>
    <t>From Today</t>
  </si>
  <si>
    <t>testing area</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</si>
  <si>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</si>
  <si>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</si>
  <si>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</si>
  <si>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</si>
  <si>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</si>
  <si>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</si>
  <si>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</si>
  <si>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</si>
  <si>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</si>
  <si>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</si>
  <si>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</si>
  <si>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</si>
  <si>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</si>
  <si>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</si>
  <si>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</si>
  <si>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</si>
  <si>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r>
      <t>Obtain managers approval of</t>
    </r>
    <r>
      <rPr>
        <b/>
        <sz val="10"/>
        <color rgb="FF4D771F"/>
        <rFont val="Arial"/>
        <family val="2"/>
      </rPr>
      <t xml:space="preserve"> Notice Packet</t>
    </r>
    <r>
      <rPr>
        <sz val="10"/>
        <color theme="4" tint="-0.499984740745262"/>
        <rFont val="Arial"/>
        <family val="2"/>
      </rPr>
      <t xml:space="preserve"> </t>
    </r>
  </si>
  <si>
    <t>=$B$4:$ZZ$474</t>
  </si>
  <si>
    <t>=IF($AAE4="Y",TRUE)</t>
  </si>
  <si>
    <t>=IF($AAE4="T",TRUE)</t>
  </si>
  <si>
    <t>=IF($AAE4="W",TRUE)</t>
  </si>
  <si>
    <t>=IF($AAE4=0,TRUE)</t>
  </si>
  <si>
    <t>Enter title here</t>
  </si>
  <si>
    <t>WORKDAY(S.SubmitStaffRpt-42,1,S.DDL_EQCMeeting)</t>
  </si>
  <si>
    <t>If approved, scan/file DAS.PART1.pdf</t>
  </si>
  <si>
    <t>GOV.DELIVERY.CONTENT"</t>
  </si>
  <si>
    <t>RULES.REDLINE</t>
  </si>
  <si>
    <t>Verify PROPOSED.RULES current compilation</t>
  </si>
  <si>
    <t>Expand Core Team</t>
  </si>
  <si>
    <t>Add rulemaking to work plans as needed</t>
  </si>
  <si>
    <t>Overview of main external work products</t>
  </si>
  <si>
    <t xml:space="preserve">Review Public Involvement Resources </t>
  </si>
  <si>
    <t>Initial voice contact</t>
  </si>
  <si>
    <t>After approved on DEQ's Annual Rulemaking Plan:</t>
  </si>
  <si>
    <t>INVITATION.TO.COMMENT (blank in folder 4)</t>
  </si>
  <si>
    <t>NOTICE (blank in folder 4)</t>
  </si>
  <si>
    <t>FEE.ANALYSIS (blank in folder 3)</t>
  </si>
  <si>
    <t>STAFF.RPT.Temporary (blank in folder 6)</t>
  </si>
  <si>
    <t>STAFF.RPT.Permanent (blank in folder 6)</t>
  </si>
  <si>
    <t>Verify compilation of PROPOSED.RULES</t>
  </si>
  <si>
    <t>AC.THANK.YOU</t>
  </si>
  <si>
    <t>AC.SURVEY</t>
  </si>
  <si>
    <t>YourName.EMAILS</t>
  </si>
  <si>
    <t>EVALUATION</t>
  </si>
  <si>
    <t>Save as PROOF.OF.LC.SUBMITTAL</t>
  </si>
  <si>
    <t>Save as PROOF.OF.SOS.FILING</t>
  </si>
  <si>
    <t>340-###-###.TABLE##-##</t>
  </si>
  <si>
    <t>EQC.ACTION</t>
  </si>
  <si>
    <t>PROOF.OF.DAS.SUBMITTAL</t>
  </si>
  <si>
    <t>Optional STAKEHOLDER.NOTIFICATION</t>
  </si>
  <si>
    <t>Optional LEGISLATOR.NOTICE</t>
  </si>
  <si>
    <t>EPA.SIP</t>
  </si>
  <si>
    <t>Approve charter and communications</t>
  </si>
  <si>
    <t>Draft program WEBPAGE</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</si>
  <si>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HEARING.TEXT-5.01, HEARING.TEXT-5.02...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</si>
  <si>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NOTICE-4.01, NOTICE-4.0,...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</si>
  <si>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WEBPAGE-4.01, WEBPAGE-4.02...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</si>
  <si>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FEE.ANALYSIS-3.01, FEE.ANALYSIS-3.02...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</si>
  <si>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MESSAGE.MAP-2.01, MESSAGE.MAP-2.02...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</si>
  <si>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COMMENTS-5.01, COMMENTs-5.02... </t>
  </si>
  <si>
    <t>STATE IMPLEMENTATION PLAN</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</si>
  <si>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STAFF.RPT.Permanent-6.01,STAFF.RPT.Permanent-6.02... </t>
  </si>
  <si>
    <t>Integrate FEE.ANALYSIS</t>
  </si>
  <si>
    <t xml:space="preserve">Rules Registry </t>
  </si>
  <si>
    <t>Review 0-Advisory Committee Learning Tools</t>
  </si>
  <si>
    <t>Develop ROSTER (blank in folder 4)</t>
  </si>
  <si>
    <t>Draft optional AC.CHARTER</t>
  </si>
  <si>
    <t>Draft optional AC.MESSAGE.MAP</t>
  </si>
  <si>
    <t>Draft AC.MEMBER.INVITE</t>
  </si>
  <si>
    <t>Draft optional AC.WEB.PAGE</t>
  </si>
  <si>
    <t>Save rules as PROPOSED.RULES</t>
  </si>
  <si>
    <t>Maintain optional committee web page</t>
  </si>
  <si>
    <t>Oregon Transparency requirements</t>
  </si>
  <si>
    <t>Discuss meeting notice requirements</t>
  </si>
  <si>
    <t>Team</t>
  </si>
  <si>
    <t>Team, Fiscal</t>
  </si>
  <si>
    <t>DE, Team</t>
  </si>
  <si>
    <t xml:space="preserve"> Team</t>
  </si>
  <si>
    <t>Team, PO</t>
  </si>
  <si>
    <t>DE, SC</t>
  </si>
  <si>
    <t>ARC/SC</t>
  </si>
  <si>
    <t>SC</t>
  </si>
  <si>
    <t>Public Meeting Laws</t>
  </si>
  <si>
    <t>EQC quorum notification requirements</t>
  </si>
  <si>
    <t>c. NOTICE (blank in folder 4)</t>
  </si>
  <si>
    <t>Select EQC recommendation in staff report</t>
  </si>
  <si>
    <t>Integrate NOTICE into staff report</t>
  </si>
  <si>
    <t>Begin Comment Period 10/1/2013</t>
  </si>
  <si>
    <t>Obtain Robin Williams and Jim Roys Approval - BUDGET.REVIEW.FISCAL</t>
  </si>
  <si>
    <t>Curtis,Papish,Ginsburg</t>
  </si>
  <si>
    <t>Papish, Mgrs</t>
  </si>
  <si>
    <t>DE, Fiscal, Papish</t>
  </si>
  <si>
    <t>Papish,DE,Fiscal</t>
  </si>
  <si>
    <t>Papish</t>
  </si>
  <si>
    <t>Team,Ginsburg</t>
  </si>
  <si>
    <t>Papish or Ginsburg</t>
  </si>
  <si>
    <t>@ Ginsburg direction</t>
  </si>
  <si>
    <t>Team, Ginsburg</t>
  </si>
  <si>
    <t>Ginsburg, DE</t>
  </si>
  <si>
    <t>Team, Papish, Ginsburg</t>
  </si>
  <si>
    <t>Ginsburg</t>
  </si>
  <si>
    <t>Papish,Inahara,DE</t>
  </si>
  <si>
    <t>DE, Inahara. MV</t>
  </si>
  <si>
    <t>Inahara,DE</t>
  </si>
  <si>
    <t>Inahara, Team, SC</t>
  </si>
  <si>
    <t>DE,Inahara</t>
  </si>
  <si>
    <t>Inahara,Curtis</t>
  </si>
  <si>
    <t>Curtis</t>
  </si>
  <si>
    <t>LA briefing meeting 9/9/2013</t>
  </si>
  <si>
    <t>CLOSE Notice Packet preview period 9/16/2013</t>
  </si>
  <si>
    <t>Final loop for LM approval of packet 9/2/13</t>
  </si>
  <si>
    <t>1st loop for LM approval of packet 8/5/13 - 8/8/13</t>
  </si>
  <si>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 8/13/13</t>
    </r>
  </si>
</sst>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mmm"/>
    <numFmt numFmtId="172" formatCode="dd"/>
    <numFmt numFmtId="173" formatCode="yy"/>
  </numFmts>
  <fonts count="1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theme="7" tint="-0.249977111117893"/>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sz val="9"/>
      <color theme="1"/>
      <name val="Arial"/>
      <family val="2"/>
    </font>
    <font>
      <sz val="11"/>
      <color theme="0"/>
      <name val="Arial"/>
      <family val="2"/>
    </font>
    <font>
      <b/>
      <sz val="11"/>
      <color rgb="FF4D771F"/>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b/>
      <u/>
      <sz val="18"/>
      <color rgb="FFC00000"/>
      <name val="Cambria"/>
      <family val="1"/>
      <scheme val="minor"/>
    </font>
    <font>
      <b/>
      <sz val="11"/>
      <color rgb="FFFF0000"/>
      <name val="Cambria"/>
      <family val="1"/>
      <scheme val="minor"/>
    </font>
    <font>
      <b/>
      <i/>
      <sz val="12"/>
      <color theme="5" tint="0.79998168889431442"/>
      <name val="Arial"/>
      <family val="2"/>
    </font>
  </fonts>
  <fills count="43">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6" tint="0.39997558519241921"/>
        <bgColor indexed="64"/>
      </patternFill>
    </fill>
    <fill>
      <patternFill patternType="solid">
        <fgColor rgb="FFFFFF00"/>
        <bgColor indexed="64"/>
      </patternFill>
    </fill>
    <fill>
      <patternFill patternType="solid">
        <fgColor theme="5" tint="0.39997558519241921"/>
        <bgColor rgb="FF000000"/>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93">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55" fillId="0" borderId="0" xfId="0" applyFont="1" applyBorder="1" applyAlignment="1"/>
    <xf numFmtId="0" fontId="76" fillId="2" borderId="0" xfId="0" applyNumberFormat="1" applyFont="1" applyFill="1" applyBorder="1" applyAlignment="1" applyProtection="1"/>
    <xf numFmtId="0" fontId="76"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0" borderId="0" xfId="0" applyFont="1" applyBorder="1" applyProtection="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1" fillId="0" borderId="0" xfId="0" applyFont="1" applyFill="1" applyBorder="1" applyAlignment="1" applyProtection="1"/>
    <xf numFmtId="164" fontId="81"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1" fillId="0" borderId="0" xfId="0" applyFont="1" applyFill="1" applyBorder="1" applyAlignment="1" applyProtection="1">
      <alignment horizontal="left"/>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94" fillId="0" borderId="0" xfId="0" applyFont="1" applyFill="1" applyBorder="1" applyAlignment="1" applyProtection="1"/>
    <xf numFmtId="164" fontId="94" fillId="0" borderId="0" xfId="0" applyFont="1" applyFill="1" applyBorder="1" applyAlignment="1" applyProtection="1">
      <alignment horizontal="right"/>
    </xf>
    <xf numFmtId="0" fontId="96"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2" fillId="0" borderId="0" xfId="0" applyNumberFormat="1" applyFont="1" applyFill="1" applyBorder="1" applyAlignment="1" applyProtection="1"/>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0" fontId="87" fillId="2" borderId="0" xfId="0" applyNumberFormat="1" applyFont="1" applyFill="1" applyBorder="1" applyAlignment="1" applyProtection="1">
      <alignment horizontal="left" wrapText="1"/>
    </xf>
    <xf numFmtId="164" fontId="81" fillId="2" borderId="0" xfId="0" applyFont="1" applyFill="1" applyBorder="1" applyAlignment="1" applyProtection="1"/>
    <xf numFmtId="164" fontId="73" fillId="2" borderId="0" xfId="0" applyFont="1" applyFill="1" applyBorder="1" applyAlignment="1" applyProtection="1"/>
    <xf numFmtId="0" fontId="99" fillId="0" borderId="0" xfId="0" applyNumberFormat="1" applyFont="1" applyBorder="1" applyAlignment="1" applyProtection="1">
      <alignment horizontal="center" vertical="center" wrapText="1"/>
    </xf>
    <xf numFmtId="0" fontId="99" fillId="0" borderId="0" xfId="0" applyNumberFormat="1" applyFont="1" applyBorder="1" applyAlignment="1" applyProtection="1">
      <alignment horizontal="left" wrapText="1"/>
    </xf>
    <xf numFmtId="1" fontId="100" fillId="0" borderId="0" xfId="0" applyNumberFormat="1" applyFont="1" applyBorder="1" applyAlignment="1" applyProtection="1">
      <alignment horizontal="right" wrapTex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2" fillId="17" borderId="0" xfId="0" applyNumberFormat="1" applyFont="1" applyFill="1" applyBorder="1" applyAlignment="1" applyProtection="1">
      <alignment horizontal="left" vertical="center" wrapText="1"/>
    </xf>
    <xf numFmtId="168" fontId="103"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3" borderId="0" xfId="4" applyNumberFormat="1" applyFont="1" applyFill="1" applyBorder="1" applyAlignment="1">
      <alignment horizontal="left"/>
    </xf>
    <xf numFmtId="170" fontId="105"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72" fillId="28" borderId="0" xfId="1"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5"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7"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78"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7"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4" fillId="9" borderId="0" xfId="0" applyNumberFormat="1" applyFont="1" applyFill="1" applyBorder="1" applyAlignment="1" applyProtection="1">
      <alignment horizontal="left" vertical="center" wrapText="1" indent="5"/>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87" fillId="2" borderId="0" xfId="0" applyNumberFormat="1" applyFont="1" applyFill="1" applyBorder="1" applyAlignment="1" applyProtection="1">
      <alignment horizontal="left" vertical="center" wrapText="1"/>
    </xf>
    <xf numFmtId="0" fontId="87" fillId="2" borderId="0" xfId="0" applyNumberFormat="1" applyFont="1" applyFill="1" applyBorder="1" applyAlignment="1" applyProtection="1">
      <alignment horizontal="center" vertical="center" wrapText="1"/>
    </xf>
    <xf numFmtId="166" fontId="87" fillId="2" borderId="0" xfId="0" applyNumberFormat="1" applyFont="1" applyFill="1" applyBorder="1" applyAlignment="1" applyProtection="1"/>
    <xf numFmtId="166" fontId="87"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88" fillId="26" borderId="0" xfId="1" applyFont="1" applyFill="1" applyBorder="1" applyAlignment="1" applyProtection="1">
      <alignment horizontal="left" vertical="center"/>
    </xf>
    <xf numFmtId="166" fontId="77" fillId="17" borderId="0" xfId="0" applyNumberFormat="1" applyFont="1" applyFill="1" applyBorder="1" applyAlignment="1" applyProtection="1">
      <alignment horizontal="right"/>
      <protection locked="0"/>
    </xf>
    <xf numFmtId="0" fontId="76" fillId="9" borderId="0" xfId="0" applyNumberFormat="1" applyFont="1" applyFill="1" applyBorder="1" applyAlignment="1" applyProtection="1">
      <alignment wrapText="1"/>
    </xf>
    <xf numFmtId="164" fontId="78" fillId="2" borderId="0" xfId="0" applyNumberFormat="1" applyFont="1" applyFill="1" applyBorder="1" applyAlignment="1" applyProtection="1">
      <alignment horizontal="left" vertical="center" wrapText="1" indent="2"/>
    </xf>
    <xf numFmtId="0" fontId="87" fillId="0" borderId="0" xfId="0" applyNumberFormat="1" applyFont="1" applyBorder="1" applyAlignment="1" applyProtection="1">
      <alignment horizontal="left" wrapText="1"/>
      <protection locked="0"/>
    </xf>
    <xf numFmtId="0" fontId="87" fillId="2" borderId="0" xfId="0" applyNumberFormat="1" applyFont="1" applyFill="1" applyBorder="1" applyAlignment="1" applyProtection="1">
      <alignment horizontal="left" wrapText="1"/>
      <protection locked="0"/>
    </xf>
    <xf numFmtId="164" fontId="87"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87"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1" fillId="0" borderId="0" xfId="0" applyFont="1" applyFill="1" applyBorder="1" applyAlignment="1" applyProtection="1"/>
    <xf numFmtId="0" fontId="78"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3"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6"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55" fillId="9" borderId="0" xfId="0" applyNumberFormat="1" applyFont="1" applyFill="1" applyBorder="1" applyAlignment="1" applyProtection="1">
      <alignment horizontal="center" vertical="center" wrapText="1"/>
      <protection locked="0"/>
    </xf>
    <xf numFmtId="0" fontId="95"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166" fontId="70" fillId="0" borderId="0" xfId="0" applyNumberFormat="1" applyFont="1" applyFill="1" applyBorder="1" applyAlignment="1" applyProtection="1">
      <alignment horizontal="right"/>
    </xf>
    <xf numFmtId="164" fontId="72" fillId="30" borderId="0" xfId="1" applyFont="1" applyFill="1" applyBorder="1" applyAlignment="1" applyProtection="1">
      <alignment horizontal="center" vertical="center"/>
    </xf>
    <xf numFmtId="0" fontId="78" fillId="2" borderId="0" xfId="0" applyNumberFormat="1" applyFont="1" applyFill="1" applyBorder="1" applyAlignment="1" applyProtection="1">
      <alignment horizontal="right" vertical="center" wrapText="1"/>
    </xf>
    <xf numFmtId="0" fontId="98" fillId="9" borderId="0" xfId="1" applyNumberFormat="1" applyFont="1" applyFill="1" applyBorder="1" applyAlignment="1" applyProtection="1">
      <alignment horizontal="center" vertical="center" wrapText="1"/>
    </xf>
    <xf numFmtId="0" fontId="87" fillId="0" borderId="0" xfId="0" applyNumberFormat="1" applyFont="1" applyFill="1" applyBorder="1" applyAlignment="1" applyProtection="1">
      <alignment horizontal="left" wrapText="1"/>
      <protection locked="0"/>
    </xf>
    <xf numFmtId="0" fontId="74" fillId="9" borderId="0" xfId="1" applyNumberFormat="1" applyFont="1" applyFill="1" applyBorder="1" applyAlignment="1" applyProtection="1">
      <alignment horizontal="right" vertical="center" wrapText="1"/>
    </xf>
    <xf numFmtId="0" fontId="99" fillId="0" borderId="0" xfId="0" applyNumberFormat="1" applyFont="1" applyBorder="1" applyAlignment="1" applyProtection="1">
      <alignment horizontal="left" vertical="center" wrapText="1"/>
    </xf>
    <xf numFmtId="166" fontId="100" fillId="0" borderId="0" xfId="0" applyNumberFormat="1" applyFont="1" applyBorder="1" applyAlignment="1" applyProtection="1"/>
    <xf numFmtId="166" fontId="87" fillId="20" borderId="0" xfId="0" applyNumberFormat="1" applyFont="1" applyFill="1" applyBorder="1" applyAlignment="1" applyProtection="1">
      <alignment horizontal="right"/>
    </xf>
    <xf numFmtId="0" fontId="101" fillId="17" borderId="0" xfId="0" applyNumberFormat="1" applyFont="1" applyFill="1" applyBorder="1" applyAlignment="1" applyProtection="1">
      <alignment horizontal="center"/>
    </xf>
    <xf numFmtId="166" fontId="77" fillId="7" borderId="0" xfId="0" applyNumberFormat="1" applyFont="1" applyFill="1" applyBorder="1" applyAlignment="1" applyProtection="1"/>
    <xf numFmtId="0" fontId="87" fillId="4" borderId="0" xfId="0" applyNumberFormat="1" applyFont="1" applyFill="1" applyBorder="1" applyAlignment="1" applyProtection="1">
      <protection locked="0"/>
    </xf>
    <xf numFmtId="0" fontId="78"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4" borderId="0" xfId="4" applyNumberFormat="1" applyFont="1" applyFill="1" applyBorder="1" applyAlignment="1">
      <alignment horizontal="left"/>
    </xf>
    <xf numFmtId="166" fontId="36" fillId="10" borderId="1" xfId="0" applyNumberFormat="1" applyFont="1" applyFill="1" applyBorder="1"/>
    <xf numFmtId="170" fontId="105"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protection locked="0"/>
    </xf>
    <xf numFmtId="166" fontId="105" fillId="2" borderId="11" xfId="0" applyNumberFormat="1" applyFont="1" applyFill="1" applyBorder="1" applyAlignment="1" applyProtection="1">
      <protection locked="0"/>
    </xf>
    <xf numFmtId="166" fontId="105"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2"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08" fillId="0" borderId="16" xfId="0" applyFont="1" applyBorder="1" applyAlignment="1"/>
    <xf numFmtId="1" fontId="36" fillId="10" borderId="2" xfId="0" applyNumberFormat="1" applyFont="1" applyFill="1" applyBorder="1"/>
    <xf numFmtId="166" fontId="109"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62" fillId="0" borderId="0" xfId="0" applyFont="1" applyBorder="1" applyAlignment="1"/>
    <xf numFmtId="164" fontId="62" fillId="0" borderId="0" xfId="0" applyFont="1" applyBorder="1" applyAlignment="1">
      <alignment horizontal="right"/>
    </xf>
    <xf numFmtId="164" fontId="110" fillId="0" borderId="0" xfId="0" applyFont="1" applyFill="1" applyBorder="1" applyAlignment="1" applyProtection="1">
      <alignment horizontal="right"/>
    </xf>
    <xf numFmtId="164" fontId="112" fillId="0" borderId="0" xfId="0" applyFont="1" applyFill="1" applyBorder="1" applyAlignment="1" applyProtection="1">
      <alignment horizontal="right"/>
    </xf>
    <xf numFmtId="164" fontId="112"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5" fillId="2" borderId="0" xfId="0" applyNumberFormat="1" applyFont="1" applyFill="1" applyBorder="1" applyProtection="1"/>
    <xf numFmtId="168" fontId="105"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1"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5" fillId="0" borderId="2" xfId="0" applyNumberFormat="1" applyFont="1" applyFill="1" applyBorder="1" applyAlignment="1" applyProtection="1">
      <alignment horizontal="right" wrapText="1"/>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5" fillId="2" borderId="2" xfId="0" applyNumberFormat="1" applyFont="1" applyFill="1" applyBorder="1" applyAlignment="1" applyProtection="1">
      <protection locked="0"/>
    </xf>
    <xf numFmtId="0" fontId="87" fillId="0" borderId="0" xfId="0" quotePrefix="1" applyNumberFormat="1" applyFont="1" applyFill="1" applyBorder="1" applyAlignment="1" applyProtection="1">
      <alignment horizontal="left" wrapText="1"/>
      <protection locked="0"/>
    </xf>
    <xf numFmtId="0" fontId="87"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2" fillId="9" borderId="0" xfId="1" applyNumberFormat="1" applyFont="1" applyFill="1" applyBorder="1" applyAlignment="1" applyProtection="1">
      <alignment horizontal="left" vertical="center" wrapText="1" indent="3"/>
    </xf>
    <xf numFmtId="0" fontId="112" fillId="9" borderId="0" xfId="1" applyNumberFormat="1" applyFont="1" applyFill="1" applyBorder="1" applyAlignment="1" applyProtection="1">
      <alignment horizontal="left" vertical="center" wrapText="1" indent="4"/>
    </xf>
    <xf numFmtId="0" fontId="110" fillId="9" borderId="0" xfId="1" applyNumberFormat="1" applyFont="1" applyFill="1" applyBorder="1" applyAlignment="1" applyProtection="1">
      <alignment horizontal="left" vertical="center" wrapText="1" indent="3"/>
    </xf>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17"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18"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0" fillId="9" borderId="0" xfId="0" applyNumberFormat="1" applyFont="1" applyFill="1" applyBorder="1" applyAlignment="1" applyProtection="1">
      <alignment horizontal="left" wrapText="1" indent="1"/>
    </xf>
    <xf numFmtId="0" fontId="121" fillId="9" borderId="0" xfId="0" applyNumberFormat="1" applyFont="1" applyFill="1" applyBorder="1" applyAlignment="1" applyProtection="1">
      <alignment horizontal="left" vertical="center" wrapText="1" indent="3"/>
    </xf>
    <xf numFmtId="0" fontId="121" fillId="9" borderId="0" xfId="1" applyNumberFormat="1" applyFont="1" applyFill="1" applyBorder="1" applyAlignment="1" applyProtection="1">
      <alignment horizontal="left" vertical="center" wrapText="1" indent="4"/>
    </xf>
    <xf numFmtId="0" fontId="121" fillId="9" borderId="0" xfId="1" applyNumberFormat="1" applyFont="1" applyFill="1" applyBorder="1" applyAlignment="1" applyProtection="1">
      <alignment horizontal="left" vertical="center" wrapText="1" indent="5"/>
    </xf>
    <xf numFmtId="0" fontId="121" fillId="9" borderId="0" xfId="1" applyNumberFormat="1" applyFont="1" applyFill="1" applyBorder="1" applyAlignment="1" applyProtection="1">
      <alignment horizontal="left" vertical="center" wrapText="1" indent="6"/>
    </xf>
    <xf numFmtId="0" fontId="121" fillId="9" borderId="0" xfId="1" applyNumberFormat="1" applyFont="1" applyFill="1" applyBorder="1" applyAlignment="1" applyProtection="1">
      <alignment horizontal="left" vertical="center" wrapText="1" indent="7"/>
    </xf>
    <xf numFmtId="0" fontId="120" fillId="9" borderId="0" xfId="0" applyNumberFormat="1" applyFont="1" applyFill="1" applyBorder="1" applyAlignment="1" applyProtection="1">
      <alignment horizontal="left" vertical="top" wrapText="1" indent="1"/>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0" fillId="2" borderId="0" xfId="0" applyNumberFormat="1" applyFont="1" applyFill="1" applyBorder="1" applyAlignment="1" applyProtection="1">
      <alignment horizontal="left" vertical="center" wrapText="1" indent="1"/>
    </xf>
    <xf numFmtId="0" fontId="122" fillId="9" borderId="0" xfId="0" applyNumberFormat="1" applyFont="1" applyFill="1" applyBorder="1" applyAlignment="1" applyProtection="1">
      <alignment horizontal="left" wrapText="1" indent="2"/>
    </xf>
    <xf numFmtId="0" fontId="123" fillId="9" borderId="0" xfId="0" applyNumberFormat="1" applyFont="1" applyFill="1" applyBorder="1" applyAlignment="1" applyProtection="1">
      <alignment horizontal="left" wrapText="1" indent="3"/>
    </xf>
    <xf numFmtId="0" fontId="123" fillId="29" borderId="0" xfId="0" applyNumberFormat="1" applyFont="1" applyFill="1" applyBorder="1" applyAlignment="1" applyProtection="1">
      <alignment horizontal="left" wrapText="1" indent="3"/>
    </xf>
    <xf numFmtId="164" fontId="123" fillId="29" borderId="0" xfId="0" applyNumberFormat="1" applyFont="1" applyFill="1" applyBorder="1" applyAlignment="1" applyProtection="1">
      <alignment horizontal="left" wrapText="1" indent="3"/>
    </xf>
    <xf numFmtId="0" fontId="123" fillId="29" borderId="0" xfId="1" applyNumberFormat="1" applyFont="1" applyFill="1" applyBorder="1" applyAlignment="1" applyProtection="1">
      <alignment horizontal="left" vertical="center" wrapText="1" indent="3"/>
    </xf>
    <xf numFmtId="0" fontId="123" fillId="29" borderId="0" xfId="1" applyNumberFormat="1" applyFont="1" applyFill="1" applyBorder="1" applyAlignment="1" applyProtection="1">
      <alignment horizontal="left" vertical="center" wrapText="1" indent="4"/>
    </xf>
    <xf numFmtId="0" fontId="123" fillId="29" borderId="0" xfId="1" applyNumberFormat="1" applyFont="1" applyFill="1" applyBorder="1" applyAlignment="1" applyProtection="1">
      <alignment horizontal="left" vertical="center" wrapText="1" indent="5"/>
    </xf>
    <xf numFmtId="0" fontId="123" fillId="29" borderId="0" xfId="1" applyNumberFormat="1" applyFont="1" applyFill="1" applyBorder="1" applyAlignment="1" applyProtection="1">
      <alignment horizontal="left" vertical="center" wrapText="1" indent="6"/>
    </xf>
    <xf numFmtId="0" fontId="123"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5" fillId="0" borderId="0" xfId="0" applyNumberFormat="1" applyFont="1" applyFill="1" applyBorder="1" applyAlignment="1" applyProtection="1">
      <alignment horizontal="right" wrapText="1"/>
    </xf>
    <xf numFmtId="169" fontId="115" fillId="2" borderId="0" xfId="0" applyNumberFormat="1" applyFont="1" applyFill="1" applyBorder="1" applyAlignment="1" applyProtection="1"/>
    <xf numFmtId="166" fontId="105" fillId="2" borderId="0" xfId="0" applyNumberFormat="1" applyFont="1" applyFill="1" applyBorder="1" applyAlignment="1" applyProtection="1"/>
    <xf numFmtId="168" fontId="124" fillId="0" borderId="0" xfId="0" applyNumberFormat="1" applyFont="1" applyFill="1" applyBorder="1" applyAlignment="1" applyProtection="1">
      <alignment horizontal="right" wrapText="1"/>
    </xf>
    <xf numFmtId="168" fontId="125" fillId="0" borderId="0" xfId="0" applyNumberFormat="1" applyFont="1" applyFill="1" applyBorder="1" applyAlignment="1" applyProtection="1">
      <alignment horizontal="right" wrapText="1"/>
    </xf>
    <xf numFmtId="166" fontId="111" fillId="6" borderId="2" xfId="0" applyNumberFormat="1" applyFont="1" applyFill="1" applyBorder="1" applyAlignment="1" applyProtection="1"/>
    <xf numFmtId="166" fontId="54" fillId="6" borderId="2" xfId="0" applyNumberFormat="1" applyFont="1" applyFill="1" applyBorder="1" applyAlignment="1" applyProtection="1"/>
    <xf numFmtId="0" fontId="123" fillId="29" borderId="0" xfId="1" applyNumberFormat="1" applyFont="1" applyFill="1" applyBorder="1" applyAlignment="1" applyProtection="1">
      <alignment horizontal="right" vertical="center" wrapText="1"/>
    </xf>
    <xf numFmtId="0" fontId="123"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2" fillId="29"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wrapText="1" indent="2"/>
    </xf>
    <xf numFmtId="0" fontId="118"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0" fontId="123" fillId="9" borderId="0" xfId="0"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right" vertical="center" wrapText="1"/>
    </xf>
    <xf numFmtId="0" fontId="122"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0" fillId="0" borderId="0" xfId="0" applyNumberFormat="1" applyFont="1" applyFill="1" applyBorder="1" applyAlignment="1" applyProtection="1">
      <alignment horizontal="center" vertical="center" wrapText="1"/>
      <protection locked="0"/>
    </xf>
    <xf numFmtId="170" fontId="54" fillId="0" borderId="2" xfId="0" applyNumberFormat="1" applyFont="1" applyFill="1" applyBorder="1" applyAlignment="1" applyProtection="1">
      <alignment horizontal="right" wrapText="1"/>
    </xf>
    <xf numFmtId="170" fontId="105"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9" fontId="115"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1" fillId="6" borderId="2" xfId="0" applyNumberFormat="1" applyFont="1" applyFill="1" applyBorder="1" applyAlignment="1" applyProtection="1">
      <alignment horizontal="right"/>
    </xf>
    <xf numFmtId="0" fontId="87" fillId="2" borderId="0" xfId="0" applyNumberFormat="1" applyFont="1" applyFill="1" applyBorder="1" applyAlignment="1" applyProtection="1">
      <alignment wrapText="1"/>
      <protection locked="0"/>
    </xf>
    <xf numFmtId="0" fontId="87"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87"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2" borderId="0" xfId="0" applyFont="1" applyFill="1" applyBorder="1" applyAlignment="1">
      <alignment horizontal="center" wrapText="1"/>
    </xf>
    <xf numFmtId="164" fontId="47" fillId="32"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2" borderId="0" xfId="0" applyFont="1" applyFill="1" applyBorder="1" applyAlignment="1">
      <alignment horizontal="center"/>
    </xf>
    <xf numFmtId="164" fontId="47" fillId="32" borderId="0" xfId="0" applyFont="1" applyFill="1" applyAlignment="1">
      <alignment horizontal="center" wrapText="1"/>
    </xf>
    <xf numFmtId="164" fontId="48" fillId="32" borderId="0" xfId="0" applyFont="1" applyFill="1" applyAlignment="1">
      <alignment horizontal="center" wrapText="1"/>
    </xf>
    <xf numFmtId="164" fontId="48" fillId="32" borderId="4" xfId="0" applyFont="1" applyFill="1" applyBorder="1" applyAlignment="1">
      <alignment horizontal="center" wrapText="1"/>
    </xf>
    <xf numFmtId="164" fontId="48" fillId="32"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3"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78"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2"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07"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5"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5"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32" fillId="35"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29" fillId="7" borderId="0" xfId="0" applyFont="1" applyFill="1" applyAlignment="1">
      <alignment vertical="center"/>
    </xf>
    <xf numFmtId="164" fontId="129" fillId="7" borderId="0" xfId="0" applyFont="1" applyFill="1" applyAlignment="1">
      <alignment horizontal="left" vertical="center" indent="1"/>
    </xf>
    <xf numFmtId="164" fontId="129" fillId="31"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6" borderId="0" xfId="4" applyNumberFormat="1" applyFont="1" applyFill="1" applyBorder="1" applyAlignment="1" applyProtection="1">
      <alignment horizontal="center" vertical="center" wrapText="1"/>
    </xf>
    <xf numFmtId="1" fontId="13" fillId="36" borderId="0" xfId="4" applyNumberFormat="1" applyFont="1" applyFill="1" applyBorder="1" applyAlignment="1" applyProtection="1">
      <alignment horizontal="center" vertical="center"/>
      <protection locked="0"/>
    </xf>
    <xf numFmtId="1" fontId="16" fillId="37" borderId="0" xfId="0" applyNumberFormat="1" applyFont="1" applyFill="1" applyBorder="1" applyAlignment="1" applyProtection="1">
      <alignment horizontal="center"/>
    </xf>
    <xf numFmtId="1" fontId="127" fillId="12" borderId="0" xfId="0" applyNumberFormat="1" applyFont="1" applyFill="1" applyBorder="1" applyAlignment="1" applyProtection="1">
      <alignment horizontal="center" vertical="center"/>
    </xf>
    <xf numFmtId="164" fontId="127" fillId="9" borderId="0" xfId="0" applyFont="1" applyFill="1" applyAlignment="1">
      <alignment horizontal="center" vertical="center"/>
    </xf>
    <xf numFmtId="164" fontId="127" fillId="12" borderId="0" xfId="0" applyFont="1" applyFill="1" applyAlignment="1">
      <alignment horizontal="center" vertical="center"/>
    </xf>
    <xf numFmtId="166" fontId="53" fillId="38" borderId="11" xfId="0" applyNumberFormat="1" applyFont="1" applyFill="1" applyBorder="1" applyAlignment="1" applyProtection="1">
      <alignment horizontal="right"/>
      <protection locked="0"/>
    </xf>
    <xf numFmtId="166" fontId="54" fillId="38"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1" fillId="2" borderId="0" xfId="0" applyNumberFormat="1" applyFont="1" applyFill="1" applyBorder="1" applyProtection="1"/>
    <xf numFmtId="166" fontId="132" fillId="2" borderId="0" xfId="0" applyNumberFormat="1" applyFont="1" applyFill="1"/>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1" fontId="36" fillId="7" borderId="22" xfId="0" applyNumberFormat="1" applyFont="1" applyFill="1" applyBorder="1" applyAlignment="1" applyProtection="1">
      <alignment horizontal="center"/>
    </xf>
    <xf numFmtId="172" fontId="36" fillId="7" borderId="0" xfId="0" applyNumberFormat="1" applyFont="1" applyFill="1" applyBorder="1" applyAlignment="1" applyProtection="1">
      <alignment horizontal="center" vertical="top"/>
    </xf>
    <xf numFmtId="164" fontId="134" fillId="0" borderId="0" xfId="0" applyFont="1" applyAlignment="1"/>
    <xf numFmtId="166" fontId="13" fillId="39"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34"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6" fontId="136" fillId="2" borderId="0" xfId="0" applyNumberFormat="1" applyFont="1" applyFill="1"/>
    <xf numFmtId="166" fontId="137"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5" fillId="0" borderId="14" xfId="0" applyNumberFormat="1" applyFont="1" applyFill="1" applyBorder="1" applyAlignment="1" applyProtection="1">
      <alignment horizontal="right" wrapText="1"/>
    </xf>
    <xf numFmtId="166" fontId="105" fillId="2" borderId="14" xfId="0" applyNumberFormat="1" applyFont="1" applyFill="1" applyBorder="1" applyAlignment="1" applyProtection="1">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62" fillId="0" borderId="0" xfId="0" applyFont="1" applyFill="1" applyBorder="1" applyAlignment="1">
      <alignment horizontal="right"/>
    </xf>
    <xf numFmtId="164" fontId="62" fillId="0" borderId="0" xfId="0" applyFont="1" applyFill="1" applyBorder="1" applyAlignment="1"/>
    <xf numFmtId="1" fontId="141" fillId="12" borderId="0" xfId="0" applyNumberFormat="1" applyFont="1" applyFill="1" applyBorder="1"/>
    <xf numFmtId="166" fontId="77" fillId="17" borderId="0" xfId="0" applyNumberFormat="1" applyFont="1" applyFill="1" applyBorder="1" applyAlignment="1" applyProtection="1">
      <alignment horizontal="right"/>
    </xf>
    <xf numFmtId="166" fontId="54" fillId="2" borderId="2" xfId="0" applyNumberFormat="1" applyFont="1" applyFill="1" applyBorder="1" applyAlignment="1" applyProtection="1">
      <alignment horizontal="right"/>
    </xf>
    <xf numFmtId="166" fontId="53" fillId="0"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0" fillId="2" borderId="0" xfId="0" applyFill="1" applyAlignment="1">
      <alignment horizontal="left" indent="2"/>
    </xf>
    <xf numFmtId="166" fontId="53" fillId="2" borderId="13" xfId="0" applyNumberFormat="1" applyFont="1" applyFill="1" applyBorder="1" applyAlignment="1" applyProtection="1">
      <alignment horizontal="right" vertical="center" wrapText="1"/>
    </xf>
    <xf numFmtId="164"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vertical="center" wrapText="1" indent="1"/>
    </xf>
    <xf numFmtId="164" fontId="75" fillId="26" borderId="7" xfId="1" applyFont="1" applyFill="1" applyBorder="1" applyAlignment="1" applyProtection="1">
      <alignment horizontal="center" vertical="center"/>
    </xf>
    <xf numFmtId="164" fontId="116" fillId="8" borderId="7" xfId="1" applyFont="1" applyFill="1" applyBorder="1" applyAlignment="1" applyProtection="1">
      <alignment horizontal="center" vertical="center"/>
    </xf>
    <xf numFmtId="0" fontId="80" fillId="40" borderId="7" xfId="1" applyNumberFormat="1" applyFont="1" applyFill="1" applyBorder="1" applyAlignment="1" applyProtection="1">
      <alignment horizontal="center" vertical="center" wrapText="1"/>
    </xf>
    <xf numFmtId="164" fontId="93" fillId="28" borderId="7" xfId="1" applyFont="1" applyFill="1" applyBorder="1" applyAlignment="1" applyProtection="1">
      <alignment horizontal="center" vertical="center"/>
    </xf>
    <xf numFmtId="1" fontId="34" fillId="25" borderId="7" xfId="0" applyNumberFormat="1" applyFont="1" applyFill="1" applyBorder="1" applyAlignment="1" applyProtection="1">
      <alignment horizontal="center" vertical="center"/>
      <protection locked="0"/>
    </xf>
    <xf numFmtId="168" fontId="54" fillId="0" borderId="11" xfId="0" applyNumberFormat="1" applyFont="1" applyFill="1" applyBorder="1" applyAlignment="1" applyProtection="1">
      <alignment horizontal="right" vertical="center" wrapText="1"/>
    </xf>
    <xf numFmtId="166" fontId="54" fillId="2" borderId="11" xfId="0" applyNumberFormat="1" applyFont="1" applyFill="1" applyBorder="1" applyAlignment="1" applyProtection="1">
      <alignment horizontal="right" vertical="center"/>
      <protection locked="0"/>
    </xf>
    <xf numFmtId="164" fontId="54" fillId="2" borderId="0" xfId="0" applyNumberFormat="1" applyFont="1" applyFill="1" applyBorder="1" applyAlignment="1" applyProtection="1">
      <alignment horizontal="left" vertical="center" wrapText="1" indent="1"/>
    </xf>
    <xf numFmtId="164" fontId="54" fillId="27" borderId="0" xfId="0" applyFont="1" applyFill="1" applyBorder="1" applyAlignment="1" applyProtection="1">
      <alignment horizontal="left" wrapText="1" indent="1"/>
    </xf>
    <xf numFmtId="164" fontId="59" fillId="0" borderId="4" xfId="0" applyFont="1" applyBorder="1"/>
    <xf numFmtId="170" fontId="59" fillId="0" borderId="4" xfId="0" applyNumberFormat="1" applyFont="1" applyBorder="1"/>
    <xf numFmtId="0" fontId="55" fillId="0" borderId="0" xfId="0" applyNumberFormat="1" applyFont="1" applyBorder="1" applyAlignment="1" applyProtection="1">
      <alignment horizontal="center" vertical="center" wrapText="1"/>
    </xf>
    <xf numFmtId="1" fontId="53" fillId="0" borderId="0" xfId="0" applyNumberFormat="1" applyFont="1" applyBorder="1" applyAlignment="1" applyProtection="1">
      <alignment horizontal="center" vertical="center" wrapText="1"/>
    </xf>
    <xf numFmtId="164" fontId="54" fillId="2" borderId="0" xfId="0" applyNumberFormat="1" applyFont="1" applyFill="1" applyBorder="1" applyAlignment="1" applyProtection="1">
      <alignment horizontal="center" vertical="center" wrapText="1"/>
    </xf>
    <xf numFmtId="164" fontId="9" fillId="2" borderId="9" xfId="0" applyFont="1" applyFill="1" applyBorder="1" applyAlignment="1" applyProtection="1">
      <alignment horizontal="center" vertical="center"/>
    </xf>
    <xf numFmtId="168" fontId="103" fillId="7" borderId="0" xfId="0" applyNumberFormat="1" applyFont="1" applyFill="1" applyBorder="1" applyAlignment="1" applyProtection="1">
      <alignment horizontal="right" vertical="center" wrapText="1"/>
    </xf>
    <xf numFmtId="164" fontId="59" fillId="9" borderId="0" xfId="0" applyFont="1" applyFill="1" applyBorder="1" applyAlignment="1" applyProtection="1">
      <alignment horizontal="center" vertical="center"/>
    </xf>
    <xf numFmtId="164" fontId="59" fillId="2" borderId="0" xfId="0" applyFont="1" applyFill="1" applyBorder="1" applyAlignment="1" applyProtection="1">
      <alignment horizontal="center" vertical="center"/>
    </xf>
    <xf numFmtId="167" fontId="53" fillId="2" borderId="0" xfId="0" applyNumberFormat="1" applyFont="1" applyFill="1" applyBorder="1" applyAlignment="1" applyProtection="1">
      <alignment horizontal="center" vertical="center" wrapText="1"/>
    </xf>
    <xf numFmtId="164" fontId="59" fillId="0" borderId="0" xfId="0" applyFont="1" applyBorder="1" applyAlignment="1">
      <alignment horizontal="center" vertical="center"/>
    </xf>
    <xf numFmtId="164" fontId="53" fillId="2" borderId="0" xfId="0" applyNumberFormat="1" applyFont="1" applyFill="1" applyBorder="1" applyAlignment="1" applyProtection="1">
      <alignment horizontal="left" vertical="center" wrapText="1"/>
    </xf>
    <xf numFmtId="1" fontId="53" fillId="0" borderId="0" xfId="0" applyNumberFormat="1" applyFont="1" applyBorder="1" applyAlignment="1" applyProtection="1">
      <alignment horizontal="left" vertical="center" wrapText="1"/>
    </xf>
    <xf numFmtId="164" fontId="54" fillId="2" borderId="0" xfId="0" applyNumberFormat="1" applyFont="1" applyFill="1" applyBorder="1" applyAlignment="1" applyProtection="1">
      <alignment horizontal="left" vertical="center" wrapText="1"/>
    </xf>
    <xf numFmtId="164" fontId="62" fillId="0" borderId="0" xfId="0" applyFont="1" applyBorder="1" applyAlignment="1" applyProtection="1">
      <alignment horizontal="left" vertical="center"/>
    </xf>
    <xf numFmtId="164" fontId="62" fillId="0" borderId="0" xfId="0" applyFont="1" applyFill="1" applyBorder="1" applyAlignment="1" applyProtection="1">
      <alignment horizontal="left" vertical="center"/>
    </xf>
    <xf numFmtId="164" fontId="63" fillId="0" borderId="0" xfId="1" applyFont="1" applyFill="1" applyBorder="1" applyAlignment="1" applyProtection="1">
      <alignment horizontal="left" vertical="center"/>
    </xf>
    <xf numFmtId="0" fontId="63" fillId="17" borderId="0" xfId="0" applyNumberFormat="1" applyFont="1" applyFill="1" applyBorder="1" applyAlignment="1" applyProtection="1">
      <alignment horizontal="left" vertical="center" wrapText="1"/>
    </xf>
    <xf numFmtId="164" fontId="54" fillId="0" borderId="0" xfId="0" applyFont="1" applyFill="1" applyBorder="1" applyAlignment="1" applyProtection="1">
      <alignment horizontal="center" vertical="center"/>
    </xf>
    <xf numFmtId="164" fontId="73" fillId="0" borderId="0" xfId="0" applyFont="1" applyFill="1" applyBorder="1" applyAlignment="1" applyProtection="1">
      <alignment horizontal="center" vertical="center"/>
    </xf>
    <xf numFmtId="164" fontId="87" fillId="0" borderId="0" xfId="0" applyFont="1" applyFill="1" applyBorder="1" applyAlignment="1" applyProtection="1">
      <alignment horizontal="center" vertical="center"/>
    </xf>
    <xf numFmtId="0" fontId="76" fillId="2" borderId="0" xfId="0" applyNumberFormat="1"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66" fillId="7" borderId="0" xfId="0" applyNumberFormat="1" applyFont="1" applyFill="1" applyBorder="1" applyAlignment="1" applyProtection="1">
      <alignment horizontal="left" vertical="center" wrapText="1"/>
    </xf>
    <xf numFmtId="0" fontId="55" fillId="27" borderId="0" xfId="1" applyNumberFormat="1" applyFont="1" applyFill="1" applyBorder="1" applyAlignment="1" applyProtection="1">
      <alignment horizontal="left" vertical="center" wrapText="1"/>
    </xf>
    <xf numFmtId="0" fontId="142" fillId="40" borderId="7" xfId="1" applyNumberFormat="1" applyFont="1" applyFill="1" applyBorder="1" applyAlignment="1" applyProtection="1">
      <alignment horizontal="center" vertical="center" wrapText="1"/>
    </xf>
    <xf numFmtId="164" fontId="62" fillId="27" borderId="0" xfId="0" applyFont="1" applyFill="1" applyBorder="1" applyAlignment="1" applyProtection="1">
      <alignment vertical="center"/>
    </xf>
    <xf numFmtId="164" fontId="62" fillId="27" borderId="0" xfId="0" applyFont="1" applyFill="1" applyBorder="1" applyAlignment="1">
      <alignment vertical="center"/>
    </xf>
    <xf numFmtId="164" fontId="59" fillId="27" borderId="0" xfId="0" applyFont="1" applyFill="1" applyBorder="1" applyAlignment="1" applyProtection="1">
      <alignment vertical="center"/>
    </xf>
    <xf numFmtId="164" fontId="59" fillId="27" borderId="0" xfId="0" applyFont="1" applyFill="1" applyBorder="1" applyAlignment="1">
      <alignment vertical="center"/>
    </xf>
    <xf numFmtId="164" fontId="0" fillId="0" borderId="0" xfId="0" applyAlignment="1">
      <alignment horizontal="center" vertical="center"/>
    </xf>
    <xf numFmtId="0" fontId="74" fillId="9" borderId="0" xfId="0" applyNumberFormat="1" applyFont="1" applyFill="1" applyBorder="1" applyAlignment="1" applyProtection="1">
      <alignment horizontal="left" vertical="center" wrapText="1"/>
      <protection locked="0"/>
    </xf>
    <xf numFmtId="164" fontId="59" fillId="0" borderId="0" xfId="0" applyFont="1" applyBorder="1" applyAlignment="1">
      <alignment vertical="center"/>
    </xf>
    <xf numFmtId="0" fontId="89" fillId="0" borderId="0" xfId="0" applyNumberFormat="1" applyFont="1" applyFill="1" applyBorder="1" applyAlignment="1" applyProtection="1">
      <alignment horizontal="center" vertical="center" wrapText="1"/>
    </xf>
    <xf numFmtId="164" fontId="0" fillId="0" borderId="0" xfId="0" applyAlignment="1">
      <alignment vertical="center"/>
    </xf>
    <xf numFmtId="0" fontId="52" fillId="7" borderId="0" xfId="0" applyNumberFormat="1" applyFont="1" applyFill="1" applyBorder="1" applyAlignment="1" applyProtection="1">
      <alignment horizontal="left" vertical="center"/>
    </xf>
    <xf numFmtId="0" fontId="74" fillId="9" borderId="0" xfId="0" applyNumberFormat="1" applyFont="1" applyFill="1" applyBorder="1" applyAlignment="1" applyProtection="1">
      <alignment horizontal="center" vertical="center" wrapText="1"/>
    </xf>
    <xf numFmtId="0" fontId="123" fillId="29" borderId="0" xfId="1" applyNumberFormat="1" applyFont="1" applyFill="1" applyBorder="1" applyAlignment="1" applyProtection="1">
      <alignment horizontal="left" vertical="center" wrapText="1"/>
    </xf>
    <xf numFmtId="0" fontId="122" fillId="29" borderId="0" xfId="0" applyNumberFormat="1" applyFont="1" applyFill="1" applyBorder="1" applyAlignment="1" applyProtection="1">
      <alignment horizontal="left" vertical="center" wrapText="1"/>
    </xf>
    <xf numFmtId="164" fontId="59" fillId="0" borderId="0" xfId="0" applyFont="1" applyFill="1" applyBorder="1" applyAlignment="1" applyProtection="1">
      <alignment horizontal="center" vertical="center"/>
    </xf>
    <xf numFmtId="164" fontId="59" fillId="0" borderId="0" xfId="0" applyFont="1" applyBorder="1" applyAlignment="1" applyProtection="1">
      <alignment horizontal="center" vertical="center"/>
    </xf>
    <xf numFmtId="0" fontId="55" fillId="2" borderId="0" xfId="0" applyNumberFormat="1" applyFont="1" applyFill="1" applyBorder="1" applyAlignment="1" applyProtection="1">
      <alignment horizontal="left" vertical="center" wrapText="1"/>
      <protection locked="0"/>
    </xf>
    <xf numFmtId="0" fontId="55" fillId="0" borderId="0" xfId="0" applyNumberFormat="1" applyFont="1" applyFill="1" applyBorder="1" applyAlignment="1" applyProtection="1">
      <alignment horizontal="left" vertical="center" wrapText="1"/>
    </xf>
    <xf numFmtId="164" fontId="59" fillId="0" borderId="0" xfId="0" applyFont="1" applyBorder="1" applyAlignment="1" applyProtection="1">
      <alignment horizontal="left" vertical="center"/>
    </xf>
    <xf numFmtId="164" fontId="97" fillId="27" borderId="0" xfId="0" applyFont="1" applyFill="1" applyBorder="1" applyAlignment="1">
      <alignment vertical="center"/>
    </xf>
    <xf numFmtId="0" fontId="55" fillId="9" borderId="0" xfId="0" applyNumberFormat="1" applyFont="1" applyFill="1" applyBorder="1" applyAlignment="1" applyProtection="1">
      <alignment horizontal="left" vertical="center" wrapText="1"/>
      <protection locked="0"/>
    </xf>
    <xf numFmtId="0" fontId="55" fillId="0" borderId="0" xfId="0" applyNumberFormat="1" applyFont="1" applyBorder="1" applyAlignment="1" applyProtection="1">
      <alignment horizontal="left" vertical="center" wrapText="1"/>
    </xf>
    <xf numFmtId="164" fontId="0" fillId="8" borderId="0" xfId="0" applyFill="1" applyAlignment="1">
      <alignment horizontal="center" vertical="center"/>
    </xf>
    <xf numFmtId="173" fontId="36" fillId="7" borderId="22" xfId="0" applyNumberFormat="1" applyFont="1" applyFill="1" applyBorder="1" applyAlignment="1" applyProtection="1">
      <alignment horizontal="center"/>
    </xf>
    <xf numFmtId="164" fontId="54" fillId="2" borderId="0" xfId="0" applyNumberFormat="1" applyFont="1" applyFill="1" applyBorder="1" applyAlignment="1" applyProtection="1">
      <alignment horizontal="left" vertical="center" wrapText="1" indent="1"/>
    </xf>
    <xf numFmtId="0" fontId="54" fillId="2" borderId="0" xfId="1" applyNumberFormat="1" applyFont="1" applyFill="1" applyBorder="1" applyAlignment="1" applyProtection="1">
      <alignment horizontal="left" vertical="center" wrapText="1" indent="2"/>
    </xf>
    <xf numFmtId="166" fontId="58"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4"/>
    </xf>
    <xf numFmtId="167" fontId="54" fillId="2" borderId="0" xfId="0" applyNumberFormat="1" applyFont="1" applyFill="1" applyBorder="1" applyAlignment="1" applyProtection="1">
      <alignment horizontal="left" vertical="center" wrapText="1" indent="1"/>
    </xf>
    <xf numFmtId="164" fontId="54" fillId="41" borderId="0" xfId="0" applyNumberFormat="1" applyFont="1" applyFill="1" applyBorder="1" applyAlignment="1" applyProtection="1">
      <alignment horizontal="left" vertical="center" wrapText="1" indent="10"/>
    </xf>
    <xf numFmtId="164" fontId="59" fillId="41" borderId="0" xfId="0" applyFont="1" applyFill="1" applyBorder="1" applyAlignment="1">
      <alignment horizontal="center" vertical="center"/>
    </xf>
    <xf numFmtId="170" fontId="105" fillId="41" borderId="11" xfId="0" applyNumberFormat="1" applyFont="1" applyFill="1" applyBorder="1" applyAlignment="1" applyProtection="1">
      <alignment horizontal="right" wrapText="1"/>
    </xf>
    <xf numFmtId="166" fontId="54" fillId="41" borderId="11" xfId="0" applyNumberFormat="1" applyFont="1" applyFill="1" applyBorder="1" applyAlignment="1" applyProtection="1">
      <alignment horizontal="right"/>
      <protection locked="0"/>
    </xf>
    <xf numFmtId="166" fontId="54" fillId="25" borderId="11" xfId="0" applyNumberFormat="1" applyFont="1" applyFill="1" applyBorder="1" applyAlignment="1" applyProtection="1">
      <protection locked="0"/>
    </xf>
    <xf numFmtId="166" fontId="54" fillId="42" borderId="2" xfId="0" applyNumberFormat="1" applyFont="1" applyFill="1" applyBorder="1" applyAlignment="1" applyProtection="1">
      <alignment horizontal="right"/>
      <protection locked="0"/>
    </xf>
    <xf numFmtId="166" fontId="54" fillId="25" borderId="2" xfId="0" applyNumberFormat="1" applyFont="1" applyFill="1" applyBorder="1" applyAlignment="1" applyProtection="1">
      <alignment horizontal="right"/>
      <protection locked="0"/>
    </xf>
    <xf numFmtId="0" fontId="15" fillId="9" borderId="0" xfId="0" applyNumberFormat="1" applyFont="1" applyFill="1" applyAlignment="1">
      <alignment horizontal="left" vertical="top" wrapText="1"/>
    </xf>
    <xf numFmtId="168" fontId="133" fillId="22" borderId="24" xfId="0" applyNumberFormat="1" applyFont="1" applyFill="1" applyBorder="1" applyAlignment="1" applyProtection="1">
      <alignment horizontal="center" vertical="center"/>
    </xf>
    <xf numFmtId="168" fontId="133" fillId="22" borderId="5" xfId="0" applyNumberFormat="1" applyFont="1" applyFill="1" applyBorder="1" applyAlignment="1" applyProtection="1">
      <alignment horizontal="center" vertical="center"/>
    </xf>
    <xf numFmtId="168" fontId="133" fillId="24" borderId="24" xfId="0" applyNumberFormat="1" applyFont="1" applyFill="1" applyBorder="1" applyAlignment="1" applyProtection="1">
      <alignment horizontal="center" vertical="center"/>
    </xf>
    <xf numFmtId="168" fontId="133" fillId="24" borderId="5" xfId="0" applyNumberFormat="1" applyFont="1" applyFill="1" applyBorder="1" applyAlignment="1" applyProtection="1">
      <alignment horizontal="center" vertical="center"/>
    </xf>
    <xf numFmtId="168" fontId="133" fillId="23" borderId="24" xfId="0" applyNumberFormat="1" applyFont="1" applyFill="1" applyBorder="1" applyAlignment="1" applyProtection="1">
      <alignment horizontal="center" vertical="center"/>
    </xf>
    <xf numFmtId="168" fontId="133" fillId="23" borderId="5" xfId="0" applyNumberFormat="1" applyFont="1" applyFill="1" applyBorder="1" applyAlignment="1" applyProtection="1">
      <alignment horizontal="center" vertical="center"/>
    </xf>
    <xf numFmtId="0" fontId="52" fillId="7" borderId="0" xfId="0" applyNumberFormat="1" applyFont="1" applyFill="1" applyBorder="1" applyAlignment="1" applyProtection="1">
      <alignment horizontal="left"/>
    </xf>
    <xf numFmtId="164" fontId="54" fillId="0" borderId="0" xfId="0" applyFont="1" applyBorder="1" applyAlignment="1" applyProtection="1">
      <protection locked="0"/>
    </xf>
    <xf numFmtId="0" fontId="79" fillId="0" borderId="0" xfId="0" applyNumberFormat="1" applyFont="1" applyFill="1" applyBorder="1" applyAlignment="1" applyProtection="1">
      <alignment horizontal="left" vertical="center" wrapText="1"/>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0" fontId="79" fillId="0" borderId="0" xfId="0" applyNumberFormat="1" applyFont="1" applyBorder="1" applyAlignment="1" applyProtection="1">
      <alignment horizontal="left" vertical="center" wrapText="1"/>
    </xf>
    <xf numFmtId="0" fontId="79" fillId="2" borderId="0" xfId="0" applyNumberFormat="1" applyFont="1" applyFill="1" applyBorder="1" applyAlignment="1" applyProtection="1">
      <alignment horizontal="left" vertical="center" wrapText="1"/>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26"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0" fontId="106"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164" fontId="54" fillId="2"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5" fillId="2" borderId="0" xfId="0" applyNumberFormat="1" applyFont="1" applyFill="1" applyBorder="1" applyAlignment="1" applyProtection="1">
      <alignment horizontal="left" vertical="center" wrapText="1" indent="1"/>
    </xf>
    <xf numFmtId="0" fontId="85" fillId="9" borderId="0" xfId="0" applyNumberFormat="1" applyFont="1" applyFill="1" applyBorder="1" applyAlignment="1" applyProtection="1">
      <alignment horizontal="left" wrapText="1" indent="3"/>
    </xf>
    <xf numFmtId="0" fontId="85" fillId="9" borderId="0" xfId="0" applyNumberFormat="1" applyFont="1" applyFill="1" applyBorder="1" applyAlignment="1" applyProtection="1">
      <alignment horizontal="left" vertical="center" wrapText="1" indent="3"/>
    </xf>
    <xf numFmtId="164" fontId="140" fillId="12" borderId="0" xfId="0" applyFont="1" applyFill="1" applyAlignment="1" applyProtection="1">
      <alignment vertical="center"/>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0" fontId="79" fillId="0" borderId="0" xfId="1" applyNumberFormat="1" applyFont="1" applyFill="1" applyBorder="1" applyAlignment="1" applyProtection="1">
      <alignment horizontal="left" vertical="center" wrapText="1"/>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0" fillId="2" borderId="0" xfId="0" applyNumberFormat="1" applyFont="1" applyFill="1" applyBorder="1" applyAlignment="1" applyProtection="1">
      <alignment horizontal="right" vertical="center" wrapText="1"/>
    </xf>
    <xf numFmtId="164" fontId="130"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128" fillId="0" borderId="0" xfId="0" applyFont="1" applyAlignment="1">
      <alignment horizontal="center"/>
    </xf>
    <xf numFmtId="164" fontId="130" fillId="41" borderId="0" xfId="0" applyFont="1" applyFill="1" applyBorder="1"/>
    <xf numFmtId="164" fontId="130" fillId="0" borderId="0" xfId="0" applyFont="1" applyBorder="1"/>
    <xf numFmtId="0" fontId="104" fillId="2" borderId="0" xfId="0" applyNumberFormat="1" applyFont="1" applyFill="1" applyBorder="1" applyAlignment="1" applyProtection="1">
      <alignment vertical="center" wrapText="1"/>
      <protection locked="0"/>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2">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color rgb="FF969696"/>
      </font>
    </dxf>
    <dxf>
      <font>
        <color rgb="FF969696"/>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1"/>
    </tableStyle>
    <tableStyle name="Table Style 2" pivot="0" count="1">
      <tableStyleElement type="wholeTable" dxfId="30"/>
    </tableStyle>
    <tableStyle name="TableStyleMedium9 2" pivot="0" count="7">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 name="TableStyleMedium9 3" pivot="0" count="7">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TimeTable" pivot="0" count="1">
      <tableStyleElement type="wholeTable" dxfId="15"/>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deq.state.or.us/regulations/rule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Minutes%20Template.dotx" TargetMode="External"/><Relationship Id="rId39" Type="http://schemas.openxmlformats.org/officeDocument/2006/relationships/printerSettings" Target="../printerSettings/printerSettings2.bin"/><Relationship Id="rId21" Type="http://schemas.openxmlformats.org/officeDocument/2006/relationships/hyperlink" Target="file://DEQhq1/MVANDEH/SharePoint%20Drafts/deqsps/programs/rulemaking/Lists/qcards/AllItems.aspx" TargetMode="External"/><Relationship Id="rId34" Type="http://schemas.openxmlformats.org/officeDocument/2006/relationships/hyperlink" Target="http://deq05/intranet/communication/docs/DEQAgencyTemplate1.potx" TargetMode="External"/><Relationship Id="rId7" Type="http://schemas.openxmlformats.org/officeDocument/2006/relationships/hyperlink" Target="file://DEQhq1/MVANDEH/SharePoint%20Drafts/deqsps/programs/rulemaking/default.aspx" TargetMode="External"/><Relationship Id="rId2" Type="http://schemas.openxmlformats.org/officeDocument/2006/relationships/hyperlink" Target="file://deq000/templates/Public%20Notice/displayAd.dotx" TargetMode="External"/><Relationship Id="rId16" Type="http://schemas.openxmlformats.org/officeDocument/2006/relationships/hyperlink" Target="file://DEQhq1/MVANDEH/SharePoint%20Drafts/deqsps/programs/rulemaking/qcards/4-PermanentRulemakingNoticeDates.pdf" TargetMode="External"/><Relationship Id="rId20" Type="http://schemas.openxmlformats.org/officeDocument/2006/relationships/hyperlink" Target="http://cms.oregon.gov/DEQ/EQC/pages/index.aspx" TargetMode="External"/><Relationship Id="rId29" Type="http://schemas.openxmlformats.org/officeDocument/2006/relationships/hyperlink" Target="file://deq000/templates/General/Minutes%20Template.dotx" TargetMode="External"/><Relationship Id="rId41" Type="http://schemas.openxmlformats.org/officeDocument/2006/relationships/vmlDrawing" Target="../drawings/vmlDrawing1.vml"/><Relationship Id="rId1" Type="http://schemas.openxmlformats.org/officeDocument/2006/relationships/hyperlink" Target="http://www.deq.state.or.us/regulations/rules.htm" TargetMode="External"/><Relationship Id="rId6" Type="http://schemas.openxmlformats.org/officeDocument/2006/relationships/hyperlink" Target="http://deq05/intranet/communication/publicinvolvement/signs.htm" TargetMode="External"/><Relationship Id="rId11" Type="http://schemas.openxmlformats.org/officeDocument/2006/relationships/hyperlink" Target="http://www.doj.state.or.us/pdf/public_records_and_meetings_manual.pdf" TargetMode="External"/><Relationship Id="rId24" Type="http://schemas.openxmlformats.org/officeDocument/2006/relationships/hyperlink" Target="http://deq05/intranet/communication/subscriptionservice.htm" TargetMode="External"/><Relationship Id="rId32" Type="http://schemas.openxmlformats.org/officeDocument/2006/relationships/hyperlink" Target="file://deq000/templates/General/Agenda%20Template.dotx" TargetMode="External"/><Relationship Id="rId37" Type="http://schemas.openxmlformats.org/officeDocument/2006/relationships/hyperlink" Target="http://deq05/intranet/communication/docs/DEQAgencyTemplate1.potx" TargetMode="External"/><Relationship Id="rId40" Type="http://schemas.openxmlformats.org/officeDocument/2006/relationships/drawing" Target="../drawings/drawing1.xml"/><Relationship Id="rId5" Type="http://schemas.openxmlformats.org/officeDocument/2006/relationships/hyperlink" Target="http://deq05/intranet/communication/index.htm" TargetMode="External"/><Relationship Id="rId15" Type="http://schemas.openxmlformats.org/officeDocument/2006/relationships/hyperlink" Target="http://deq05/intranet/communication/publicinvolvement/acguide/12ACsurvey.pdf"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file://deq000/templates/General/Agenda%20Template.dotx" TargetMode="External"/><Relationship Id="rId36" Type="http://schemas.openxmlformats.org/officeDocument/2006/relationships/hyperlink" Target="http://deq05/intranet/communication/docs/DEQAgencyTemplate1.potx" TargetMode="External"/><Relationship Id="rId10" Type="http://schemas.openxmlformats.org/officeDocument/2006/relationships/hyperlink" Target="http://www.deq.state.or.us/regulations/rulemaking.htm" TargetMode="External"/><Relationship Id="rId19" Type="http://schemas.openxmlformats.org/officeDocument/2006/relationships/hyperlink" Target="http://www.oregon.gov/transparency/Pages/PublicMeetingNotices.aspx" TargetMode="External"/><Relationship Id="rId31" Type="http://schemas.openxmlformats.org/officeDocument/2006/relationships/hyperlink" Target="file://deq000/templates/General/Minutes%20Template.dotx" TargetMode="External"/><Relationship Id="rId4" Type="http://schemas.openxmlformats.org/officeDocument/2006/relationships/hyperlink" Target="http://arcweb.sos.state.or.us/pages/rules/oars_300/oar_340/340_018.html" TargetMode="External"/><Relationship Id="rId9" Type="http://schemas.openxmlformats.org/officeDocument/2006/relationships/hyperlink" Target="http://www.deq.state.or.us/news/events.asp" TargetMode="External"/><Relationship Id="rId14" Type="http://schemas.openxmlformats.org/officeDocument/2006/relationships/hyperlink" Target="http://www.deq.state.or.us/news/events.asp" TargetMode="External"/><Relationship Id="rId22" Type="http://schemas.openxmlformats.org/officeDocument/2006/relationships/hyperlink" Target="http://www.deq.state.or.us/regulations/rulemaking.htm"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file://deq000/templates/General/Agenda%20Template.dotx" TargetMode="External"/><Relationship Id="rId35" Type="http://schemas.openxmlformats.org/officeDocument/2006/relationships/hyperlink" Target="http://deq05/intranet/communication/docs/DEQAgencyTemplate1.potx" TargetMode="External"/><Relationship Id="rId8" Type="http://schemas.openxmlformats.org/officeDocument/2006/relationships/hyperlink" Target="http://www.deq.state.or.us/regulations/rulemaking.htm" TargetMode="External"/><Relationship Id="rId3" Type="http://schemas.openxmlformats.org/officeDocument/2006/relationships/hyperlink" Target="file://deq000/templates/General/Minutes%20Template.dotx" TargetMode="External"/><Relationship Id="rId12" Type="http://schemas.openxmlformats.org/officeDocument/2006/relationships/hyperlink" Target="http://www.leg.state.or.us/ors/192.html" TargetMode="External"/><Relationship Id="rId17" Type="http://schemas.openxmlformats.org/officeDocument/2006/relationships/hyperlink" Target="http://cms.oregon.gov/DEQ/EQC/pages/index.asp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file://deq000/templates/General/Minutes%20Template.dotx" TargetMode="External"/><Relationship Id="rId38" Type="http://schemas.openxmlformats.org/officeDocument/2006/relationships/hyperlink" Target="http://deq05/intranet/communication/docs/DEQAgencyTemplate1.potx" TargetMode="Externa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24</v>
      </c>
      <c r="B1" s="3"/>
      <c r="C1" s="2"/>
      <c r="D1" s="2"/>
      <c r="E1" s="68"/>
      <c r="F1" s="68"/>
      <c r="G1" s="68"/>
      <c r="H1" s="68"/>
      <c r="I1" s="2"/>
      <c r="J1" s="2"/>
      <c r="K1" s="2"/>
      <c r="L1" s="2"/>
      <c r="M1" s="2"/>
      <c r="N1" s="2"/>
      <c r="O1" s="2"/>
      <c r="P1" s="70"/>
      <c r="Q1" s="70"/>
      <c r="R1" s="2"/>
      <c r="S1" s="2"/>
      <c r="T1" s="2"/>
    </row>
    <row r="2" spans="1:20">
      <c r="A2" s="67">
        <v>1</v>
      </c>
      <c r="B2" s="67">
        <v>2</v>
      </c>
      <c r="C2" s="220">
        <v>3</v>
      </c>
      <c r="D2" s="67">
        <v>4</v>
      </c>
      <c r="E2" s="67">
        <v>5</v>
      </c>
      <c r="F2" s="67">
        <v>6</v>
      </c>
      <c r="G2" s="65"/>
      <c r="H2" s="65"/>
      <c r="I2" s="65"/>
      <c r="J2" s="65"/>
      <c r="K2" s="65"/>
      <c r="L2" s="65"/>
      <c r="M2" s="2"/>
      <c r="N2" s="2"/>
      <c r="O2" s="2"/>
      <c r="P2" s="1"/>
      <c r="Q2" s="1"/>
    </row>
    <row r="3" spans="1:20">
      <c r="A3" s="4" t="s">
        <v>13</v>
      </c>
      <c r="B3" s="4" t="s">
        <v>18</v>
      </c>
      <c r="C3" s="4" t="s">
        <v>19</v>
      </c>
      <c r="D3" s="218" t="s">
        <v>255</v>
      </c>
      <c r="E3" s="342" t="s">
        <v>220</v>
      </c>
      <c r="F3" s="342" t="s">
        <v>261</v>
      </c>
      <c r="G3" s="65"/>
      <c r="H3" s="65"/>
      <c r="I3" s="65"/>
      <c r="J3" s="65"/>
      <c r="K3" s="65"/>
      <c r="L3" s="65"/>
      <c r="M3" s="2"/>
      <c r="N3" s="2"/>
      <c r="O3" s="2"/>
      <c r="P3"/>
      <c r="Q3"/>
      <c r="R3"/>
      <c r="S3"/>
    </row>
    <row r="4" spans="1:20" ht="18.75" customHeight="1">
      <c r="A4" s="208">
        <v>41353</v>
      </c>
      <c r="B4" s="208">
        <v>41316</v>
      </c>
      <c r="C4" s="208">
        <v>41346</v>
      </c>
      <c r="D4" s="219">
        <f>A5-A4</f>
        <v>91</v>
      </c>
      <c r="E4" s="208">
        <f>A4+D4</f>
        <v>41444</v>
      </c>
      <c r="F4" s="208">
        <v>41259</v>
      </c>
      <c r="G4" s="65"/>
      <c r="H4" s="65"/>
      <c r="I4" s="65"/>
      <c r="J4" s="65"/>
      <c r="K4" s="65"/>
      <c r="L4" s="65"/>
      <c r="M4" s="65"/>
      <c r="N4" s="65"/>
      <c r="O4" s="65"/>
      <c r="P4"/>
      <c r="Q4"/>
      <c r="R4"/>
      <c r="S4"/>
    </row>
    <row r="5" spans="1:20" ht="18.75" customHeight="1">
      <c r="A5" s="208">
        <v>41444</v>
      </c>
      <c r="B5" s="208">
        <v>41404</v>
      </c>
      <c r="C5" s="208">
        <v>41437</v>
      </c>
      <c r="D5" s="219">
        <f t="shared" ref="D5:D14" si="0">A6-A5</f>
        <v>63</v>
      </c>
      <c r="E5" s="208">
        <f t="shared" ref="E5:E19" si="1">A5+D5</f>
        <v>41507</v>
      </c>
      <c r="F5" s="208">
        <f>A5-D4</f>
        <v>41353</v>
      </c>
      <c r="G5" s="65"/>
      <c r="H5" s="65"/>
      <c r="I5" s="65"/>
      <c r="J5" s="65"/>
      <c r="K5" s="65"/>
      <c r="L5" s="65"/>
      <c r="M5" s="65"/>
      <c r="N5" s="65"/>
      <c r="O5" s="65"/>
      <c r="P5"/>
      <c r="Q5"/>
      <c r="R5"/>
      <c r="S5"/>
    </row>
    <row r="6" spans="1:20" ht="18.75" customHeight="1">
      <c r="A6" s="208">
        <v>41507</v>
      </c>
      <c r="B6" s="208">
        <v>41471</v>
      </c>
      <c r="C6" s="208">
        <v>41500</v>
      </c>
      <c r="D6" s="219">
        <f t="shared" si="0"/>
        <v>56</v>
      </c>
      <c r="E6" s="208">
        <f t="shared" si="1"/>
        <v>41563</v>
      </c>
      <c r="F6" s="208">
        <f t="shared" ref="F6:F19" si="2">A6-D5</f>
        <v>41444</v>
      </c>
      <c r="G6" s="65"/>
      <c r="H6" s="65"/>
      <c r="I6" s="65"/>
      <c r="J6" s="65"/>
      <c r="K6" s="65"/>
      <c r="L6" s="65"/>
      <c r="M6" s="65"/>
      <c r="N6" s="65"/>
      <c r="O6" s="65"/>
      <c r="P6"/>
      <c r="Q6"/>
      <c r="R6"/>
      <c r="S6"/>
    </row>
    <row r="7" spans="1:20">
      <c r="A7" s="208">
        <v>41563</v>
      </c>
      <c r="B7" s="208">
        <v>41527</v>
      </c>
      <c r="C7" s="208">
        <v>41556</v>
      </c>
      <c r="D7" s="219">
        <f t="shared" si="0"/>
        <v>56</v>
      </c>
      <c r="E7" s="208">
        <f t="shared" si="1"/>
        <v>41619</v>
      </c>
      <c r="F7" s="208">
        <f t="shared" si="2"/>
        <v>41507</v>
      </c>
      <c r="G7" s="65"/>
      <c r="H7" s="65"/>
      <c r="I7" s="65"/>
      <c r="J7" s="65"/>
      <c r="K7" s="65"/>
      <c r="L7" s="65"/>
      <c r="M7" s="65"/>
      <c r="N7" s="65"/>
      <c r="O7" s="65"/>
      <c r="P7"/>
      <c r="Q7"/>
      <c r="R7"/>
      <c r="S7"/>
    </row>
    <row r="8" spans="1:20">
      <c r="A8" s="208">
        <v>41619</v>
      </c>
      <c r="B8" s="208">
        <v>41579</v>
      </c>
      <c r="C8" s="208">
        <v>41612</v>
      </c>
      <c r="D8" s="219">
        <f t="shared" si="0"/>
        <v>98</v>
      </c>
      <c r="E8" s="208">
        <f t="shared" si="1"/>
        <v>41717</v>
      </c>
      <c r="F8" s="208">
        <f t="shared" si="2"/>
        <v>41563</v>
      </c>
      <c r="G8" s="65"/>
      <c r="H8" s="65"/>
      <c r="I8" s="65"/>
      <c r="J8" s="65"/>
      <c r="K8" s="65"/>
      <c r="L8" s="65"/>
      <c r="M8" s="65"/>
      <c r="N8" s="65"/>
      <c r="O8" s="65"/>
      <c r="P8"/>
      <c r="Q8"/>
      <c r="R8"/>
      <c r="S8"/>
    </row>
    <row r="9" spans="1:20">
      <c r="A9" s="213">
        <v>41717</v>
      </c>
      <c r="B9" s="213">
        <f t="shared" ref="B9:B20" si="3">WORKDAY(A9-40,-1,S.DDL_DEQClosed)</f>
        <v>41676</v>
      </c>
      <c r="C9" s="213">
        <f t="shared" ref="C9:C20" si="4">WORKDAY(A9-9,-1,S.DDL_DEQClosed)</f>
        <v>41705</v>
      </c>
      <c r="D9" s="219">
        <f t="shared" si="0"/>
        <v>91</v>
      </c>
      <c r="E9" s="208">
        <f t="shared" si="1"/>
        <v>41808</v>
      </c>
      <c r="F9" s="208">
        <f t="shared" si="2"/>
        <v>41619</v>
      </c>
      <c r="G9" s="65"/>
      <c r="H9" s="65"/>
      <c r="I9" s="65"/>
      <c r="J9" s="65"/>
      <c r="K9" s="65"/>
      <c r="L9" s="65"/>
      <c r="M9" s="65"/>
      <c r="N9" s="65"/>
      <c r="O9" s="65"/>
      <c r="P9"/>
      <c r="Q9"/>
      <c r="R9"/>
      <c r="S9"/>
    </row>
    <row r="10" spans="1:20">
      <c r="A10" s="213">
        <v>41808</v>
      </c>
      <c r="B10" s="213">
        <f t="shared" si="3"/>
        <v>41767</v>
      </c>
      <c r="C10" s="213">
        <f t="shared" si="4"/>
        <v>41796</v>
      </c>
      <c r="D10" s="219">
        <f t="shared" si="0"/>
        <v>63</v>
      </c>
      <c r="E10" s="208">
        <f t="shared" si="1"/>
        <v>41871</v>
      </c>
      <c r="F10" s="208">
        <f t="shared" si="2"/>
        <v>41717</v>
      </c>
      <c r="G10" s="65"/>
      <c r="H10" s="65"/>
      <c r="I10" s="65"/>
      <c r="J10" s="65"/>
      <c r="K10" s="65"/>
      <c r="L10" s="65"/>
      <c r="M10" s="65"/>
      <c r="N10" s="65"/>
      <c r="O10" s="65"/>
      <c r="P10"/>
      <c r="Q10"/>
      <c r="R10"/>
      <c r="S10"/>
    </row>
    <row r="11" spans="1:20">
      <c r="A11" s="213">
        <v>41871</v>
      </c>
      <c r="B11" s="213">
        <f t="shared" si="3"/>
        <v>41830</v>
      </c>
      <c r="C11" s="213">
        <f t="shared" si="4"/>
        <v>41859</v>
      </c>
      <c r="D11" s="219">
        <f t="shared" si="0"/>
        <v>56</v>
      </c>
      <c r="E11" s="208">
        <f t="shared" si="1"/>
        <v>41927</v>
      </c>
      <c r="F11" s="208">
        <f t="shared" si="2"/>
        <v>41808</v>
      </c>
      <c r="G11" s="65"/>
      <c r="H11" s="65"/>
      <c r="I11" s="65"/>
      <c r="J11" s="65"/>
      <c r="K11" s="65"/>
      <c r="L11" s="65"/>
      <c r="M11" s="65"/>
      <c r="N11" s="65"/>
      <c r="O11" s="65"/>
      <c r="P11"/>
      <c r="Q11"/>
      <c r="R11"/>
      <c r="S11"/>
    </row>
    <row r="12" spans="1:20">
      <c r="A12" s="213">
        <v>41927</v>
      </c>
      <c r="B12" s="213">
        <f t="shared" si="3"/>
        <v>41886</v>
      </c>
      <c r="C12" s="213">
        <f t="shared" si="4"/>
        <v>41915</v>
      </c>
      <c r="D12" s="219">
        <f t="shared" si="0"/>
        <v>56</v>
      </c>
      <c r="E12" s="208">
        <f t="shared" si="1"/>
        <v>41983</v>
      </c>
      <c r="F12" s="208">
        <f t="shared" si="2"/>
        <v>41871</v>
      </c>
      <c r="G12" s="65"/>
      <c r="H12" s="65"/>
      <c r="I12" s="65"/>
      <c r="J12" s="65"/>
      <c r="K12" s="65"/>
      <c r="L12" s="65"/>
      <c r="M12" s="65"/>
      <c r="N12" s="65"/>
      <c r="O12" s="65"/>
      <c r="P12"/>
      <c r="Q12"/>
      <c r="R12"/>
      <c r="S12"/>
    </row>
    <row r="13" spans="1:20">
      <c r="A13" s="213">
        <v>41983</v>
      </c>
      <c r="B13" s="213">
        <f t="shared" si="3"/>
        <v>41942</v>
      </c>
      <c r="C13" s="213">
        <f t="shared" si="4"/>
        <v>41971</v>
      </c>
      <c r="D13" s="219">
        <f t="shared" si="0"/>
        <v>98</v>
      </c>
      <c r="E13" s="208">
        <f t="shared" si="1"/>
        <v>42081</v>
      </c>
      <c r="F13" s="208">
        <f t="shared" si="2"/>
        <v>41927</v>
      </c>
      <c r="G13" s="65"/>
      <c r="H13" s="65"/>
      <c r="I13" s="65"/>
      <c r="J13" s="65"/>
      <c r="K13" s="65"/>
      <c r="L13" s="65"/>
      <c r="M13" s="65"/>
      <c r="N13" s="65"/>
      <c r="O13" s="65"/>
      <c r="P13"/>
      <c r="Q13"/>
      <c r="R13"/>
      <c r="S13"/>
    </row>
    <row r="14" spans="1:20">
      <c r="A14" s="213">
        <v>42081</v>
      </c>
      <c r="B14" s="213">
        <f t="shared" si="3"/>
        <v>42040</v>
      </c>
      <c r="C14" s="213">
        <f t="shared" si="4"/>
        <v>42069</v>
      </c>
      <c r="D14" s="219">
        <f t="shared" si="0"/>
        <v>92</v>
      </c>
      <c r="E14" s="208">
        <f t="shared" si="1"/>
        <v>42173</v>
      </c>
      <c r="F14" s="208">
        <f t="shared" si="2"/>
        <v>41983</v>
      </c>
      <c r="G14" s="2"/>
      <c r="H14" s="2"/>
      <c r="I14" s="65"/>
      <c r="J14" s="65"/>
      <c r="K14" s="65"/>
      <c r="L14" s="65"/>
      <c r="M14" s="65"/>
      <c r="N14" s="65"/>
      <c r="O14" s="65"/>
      <c r="P14"/>
      <c r="Q14"/>
      <c r="R14"/>
      <c r="S14"/>
    </row>
    <row r="15" spans="1:20">
      <c r="A15" s="213">
        <v>42173</v>
      </c>
      <c r="B15" s="213">
        <f t="shared" si="3"/>
        <v>42132</v>
      </c>
      <c r="C15" s="213">
        <f t="shared" si="4"/>
        <v>42163</v>
      </c>
      <c r="D15" s="219">
        <f>A16-A15</f>
        <v>63</v>
      </c>
      <c r="E15" s="208">
        <f t="shared" si="1"/>
        <v>42236</v>
      </c>
      <c r="F15" s="208">
        <f t="shared" si="2"/>
        <v>42081</v>
      </c>
      <c r="G15" s="2"/>
      <c r="H15" s="2"/>
      <c r="I15" s="2"/>
      <c r="J15" s="2"/>
      <c r="K15" s="70"/>
      <c r="L15" s="70"/>
      <c r="M15" s="2"/>
      <c r="N15" s="2"/>
      <c r="O15" s="2"/>
      <c r="P15" s="1"/>
      <c r="Q15" s="1"/>
    </row>
    <row r="16" spans="1:20">
      <c r="A16" s="213">
        <v>42236</v>
      </c>
      <c r="B16" s="213">
        <f t="shared" si="3"/>
        <v>42195</v>
      </c>
      <c r="C16" s="213">
        <f t="shared" si="4"/>
        <v>42226</v>
      </c>
      <c r="D16" s="219">
        <f>A17-A16</f>
        <v>63</v>
      </c>
      <c r="E16" s="208">
        <f t="shared" si="1"/>
        <v>42299</v>
      </c>
      <c r="F16" s="208">
        <f t="shared" si="2"/>
        <v>42173</v>
      </c>
      <c r="G16" s="2"/>
      <c r="H16" s="2"/>
      <c r="I16" s="2"/>
      <c r="J16" s="2"/>
      <c r="K16" s="70"/>
      <c r="L16" s="70"/>
      <c r="M16" s="2"/>
      <c r="N16" s="2"/>
      <c r="O16" s="2"/>
      <c r="P16" s="1"/>
      <c r="Q16" s="1"/>
    </row>
    <row r="17" spans="1:20">
      <c r="A17" s="213">
        <v>42299</v>
      </c>
      <c r="B17" s="213">
        <f t="shared" si="3"/>
        <v>42258</v>
      </c>
      <c r="C17" s="213">
        <f t="shared" si="4"/>
        <v>42289</v>
      </c>
      <c r="D17" s="219">
        <f>A18-A17</f>
        <v>56</v>
      </c>
      <c r="E17" s="208">
        <f t="shared" si="1"/>
        <v>42355</v>
      </c>
      <c r="F17" s="208">
        <f t="shared" si="2"/>
        <v>42236</v>
      </c>
      <c r="G17" s="2"/>
      <c r="H17" s="2"/>
      <c r="I17" s="2"/>
      <c r="J17" s="2"/>
      <c r="K17" s="70"/>
      <c r="L17" s="70"/>
      <c r="M17" s="2"/>
      <c r="N17" s="2"/>
      <c r="O17" s="2"/>
      <c r="P17" s="1"/>
      <c r="Q17" s="1"/>
    </row>
    <row r="18" spans="1:20">
      <c r="A18" s="213">
        <v>42355</v>
      </c>
      <c r="B18" s="213">
        <f t="shared" si="3"/>
        <v>42314</v>
      </c>
      <c r="C18" s="213">
        <f t="shared" si="4"/>
        <v>42345</v>
      </c>
      <c r="D18" s="219">
        <f>A19-A18</f>
        <v>90</v>
      </c>
      <c r="E18" s="208">
        <f t="shared" si="1"/>
        <v>42445</v>
      </c>
      <c r="F18" s="208">
        <f t="shared" si="2"/>
        <v>42299</v>
      </c>
      <c r="G18" s="2"/>
      <c r="H18" s="2"/>
      <c r="I18" s="2"/>
      <c r="J18" s="2"/>
      <c r="K18" s="70"/>
      <c r="L18" s="70"/>
      <c r="M18" s="2"/>
      <c r="N18" s="2"/>
      <c r="O18" s="2"/>
      <c r="P18" s="1"/>
      <c r="Q18" s="1"/>
    </row>
    <row r="19" spans="1:20">
      <c r="A19" s="213">
        <v>42445</v>
      </c>
      <c r="B19" s="213">
        <f t="shared" si="3"/>
        <v>42404</v>
      </c>
      <c r="C19" s="213">
        <f t="shared" si="4"/>
        <v>42433</v>
      </c>
      <c r="D19" s="219">
        <f>A20-A19</f>
        <v>91</v>
      </c>
      <c r="E19" s="208">
        <f t="shared" si="1"/>
        <v>42536</v>
      </c>
      <c r="F19" s="208">
        <f t="shared" si="2"/>
        <v>42355</v>
      </c>
      <c r="G19" s="2"/>
      <c r="H19" s="2"/>
      <c r="I19" s="2"/>
      <c r="J19" s="2"/>
      <c r="K19" s="70"/>
      <c r="L19" s="70"/>
      <c r="M19" s="2"/>
      <c r="N19" s="2"/>
      <c r="O19" s="2"/>
      <c r="P19" s="1"/>
      <c r="Q19" s="1"/>
    </row>
    <row r="20" spans="1:20">
      <c r="A20" s="213">
        <v>42536</v>
      </c>
      <c r="B20" s="213">
        <f t="shared" si="3"/>
        <v>42495</v>
      </c>
      <c r="C20" s="213">
        <f t="shared" si="4"/>
        <v>42524</v>
      </c>
      <c r="D20" s="319">
        <f>D19</f>
        <v>91</v>
      </c>
      <c r="E20" s="2"/>
      <c r="F20" s="2"/>
      <c r="G20" s="2"/>
      <c r="H20" s="2"/>
      <c r="I20" s="2"/>
      <c r="J20" s="2"/>
      <c r="K20" s="70"/>
      <c r="L20" s="70"/>
      <c r="M20" s="2"/>
      <c r="N20" s="2"/>
      <c r="O20" s="2"/>
      <c r="P20" s="1"/>
      <c r="Q20" s="1"/>
    </row>
    <row r="21" spans="1:20">
      <c r="A21" s="8"/>
      <c r="B21" s="8"/>
      <c r="C21" s="9"/>
      <c r="D21" s="9"/>
      <c r="E21" s="72"/>
      <c r="F21" s="72"/>
      <c r="G21" s="72"/>
      <c r="H21" s="72"/>
      <c r="I21" s="2"/>
      <c r="J21" s="34" t="s">
        <v>131</v>
      </c>
      <c r="K21" s="2"/>
      <c r="L21" s="9"/>
      <c r="M21" s="9"/>
      <c r="N21" s="65"/>
      <c r="O21" s="65"/>
      <c r="P21" s="70"/>
      <c r="Q21" s="70"/>
      <c r="R21" s="2"/>
      <c r="S21" s="2"/>
      <c r="T21" s="2"/>
    </row>
    <row r="22" spans="1:20">
      <c r="A22" s="10" t="s">
        <v>25</v>
      </c>
      <c r="B22" s="10"/>
      <c r="C22" s="9"/>
      <c r="D22" s="9"/>
      <c r="E22" s="72"/>
      <c r="F22" s="72"/>
      <c r="G22" s="72"/>
      <c r="H22" s="72"/>
      <c r="I22" s="2"/>
      <c r="J22" s="742" t="s">
        <v>130</v>
      </c>
      <c r="K22" s="742"/>
      <c r="L22" s="742"/>
      <c r="M22" s="742"/>
      <c r="N22" s="742"/>
      <c r="O22" s="742"/>
      <c r="P22" s="742"/>
      <c r="Q22" s="70"/>
      <c r="R22" s="2"/>
      <c r="S22" s="2"/>
      <c r="T22" s="2"/>
    </row>
    <row r="23" spans="1:20">
      <c r="A23" s="22">
        <v>41275</v>
      </c>
      <c r="B23" s="20" t="s">
        <v>7</v>
      </c>
      <c r="C23" s="33">
        <f>A23</f>
        <v>41275</v>
      </c>
      <c r="D23" s="33"/>
      <c r="E23" s="72"/>
      <c r="F23" s="72"/>
      <c r="G23" s="72"/>
      <c r="H23" s="72"/>
      <c r="I23" s="2"/>
      <c r="J23" s="742"/>
      <c r="K23" s="742"/>
      <c r="L23" s="742"/>
      <c r="M23" s="742"/>
      <c r="N23" s="742"/>
      <c r="O23" s="742"/>
      <c r="P23" s="742"/>
      <c r="Q23" s="70"/>
      <c r="R23" s="2"/>
      <c r="S23" s="2"/>
      <c r="T23" s="2"/>
    </row>
    <row r="24" spans="1:20">
      <c r="A24" s="22">
        <v>41292</v>
      </c>
      <c r="B24" s="20" t="s">
        <v>5</v>
      </c>
      <c r="C24" s="33">
        <f t="shared" ref="C24:C71" si="5">A24</f>
        <v>41292</v>
      </c>
      <c r="D24" s="33"/>
      <c r="E24" s="72"/>
      <c r="F24" s="72"/>
      <c r="G24" s="72"/>
      <c r="H24" s="72"/>
      <c r="I24" s="2"/>
      <c r="J24" s="742"/>
      <c r="K24" s="742"/>
      <c r="L24" s="742"/>
      <c r="M24" s="742"/>
      <c r="N24" s="742"/>
      <c r="O24" s="742"/>
      <c r="P24" s="742"/>
      <c r="Q24" s="70"/>
      <c r="R24" s="2"/>
      <c r="S24" s="2"/>
      <c r="T24" s="2"/>
    </row>
    <row r="25" spans="1:20">
      <c r="A25" s="22">
        <v>41295</v>
      </c>
      <c r="B25" s="20" t="s">
        <v>8</v>
      </c>
      <c r="C25" s="33">
        <f t="shared" si="5"/>
        <v>41295</v>
      </c>
      <c r="D25" s="33"/>
      <c r="E25" s="72"/>
      <c r="F25" s="72"/>
      <c r="G25" s="72"/>
      <c r="H25" s="72"/>
      <c r="I25" s="2"/>
      <c r="J25" s="742"/>
      <c r="K25" s="742"/>
      <c r="L25" s="742"/>
      <c r="M25" s="742"/>
      <c r="N25" s="742"/>
      <c r="O25" s="742"/>
      <c r="P25" s="742"/>
      <c r="Q25" s="70"/>
      <c r="R25" s="2"/>
      <c r="S25" s="2"/>
      <c r="T25" s="2"/>
    </row>
    <row r="26" spans="1:20">
      <c r="A26" s="22">
        <v>41323</v>
      </c>
      <c r="B26" s="20" t="s">
        <v>9</v>
      </c>
      <c r="C26" s="33">
        <f t="shared" si="5"/>
        <v>41323</v>
      </c>
      <c r="D26" s="33"/>
      <c r="E26" s="72"/>
      <c r="F26" s="72"/>
      <c r="G26" s="72"/>
      <c r="H26" s="72"/>
      <c r="I26" s="2"/>
      <c r="J26" s="742"/>
      <c r="K26" s="742"/>
      <c r="L26" s="742"/>
      <c r="M26" s="742"/>
      <c r="N26" s="742"/>
      <c r="O26" s="742"/>
      <c r="P26" s="742"/>
      <c r="Q26" s="70"/>
      <c r="R26" s="2"/>
      <c r="S26" s="2"/>
      <c r="T26" s="2"/>
    </row>
    <row r="27" spans="1:20">
      <c r="A27" s="22">
        <v>41383</v>
      </c>
      <c r="B27" s="20" t="s">
        <v>5</v>
      </c>
      <c r="C27" s="33">
        <f t="shared" si="5"/>
        <v>41383</v>
      </c>
      <c r="D27" s="33"/>
      <c r="E27" s="72"/>
      <c r="F27" s="72"/>
      <c r="G27" s="72"/>
      <c r="H27" s="72"/>
      <c r="I27" s="2"/>
      <c r="J27" s="742"/>
      <c r="K27" s="742"/>
      <c r="L27" s="742"/>
      <c r="M27" s="742"/>
      <c r="N27" s="742"/>
      <c r="O27" s="742"/>
      <c r="P27" s="742"/>
      <c r="Q27" s="70"/>
      <c r="R27" s="2"/>
      <c r="S27" s="2"/>
      <c r="T27" s="2"/>
    </row>
    <row r="28" spans="1:20">
      <c r="A28" s="22">
        <v>41418</v>
      </c>
      <c r="B28" s="20" t="s">
        <v>5</v>
      </c>
      <c r="C28" s="33">
        <f t="shared" si="5"/>
        <v>41418</v>
      </c>
      <c r="D28" s="33"/>
      <c r="E28" s="72"/>
      <c r="F28" s="72"/>
      <c r="G28" s="72"/>
      <c r="H28" s="72"/>
      <c r="I28" s="2"/>
      <c r="J28" s="742"/>
      <c r="K28" s="742"/>
      <c r="L28" s="742"/>
      <c r="M28" s="742"/>
      <c r="N28" s="742"/>
      <c r="O28" s="742"/>
      <c r="P28" s="742"/>
      <c r="Q28" s="70"/>
      <c r="R28" s="2"/>
      <c r="S28" s="2"/>
      <c r="T28" s="2"/>
    </row>
    <row r="29" spans="1:20">
      <c r="A29" s="22">
        <v>41421</v>
      </c>
      <c r="B29" s="20" t="s">
        <v>10</v>
      </c>
      <c r="C29" s="33">
        <f t="shared" si="5"/>
        <v>41421</v>
      </c>
      <c r="D29" s="33"/>
      <c r="E29" s="72"/>
      <c r="F29" s="72"/>
      <c r="G29" s="72"/>
      <c r="H29" s="72"/>
      <c r="I29" s="2"/>
      <c r="J29" s="742"/>
      <c r="K29" s="742"/>
      <c r="L29" s="742"/>
      <c r="M29" s="742"/>
      <c r="N29" s="742"/>
      <c r="O29" s="742"/>
      <c r="P29" s="742"/>
      <c r="Q29" s="70"/>
      <c r="R29" s="2"/>
      <c r="S29" s="2"/>
      <c r="T29" s="2"/>
    </row>
    <row r="30" spans="1:20">
      <c r="A30" s="22">
        <v>41459</v>
      </c>
      <c r="B30" s="20" t="s">
        <v>11</v>
      </c>
      <c r="C30" s="33">
        <f t="shared" si="5"/>
        <v>41459</v>
      </c>
      <c r="D30" s="33"/>
      <c r="E30" s="72"/>
      <c r="F30" s="72"/>
      <c r="G30" s="72"/>
      <c r="H30" s="72"/>
      <c r="I30" s="2"/>
      <c r="J30" s="742"/>
      <c r="K30" s="742"/>
      <c r="L30" s="742"/>
      <c r="M30" s="742"/>
      <c r="N30" s="742"/>
      <c r="O30" s="742"/>
      <c r="P30" s="742"/>
      <c r="Q30" s="70"/>
      <c r="R30" s="2"/>
      <c r="S30" s="2"/>
      <c r="T30" s="2"/>
    </row>
    <row r="31" spans="1:20">
      <c r="A31" s="22">
        <v>41519</v>
      </c>
      <c r="B31" s="20" t="s">
        <v>12</v>
      </c>
      <c r="C31" s="33">
        <f t="shared" si="5"/>
        <v>41519</v>
      </c>
      <c r="D31" s="33"/>
      <c r="E31" s="72"/>
      <c r="F31" s="72"/>
      <c r="G31" s="72"/>
      <c r="H31" s="72"/>
      <c r="I31" s="2"/>
      <c r="J31" s="742"/>
      <c r="K31" s="742"/>
      <c r="L31" s="742"/>
      <c r="M31" s="742"/>
      <c r="N31" s="742"/>
      <c r="O31" s="742"/>
      <c r="P31" s="742"/>
      <c r="Q31" s="70"/>
      <c r="R31" s="2"/>
      <c r="S31" s="2"/>
      <c r="T31" s="2"/>
    </row>
    <row r="32" spans="1:20">
      <c r="A32" s="22">
        <v>41589</v>
      </c>
      <c r="B32" s="20" t="s">
        <v>3</v>
      </c>
      <c r="C32" s="33">
        <f t="shared" si="5"/>
        <v>41589</v>
      </c>
      <c r="D32" s="33"/>
      <c r="E32" s="72"/>
      <c r="F32" s="72"/>
      <c r="G32" s="72"/>
      <c r="H32" s="72"/>
      <c r="I32" s="2"/>
      <c r="J32" s="742"/>
      <c r="K32" s="742"/>
      <c r="L32" s="742"/>
      <c r="M32" s="742"/>
      <c r="N32" s="742"/>
      <c r="O32" s="742"/>
      <c r="P32" s="742"/>
      <c r="Q32" s="70"/>
      <c r="R32" s="2"/>
      <c r="S32" s="2"/>
      <c r="T32" s="2"/>
    </row>
    <row r="33" spans="1:20">
      <c r="A33" s="22">
        <v>41606</v>
      </c>
      <c r="B33" s="20" t="s">
        <v>4</v>
      </c>
      <c r="C33" s="33">
        <f t="shared" si="5"/>
        <v>41606</v>
      </c>
      <c r="D33" s="33"/>
      <c r="E33" s="72"/>
      <c r="F33" s="72"/>
      <c r="G33" s="72"/>
      <c r="H33" s="72"/>
      <c r="I33" s="2"/>
      <c r="J33" s="742"/>
      <c r="K33" s="742"/>
      <c r="L33" s="742"/>
      <c r="M33" s="742"/>
      <c r="N33" s="742"/>
      <c r="O33" s="742"/>
      <c r="P33" s="742"/>
      <c r="Q33" s="70"/>
      <c r="R33" s="2"/>
      <c r="S33" s="2"/>
      <c r="T33" s="2"/>
    </row>
    <row r="34" spans="1:20">
      <c r="A34" s="22">
        <v>41633</v>
      </c>
      <c r="B34" s="20" t="s">
        <v>6</v>
      </c>
      <c r="C34" s="33">
        <f t="shared" si="5"/>
        <v>41633</v>
      </c>
      <c r="D34" s="33"/>
      <c r="E34" s="72"/>
      <c r="F34" s="72"/>
      <c r="G34" s="72"/>
      <c r="H34" s="72"/>
      <c r="I34" s="2"/>
      <c r="J34" s="742"/>
      <c r="K34" s="742"/>
      <c r="L34" s="742"/>
      <c r="M34" s="742"/>
      <c r="N34" s="742"/>
      <c r="O34" s="742"/>
      <c r="P34" s="742"/>
      <c r="Q34" s="70"/>
      <c r="R34" s="2"/>
      <c r="S34" s="2"/>
      <c r="T34" s="2"/>
    </row>
    <row r="35" spans="1:20">
      <c r="A35" s="22">
        <v>41640</v>
      </c>
      <c r="B35" s="20" t="s">
        <v>7</v>
      </c>
      <c r="C35" s="33">
        <f t="shared" si="5"/>
        <v>41640</v>
      </c>
      <c r="D35" s="33"/>
      <c r="E35" s="72"/>
      <c r="F35" s="72"/>
      <c r="G35" s="72"/>
      <c r="H35" s="72"/>
      <c r="I35" s="2"/>
      <c r="J35" s="742"/>
      <c r="K35" s="742"/>
      <c r="L35" s="742"/>
      <c r="M35" s="742"/>
      <c r="N35" s="742"/>
      <c r="O35" s="742"/>
      <c r="P35" s="742"/>
      <c r="Q35" s="70"/>
      <c r="R35" s="2"/>
      <c r="S35" s="2"/>
      <c r="T35" s="2"/>
    </row>
    <row r="36" spans="1:20">
      <c r="A36" s="22">
        <v>41659</v>
      </c>
      <c r="B36" s="20" t="s">
        <v>8</v>
      </c>
      <c r="C36" s="33">
        <f t="shared" si="5"/>
        <v>41659</v>
      </c>
      <c r="D36" s="33"/>
      <c r="E36" s="72"/>
      <c r="F36" s="72"/>
      <c r="G36" s="72"/>
      <c r="H36" s="72"/>
      <c r="I36" s="2"/>
      <c r="J36" s="742"/>
      <c r="K36" s="742"/>
      <c r="L36" s="742"/>
      <c r="M36" s="742"/>
      <c r="N36" s="742"/>
      <c r="O36" s="742"/>
      <c r="P36" s="742"/>
      <c r="Q36" s="70"/>
      <c r="R36" s="2"/>
      <c r="S36" s="2"/>
      <c r="T36" s="2"/>
    </row>
    <row r="37" spans="1:20">
      <c r="A37" s="22">
        <v>41687</v>
      </c>
      <c r="B37" s="20" t="s">
        <v>9</v>
      </c>
      <c r="C37" s="33">
        <f t="shared" si="5"/>
        <v>41687</v>
      </c>
      <c r="D37" s="33"/>
      <c r="E37" s="72"/>
      <c r="F37" s="72"/>
      <c r="G37" s="72"/>
      <c r="H37" s="72"/>
      <c r="I37" s="2"/>
      <c r="J37" s="742"/>
      <c r="K37" s="742"/>
      <c r="L37" s="742"/>
      <c r="M37" s="742"/>
      <c r="N37" s="742"/>
      <c r="O37" s="742"/>
      <c r="P37" s="742"/>
      <c r="Q37" s="70"/>
      <c r="R37" s="2"/>
      <c r="S37" s="2"/>
      <c r="T37" s="2"/>
    </row>
    <row r="38" spans="1:20">
      <c r="A38" s="22">
        <v>41785</v>
      </c>
      <c r="B38" s="20" t="s">
        <v>10</v>
      </c>
      <c r="C38" s="33">
        <f t="shared" si="5"/>
        <v>41785</v>
      </c>
      <c r="D38" s="33"/>
      <c r="E38" s="72"/>
      <c r="F38" s="72"/>
      <c r="G38" s="72"/>
      <c r="H38" s="72"/>
      <c r="I38" s="2"/>
      <c r="J38" s="742"/>
      <c r="K38" s="742"/>
      <c r="L38" s="742"/>
      <c r="M38" s="742"/>
      <c r="N38" s="742"/>
      <c r="O38" s="742"/>
      <c r="P38" s="742"/>
      <c r="Q38" s="70"/>
      <c r="R38" s="2"/>
      <c r="S38" s="2"/>
      <c r="T38" s="2"/>
    </row>
    <row r="39" spans="1:20">
      <c r="A39" s="22">
        <v>41824</v>
      </c>
      <c r="B39" s="20" t="s">
        <v>11</v>
      </c>
      <c r="C39" s="33">
        <f t="shared" si="5"/>
        <v>41824</v>
      </c>
      <c r="D39" s="33"/>
      <c r="E39" s="72"/>
      <c r="F39" s="72"/>
      <c r="G39" s="72"/>
      <c r="H39" s="72"/>
      <c r="I39" s="2"/>
      <c r="J39" s="742"/>
      <c r="K39" s="742"/>
      <c r="L39" s="742"/>
      <c r="M39" s="742"/>
      <c r="N39" s="742"/>
      <c r="O39" s="742"/>
      <c r="P39" s="742"/>
      <c r="Q39" s="70"/>
      <c r="R39" s="2"/>
      <c r="S39" s="2"/>
      <c r="T39" s="2"/>
    </row>
    <row r="40" spans="1:20">
      <c r="A40" s="22">
        <v>41884</v>
      </c>
      <c r="B40" s="20" t="s">
        <v>12</v>
      </c>
      <c r="C40" s="33">
        <f t="shared" si="5"/>
        <v>41884</v>
      </c>
      <c r="D40" s="33"/>
      <c r="E40" s="72"/>
      <c r="F40" s="72"/>
      <c r="G40" s="72"/>
      <c r="H40" s="72"/>
      <c r="I40" s="2"/>
      <c r="J40" s="742"/>
      <c r="K40" s="742"/>
      <c r="L40" s="742"/>
      <c r="M40" s="742"/>
      <c r="N40" s="742"/>
      <c r="O40" s="742"/>
      <c r="P40" s="742"/>
      <c r="Q40" s="70"/>
      <c r="R40" s="2"/>
      <c r="S40" s="2"/>
      <c r="T40" s="2"/>
    </row>
    <row r="41" spans="1:20">
      <c r="A41" s="22">
        <v>41954</v>
      </c>
      <c r="B41" s="20" t="s">
        <v>3</v>
      </c>
      <c r="C41" s="33">
        <f t="shared" si="5"/>
        <v>41954</v>
      </c>
      <c r="D41" s="33"/>
      <c r="E41" s="72"/>
      <c r="F41" s="72"/>
      <c r="G41" s="72"/>
      <c r="H41" s="72"/>
      <c r="I41" s="2"/>
      <c r="J41" s="742"/>
      <c r="K41" s="742"/>
      <c r="L41" s="742"/>
      <c r="M41" s="742"/>
      <c r="N41" s="742"/>
      <c r="O41" s="742"/>
      <c r="P41" s="742"/>
      <c r="Q41" s="70"/>
      <c r="R41" s="2"/>
      <c r="S41" s="2"/>
      <c r="T41" s="2"/>
    </row>
    <row r="42" spans="1:20">
      <c r="A42" s="22">
        <v>41970</v>
      </c>
      <c r="B42" s="20" t="s">
        <v>4</v>
      </c>
      <c r="C42" s="33">
        <f t="shared" si="5"/>
        <v>41970</v>
      </c>
      <c r="D42" s="33"/>
      <c r="E42" s="72"/>
      <c r="F42" s="72"/>
      <c r="G42" s="72"/>
      <c r="H42" s="72"/>
      <c r="I42" s="2"/>
      <c r="J42" s="742"/>
      <c r="K42" s="742"/>
      <c r="L42" s="742"/>
      <c r="M42" s="742"/>
      <c r="N42" s="742"/>
      <c r="O42" s="742"/>
      <c r="P42" s="742"/>
      <c r="Q42" s="70"/>
      <c r="R42" s="2"/>
      <c r="S42" s="2"/>
      <c r="T42" s="2"/>
    </row>
    <row r="43" spans="1:20">
      <c r="A43" s="22">
        <v>41998</v>
      </c>
      <c r="B43" s="20" t="s">
        <v>6</v>
      </c>
      <c r="C43" s="33">
        <f t="shared" si="5"/>
        <v>41998</v>
      </c>
      <c r="D43" s="33"/>
      <c r="E43" s="72"/>
      <c r="F43" s="72"/>
      <c r="G43" s="72"/>
      <c r="H43" s="72"/>
      <c r="I43" s="2"/>
      <c r="J43" s="742"/>
      <c r="K43" s="742"/>
      <c r="L43" s="742"/>
      <c r="M43" s="742"/>
      <c r="N43" s="742"/>
      <c r="O43" s="742"/>
      <c r="P43" s="742"/>
      <c r="Q43" s="70"/>
      <c r="R43" s="2"/>
      <c r="S43" s="2"/>
      <c r="T43" s="2"/>
    </row>
    <row r="44" spans="1:20">
      <c r="A44" s="22">
        <v>42005</v>
      </c>
      <c r="B44" s="20" t="s">
        <v>7</v>
      </c>
      <c r="C44" s="33">
        <f t="shared" si="5"/>
        <v>42005</v>
      </c>
      <c r="D44" s="33"/>
      <c r="E44" s="72"/>
      <c r="F44" s="72"/>
      <c r="G44" s="72"/>
      <c r="H44" s="72"/>
      <c r="I44" s="2"/>
      <c r="J44" s="742"/>
      <c r="K44" s="742"/>
      <c r="L44" s="742"/>
      <c r="M44" s="742"/>
      <c r="N44" s="742"/>
      <c r="O44" s="742"/>
      <c r="P44" s="742"/>
      <c r="Q44" s="70"/>
      <c r="R44" s="2"/>
      <c r="S44" s="2"/>
      <c r="T44" s="2"/>
    </row>
    <row r="45" spans="1:20">
      <c r="A45" s="22">
        <v>42023</v>
      </c>
      <c r="B45" s="20" t="s">
        <v>8</v>
      </c>
      <c r="C45" s="33">
        <f t="shared" si="5"/>
        <v>42023</v>
      </c>
      <c r="D45" s="33"/>
      <c r="E45" s="72"/>
      <c r="F45" s="72"/>
      <c r="G45" s="72"/>
      <c r="H45" s="72"/>
      <c r="I45" s="2"/>
      <c r="J45" s="742"/>
      <c r="K45" s="742"/>
      <c r="L45" s="742"/>
      <c r="M45" s="742"/>
      <c r="N45" s="742"/>
      <c r="O45" s="742"/>
      <c r="P45" s="742"/>
      <c r="Q45" s="70"/>
      <c r="R45" s="2"/>
      <c r="S45" s="2"/>
      <c r="T45" s="2"/>
    </row>
    <row r="46" spans="1:20">
      <c r="A46" s="22">
        <v>42051</v>
      </c>
      <c r="B46" s="20" t="s">
        <v>9</v>
      </c>
      <c r="C46" s="33">
        <f t="shared" si="5"/>
        <v>42051</v>
      </c>
      <c r="D46" s="33"/>
      <c r="E46" s="72"/>
      <c r="F46" s="72"/>
      <c r="G46" s="72"/>
      <c r="H46" s="72"/>
      <c r="I46" s="2"/>
      <c r="J46" s="742"/>
      <c r="K46" s="742"/>
      <c r="L46" s="742"/>
      <c r="M46" s="742"/>
      <c r="N46" s="742"/>
      <c r="O46" s="742"/>
      <c r="P46" s="742"/>
      <c r="Q46" s="70"/>
      <c r="R46" s="2"/>
      <c r="S46" s="2"/>
      <c r="T46" s="2"/>
    </row>
    <row r="47" spans="1:20">
      <c r="A47" s="22">
        <v>42149</v>
      </c>
      <c r="B47" s="20" t="s">
        <v>10</v>
      </c>
      <c r="C47" s="33">
        <f t="shared" si="5"/>
        <v>42149</v>
      </c>
      <c r="D47" s="33"/>
      <c r="E47" s="72"/>
      <c r="F47" s="72"/>
      <c r="G47" s="72"/>
      <c r="H47" s="72"/>
      <c r="I47" s="2"/>
      <c r="J47" s="742"/>
      <c r="K47" s="742"/>
      <c r="L47" s="742"/>
      <c r="M47" s="742"/>
      <c r="N47" s="742"/>
      <c r="O47" s="742"/>
      <c r="P47" s="742"/>
      <c r="Q47" s="70"/>
      <c r="R47" s="2"/>
      <c r="S47" s="2"/>
      <c r="T47" s="2"/>
    </row>
    <row r="48" spans="1:20">
      <c r="A48" s="22">
        <v>42188</v>
      </c>
      <c r="B48" s="20" t="s">
        <v>11</v>
      </c>
      <c r="C48" s="33">
        <f t="shared" si="5"/>
        <v>42188</v>
      </c>
      <c r="D48" s="33"/>
      <c r="E48" s="72"/>
      <c r="F48" s="72"/>
      <c r="G48" s="72"/>
      <c r="H48" s="72"/>
      <c r="I48" s="2"/>
      <c r="J48" s="742"/>
      <c r="K48" s="742"/>
      <c r="L48" s="742"/>
      <c r="M48" s="742"/>
      <c r="N48" s="742"/>
      <c r="O48" s="742"/>
      <c r="P48" s="742"/>
      <c r="Q48" s="70"/>
      <c r="R48" s="2"/>
      <c r="S48" s="2"/>
      <c r="T48" s="2"/>
    </row>
    <row r="49" spans="1:20">
      <c r="A49" s="22">
        <v>42254</v>
      </c>
      <c r="B49" s="20" t="s">
        <v>12</v>
      </c>
      <c r="C49" s="33">
        <f t="shared" si="5"/>
        <v>42254</v>
      </c>
      <c r="D49" s="33"/>
      <c r="E49" s="72"/>
      <c r="F49" s="72"/>
      <c r="G49" s="72"/>
      <c r="H49" s="72"/>
      <c r="I49" s="2"/>
      <c r="J49" s="742"/>
      <c r="K49" s="742"/>
      <c r="L49" s="742"/>
      <c r="M49" s="742"/>
      <c r="N49" s="742"/>
      <c r="O49" s="742"/>
      <c r="P49" s="742"/>
      <c r="Q49" s="70"/>
      <c r="R49" s="2"/>
      <c r="S49" s="2"/>
      <c r="T49" s="2"/>
    </row>
    <row r="50" spans="1:20">
      <c r="A50" s="22">
        <v>42319</v>
      </c>
      <c r="B50" s="20" t="s">
        <v>3</v>
      </c>
      <c r="C50" s="33">
        <f t="shared" si="5"/>
        <v>42319</v>
      </c>
      <c r="D50" s="33"/>
      <c r="E50" s="72"/>
      <c r="F50" s="72"/>
      <c r="G50" s="72"/>
      <c r="H50" s="72"/>
      <c r="I50" s="2"/>
      <c r="J50" s="742"/>
      <c r="K50" s="742"/>
      <c r="L50" s="742"/>
      <c r="M50" s="742"/>
      <c r="N50" s="742"/>
      <c r="O50" s="742"/>
      <c r="P50" s="742"/>
      <c r="Q50" s="70"/>
      <c r="R50" s="2"/>
      <c r="S50" s="2"/>
      <c r="T50" s="2"/>
    </row>
    <row r="51" spans="1:20">
      <c r="A51" s="22">
        <v>42334</v>
      </c>
      <c r="B51" s="20" t="s">
        <v>4</v>
      </c>
      <c r="C51" s="33">
        <f t="shared" si="5"/>
        <v>42334</v>
      </c>
      <c r="D51" s="33"/>
      <c r="E51" s="72"/>
      <c r="F51" s="72"/>
      <c r="G51" s="72"/>
      <c r="H51" s="72"/>
      <c r="I51" s="2"/>
      <c r="J51" s="742"/>
      <c r="K51" s="742"/>
      <c r="L51" s="742"/>
      <c r="M51" s="742"/>
      <c r="N51" s="742"/>
      <c r="O51" s="742"/>
      <c r="P51" s="742"/>
      <c r="Q51" s="70"/>
      <c r="R51" s="2"/>
      <c r="S51" s="2"/>
      <c r="T51" s="2"/>
    </row>
    <row r="52" spans="1:20">
      <c r="A52" s="22">
        <v>42363</v>
      </c>
      <c r="B52" s="20" t="s">
        <v>6</v>
      </c>
      <c r="C52" s="33">
        <f t="shared" si="5"/>
        <v>42363</v>
      </c>
      <c r="D52" s="33"/>
      <c r="E52" s="72"/>
      <c r="F52" s="72"/>
      <c r="G52" s="72"/>
      <c r="H52" s="72"/>
      <c r="I52" s="2"/>
      <c r="J52" s="742"/>
      <c r="K52" s="742"/>
      <c r="L52" s="742"/>
      <c r="M52" s="742"/>
      <c r="N52" s="742"/>
      <c r="O52" s="742"/>
      <c r="P52" s="742"/>
      <c r="Q52" s="70"/>
      <c r="R52" s="2"/>
      <c r="S52" s="2"/>
      <c r="T52" s="2"/>
    </row>
    <row r="53" spans="1:20">
      <c r="A53" s="22">
        <v>42370</v>
      </c>
      <c r="B53" s="20" t="s">
        <v>7</v>
      </c>
      <c r="C53" s="33">
        <f t="shared" ref="C53:C61" si="6">A53</f>
        <v>42370</v>
      </c>
      <c r="D53" s="33"/>
      <c r="E53" s="72"/>
      <c r="F53" s="72"/>
      <c r="G53" s="72"/>
      <c r="H53" s="72"/>
      <c r="I53" s="2"/>
      <c r="J53" s="742"/>
      <c r="K53" s="742"/>
      <c r="L53" s="742"/>
      <c r="M53" s="742"/>
      <c r="N53" s="742"/>
      <c r="O53" s="742"/>
      <c r="P53" s="742"/>
      <c r="Q53" s="70"/>
      <c r="R53" s="2"/>
      <c r="S53" s="2"/>
      <c r="T53" s="2"/>
    </row>
    <row r="54" spans="1:20">
      <c r="A54" s="22">
        <v>42387</v>
      </c>
      <c r="B54" s="20" t="s">
        <v>8</v>
      </c>
      <c r="C54" s="33">
        <f t="shared" si="6"/>
        <v>42387</v>
      </c>
      <c r="D54" s="33"/>
      <c r="E54" s="72"/>
      <c r="F54" s="72"/>
      <c r="G54" s="72"/>
      <c r="H54" s="72"/>
      <c r="I54" s="2"/>
      <c r="J54" s="742"/>
      <c r="K54" s="742"/>
      <c r="L54" s="742"/>
      <c r="M54" s="742"/>
      <c r="N54" s="742"/>
      <c r="O54" s="742"/>
      <c r="P54" s="742"/>
      <c r="Q54" s="70"/>
      <c r="R54" s="2"/>
      <c r="S54" s="2"/>
      <c r="T54" s="2"/>
    </row>
    <row r="55" spans="1:20">
      <c r="A55" s="22">
        <v>42415</v>
      </c>
      <c r="B55" s="20" t="s">
        <v>9</v>
      </c>
      <c r="C55" s="33">
        <f t="shared" si="6"/>
        <v>42415</v>
      </c>
      <c r="D55" s="33"/>
      <c r="E55" s="72"/>
      <c r="F55" s="72"/>
      <c r="G55" s="72"/>
      <c r="H55" s="72"/>
      <c r="I55" s="2"/>
      <c r="J55" s="742"/>
      <c r="K55" s="742"/>
      <c r="L55" s="742"/>
      <c r="M55" s="742"/>
      <c r="N55" s="742"/>
      <c r="O55" s="742"/>
      <c r="P55" s="742"/>
      <c r="Q55" s="70"/>
      <c r="R55" s="2"/>
      <c r="S55" s="2"/>
      <c r="T55" s="2"/>
    </row>
    <row r="56" spans="1:20">
      <c r="A56" s="22">
        <v>42520</v>
      </c>
      <c r="B56" s="20" t="s">
        <v>10</v>
      </c>
      <c r="C56" s="33">
        <f t="shared" si="6"/>
        <v>42520</v>
      </c>
      <c r="D56" s="33"/>
      <c r="E56" s="72"/>
      <c r="F56" s="72"/>
      <c r="G56" s="72"/>
      <c r="H56" s="72"/>
      <c r="I56" s="2"/>
      <c r="J56" s="742"/>
      <c r="K56" s="742"/>
      <c r="L56" s="742"/>
      <c r="M56" s="742"/>
      <c r="N56" s="742"/>
      <c r="O56" s="742"/>
      <c r="P56" s="742"/>
      <c r="Q56" s="70"/>
      <c r="R56" s="2"/>
      <c r="S56" s="2"/>
      <c r="T56" s="2"/>
    </row>
    <row r="57" spans="1:20">
      <c r="A57" s="22">
        <v>42555</v>
      </c>
      <c r="B57" s="20" t="s">
        <v>11</v>
      </c>
      <c r="C57" s="33">
        <f t="shared" si="6"/>
        <v>42555</v>
      </c>
      <c r="D57" s="33"/>
      <c r="E57" s="72"/>
      <c r="F57" s="72"/>
      <c r="G57" s="72"/>
      <c r="H57" s="72"/>
      <c r="I57" s="2"/>
      <c r="J57" s="742"/>
      <c r="K57" s="742"/>
      <c r="L57" s="742"/>
      <c r="M57" s="742"/>
      <c r="N57" s="742"/>
      <c r="O57" s="742"/>
      <c r="P57" s="742"/>
      <c r="Q57" s="70"/>
      <c r="R57" s="2"/>
      <c r="S57" s="2"/>
      <c r="T57" s="2"/>
    </row>
    <row r="58" spans="1:20">
      <c r="A58" s="22">
        <v>42618</v>
      </c>
      <c r="B58" s="20" t="s">
        <v>12</v>
      </c>
      <c r="C58" s="33">
        <f t="shared" si="6"/>
        <v>42618</v>
      </c>
      <c r="D58" s="33"/>
      <c r="E58" s="72"/>
      <c r="F58" s="72"/>
      <c r="G58" s="72"/>
      <c r="H58" s="72"/>
      <c r="I58" s="2"/>
      <c r="J58" s="742"/>
      <c r="K58" s="742"/>
      <c r="L58" s="742"/>
      <c r="M58" s="742"/>
      <c r="N58" s="742"/>
      <c r="O58" s="742"/>
      <c r="P58" s="742"/>
      <c r="Q58" s="70"/>
      <c r="R58" s="2"/>
      <c r="S58" s="2"/>
      <c r="T58" s="2"/>
    </row>
    <row r="59" spans="1:20">
      <c r="A59" s="22">
        <v>42685</v>
      </c>
      <c r="B59" s="20" t="s">
        <v>3</v>
      </c>
      <c r="C59" s="33">
        <f t="shared" si="6"/>
        <v>42685</v>
      </c>
      <c r="D59" s="33"/>
      <c r="E59" s="72"/>
      <c r="F59" s="72"/>
      <c r="G59" s="72"/>
      <c r="H59" s="72"/>
      <c r="I59" s="2"/>
      <c r="J59" s="742"/>
      <c r="K59" s="742"/>
      <c r="L59" s="742"/>
      <c r="M59" s="742"/>
      <c r="N59" s="742"/>
      <c r="O59" s="742"/>
      <c r="P59" s="742"/>
      <c r="Q59" s="70"/>
      <c r="R59" s="2"/>
      <c r="S59" s="2"/>
      <c r="T59" s="2"/>
    </row>
    <row r="60" spans="1:20">
      <c r="A60" s="22">
        <v>42698</v>
      </c>
      <c r="B60" s="20" t="s">
        <v>4</v>
      </c>
      <c r="C60" s="33">
        <f t="shared" si="6"/>
        <v>42698</v>
      </c>
      <c r="D60" s="33"/>
      <c r="E60" s="72"/>
      <c r="F60" s="72"/>
      <c r="G60" s="72"/>
      <c r="H60" s="72"/>
      <c r="I60" s="2"/>
      <c r="J60" s="742"/>
      <c r="K60" s="742"/>
      <c r="L60" s="742"/>
      <c r="M60" s="742"/>
      <c r="N60" s="742"/>
      <c r="O60" s="742"/>
      <c r="P60" s="742"/>
      <c r="Q60" s="70"/>
      <c r="R60" s="2"/>
      <c r="S60" s="2"/>
      <c r="T60" s="2"/>
    </row>
    <row r="61" spans="1:20">
      <c r="A61" s="22">
        <v>42730</v>
      </c>
      <c r="B61" s="20" t="s">
        <v>6</v>
      </c>
      <c r="C61" s="33">
        <f t="shared" si="6"/>
        <v>42730</v>
      </c>
      <c r="D61" s="33"/>
      <c r="E61" s="72"/>
      <c r="F61" s="72"/>
      <c r="G61" s="72"/>
      <c r="H61" s="72"/>
      <c r="I61" s="2"/>
      <c r="J61" s="742"/>
      <c r="K61" s="742"/>
      <c r="L61" s="742"/>
      <c r="M61" s="742"/>
      <c r="N61" s="742"/>
      <c r="O61" s="742"/>
      <c r="P61" s="742"/>
      <c r="Q61" s="70"/>
      <c r="R61" s="2"/>
      <c r="S61" s="2"/>
      <c r="T61" s="2"/>
    </row>
    <row r="62" spans="1:20">
      <c r="A62" s="22">
        <v>42737</v>
      </c>
      <c r="B62" s="20" t="s">
        <v>7</v>
      </c>
      <c r="C62" s="33">
        <f t="shared" ref="C62:C70" si="7">A62</f>
        <v>42737</v>
      </c>
      <c r="D62" s="33"/>
      <c r="E62" s="72"/>
      <c r="F62" s="72"/>
      <c r="G62" s="72"/>
      <c r="H62" s="72"/>
      <c r="I62" s="2"/>
      <c r="J62" s="742"/>
      <c r="K62" s="742"/>
      <c r="L62" s="742"/>
      <c r="M62" s="742"/>
      <c r="N62" s="742"/>
      <c r="O62" s="742"/>
      <c r="P62" s="742"/>
      <c r="Q62" s="70"/>
      <c r="R62" s="2"/>
      <c r="S62" s="2"/>
      <c r="T62" s="2"/>
    </row>
    <row r="63" spans="1:20">
      <c r="A63" s="22">
        <v>42751</v>
      </c>
      <c r="B63" s="20" t="s">
        <v>8</v>
      </c>
      <c r="C63" s="33">
        <f t="shared" si="7"/>
        <v>42751</v>
      </c>
      <c r="D63" s="33"/>
      <c r="E63" s="72"/>
      <c r="F63" s="72"/>
      <c r="G63" s="72"/>
      <c r="H63" s="72"/>
      <c r="I63" s="2"/>
      <c r="J63" s="742"/>
      <c r="K63" s="742"/>
      <c r="L63" s="742"/>
      <c r="M63" s="742"/>
      <c r="N63" s="742"/>
      <c r="O63" s="742"/>
      <c r="P63" s="742"/>
      <c r="Q63" s="70"/>
      <c r="R63" s="2"/>
      <c r="S63" s="2"/>
      <c r="T63" s="2"/>
    </row>
    <row r="64" spans="1:20">
      <c r="A64" s="22">
        <v>42786</v>
      </c>
      <c r="B64" s="20" t="s">
        <v>9</v>
      </c>
      <c r="C64" s="33">
        <f t="shared" si="7"/>
        <v>42786</v>
      </c>
      <c r="D64" s="33"/>
      <c r="E64" s="72"/>
      <c r="F64" s="72"/>
      <c r="G64" s="72"/>
      <c r="H64" s="72"/>
      <c r="I64" s="2"/>
      <c r="J64" s="742"/>
      <c r="K64" s="742"/>
      <c r="L64" s="742"/>
      <c r="M64" s="742"/>
      <c r="N64" s="742"/>
      <c r="O64" s="742"/>
      <c r="P64" s="742"/>
      <c r="Q64" s="70"/>
      <c r="R64" s="2"/>
      <c r="S64" s="2"/>
      <c r="T64" s="2"/>
    </row>
    <row r="65" spans="1:20">
      <c r="A65" s="22">
        <v>42884</v>
      </c>
      <c r="B65" s="20" t="s">
        <v>10</v>
      </c>
      <c r="C65" s="33">
        <f t="shared" si="7"/>
        <v>42884</v>
      </c>
      <c r="D65" s="33"/>
      <c r="E65" s="72"/>
      <c r="F65" s="72"/>
      <c r="G65" s="72"/>
      <c r="H65" s="72"/>
      <c r="I65" s="2"/>
      <c r="J65" s="742"/>
      <c r="K65" s="742"/>
      <c r="L65" s="742"/>
      <c r="M65" s="742"/>
      <c r="N65" s="742"/>
      <c r="O65" s="742"/>
      <c r="P65" s="742"/>
      <c r="Q65" s="70"/>
      <c r="R65" s="2"/>
      <c r="S65" s="2"/>
      <c r="T65" s="2"/>
    </row>
    <row r="66" spans="1:20">
      <c r="A66" s="22">
        <v>42920</v>
      </c>
      <c r="B66" s="20" t="s">
        <v>11</v>
      </c>
      <c r="C66" s="33">
        <f t="shared" si="7"/>
        <v>42920</v>
      </c>
      <c r="D66" s="33"/>
      <c r="E66" s="72"/>
      <c r="F66" s="72"/>
      <c r="G66" s="72"/>
      <c r="H66" s="72"/>
      <c r="I66" s="2"/>
      <c r="J66" s="742"/>
      <c r="K66" s="742"/>
      <c r="L66" s="742"/>
      <c r="M66" s="742"/>
      <c r="N66" s="742"/>
      <c r="O66" s="742"/>
      <c r="P66" s="742"/>
      <c r="Q66" s="70"/>
      <c r="R66" s="2"/>
      <c r="S66" s="2"/>
      <c r="T66" s="2"/>
    </row>
    <row r="67" spans="1:20">
      <c r="A67" s="22">
        <v>42982</v>
      </c>
      <c r="B67" s="20" t="s">
        <v>12</v>
      </c>
      <c r="C67" s="33">
        <f t="shared" si="7"/>
        <v>42982</v>
      </c>
      <c r="D67" s="33"/>
      <c r="E67" s="72"/>
      <c r="F67" s="72"/>
      <c r="G67" s="72"/>
      <c r="H67" s="72"/>
      <c r="I67" s="2"/>
      <c r="J67" s="742"/>
      <c r="K67" s="742"/>
      <c r="L67" s="742"/>
      <c r="M67" s="742"/>
      <c r="N67" s="742"/>
      <c r="O67" s="742"/>
      <c r="P67" s="742"/>
      <c r="Q67" s="70"/>
      <c r="R67" s="2"/>
      <c r="S67" s="2"/>
      <c r="T67" s="2"/>
    </row>
    <row r="68" spans="1:20">
      <c r="A68" s="22">
        <v>43049</v>
      </c>
      <c r="B68" s="20" t="s">
        <v>3</v>
      </c>
      <c r="C68" s="33">
        <f t="shared" si="7"/>
        <v>43049</v>
      </c>
      <c r="D68" s="33"/>
      <c r="E68" s="72"/>
      <c r="F68" s="72"/>
      <c r="G68" s="72"/>
      <c r="H68" s="72"/>
      <c r="I68" s="2"/>
      <c r="J68" s="742"/>
      <c r="K68" s="742"/>
      <c r="L68" s="742"/>
      <c r="M68" s="742"/>
      <c r="N68" s="742"/>
      <c r="O68" s="742"/>
      <c r="P68" s="742"/>
      <c r="Q68" s="70"/>
      <c r="R68" s="2"/>
      <c r="S68" s="2"/>
      <c r="T68" s="2"/>
    </row>
    <row r="69" spans="1:20">
      <c r="A69" s="22">
        <v>43062</v>
      </c>
      <c r="B69" s="20" t="s">
        <v>4</v>
      </c>
      <c r="C69" s="33">
        <f t="shared" si="7"/>
        <v>43062</v>
      </c>
      <c r="D69" s="33"/>
      <c r="E69" s="72"/>
      <c r="F69" s="72"/>
      <c r="G69" s="72"/>
      <c r="H69" s="72"/>
      <c r="I69" s="2"/>
      <c r="J69" s="742"/>
      <c r="K69" s="742"/>
      <c r="L69" s="742"/>
      <c r="M69" s="742"/>
      <c r="N69" s="742"/>
      <c r="O69" s="742"/>
      <c r="P69" s="742"/>
      <c r="Q69" s="70"/>
      <c r="R69" s="2"/>
      <c r="S69" s="2"/>
      <c r="T69" s="2"/>
    </row>
    <row r="70" spans="1:20">
      <c r="A70" s="22">
        <v>43094</v>
      </c>
      <c r="B70" s="20" t="s">
        <v>6</v>
      </c>
      <c r="C70" s="33">
        <f t="shared" si="7"/>
        <v>43094</v>
      </c>
      <c r="D70" s="33"/>
      <c r="E70" s="72"/>
      <c r="F70" s="72"/>
      <c r="G70" s="72"/>
      <c r="H70" s="72"/>
      <c r="I70" s="2"/>
      <c r="J70" s="742"/>
      <c r="K70" s="742"/>
      <c r="L70" s="742"/>
      <c r="M70" s="742"/>
      <c r="N70" s="742"/>
      <c r="O70" s="742"/>
      <c r="P70" s="742"/>
      <c r="Q70" s="70"/>
      <c r="R70" s="2"/>
      <c r="S70" s="2"/>
      <c r="T70" s="2"/>
    </row>
    <row r="71" spans="1:20">
      <c r="A71" s="22">
        <v>43101</v>
      </c>
      <c r="B71" s="20" t="s">
        <v>7</v>
      </c>
      <c r="C71" s="33">
        <f t="shared" si="5"/>
        <v>43101</v>
      </c>
      <c r="D71" s="33"/>
      <c r="E71" s="72"/>
      <c r="F71" s="72"/>
      <c r="G71" s="72"/>
      <c r="H71" s="72"/>
      <c r="I71" s="2"/>
      <c r="J71" s="742"/>
      <c r="K71" s="742"/>
      <c r="L71" s="742"/>
      <c r="M71" s="742"/>
      <c r="N71" s="742"/>
      <c r="O71" s="742"/>
      <c r="P71" s="742"/>
      <c r="Q71" s="70"/>
      <c r="R71" s="2"/>
      <c r="S71" s="2"/>
      <c r="T71" s="2"/>
    </row>
    <row r="72" spans="1:20">
      <c r="A72" s="18" t="s">
        <v>23</v>
      </c>
      <c r="B72" s="19"/>
      <c r="C72" s="7"/>
      <c r="D72" s="7"/>
      <c r="E72" s="73"/>
      <c r="F72" s="73"/>
      <c r="G72" s="73"/>
      <c r="H72" s="73"/>
      <c r="I72" s="2"/>
      <c r="J72" s="742"/>
      <c r="K72" s="742"/>
      <c r="L72" s="742"/>
      <c r="M72" s="742"/>
      <c r="N72" s="742"/>
      <c r="O72" s="742"/>
      <c r="P72" s="742"/>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16</v>
      </c>
      <c r="B74" s="21" t="s">
        <v>17</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23</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2"/>
  <sheetViews>
    <sheetView showGridLines="0" tabSelected="1" topLeftCell="A72" zoomScaleNormal="100" workbookViewId="0">
      <selection activeCell="B327" sqref="B327"/>
    </sheetView>
  </sheetViews>
  <sheetFormatPr defaultRowHeight="14.25" outlineLevelRow="2" outlineLevelCol="1"/>
  <cols>
    <col min="1" max="1" width="1.5" customWidth="1"/>
    <col min="2" max="2" width="43.625" customWidth="1"/>
    <col min="3" max="3" width="2.5" style="711" customWidth="1"/>
    <col min="4" max="4" width="10.375" style="46" customWidth="1"/>
    <col min="5" max="5" width="7.375" style="44" customWidth="1"/>
    <col min="6" max="6" width="7.625" style="44" customWidth="1"/>
    <col min="7" max="7" width="11.375" style="46" customWidth="1"/>
    <col min="8" max="8" width="11.5" style="46" customWidth="1"/>
    <col min="9" max="9" width="0.75" style="30" customWidth="1"/>
    <col min="10" max="700" width="3.625" customWidth="1" outlineLevel="1"/>
    <col min="701" max="701" width="3.625" style="23" customWidth="1" outlineLevel="1"/>
    <col min="702" max="702" width="3.625" style="53" customWidth="1" outlineLevel="1"/>
    <col min="703" max="703" width="1.375" customWidth="1"/>
    <col min="704" max="704" width="0.875" customWidth="1"/>
    <col min="705" max="705" width="0.375" customWidth="1"/>
    <col min="706" max="706" width="2.125" style="548" hidden="1" customWidth="1" outlineLevel="1"/>
    <col min="707" max="707" width="3.375" style="548" hidden="1" customWidth="1" outlineLevel="1"/>
    <col min="708" max="708" width="4.5" style="546"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558"/>
      <c r="B1" s="601" t="s">
        <v>0</v>
      </c>
      <c r="C1" s="686"/>
      <c r="D1" s="602"/>
      <c r="E1" s="603"/>
      <c r="F1" s="604"/>
      <c r="G1" s="605"/>
      <c r="H1" s="608"/>
      <c r="I1" s="588"/>
      <c r="J1" s="606"/>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607"/>
      <c r="DK1" s="607"/>
      <c r="DL1" s="607"/>
      <c r="DM1" s="607"/>
      <c r="DN1" s="607"/>
      <c r="DO1" s="607"/>
      <c r="DP1" s="607"/>
      <c r="DQ1" s="607"/>
      <c r="DR1" s="607"/>
      <c r="DS1" s="607"/>
      <c r="DT1" s="607"/>
      <c r="DU1" s="607"/>
      <c r="DV1" s="607"/>
      <c r="DW1" s="607"/>
      <c r="DX1" s="607"/>
      <c r="DY1" s="607"/>
      <c r="DZ1" s="607"/>
      <c r="EA1" s="607"/>
      <c r="EB1" s="607"/>
      <c r="EC1" s="607"/>
      <c r="ED1" s="607"/>
      <c r="EE1" s="607"/>
      <c r="EF1" s="607"/>
      <c r="EG1" s="607"/>
      <c r="EH1" s="607"/>
      <c r="EI1" s="607"/>
      <c r="EJ1" s="607"/>
      <c r="EK1" s="607"/>
      <c r="EL1" s="607"/>
      <c r="EM1" s="607"/>
      <c r="EN1" s="607"/>
      <c r="EO1" s="607"/>
      <c r="EP1" s="607"/>
      <c r="EQ1" s="607"/>
      <c r="ER1" s="607"/>
      <c r="ES1" s="607"/>
      <c r="ET1" s="607"/>
      <c r="EU1" s="607"/>
      <c r="EV1" s="607"/>
      <c r="EW1" s="607"/>
      <c r="EX1" s="607"/>
      <c r="EY1" s="607"/>
      <c r="EZ1" s="607"/>
      <c r="FA1" s="607"/>
      <c r="FB1" s="607"/>
      <c r="FC1" s="607"/>
      <c r="FD1" s="607"/>
      <c r="FE1" s="607"/>
      <c r="FF1" s="607"/>
      <c r="FG1" s="607"/>
      <c r="FH1" s="607"/>
      <c r="FI1" s="607"/>
      <c r="FJ1" s="607"/>
      <c r="FK1" s="607"/>
      <c r="FL1" s="607"/>
      <c r="FM1" s="607"/>
      <c r="FN1" s="607"/>
      <c r="FO1" s="607"/>
      <c r="FP1" s="607"/>
      <c r="FQ1" s="607"/>
      <c r="FR1" s="607"/>
      <c r="FS1" s="607"/>
      <c r="FT1" s="607"/>
      <c r="FU1" s="607"/>
      <c r="FV1" s="607"/>
      <c r="FW1" s="607"/>
      <c r="FX1" s="607"/>
      <c r="FY1" s="607"/>
      <c r="FZ1" s="607"/>
      <c r="GA1" s="607"/>
      <c r="GB1" s="607"/>
      <c r="GC1" s="607"/>
      <c r="GD1" s="607"/>
      <c r="GE1" s="607"/>
      <c r="GF1" s="607"/>
      <c r="GG1" s="607"/>
      <c r="GH1" s="607"/>
      <c r="GI1" s="607"/>
      <c r="GJ1" s="607"/>
      <c r="GK1" s="607"/>
      <c r="GL1" s="607"/>
      <c r="GM1" s="607"/>
      <c r="GN1" s="607"/>
      <c r="GO1" s="607"/>
      <c r="GP1" s="607"/>
      <c r="GQ1" s="607"/>
      <c r="GR1" s="607"/>
      <c r="GS1" s="607"/>
      <c r="GT1" s="607"/>
      <c r="GU1" s="607"/>
      <c r="GV1" s="607"/>
      <c r="GW1" s="607"/>
      <c r="GX1" s="607"/>
      <c r="GY1" s="607"/>
      <c r="GZ1" s="607"/>
      <c r="HA1" s="607"/>
      <c r="HB1" s="607"/>
      <c r="HC1" s="607"/>
      <c r="HD1" s="607"/>
      <c r="HE1" s="607"/>
      <c r="HF1" s="607"/>
      <c r="HG1" s="607"/>
      <c r="HH1" s="607"/>
      <c r="HI1" s="607"/>
      <c r="HJ1" s="607"/>
      <c r="HK1" s="607"/>
      <c r="HL1" s="607"/>
      <c r="HM1" s="607"/>
      <c r="HN1" s="607"/>
      <c r="HO1" s="607"/>
      <c r="HP1" s="607"/>
      <c r="HQ1" s="607"/>
      <c r="HR1" s="607"/>
      <c r="HS1" s="607"/>
      <c r="HT1" s="607"/>
      <c r="HU1" s="607"/>
      <c r="HV1" s="607"/>
      <c r="HW1" s="607"/>
      <c r="HX1" s="607"/>
      <c r="HY1" s="607"/>
      <c r="HZ1" s="607"/>
      <c r="IA1" s="607"/>
      <c r="IB1" s="607"/>
      <c r="IC1" s="607"/>
      <c r="ID1" s="607"/>
      <c r="IE1" s="607"/>
      <c r="IF1" s="607"/>
      <c r="IG1" s="607"/>
      <c r="IH1" s="607"/>
      <c r="II1" s="607"/>
      <c r="IJ1" s="607"/>
      <c r="IK1" s="607"/>
      <c r="IL1" s="607"/>
      <c r="IM1" s="607"/>
      <c r="IN1" s="607"/>
      <c r="IO1" s="607"/>
      <c r="IP1" s="607"/>
      <c r="IQ1" s="607"/>
      <c r="IR1" s="607"/>
      <c r="IS1" s="607"/>
      <c r="IT1" s="607"/>
      <c r="IU1" s="607"/>
      <c r="IV1" s="607"/>
      <c r="IW1" s="607"/>
      <c r="IX1" s="607"/>
      <c r="IY1" s="607"/>
      <c r="IZ1" s="607"/>
      <c r="JA1" s="607"/>
      <c r="JB1" s="607"/>
      <c r="JC1" s="607"/>
      <c r="JD1" s="607"/>
      <c r="JE1" s="607"/>
      <c r="JF1" s="607"/>
      <c r="JG1" s="607"/>
      <c r="JH1" s="607"/>
      <c r="JI1" s="607"/>
      <c r="JJ1" s="607"/>
      <c r="JK1" s="607"/>
      <c r="JL1" s="607"/>
      <c r="JM1" s="607"/>
      <c r="JN1" s="607"/>
      <c r="JO1" s="607"/>
      <c r="JP1" s="607"/>
      <c r="JQ1" s="607"/>
      <c r="JR1" s="607"/>
      <c r="JS1" s="607"/>
      <c r="JT1" s="607"/>
      <c r="JU1" s="607"/>
      <c r="JV1" s="607"/>
      <c r="JW1" s="607"/>
      <c r="JX1" s="607"/>
      <c r="JY1" s="607"/>
      <c r="JZ1" s="607"/>
      <c r="KA1" s="607"/>
      <c r="KB1" s="607"/>
      <c r="KC1" s="607"/>
      <c r="KD1" s="607"/>
      <c r="KE1" s="607"/>
      <c r="KF1" s="607"/>
      <c r="KG1" s="607"/>
      <c r="KH1" s="607"/>
      <c r="KI1" s="607"/>
      <c r="KJ1" s="607"/>
      <c r="KK1" s="607"/>
      <c r="KL1" s="607"/>
      <c r="KM1" s="607"/>
      <c r="KN1" s="607"/>
      <c r="KO1" s="607"/>
      <c r="KP1" s="607"/>
      <c r="KQ1" s="607"/>
      <c r="KR1" s="607"/>
      <c r="KS1" s="607"/>
      <c r="KT1" s="607"/>
      <c r="KU1" s="607"/>
      <c r="KV1" s="607"/>
      <c r="KW1" s="607"/>
      <c r="KX1" s="607"/>
      <c r="KY1" s="607"/>
      <c r="KZ1" s="607"/>
      <c r="LA1" s="607"/>
      <c r="LB1" s="607"/>
      <c r="LC1" s="607"/>
      <c r="LD1" s="607"/>
      <c r="LE1" s="607"/>
      <c r="LF1" s="607"/>
      <c r="LG1" s="607"/>
      <c r="LH1" s="607"/>
      <c r="LI1" s="607"/>
      <c r="LJ1" s="607"/>
      <c r="LK1" s="607"/>
      <c r="LL1" s="607"/>
      <c r="LM1" s="607"/>
      <c r="LN1" s="607"/>
      <c r="LO1" s="607"/>
      <c r="LP1" s="607"/>
      <c r="LQ1" s="607"/>
      <c r="LR1" s="607"/>
      <c r="LS1" s="607"/>
      <c r="LT1" s="607"/>
      <c r="LU1" s="607"/>
      <c r="LV1" s="607"/>
      <c r="LW1" s="607"/>
      <c r="LX1" s="607"/>
      <c r="LY1" s="607"/>
      <c r="LZ1" s="607"/>
      <c r="MA1" s="607"/>
      <c r="MB1" s="607"/>
      <c r="MC1" s="607"/>
      <c r="MD1" s="607"/>
      <c r="ME1" s="607"/>
      <c r="MF1" s="607"/>
      <c r="MG1" s="607"/>
      <c r="MH1" s="607"/>
      <c r="MI1" s="607"/>
      <c r="MJ1" s="607"/>
      <c r="MK1" s="607"/>
      <c r="ML1" s="607"/>
      <c r="MM1" s="607"/>
      <c r="MN1" s="607"/>
      <c r="MO1" s="607"/>
      <c r="MP1" s="607"/>
      <c r="MQ1" s="607"/>
      <c r="MR1" s="607"/>
      <c r="MS1" s="607"/>
      <c r="MT1" s="607"/>
      <c r="MU1" s="607"/>
      <c r="MV1" s="607"/>
      <c r="MW1" s="607"/>
      <c r="MX1" s="607"/>
      <c r="MY1" s="607"/>
      <c r="MZ1" s="607"/>
      <c r="NA1" s="607"/>
      <c r="NB1" s="607"/>
      <c r="NC1" s="607"/>
      <c r="ND1" s="607"/>
      <c r="NE1" s="607"/>
      <c r="NF1" s="607"/>
      <c r="NG1" s="607"/>
      <c r="NH1" s="607"/>
      <c r="NI1" s="607"/>
      <c r="NJ1" s="607"/>
      <c r="NK1" s="607"/>
      <c r="NL1" s="607"/>
      <c r="NM1" s="607"/>
      <c r="NN1" s="607"/>
      <c r="NO1" s="607"/>
      <c r="NP1" s="607"/>
      <c r="NQ1" s="607"/>
      <c r="NR1" s="607"/>
      <c r="NS1" s="607"/>
      <c r="NT1" s="607"/>
      <c r="NU1" s="607"/>
      <c r="NV1" s="607"/>
      <c r="NW1" s="607"/>
      <c r="NX1" s="607"/>
      <c r="NY1" s="607"/>
      <c r="NZ1" s="607"/>
      <c r="OA1" s="607"/>
      <c r="OB1" s="607"/>
      <c r="OC1" s="607"/>
      <c r="OD1" s="607"/>
      <c r="OE1" s="607"/>
      <c r="OF1" s="607"/>
      <c r="OG1" s="607"/>
      <c r="OH1" s="607"/>
      <c r="OI1" s="607"/>
      <c r="OJ1" s="607"/>
      <c r="OK1" s="607"/>
      <c r="OL1" s="607"/>
      <c r="OM1" s="607"/>
      <c r="ON1" s="607"/>
      <c r="OO1" s="607"/>
      <c r="OP1" s="607"/>
      <c r="OQ1" s="607"/>
      <c r="OR1" s="607"/>
      <c r="OS1" s="607"/>
      <c r="OT1" s="607"/>
      <c r="OU1" s="607"/>
      <c r="OV1" s="607"/>
      <c r="OW1" s="607"/>
      <c r="OX1" s="607"/>
      <c r="OY1" s="607"/>
      <c r="OZ1" s="607"/>
      <c r="PA1" s="607"/>
      <c r="PB1" s="607"/>
      <c r="PC1" s="607"/>
      <c r="PD1" s="607"/>
      <c r="PE1" s="607"/>
      <c r="PF1" s="607"/>
      <c r="PG1" s="607"/>
      <c r="PH1" s="607"/>
      <c r="PI1" s="607"/>
      <c r="PJ1" s="607"/>
      <c r="PK1" s="607"/>
      <c r="PL1" s="607"/>
      <c r="PM1" s="607"/>
      <c r="PN1" s="607"/>
      <c r="PO1" s="607"/>
      <c r="PP1" s="607"/>
      <c r="PQ1" s="607"/>
      <c r="PR1" s="607"/>
      <c r="PS1" s="607"/>
      <c r="PT1" s="607"/>
      <c r="PU1" s="607"/>
      <c r="PV1" s="607"/>
      <c r="PW1" s="607"/>
      <c r="PX1" s="607"/>
      <c r="PY1" s="607"/>
      <c r="PZ1" s="607"/>
      <c r="QA1" s="607"/>
      <c r="QB1" s="607"/>
      <c r="QC1" s="607"/>
      <c r="QD1" s="607"/>
      <c r="QE1" s="607"/>
      <c r="QF1" s="607"/>
      <c r="QG1" s="607"/>
      <c r="QH1" s="607"/>
      <c r="QI1" s="607"/>
      <c r="QJ1" s="607"/>
      <c r="QK1" s="607"/>
      <c r="QL1" s="607"/>
      <c r="QM1" s="607"/>
      <c r="QN1" s="607"/>
      <c r="QO1" s="607"/>
      <c r="QP1" s="607"/>
      <c r="QQ1" s="607"/>
      <c r="QR1" s="607"/>
      <c r="QS1" s="607"/>
      <c r="QT1" s="607"/>
      <c r="QU1" s="607"/>
      <c r="QV1" s="607"/>
      <c r="QW1" s="607"/>
      <c r="QX1" s="607"/>
      <c r="QY1" s="607"/>
      <c r="QZ1" s="607"/>
      <c r="RA1" s="607"/>
      <c r="RB1" s="607"/>
      <c r="RC1" s="607"/>
      <c r="RD1" s="607"/>
      <c r="RE1" s="607"/>
      <c r="RF1" s="607"/>
      <c r="RG1" s="607"/>
      <c r="RH1" s="607"/>
      <c r="RI1" s="607"/>
      <c r="RJ1" s="607"/>
      <c r="RK1" s="607"/>
      <c r="RL1" s="607"/>
      <c r="RM1" s="607"/>
      <c r="RN1" s="607"/>
      <c r="RO1" s="607"/>
      <c r="RP1" s="607"/>
      <c r="RQ1" s="607"/>
      <c r="RR1" s="607"/>
      <c r="RS1" s="607"/>
      <c r="RT1" s="607"/>
      <c r="RU1" s="607"/>
      <c r="RV1" s="607"/>
      <c r="RW1" s="607"/>
      <c r="RX1" s="607"/>
      <c r="RY1" s="607"/>
      <c r="RZ1" s="607"/>
      <c r="SA1" s="607"/>
      <c r="SB1" s="607"/>
      <c r="SC1" s="607"/>
      <c r="SD1" s="607"/>
      <c r="SE1" s="607"/>
      <c r="SF1" s="607"/>
      <c r="SG1" s="607"/>
      <c r="SH1" s="607"/>
      <c r="SI1" s="607"/>
      <c r="SJ1" s="607"/>
      <c r="SK1" s="607"/>
      <c r="SL1" s="607"/>
      <c r="SM1" s="607"/>
      <c r="SN1" s="607"/>
      <c r="SO1" s="607"/>
      <c r="SP1" s="607"/>
      <c r="SQ1" s="607"/>
      <c r="SR1" s="607"/>
      <c r="SS1" s="607"/>
      <c r="ST1" s="607"/>
      <c r="SU1" s="607"/>
      <c r="SV1" s="607"/>
      <c r="SW1" s="607"/>
      <c r="SX1" s="607"/>
      <c r="SY1" s="607"/>
      <c r="SZ1" s="607"/>
      <c r="TA1" s="607"/>
      <c r="TB1" s="607"/>
      <c r="TC1" s="607"/>
      <c r="TD1" s="607"/>
      <c r="TE1" s="607"/>
      <c r="TF1" s="607"/>
      <c r="TG1" s="607"/>
      <c r="TH1" s="607"/>
      <c r="TI1" s="607"/>
      <c r="TJ1" s="607"/>
      <c r="TK1" s="607"/>
      <c r="TL1" s="607"/>
      <c r="TM1" s="607"/>
      <c r="TN1" s="607"/>
      <c r="TO1" s="607"/>
      <c r="TP1" s="607"/>
      <c r="TQ1" s="607"/>
      <c r="TR1" s="607"/>
      <c r="TS1" s="607"/>
      <c r="TT1" s="607"/>
      <c r="TU1" s="607"/>
      <c r="TV1" s="607"/>
      <c r="TW1" s="607"/>
      <c r="TX1" s="607"/>
      <c r="TY1" s="607"/>
      <c r="TZ1" s="607"/>
      <c r="UA1" s="607"/>
      <c r="UB1" s="607"/>
      <c r="UC1" s="607"/>
      <c r="UD1" s="607"/>
      <c r="UE1" s="607"/>
      <c r="UF1" s="607"/>
      <c r="UG1" s="607"/>
      <c r="UH1" s="607"/>
      <c r="UI1" s="607"/>
      <c r="UJ1" s="607"/>
      <c r="UK1" s="607"/>
      <c r="UL1" s="607"/>
      <c r="UM1" s="607"/>
      <c r="UN1" s="607"/>
      <c r="UO1" s="607"/>
      <c r="UP1" s="607"/>
      <c r="UQ1" s="607"/>
      <c r="UR1" s="607"/>
      <c r="US1" s="607"/>
      <c r="UT1" s="607"/>
      <c r="UU1" s="607"/>
      <c r="UV1" s="607"/>
      <c r="UW1" s="607"/>
      <c r="UX1" s="607"/>
      <c r="UY1" s="607"/>
      <c r="UZ1" s="607"/>
      <c r="VA1" s="607"/>
      <c r="VB1" s="607"/>
      <c r="VC1" s="607"/>
      <c r="VD1" s="607"/>
      <c r="VE1" s="607"/>
      <c r="VF1" s="607"/>
      <c r="VG1" s="607"/>
      <c r="VH1" s="607"/>
      <c r="VI1" s="607"/>
      <c r="VJ1" s="607"/>
      <c r="VK1" s="607"/>
      <c r="VL1" s="607"/>
      <c r="VM1" s="607"/>
      <c r="VN1" s="607"/>
      <c r="VO1" s="607"/>
      <c r="VP1" s="607"/>
      <c r="VQ1" s="607"/>
      <c r="VR1" s="607"/>
      <c r="VS1" s="607"/>
      <c r="VT1" s="607"/>
      <c r="VU1" s="607"/>
      <c r="VV1" s="607"/>
      <c r="VW1" s="607"/>
      <c r="VX1" s="607"/>
      <c r="VY1" s="607"/>
      <c r="VZ1" s="607"/>
      <c r="WA1" s="607"/>
      <c r="WB1" s="607"/>
      <c r="WC1" s="607"/>
      <c r="WD1" s="607"/>
      <c r="WE1" s="607"/>
      <c r="WF1" s="607"/>
      <c r="WG1" s="607"/>
      <c r="WH1" s="607"/>
      <c r="WI1" s="607"/>
      <c r="WJ1" s="607"/>
      <c r="WK1" s="607"/>
      <c r="WL1" s="607"/>
      <c r="WM1" s="607"/>
      <c r="WN1" s="607"/>
      <c r="WO1" s="607"/>
      <c r="WP1" s="607"/>
      <c r="WQ1" s="607"/>
      <c r="WR1" s="607"/>
      <c r="WS1" s="607"/>
      <c r="WT1" s="607"/>
      <c r="WU1" s="607"/>
      <c r="WV1" s="607"/>
      <c r="WW1" s="607"/>
      <c r="WX1" s="607"/>
      <c r="WY1" s="607"/>
      <c r="WZ1" s="607"/>
      <c r="XA1" s="607"/>
      <c r="XB1" s="607"/>
      <c r="XC1" s="607"/>
      <c r="XD1" s="607"/>
      <c r="XE1" s="607"/>
      <c r="XF1" s="607"/>
      <c r="XG1" s="607"/>
      <c r="XH1" s="607"/>
      <c r="XI1" s="607"/>
      <c r="XJ1" s="607"/>
      <c r="XK1" s="607"/>
      <c r="XL1" s="607"/>
      <c r="XM1" s="607"/>
      <c r="XN1" s="607"/>
      <c r="XO1" s="607"/>
      <c r="XP1" s="607"/>
      <c r="XQ1" s="607"/>
      <c r="XR1" s="607"/>
      <c r="XS1" s="607"/>
      <c r="XT1" s="607"/>
      <c r="XU1" s="607"/>
      <c r="XV1" s="607"/>
      <c r="XW1" s="607"/>
      <c r="XX1" s="607"/>
      <c r="XY1" s="607"/>
      <c r="XZ1" s="607"/>
      <c r="YA1" s="607"/>
      <c r="YB1" s="607"/>
      <c r="YC1" s="607"/>
      <c r="YD1" s="607"/>
      <c r="YE1" s="607"/>
      <c r="YF1" s="607"/>
      <c r="YG1" s="607"/>
      <c r="YH1" s="607"/>
      <c r="YI1" s="607"/>
      <c r="YJ1" s="607"/>
      <c r="YK1" s="607"/>
      <c r="YL1" s="607"/>
      <c r="YM1" s="607"/>
      <c r="YN1" s="607"/>
      <c r="YO1" s="607"/>
      <c r="YP1" s="607"/>
      <c r="YQ1" s="607"/>
      <c r="YR1" s="607"/>
      <c r="YS1" s="607"/>
      <c r="YT1" s="607"/>
      <c r="YU1" s="607"/>
      <c r="YV1" s="607"/>
      <c r="YW1" s="607"/>
      <c r="YX1" s="607"/>
      <c r="YY1" s="607"/>
      <c r="YZ1" s="607"/>
      <c r="ZA1" s="607"/>
      <c r="ZB1" s="607"/>
      <c r="ZC1" s="607"/>
      <c r="ZD1" s="607"/>
      <c r="ZE1" s="607"/>
      <c r="ZF1" s="607"/>
      <c r="ZG1" s="607"/>
      <c r="ZH1" s="607"/>
      <c r="ZI1" s="607"/>
      <c r="ZJ1" s="607"/>
      <c r="ZK1" s="607"/>
      <c r="ZL1" s="607"/>
      <c r="ZM1" s="607"/>
      <c r="ZN1" s="607"/>
      <c r="ZO1" s="607"/>
      <c r="ZP1" s="607"/>
      <c r="ZQ1" s="607"/>
      <c r="ZR1" s="607"/>
      <c r="ZS1" s="607"/>
      <c r="ZT1" s="607"/>
      <c r="ZU1" s="607"/>
      <c r="ZV1" s="607"/>
      <c r="ZW1" s="607"/>
      <c r="ZX1" s="607"/>
      <c r="ZY1" s="607"/>
      <c r="ZZ1" s="588"/>
      <c r="AAA1" s="588"/>
      <c r="AAD1" s="112"/>
      <c r="AAE1" s="778" t="s">
        <v>285</v>
      </c>
      <c r="AAF1" s="778"/>
      <c r="AAG1" s="778"/>
      <c r="AAH1" s="778"/>
      <c r="AAI1" s="778"/>
      <c r="AAJ1" s="778"/>
      <c r="AAK1" s="778"/>
      <c r="AAL1" s="331"/>
      <c r="AAM1" s="112"/>
      <c r="AAN1"/>
      <c r="AAT1" s="23"/>
      <c r="AAU1" s="44"/>
    </row>
    <row r="2" spans="1:745" ht="17.25" customHeight="1">
      <c r="A2" s="757"/>
      <c r="B2" s="762" t="s">
        <v>117</v>
      </c>
      <c r="C2" s="791" t="s">
        <v>307</v>
      </c>
      <c r="D2" s="791"/>
      <c r="E2" s="791"/>
      <c r="F2" s="791"/>
      <c r="G2" s="791"/>
      <c r="H2" s="791"/>
      <c r="I2" s="588"/>
      <c r="J2" s="626" t="s">
        <v>298</v>
      </c>
      <c r="K2" s="611"/>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2"/>
      <c r="AAE2" s="778"/>
      <c r="AAF2" s="778"/>
      <c r="AAG2" s="778"/>
      <c r="AAH2" s="778"/>
      <c r="AAI2" s="778"/>
      <c r="AAJ2" s="778"/>
      <c r="AAK2" s="778"/>
      <c r="AAL2" s="332">
        <f>ROW(S.LastCellSchedule)</f>
        <v>471</v>
      </c>
      <c r="AAM2" s="112"/>
      <c r="AAN2"/>
      <c r="AAO2" s="788" t="s">
        <v>284</v>
      </c>
      <c r="AAP2" s="788"/>
      <c r="AAQ2" s="788"/>
      <c r="AAR2" s="788"/>
      <c r="AAS2" s="788"/>
      <c r="AAT2" s="788"/>
      <c r="AAU2" s="44"/>
    </row>
    <row r="3" spans="1:745" ht="18" customHeight="1">
      <c r="A3" s="757"/>
      <c r="B3" s="762"/>
      <c r="C3" s="791"/>
      <c r="D3" s="791"/>
      <c r="E3" s="791"/>
      <c r="F3" s="791"/>
      <c r="G3" s="791"/>
      <c r="H3" s="791"/>
      <c r="I3" s="588"/>
      <c r="J3" s="676">
        <v>0</v>
      </c>
      <c r="K3" s="35"/>
      <c r="N3" s="53"/>
      <c r="O3" s="745" t="s">
        <v>64</v>
      </c>
      <c r="P3" s="746"/>
      <c r="Q3" s="53"/>
      <c r="R3" s="747" t="s">
        <v>63</v>
      </c>
      <c r="S3" s="748"/>
      <c r="T3" s="589"/>
      <c r="U3" s="743" t="s">
        <v>62</v>
      </c>
      <c r="V3" s="744"/>
      <c r="W3" s="589"/>
      <c r="X3" s="589"/>
      <c r="AM3" s="745" t="s">
        <v>64</v>
      </c>
      <c r="AN3" s="746"/>
      <c r="AO3" s="53"/>
      <c r="AP3" s="747" t="s">
        <v>63</v>
      </c>
      <c r="AQ3" s="748"/>
      <c r="AR3" s="53"/>
      <c r="AS3" s="743" t="s">
        <v>62</v>
      </c>
      <c r="AT3" s="744"/>
      <c r="BO3" s="745" t="s">
        <v>64</v>
      </c>
      <c r="BP3" s="746"/>
      <c r="BQ3" s="53"/>
      <c r="BR3" s="747" t="s">
        <v>63</v>
      </c>
      <c r="BS3" s="748"/>
      <c r="BT3" s="53"/>
      <c r="BU3" s="743" t="s">
        <v>62</v>
      </c>
      <c r="BV3" s="744"/>
      <c r="CP3" s="745" t="s">
        <v>64</v>
      </c>
      <c r="CQ3" s="746"/>
      <c r="CR3" s="53"/>
      <c r="CS3" s="747" t="s">
        <v>63</v>
      </c>
      <c r="CT3" s="748"/>
      <c r="CU3" s="53"/>
      <c r="CV3" s="743" t="s">
        <v>62</v>
      </c>
      <c r="CW3" s="744"/>
      <c r="DQ3" s="745" t="s">
        <v>64</v>
      </c>
      <c r="DR3" s="746"/>
      <c r="DS3" s="53"/>
      <c r="DT3" s="747" t="s">
        <v>63</v>
      </c>
      <c r="DU3" s="748"/>
      <c r="DV3" s="53"/>
      <c r="DW3" s="743" t="s">
        <v>62</v>
      </c>
      <c r="DX3" s="744"/>
      <c r="ER3" s="745" t="s">
        <v>64</v>
      </c>
      <c r="ES3" s="746"/>
      <c r="ET3" s="53"/>
      <c r="EU3" s="747" t="s">
        <v>63</v>
      </c>
      <c r="EV3" s="748"/>
      <c r="EW3" s="53"/>
      <c r="EX3" s="743" t="s">
        <v>62</v>
      </c>
      <c r="EY3" s="744"/>
      <c r="FS3" s="745" t="s">
        <v>64</v>
      </c>
      <c r="FT3" s="746"/>
      <c r="FU3" s="53"/>
      <c r="FV3" s="747" t="s">
        <v>63</v>
      </c>
      <c r="FW3" s="748"/>
      <c r="FX3" s="53"/>
      <c r="FY3" s="743" t="s">
        <v>62</v>
      </c>
      <c r="FZ3" s="744"/>
      <c r="GT3" s="745" t="s">
        <v>64</v>
      </c>
      <c r="GU3" s="746"/>
      <c r="GV3" s="53"/>
      <c r="GW3" s="747" t="s">
        <v>63</v>
      </c>
      <c r="GX3" s="748"/>
      <c r="GY3" s="53"/>
      <c r="GZ3" s="743" t="s">
        <v>62</v>
      </c>
      <c r="HA3" s="744"/>
      <c r="HU3" s="745" t="s">
        <v>64</v>
      </c>
      <c r="HV3" s="746"/>
      <c r="HW3" s="53"/>
      <c r="HX3" s="747" t="s">
        <v>63</v>
      </c>
      <c r="HY3" s="748"/>
      <c r="HZ3" s="53"/>
      <c r="IA3" s="743" t="s">
        <v>62</v>
      </c>
      <c r="IB3" s="744"/>
      <c r="IW3" s="745" t="s">
        <v>64</v>
      </c>
      <c r="IX3" s="746"/>
      <c r="IY3" s="53"/>
      <c r="IZ3" s="747" t="s">
        <v>63</v>
      </c>
      <c r="JA3" s="748"/>
      <c r="JB3" s="53"/>
      <c r="JC3" s="743" t="s">
        <v>62</v>
      </c>
      <c r="JD3" s="744"/>
      <c r="JY3" s="745" t="s">
        <v>64</v>
      </c>
      <c r="JZ3" s="746"/>
      <c r="KA3" s="53"/>
      <c r="KB3" s="747" t="s">
        <v>63</v>
      </c>
      <c r="KC3" s="748"/>
      <c r="KD3" s="53"/>
      <c r="KE3" s="743" t="s">
        <v>62</v>
      </c>
      <c r="KF3" s="744"/>
      <c r="LA3" s="745" t="s">
        <v>64</v>
      </c>
      <c r="LB3" s="746"/>
      <c r="LC3" s="53"/>
      <c r="LD3" s="747" t="s">
        <v>63</v>
      </c>
      <c r="LE3" s="748"/>
      <c r="LF3" s="53"/>
      <c r="LG3" s="743" t="s">
        <v>62</v>
      </c>
      <c r="LH3" s="744"/>
      <c r="MB3" s="745" t="s">
        <v>64</v>
      </c>
      <c r="MC3" s="746"/>
      <c r="MD3" s="53"/>
      <c r="ME3" s="747" t="s">
        <v>63</v>
      </c>
      <c r="MF3" s="748"/>
      <c r="MG3" s="53"/>
      <c r="MH3" s="743" t="s">
        <v>62</v>
      </c>
      <c r="MI3" s="744"/>
      <c r="ND3" s="745" t="s">
        <v>64</v>
      </c>
      <c r="NE3" s="746"/>
      <c r="NF3" s="53"/>
      <c r="NG3" s="747" t="s">
        <v>63</v>
      </c>
      <c r="NH3" s="748"/>
      <c r="NI3" s="53"/>
      <c r="NJ3" s="743" t="s">
        <v>62</v>
      </c>
      <c r="NK3" s="744"/>
      <c r="OE3" s="745" t="s">
        <v>64</v>
      </c>
      <c r="OF3" s="746"/>
      <c r="OG3" s="53"/>
      <c r="OH3" s="747" t="s">
        <v>63</v>
      </c>
      <c r="OI3" s="748"/>
      <c r="OJ3" s="53"/>
      <c r="OK3" s="743" t="s">
        <v>62</v>
      </c>
      <c r="OL3" s="744"/>
      <c r="PG3" s="745" t="s">
        <v>64</v>
      </c>
      <c r="PH3" s="746"/>
      <c r="PI3" s="53"/>
      <c r="PJ3" s="747" t="s">
        <v>63</v>
      </c>
      <c r="PK3" s="748"/>
      <c r="PL3" s="53"/>
      <c r="PM3" s="743" t="s">
        <v>62</v>
      </c>
      <c r="PN3" s="744"/>
      <c r="QH3" s="745" t="s">
        <v>64</v>
      </c>
      <c r="QI3" s="746"/>
      <c r="QJ3" s="53"/>
      <c r="QK3" s="747" t="s">
        <v>63</v>
      </c>
      <c r="QL3" s="748"/>
      <c r="QM3" s="53"/>
      <c r="QN3" s="743" t="s">
        <v>62</v>
      </c>
      <c r="QO3" s="744"/>
      <c r="RI3" s="745" t="s">
        <v>64</v>
      </c>
      <c r="RJ3" s="746"/>
      <c r="RK3" s="53"/>
      <c r="RL3" s="747" t="s">
        <v>63</v>
      </c>
      <c r="RM3" s="748"/>
      <c r="RN3" s="53"/>
      <c r="RO3" s="743" t="s">
        <v>62</v>
      </c>
      <c r="RP3" s="744"/>
      <c r="SK3" s="745" t="s">
        <v>64</v>
      </c>
      <c r="SL3" s="746"/>
      <c r="SM3" s="53"/>
      <c r="SN3" s="747" t="s">
        <v>63</v>
      </c>
      <c r="SO3" s="748"/>
      <c r="SP3" s="53"/>
      <c r="SQ3" s="743" t="s">
        <v>62</v>
      </c>
      <c r="SR3" s="744"/>
      <c r="TM3" s="745" t="s">
        <v>64</v>
      </c>
      <c r="TN3" s="746"/>
      <c r="TO3" s="53"/>
      <c r="TP3" s="747" t="s">
        <v>63</v>
      </c>
      <c r="TQ3" s="748"/>
      <c r="TR3" s="53"/>
      <c r="TS3" s="743" t="s">
        <v>62</v>
      </c>
      <c r="TT3" s="744"/>
      <c r="UP3" s="745" t="s">
        <v>64</v>
      </c>
      <c r="UQ3" s="746"/>
      <c r="UR3" s="53"/>
      <c r="US3" s="747" t="s">
        <v>63</v>
      </c>
      <c r="UT3" s="748"/>
      <c r="UU3" s="53"/>
      <c r="UV3" s="743" t="s">
        <v>62</v>
      </c>
      <c r="UW3" s="744"/>
      <c r="VQ3" s="745" t="s">
        <v>64</v>
      </c>
      <c r="VR3" s="746"/>
      <c r="VS3" s="53"/>
      <c r="VT3" s="747" t="s">
        <v>63</v>
      </c>
      <c r="VU3" s="748"/>
      <c r="VV3" s="53"/>
      <c r="VW3" s="743" t="s">
        <v>62</v>
      </c>
      <c r="VX3" s="744"/>
      <c r="WR3" s="745" t="s">
        <v>64</v>
      </c>
      <c r="WS3" s="746"/>
      <c r="WT3" s="53"/>
      <c r="WU3" s="747" t="s">
        <v>63</v>
      </c>
      <c r="WV3" s="748"/>
      <c r="WW3" s="53"/>
      <c r="WX3" s="743" t="s">
        <v>62</v>
      </c>
      <c r="WY3" s="744"/>
      <c r="XT3" s="745" t="s">
        <v>64</v>
      </c>
      <c r="XU3" s="746"/>
      <c r="XV3" s="53"/>
      <c r="XW3" s="747" t="s">
        <v>63</v>
      </c>
      <c r="XX3" s="748"/>
      <c r="XY3" s="53"/>
      <c r="XZ3" s="743" t="s">
        <v>62</v>
      </c>
      <c r="YA3" s="744"/>
      <c r="YU3" s="745" t="s">
        <v>64</v>
      </c>
      <c r="YV3" s="746"/>
      <c r="YW3" s="53"/>
      <c r="YX3" s="747" t="s">
        <v>63</v>
      </c>
      <c r="YY3" s="748"/>
      <c r="YZ3" s="53"/>
      <c r="ZA3" s="743" t="s">
        <v>62</v>
      </c>
      <c r="ZB3" s="744"/>
      <c r="ZY3"/>
      <c r="AAA3" s="588"/>
      <c r="AAD3" s="112"/>
      <c r="AAE3" s="550"/>
      <c r="AAF3" s="582" t="s">
        <v>211</v>
      </c>
      <c r="AAG3" s="61"/>
      <c r="AAH3" s="61"/>
      <c r="AAI3" s="61"/>
      <c r="AAJ3" s="111"/>
      <c r="AAK3" s="111"/>
      <c r="AAL3" s="62"/>
      <c r="AAM3" s="112"/>
      <c r="AAN3"/>
      <c r="AAT3" s="23"/>
      <c r="AAU3" s="44"/>
    </row>
    <row r="4" spans="1:745" ht="25.5" customHeight="1">
      <c r="A4" s="558" t="s">
        <v>0</v>
      </c>
      <c r="B4" s="204" t="s">
        <v>79</v>
      </c>
      <c r="C4" s="687" t="s">
        <v>0</v>
      </c>
      <c r="D4" s="516"/>
      <c r="E4" s="761" t="s">
        <v>2</v>
      </c>
      <c r="F4" s="761"/>
      <c r="G4" s="769" t="str">
        <f ca="1">"Today "&amp;TEXT(TODAY(),"mm/dd/yy")</f>
        <v>Today 01/13/14</v>
      </c>
      <c r="H4" s="769"/>
      <c r="I4" s="598"/>
      <c r="J4" s="729">
        <f ca="1">J5</f>
        <v>41652</v>
      </c>
      <c r="K4" s="729" t="str">
        <f ca="1">IF(WEEKDAY(K$6)=2,K6,"")</f>
        <v/>
      </c>
      <c r="L4" s="729" t="str">
        <f t="shared" ref="L4:BW4" ca="1" si="0">IF(WEEKDAY(L$6)=2,L6,"")</f>
        <v/>
      </c>
      <c r="M4" s="729" t="str">
        <f t="shared" ca="1" si="0"/>
        <v/>
      </c>
      <c r="N4" s="729" t="str">
        <f t="shared" ca="1" si="0"/>
        <v/>
      </c>
      <c r="O4" s="729" t="str">
        <f t="shared" ca="1" si="0"/>
        <v/>
      </c>
      <c r="P4" s="729" t="str">
        <f t="shared" ca="1" si="0"/>
        <v/>
      </c>
      <c r="Q4" s="729">
        <f t="shared" ca="1" si="0"/>
        <v>41659</v>
      </c>
      <c r="R4" s="729" t="str">
        <f t="shared" ca="1" si="0"/>
        <v/>
      </c>
      <c r="S4" s="729" t="str">
        <f t="shared" ca="1" si="0"/>
        <v/>
      </c>
      <c r="T4" s="729" t="str">
        <f t="shared" ca="1" si="0"/>
        <v/>
      </c>
      <c r="U4" s="729" t="str">
        <f t="shared" ca="1" si="0"/>
        <v/>
      </c>
      <c r="V4" s="729" t="str">
        <f t="shared" ca="1" si="0"/>
        <v/>
      </c>
      <c r="W4" s="729" t="str">
        <f t="shared" ca="1" si="0"/>
        <v/>
      </c>
      <c r="X4" s="729">
        <f t="shared" ca="1" si="0"/>
        <v>41666</v>
      </c>
      <c r="Y4" s="729" t="str">
        <f t="shared" ca="1" si="0"/>
        <v/>
      </c>
      <c r="Z4" s="729" t="str">
        <f t="shared" ca="1" si="0"/>
        <v/>
      </c>
      <c r="AA4" s="729" t="str">
        <f t="shared" ca="1" si="0"/>
        <v/>
      </c>
      <c r="AB4" s="729" t="str">
        <f t="shared" ca="1" si="0"/>
        <v/>
      </c>
      <c r="AC4" s="729" t="str">
        <f t="shared" ca="1" si="0"/>
        <v/>
      </c>
      <c r="AD4" s="729" t="str">
        <f t="shared" ca="1" si="0"/>
        <v/>
      </c>
      <c r="AE4" s="729">
        <f t="shared" ca="1" si="0"/>
        <v>41673</v>
      </c>
      <c r="AF4" s="729" t="str">
        <f t="shared" ca="1" si="0"/>
        <v/>
      </c>
      <c r="AG4" s="729" t="str">
        <f t="shared" ca="1" si="0"/>
        <v/>
      </c>
      <c r="AH4" s="729" t="str">
        <f t="shared" ca="1" si="0"/>
        <v/>
      </c>
      <c r="AI4" s="729" t="str">
        <f t="shared" ca="1" si="0"/>
        <v/>
      </c>
      <c r="AJ4" s="729" t="str">
        <f t="shared" ca="1" si="0"/>
        <v/>
      </c>
      <c r="AK4" s="729" t="str">
        <f t="shared" ca="1" si="0"/>
        <v/>
      </c>
      <c r="AL4" s="729">
        <f t="shared" ca="1" si="0"/>
        <v>41680</v>
      </c>
      <c r="AM4" s="729" t="str">
        <f t="shared" ca="1" si="0"/>
        <v/>
      </c>
      <c r="AN4" s="729" t="str">
        <f t="shared" ca="1" si="0"/>
        <v/>
      </c>
      <c r="AO4" s="729" t="str">
        <f t="shared" ca="1" si="0"/>
        <v/>
      </c>
      <c r="AP4" s="729" t="str">
        <f t="shared" ca="1" si="0"/>
        <v/>
      </c>
      <c r="AQ4" s="729" t="str">
        <f t="shared" ca="1" si="0"/>
        <v/>
      </c>
      <c r="AR4" s="729" t="str">
        <f t="shared" ca="1" si="0"/>
        <v/>
      </c>
      <c r="AS4" s="729">
        <f t="shared" ca="1" si="0"/>
        <v>41687</v>
      </c>
      <c r="AT4" s="729" t="str">
        <f t="shared" ca="1" si="0"/>
        <v/>
      </c>
      <c r="AU4" s="729" t="str">
        <f t="shared" ca="1" si="0"/>
        <v/>
      </c>
      <c r="AV4" s="729" t="str">
        <f t="shared" ca="1" si="0"/>
        <v/>
      </c>
      <c r="AW4" s="729" t="str">
        <f t="shared" ca="1" si="0"/>
        <v/>
      </c>
      <c r="AX4" s="729" t="str">
        <f t="shared" ca="1" si="0"/>
        <v/>
      </c>
      <c r="AY4" s="729" t="str">
        <f t="shared" ca="1" si="0"/>
        <v/>
      </c>
      <c r="AZ4" s="729">
        <f t="shared" ca="1" si="0"/>
        <v>41694</v>
      </c>
      <c r="BA4" s="729" t="str">
        <f t="shared" ca="1" si="0"/>
        <v/>
      </c>
      <c r="BB4" s="729" t="str">
        <f t="shared" ca="1" si="0"/>
        <v/>
      </c>
      <c r="BC4" s="729" t="str">
        <f t="shared" ca="1" si="0"/>
        <v/>
      </c>
      <c r="BD4" s="729" t="str">
        <f t="shared" ca="1" si="0"/>
        <v/>
      </c>
      <c r="BE4" s="729" t="str">
        <f t="shared" ca="1" si="0"/>
        <v/>
      </c>
      <c r="BF4" s="729" t="str">
        <f t="shared" ca="1" si="0"/>
        <v/>
      </c>
      <c r="BG4" s="729">
        <f t="shared" ca="1" si="0"/>
        <v>41701</v>
      </c>
      <c r="BH4" s="729" t="str">
        <f t="shared" ca="1" si="0"/>
        <v/>
      </c>
      <c r="BI4" s="729" t="str">
        <f t="shared" ca="1" si="0"/>
        <v/>
      </c>
      <c r="BJ4" s="729" t="str">
        <f t="shared" ca="1" si="0"/>
        <v/>
      </c>
      <c r="BK4" s="729" t="str">
        <f t="shared" ca="1" si="0"/>
        <v/>
      </c>
      <c r="BL4" s="729" t="str">
        <f t="shared" ca="1" si="0"/>
        <v/>
      </c>
      <c r="BM4" s="729" t="str">
        <f t="shared" ca="1" si="0"/>
        <v/>
      </c>
      <c r="BN4" s="729">
        <f t="shared" ca="1" si="0"/>
        <v>41708</v>
      </c>
      <c r="BO4" s="729" t="str">
        <f t="shared" ca="1" si="0"/>
        <v/>
      </c>
      <c r="BP4" s="729" t="str">
        <f t="shared" ca="1" si="0"/>
        <v/>
      </c>
      <c r="BQ4" s="729" t="str">
        <f t="shared" ca="1" si="0"/>
        <v/>
      </c>
      <c r="BR4" s="729" t="str">
        <f t="shared" ca="1" si="0"/>
        <v/>
      </c>
      <c r="BS4" s="729" t="str">
        <f t="shared" ca="1" si="0"/>
        <v/>
      </c>
      <c r="BT4" s="729" t="str">
        <f t="shared" ca="1" si="0"/>
        <v/>
      </c>
      <c r="BU4" s="729">
        <f t="shared" ca="1" si="0"/>
        <v>41715</v>
      </c>
      <c r="BV4" s="729" t="str">
        <f t="shared" ca="1" si="0"/>
        <v/>
      </c>
      <c r="BW4" s="729" t="str">
        <f t="shared" ca="1" si="0"/>
        <v/>
      </c>
      <c r="BX4" s="729" t="str">
        <f t="shared" ref="BX4:EI4" ca="1" si="1">IF(WEEKDAY(BX$6)=2,BX6,"")</f>
        <v/>
      </c>
      <c r="BY4" s="729" t="str">
        <f t="shared" ca="1" si="1"/>
        <v/>
      </c>
      <c r="BZ4" s="729" t="str">
        <f t="shared" ca="1" si="1"/>
        <v/>
      </c>
      <c r="CA4" s="729" t="str">
        <f t="shared" ca="1" si="1"/>
        <v/>
      </c>
      <c r="CB4" s="729">
        <f t="shared" ca="1" si="1"/>
        <v>41722</v>
      </c>
      <c r="CC4" s="729" t="str">
        <f t="shared" ca="1" si="1"/>
        <v/>
      </c>
      <c r="CD4" s="729" t="str">
        <f t="shared" ca="1" si="1"/>
        <v/>
      </c>
      <c r="CE4" s="729" t="str">
        <f t="shared" ca="1" si="1"/>
        <v/>
      </c>
      <c r="CF4" s="729" t="str">
        <f t="shared" ca="1" si="1"/>
        <v/>
      </c>
      <c r="CG4" s="729" t="str">
        <f t="shared" ca="1" si="1"/>
        <v/>
      </c>
      <c r="CH4" s="729" t="str">
        <f t="shared" ca="1" si="1"/>
        <v/>
      </c>
      <c r="CI4" s="729">
        <f t="shared" ca="1" si="1"/>
        <v>41729</v>
      </c>
      <c r="CJ4" s="729" t="str">
        <f t="shared" ca="1" si="1"/>
        <v/>
      </c>
      <c r="CK4" s="729" t="str">
        <f t="shared" ca="1" si="1"/>
        <v/>
      </c>
      <c r="CL4" s="729" t="str">
        <f t="shared" ca="1" si="1"/>
        <v/>
      </c>
      <c r="CM4" s="729" t="str">
        <f t="shared" ca="1" si="1"/>
        <v/>
      </c>
      <c r="CN4" s="729" t="str">
        <f t="shared" ca="1" si="1"/>
        <v/>
      </c>
      <c r="CO4" s="729" t="str">
        <f t="shared" ca="1" si="1"/>
        <v/>
      </c>
      <c r="CP4" s="729">
        <f t="shared" ca="1" si="1"/>
        <v>41736</v>
      </c>
      <c r="CQ4" s="729" t="str">
        <f t="shared" ca="1" si="1"/>
        <v/>
      </c>
      <c r="CR4" s="729" t="str">
        <f t="shared" ca="1" si="1"/>
        <v/>
      </c>
      <c r="CS4" s="729" t="str">
        <f t="shared" ca="1" si="1"/>
        <v/>
      </c>
      <c r="CT4" s="729" t="str">
        <f t="shared" ca="1" si="1"/>
        <v/>
      </c>
      <c r="CU4" s="729" t="str">
        <f t="shared" ca="1" si="1"/>
        <v/>
      </c>
      <c r="CV4" s="729" t="str">
        <f t="shared" ca="1" si="1"/>
        <v/>
      </c>
      <c r="CW4" s="729">
        <f t="shared" ca="1" si="1"/>
        <v>41743</v>
      </c>
      <c r="CX4" s="729" t="str">
        <f t="shared" ca="1" si="1"/>
        <v/>
      </c>
      <c r="CY4" s="729" t="str">
        <f t="shared" ca="1" si="1"/>
        <v/>
      </c>
      <c r="CZ4" s="729" t="str">
        <f t="shared" ca="1" si="1"/>
        <v/>
      </c>
      <c r="DA4" s="729" t="str">
        <f t="shared" ca="1" si="1"/>
        <v/>
      </c>
      <c r="DB4" s="729" t="str">
        <f t="shared" ca="1" si="1"/>
        <v/>
      </c>
      <c r="DC4" s="729" t="str">
        <f t="shared" ca="1" si="1"/>
        <v/>
      </c>
      <c r="DD4" s="729">
        <f t="shared" ca="1" si="1"/>
        <v>41750</v>
      </c>
      <c r="DE4" s="729" t="str">
        <f t="shared" ca="1" si="1"/>
        <v/>
      </c>
      <c r="DF4" s="729" t="str">
        <f t="shared" ca="1" si="1"/>
        <v/>
      </c>
      <c r="DG4" s="729" t="str">
        <f t="shared" ca="1" si="1"/>
        <v/>
      </c>
      <c r="DH4" s="729" t="str">
        <f t="shared" ca="1" si="1"/>
        <v/>
      </c>
      <c r="DI4" s="729" t="str">
        <f t="shared" ca="1" si="1"/>
        <v/>
      </c>
      <c r="DJ4" s="729" t="str">
        <f t="shared" ca="1" si="1"/>
        <v/>
      </c>
      <c r="DK4" s="729">
        <f t="shared" ca="1" si="1"/>
        <v>41757</v>
      </c>
      <c r="DL4" s="729" t="str">
        <f t="shared" ca="1" si="1"/>
        <v/>
      </c>
      <c r="DM4" s="729" t="str">
        <f t="shared" ca="1" si="1"/>
        <v/>
      </c>
      <c r="DN4" s="729" t="str">
        <f t="shared" ca="1" si="1"/>
        <v/>
      </c>
      <c r="DO4" s="729" t="str">
        <f t="shared" ca="1" si="1"/>
        <v/>
      </c>
      <c r="DP4" s="729" t="str">
        <f t="shared" ca="1" si="1"/>
        <v/>
      </c>
      <c r="DQ4" s="729" t="str">
        <f t="shared" ca="1" si="1"/>
        <v/>
      </c>
      <c r="DR4" s="729">
        <f t="shared" ca="1" si="1"/>
        <v>41764</v>
      </c>
      <c r="DS4" s="729" t="str">
        <f t="shared" ca="1" si="1"/>
        <v/>
      </c>
      <c r="DT4" s="729" t="str">
        <f t="shared" ca="1" si="1"/>
        <v/>
      </c>
      <c r="DU4" s="729" t="str">
        <f t="shared" ca="1" si="1"/>
        <v/>
      </c>
      <c r="DV4" s="729" t="str">
        <f t="shared" ca="1" si="1"/>
        <v/>
      </c>
      <c r="DW4" s="729" t="str">
        <f t="shared" ca="1" si="1"/>
        <v/>
      </c>
      <c r="DX4" s="729" t="str">
        <f t="shared" ca="1" si="1"/>
        <v/>
      </c>
      <c r="DY4" s="729">
        <f t="shared" ca="1" si="1"/>
        <v>41771</v>
      </c>
      <c r="DZ4" s="729" t="str">
        <f t="shared" ca="1" si="1"/>
        <v/>
      </c>
      <c r="EA4" s="729" t="str">
        <f t="shared" ca="1" si="1"/>
        <v/>
      </c>
      <c r="EB4" s="729" t="str">
        <f t="shared" ca="1" si="1"/>
        <v/>
      </c>
      <c r="EC4" s="729" t="str">
        <f t="shared" ca="1" si="1"/>
        <v/>
      </c>
      <c r="ED4" s="729" t="str">
        <f t="shared" ca="1" si="1"/>
        <v/>
      </c>
      <c r="EE4" s="729" t="str">
        <f t="shared" ca="1" si="1"/>
        <v/>
      </c>
      <c r="EF4" s="729">
        <f t="shared" ca="1" si="1"/>
        <v>41778</v>
      </c>
      <c r="EG4" s="729" t="str">
        <f t="shared" ca="1" si="1"/>
        <v/>
      </c>
      <c r="EH4" s="729" t="str">
        <f t="shared" ca="1" si="1"/>
        <v/>
      </c>
      <c r="EI4" s="729" t="str">
        <f t="shared" ca="1" si="1"/>
        <v/>
      </c>
      <c r="EJ4" s="729" t="str">
        <f t="shared" ref="EJ4:GU4" ca="1" si="2">IF(WEEKDAY(EJ$6)=2,EJ6,"")</f>
        <v/>
      </c>
      <c r="EK4" s="729" t="str">
        <f t="shared" ca="1" si="2"/>
        <v/>
      </c>
      <c r="EL4" s="729" t="str">
        <f t="shared" ca="1" si="2"/>
        <v/>
      </c>
      <c r="EM4" s="729">
        <f t="shared" ca="1" si="2"/>
        <v>41785</v>
      </c>
      <c r="EN4" s="729" t="str">
        <f t="shared" ca="1" si="2"/>
        <v/>
      </c>
      <c r="EO4" s="729" t="str">
        <f t="shared" ca="1" si="2"/>
        <v/>
      </c>
      <c r="EP4" s="729" t="str">
        <f t="shared" ca="1" si="2"/>
        <v/>
      </c>
      <c r="EQ4" s="729" t="str">
        <f t="shared" ca="1" si="2"/>
        <v/>
      </c>
      <c r="ER4" s="729" t="str">
        <f t="shared" ca="1" si="2"/>
        <v/>
      </c>
      <c r="ES4" s="729" t="str">
        <f t="shared" ca="1" si="2"/>
        <v/>
      </c>
      <c r="ET4" s="729">
        <f t="shared" ca="1" si="2"/>
        <v>41792</v>
      </c>
      <c r="EU4" s="729" t="str">
        <f t="shared" ca="1" si="2"/>
        <v/>
      </c>
      <c r="EV4" s="729" t="str">
        <f t="shared" ca="1" si="2"/>
        <v/>
      </c>
      <c r="EW4" s="729" t="str">
        <f t="shared" ca="1" si="2"/>
        <v/>
      </c>
      <c r="EX4" s="729" t="str">
        <f t="shared" ca="1" si="2"/>
        <v/>
      </c>
      <c r="EY4" s="729" t="str">
        <f t="shared" ca="1" si="2"/>
        <v/>
      </c>
      <c r="EZ4" s="729" t="str">
        <f t="shared" ca="1" si="2"/>
        <v/>
      </c>
      <c r="FA4" s="729">
        <f t="shared" ca="1" si="2"/>
        <v>41799</v>
      </c>
      <c r="FB4" s="729" t="str">
        <f t="shared" ca="1" si="2"/>
        <v/>
      </c>
      <c r="FC4" s="729" t="str">
        <f t="shared" ca="1" si="2"/>
        <v/>
      </c>
      <c r="FD4" s="729" t="str">
        <f t="shared" ca="1" si="2"/>
        <v/>
      </c>
      <c r="FE4" s="729" t="str">
        <f t="shared" ca="1" si="2"/>
        <v/>
      </c>
      <c r="FF4" s="729" t="str">
        <f t="shared" ca="1" si="2"/>
        <v/>
      </c>
      <c r="FG4" s="729" t="str">
        <f t="shared" ca="1" si="2"/>
        <v/>
      </c>
      <c r="FH4" s="729">
        <f t="shared" ca="1" si="2"/>
        <v>41806</v>
      </c>
      <c r="FI4" s="729" t="str">
        <f t="shared" ca="1" si="2"/>
        <v/>
      </c>
      <c r="FJ4" s="729" t="str">
        <f t="shared" ca="1" si="2"/>
        <v/>
      </c>
      <c r="FK4" s="729" t="str">
        <f t="shared" ca="1" si="2"/>
        <v/>
      </c>
      <c r="FL4" s="729" t="str">
        <f t="shared" ca="1" si="2"/>
        <v/>
      </c>
      <c r="FM4" s="729" t="str">
        <f t="shared" ca="1" si="2"/>
        <v/>
      </c>
      <c r="FN4" s="729" t="str">
        <f t="shared" ca="1" si="2"/>
        <v/>
      </c>
      <c r="FO4" s="729">
        <f t="shared" ca="1" si="2"/>
        <v>41813</v>
      </c>
      <c r="FP4" s="729" t="str">
        <f t="shared" ca="1" si="2"/>
        <v/>
      </c>
      <c r="FQ4" s="729" t="str">
        <f t="shared" ca="1" si="2"/>
        <v/>
      </c>
      <c r="FR4" s="729" t="str">
        <f t="shared" ca="1" si="2"/>
        <v/>
      </c>
      <c r="FS4" s="729" t="str">
        <f t="shared" ca="1" si="2"/>
        <v/>
      </c>
      <c r="FT4" s="729" t="str">
        <f t="shared" ca="1" si="2"/>
        <v/>
      </c>
      <c r="FU4" s="729" t="str">
        <f t="shared" ca="1" si="2"/>
        <v/>
      </c>
      <c r="FV4" s="729">
        <f t="shared" ca="1" si="2"/>
        <v>41820</v>
      </c>
      <c r="FW4" s="729" t="str">
        <f t="shared" ca="1" si="2"/>
        <v/>
      </c>
      <c r="FX4" s="729" t="str">
        <f t="shared" ca="1" si="2"/>
        <v/>
      </c>
      <c r="FY4" s="729" t="str">
        <f t="shared" ca="1" si="2"/>
        <v/>
      </c>
      <c r="FZ4" s="729" t="str">
        <f t="shared" ca="1" si="2"/>
        <v/>
      </c>
      <c r="GA4" s="729" t="str">
        <f t="shared" ca="1" si="2"/>
        <v/>
      </c>
      <c r="GB4" s="729" t="str">
        <f t="shared" ca="1" si="2"/>
        <v/>
      </c>
      <c r="GC4" s="729">
        <f t="shared" ca="1" si="2"/>
        <v>41827</v>
      </c>
      <c r="GD4" s="729" t="str">
        <f t="shared" ca="1" si="2"/>
        <v/>
      </c>
      <c r="GE4" s="729" t="str">
        <f t="shared" ca="1" si="2"/>
        <v/>
      </c>
      <c r="GF4" s="729" t="str">
        <f t="shared" ca="1" si="2"/>
        <v/>
      </c>
      <c r="GG4" s="729" t="str">
        <f t="shared" ca="1" si="2"/>
        <v/>
      </c>
      <c r="GH4" s="729" t="str">
        <f t="shared" ca="1" si="2"/>
        <v/>
      </c>
      <c r="GI4" s="729" t="str">
        <f t="shared" ca="1" si="2"/>
        <v/>
      </c>
      <c r="GJ4" s="729">
        <f t="shared" ca="1" si="2"/>
        <v>41834</v>
      </c>
      <c r="GK4" s="729" t="str">
        <f t="shared" ca="1" si="2"/>
        <v/>
      </c>
      <c r="GL4" s="729" t="str">
        <f t="shared" ca="1" si="2"/>
        <v/>
      </c>
      <c r="GM4" s="729" t="str">
        <f t="shared" ca="1" si="2"/>
        <v/>
      </c>
      <c r="GN4" s="729" t="str">
        <f t="shared" ca="1" si="2"/>
        <v/>
      </c>
      <c r="GO4" s="729" t="str">
        <f t="shared" ca="1" si="2"/>
        <v/>
      </c>
      <c r="GP4" s="729" t="str">
        <f t="shared" ca="1" si="2"/>
        <v/>
      </c>
      <c r="GQ4" s="729">
        <f t="shared" ca="1" si="2"/>
        <v>41841</v>
      </c>
      <c r="GR4" s="729" t="str">
        <f t="shared" ca="1" si="2"/>
        <v/>
      </c>
      <c r="GS4" s="729" t="str">
        <f t="shared" ca="1" si="2"/>
        <v/>
      </c>
      <c r="GT4" s="729" t="str">
        <f t="shared" ca="1" si="2"/>
        <v/>
      </c>
      <c r="GU4" s="729" t="str">
        <f t="shared" ca="1" si="2"/>
        <v/>
      </c>
      <c r="GV4" s="729" t="str">
        <f t="shared" ref="GV4:JG4" ca="1" si="3">IF(WEEKDAY(GV$6)=2,GV6,"")</f>
        <v/>
      </c>
      <c r="GW4" s="729" t="str">
        <f t="shared" ca="1" si="3"/>
        <v/>
      </c>
      <c r="GX4" s="729">
        <f t="shared" ca="1" si="3"/>
        <v>41848</v>
      </c>
      <c r="GY4" s="729" t="str">
        <f t="shared" ca="1" si="3"/>
        <v/>
      </c>
      <c r="GZ4" s="729" t="str">
        <f t="shared" ca="1" si="3"/>
        <v/>
      </c>
      <c r="HA4" s="729" t="str">
        <f t="shared" ca="1" si="3"/>
        <v/>
      </c>
      <c r="HB4" s="729" t="str">
        <f t="shared" ca="1" si="3"/>
        <v/>
      </c>
      <c r="HC4" s="729" t="str">
        <f t="shared" ca="1" si="3"/>
        <v/>
      </c>
      <c r="HD4" s="729" t="str">
        <f t="shared" ca="1" si="3"/>
        <v/>
      </c>
      <c r="HE4" s="729">
        <f t="shared" ca="1" si="3"/>
        <v>41855</v>
      </c>
      <c r="HF4" s="729" t="str">
        <f t="shared" ca="1" si="3"/>
        <v/>
      </c>
      <c r="HG4" s="729" t="str">
        <f t="shared" ca="1" si="3"/>
        <v/>
      </c>
      <c r="HH4" s="729" t="str">
        <f t="shared" ca="1" si="3"/>
        <v/>
      </c>
      <c r="HI4" s="729" t="str">
        <f t="shared" ca="1" si="3"/>
        <v/>
      </c>
      <c r="HJ4" s="729" t="str">
        <f t="shared" ca="1" si="3"/>
        <v/>
      </c>
      <c r="HK4" s="729" t="str">
        <f t="shared" ca="1" si="3"/>
        <v/>
      </c>
      <c r="HL4" s="729">
        <f t="shared" ca="1" si="3"/>
        <v>41862</v>
      </c>
      <c r="HM4" s="729" t="str">
        <f t="shared" ca="1" si="3"/>
        <v/>
      </c>
      <c r="HN4" s="729" t="str">
        <f t="shared" ca="1" si="3"/>
        <v/>
      </c>
      <c r="HO4" s="729" t="str">
        <f t="shared" ca="1" si="3"/>
        <v/>
      </c>
      <c r="HP4" s="729" t="str">
        <f t="shared" ca="1" si="3"/>
        <v/>
      </c>
      <c r="HQ4" s="729" t="str">
        <f t="shared" ca="1" si="3"/>
        <v/>
      </c>
      <c r="HR4" s="729" t="str">
        <f t="shared" ca="1" si="3"/>
        <v/>
      </c>
      <c r="HS4" s="729">
        <f t="shared" ca="1" si="3"/>
        <v>41869</v>
      </c>
      <c r="HT4" s="729" t="str">
        <f t="shared" ca="1" si="3"/>
        <v/>
      </c>
      <c r="HU4" s="729" t="str">
        <f t="shared" ca="1" si="3"/>
        <v/>
      </c>
      <c r="HV4" s="729" t="str">
        <f t="shared" ca="1" si="3"/>
        <v/>
      </c>
      <c r="HW4" s="729" t="str">
        <f t="shared" ca="1" si="3"/>
        <v/>
      </c>
      <c r="HX4" s="729" t="str">
        <f t="shared" ca="1" si="3"/>
        <v/>
      </c>
      <c r="HY4" s="729" t="str">
        <f t="shared" ca="1" si="3"/>
        <v/>
      </c>
      <c r="HZ4" s="729">
        <f t="shared" ca="1" si="3"/>
        <v>41876</v>
      </c>
      <c r="IA4" s="729" t="str">
        <f t="shared" ca="1" si="3"/>
        <v/>
      </c>
      <c r="IB4" s="729" t="str">
        <f t="shared" ca="1" si="3"/>
        <v/>
      </c>
      <c r="IC4" s="729" t="str">
        <f t="shared" ca="1" si="3"/>
        <v/>
      </c>
      <c r="ID4" s="729" t="str">
        <f t="shared" ca="1" si="3"/>
        <v/>
      </c>
      <c r="IE4" s="729" t="str">
        <f t="shared" ca="1" si="3"/>
        <v/>
      </c>
      <c r="IF4" s="729" t="str">
        <f t="shared" ca="1" si="3"/>
        <v/>
      </c>
      <c r="IG4" s="729">
        <f t="shared" ca="1" si="3"/>
        <v>41883</v>
      </c>
      <c r="IH4" s="729" t="str">
        <f t="shared" ca="1" si="3"/>
        <v/>
      </c>
      <c r="II4" s="729" t="str">
        <f t="shared" ca="1" si="3"/>
        <v/>
      </c>
      <c r="IJ4" s="729" t="str">
        <f t="shared" ca="1" si="3"/>
        <v/>
      </c>
      <c r="IK4" s="729" t="str">
        <f t="shared" ca="1" si="3"/>
        <v/>
      </c>
      <c r="IL4" s="729" t="str">
        <f t="shared" ca="1" si="3"/>
        <v/>
      </c>
      <c r="IM4" s="729" t="str">
        <f t="shared" ca="1" si="3"/>
        <v/>
      </c>
      <c r="IN4" s="729">
        <f t="shared" ca="1" si="3"/>
        <v>41890</v>
      </c>
      <c r="IO4" s="729" t="str">
        <f t="shared" ca="1" si="3"/>
        <v/>
      </c>
      <c r="IP4" s="729" t="str">
        <f t="shared" ca="1" si="3"/>
        <v/>
      </c>
      <c r="IQ4" s="729" t="str">
        <f t="shared" ca="1" si="3"/>
        <v/>
      </c>
      <c r="IR4" s="729" t="str">
        <f t="shared" ca="1" si="3"/>
        <v/>
      </c>
      <c r="IS4" s="729" t="str">
        <f t="shared" ca="1" si="3"/>
        <v/>
      </c>
      <c r="IT4" s="729" t="str">
        <f t="shared" ca="1" si="3"/>
        <v/>
      </c>
      <c r="IU4" s="729">
        <f t="shared" ca="1" si="3"/>
        <v>41897</v>
      </c>
      <c r="IV4" s="729" t="str">
        <f t="shared" ca="1" si="3"/>
        <v/>
      </c>
      <c r="IW4" s="729" t="str">
        <f t="shared" ca="1" si="3"/>
        <v/>
      </c>
      <c r="IX4" s="729" t="str">
        <f t="shared" ca="1" si="3"/>
        <v/>
      </c>
      <c r="IY4" s="729" t="str">
        <f t="shared" ca="1" si="3"/>
        <v/>
      </c>
      <c r="IZ4" s="729" t="str">
        <f t="shared" ca="1" si="3"/>
        <v/>
      </c>
      <c r="JA4" s="729" t="str">
        <f t="shared" ca="1" si="3"/>
        <v/>
      </c>
      <c r="JB4" s="729">
        <f t="shared" ca="1" si="3"/>
        <v>41904</v>
      </c>
      <c r="JC4" s="729" t="str">
        <f t="shared" ca="1" si="3"/>
        <v/>
      </c>
      <c r="JD4" s="729" t="str">
        <f t="shared" ca="1" si="3"/>
        <v/>
      </c>
      <c r="JE4" s="729" t="str">
        <f t="shared" ca="1" si="3"/>
        <v/>
      </c>
      <c r="JF4" s="729" t="str">
        <f t="shared" ca="1" si="3"/>
        <v/>
      </c>
      <c r="JG4" s="729" t="str">
        <f t="shared" ca="1" si="3"/>
        <v/>
      </c>
      <c r="JH4" s="729" t="str">
        <f t="shared" ref="JH4:LS4" ca="1" si="4">IF(WEEKDAY(JH$6)=2,JH6,"")</f>
        <v/>
      </c>
      <c r="JI4" s="729">
        <f t="shared" ca="1" si="4"/>
        <v>41911</v>
      </c>
      <c r="JJ4" s="729" t="str">
        <f t="shared" ca="1" si="4"/>
        <v/>
      </c>
      <c r="JK4" s="729" t="str">
        <f t="shared" ca="1" si="4"/>
        <v/>
      </c>
      <c r="JL4" s="729" t="str">
        <f t="shared" ca="1" si="4"/>
        <v/>
      </c>
      <c r="JM4" s="729" t="str">
        <f t="shared" ca="1" si="4"/>
        <v/>
      </c>
      <c r="JN4" s="729" t="str">
        <f t="shared" ca="1" si="4"/>
        <v/>
      </c>
      <c r="JO4" s="729" t="str">
        <f t="shared" ca="1" si="4"/>
        <v/>
      </c>
      <c r="JP4" s="729">
        <f t="shared" ca="1" si="4"/>
        <v>41918</v>
      </c>
      <c r="JQ4" s="729" t="str">
        <f t="shared" ca="1" si="4"/>
        <v/>
      </c>
      <c r="JR4" s="729" t="str">
        <f t="shared" ca="1" si="4"/>
        <v/>
      </c>
      <c r="JS4" s="729" t="str">
        <f t="shared" ca="1" si="4"/>
        <v/>
      </c>
      <c r="JT4" s="729" t="str">
        <f t="shared" ca="1" si="4"/>
        <v/>
      </c>
      <c r="JU4" s="729" t="str">
        <f t="shared" ca="1" si="4"/>
        <v/>
      </c>
      <c r="JV4" s="729" t="str">
        <f t="shared" ca="1" si="4"/>
        <v/>
      </c>
      <c r="JW4" s="729">
        <f t="shared" ca="1" si="4"/>
        <v>41925</v>
      </c>
      <c r="JX4" s="729" t="str">
        <f t="shared" ca="1" si="4"/>
        <v/>
      </c>
      <c r="JY4" s="729" t="str">
        <f t="shared" ca="1" si="4"/>
        <v/>
      </c>
      <c r="JZ4" s="729" t="str">
        <f t="shared" ca="1" si="4"/>
        <v/>
      </c>
      <c r="KA4" s="729" t="str">
        <f t="shared" ca="1" si="4"/>
        <v/>
      </c>
      <c r="KB4" s="729" t="str">
        <f t="shared" ca="1" si="4"/>
        <v/>
      </c>
      <c r="KC4" s="729" t="str">
        <f t="shared" ca="1" si="4"/>
        <v/>
      </c>
      <c r="KD4" s="729">
        <f t="shared" ca="1" si="4"/>
        <v>41932</v>
      </c>
      <c r="KE4" s="729" t="str">
        <f t="shared" ca="1" si="4"/>
        <v/>
      </c>
      <c r="KF4" s="729" t="str">
        <f t="shared" ca="1" si="4"/>
        <v/>
      </c>
      <c r="KG4" s="729" t="str">
        <f t="shared" ca="1" si="4"/>
        <v/>
      </c>
      <c r="KH4" s="729" t="str">
        <f t="shared" ca="1" si="4"/>
        <v/>
      </c>
      <c r="KI4" s="729" t="str">
        <f t="shared" ca="1" si="4"/>
        <v/>
      </c>
      <c r="KJ4" s="729" t="str">
        <f t="shared" ca="1" si="4"/>
        <v/>
      </c>
      <c r="KK4" s="729">
        <f t="shared" ca="1" si="4"/>
        <v>41939</v>
      </c>
      <c r="KL4" s="729" t="str">
        <f t="shared" ca="1" si="4"/>
        <v/>
      </c>
      <c r="KM4" s="729" t="str">
        <f t="shared" ca="1" si="4"/>
        <v/>
      </c>
      <c r="KN4" s="729" t="str">
        <f t="shared" ca="1" si="4"/>
        <v/>
      </c>
      <c r="KO4" s="729" t="str">
        <f t="shared" ca="1" si="4"/>
        <v/>
      </c>
      <c r="KP4" s="729" t="str">
        <f t="shared" ca="1" si="4"/>
        <v/>
      </c>
      <c r="KQ4" s="729" t="str">
        <f t="shared" ca="1" si="4"/>
        <v/>
      </c>
      <c r="KR4" s="729">
        <f t="shared" ca="1" si="4"/>
        <v>41946</v>
      </c>
      <c r="KS4" s="729" t="str">
        <f t="shared" ca="1" si="4"/>
        <v/>
      </c>
      <c r="KT4" s="729" t="str">
        <f t="shared" ca="1" si="4"/>
        <v/>
      </c>
      <c r="KU4" s="729" t="str">
        <f t="shared" ca="1" si="4"/>
        <v/>
      </c>
      <c r="KV4" s="729" t="str">
        <f t="shared" ca="1" si="4"/>
        <v/>
      </c>
      <c r="KW4" s="729" t="str">
        <f t="shared" ca="1" si="4"/>
        <v/>
      </c>
      <c r="KX4" s="729" t="str">
        <f t="shared" ca="1" si="4"/>
        <v/>
      </c>
      <c r="KY4" s="729">
        <f t="shared" ca="1" si="4"/>
        <v>41953</v>
      </c>
      <c r="KZ4" s="729" t="str">
        <f t="shared" ca="1" si="4"/>
        <v/>
      </c>
      <c r="LA4" s="729" t="str">
        <f t="shared" ca="1" si="4"/>
        <v/>
      </c>
      <c r="LB4" s="729" t="str">
        <f t="shared" ca="1" si="4"/>
        <v/>
      </c>
      <c r="LC4" s="729" t="str">
        <f t="shared" ca="1" si="4"/>
        <v/>
      </c>
      <c r="LD4" s="729" t="str">
        <f t="shared" ca="1" si="4"/>
        <v/>
      </c>
      <c r="LE4" s="729" t="str">
        <f t="shared" ca="1" si="4"/>
        <v/>
      </c>
      <c r="LF4" s="729">
        <f t="shared" ca="1" si="4"/>
        <v>41960</v>
      </c>
      <c r="LG4" s="729" t="str">
        <f t="shared" ca="1" si="4"/>
        <v/>
      </c>
      <c r="LH4" s="729" t="str">
        <f t="shared" ca="1" si="4"/>
        <v/>
      </c>
      <c r="LI4" s="729" t="str">
        <f t="shared" ca="1" si="4"/>
        <v/>
      </c>
      <c r="LJ4" s="729" t="str">
        <f t="shared" ca="1" si="4"/>
        <v/>
      </c>
      <c r="LK4" s="729" t="str">
        <f t="shared" ca="1" si="4"/>
        <v/>
      </c>
      <c r="LL4" s="729" t="str">
        <f t="shared" ca="1" si="4"/>
        <v/>
      </c>
      <c r="LM4" s="729">
        <f t="shared" ca="1" si="4"/>
        <v>41967</v>
      </c>
      <c r="LN4" s="729" t="str">
        <f t="shared" ca="1" si="4"/>
        <v/>
      </c>
      <c r="LO4" s="729" t="str">
        <f t="shared" ca="1" si="4"/>
        <v/>
      </c>
      <c r="LP4" s="729" t="str">
        <f t="shared" ca="1" si="4"/>
        <v/>
      </c>
      <c r="LQ4" s="729" t="str">
        <f t="shared" ca="1" si="4"/>
        <v/>
      </c>
      <c r="LR4" s="729" t="str">
        <f t="shared" ca="1" si="4"/>
        <v/>
      </c>
      <c r="LS4" s="729" t="str">
        <f t="shared" ca="1" si="4"/>
        <v/>
      </c>
      <c r="LT4" s="729">
        <f t="shared" ref="LT4:OE4" ca="1" si="5">IF(WEEKDAY(LT$6)=2,LT6,"")</f>
        <v>41974</v>
      </c>
      <c r="LU4" s="729" t="str">
        <f t="shared" ca="1" si="5"/>
        <v/>
      </c>
      <c r="LV4" s="729" t="str">
        <f t="shared" ca="1" si="5"/>
        <v/>
      </c>
      <c r="LW4" s="729" t="str">
        <f t="shared" ca="1" si="5"/>
        <v/>
      </c>
      <c r="LX4" s="729" t="str">
        <f t="shared" ca="1" si="5"/>
        <v/>
      </c>
      <c r="LY4" s="729" t="str">
        <f t="shared" ca="1" si="5"/>
        <v/>
      </c>
      <c r="LZ4" s="729" t="str">
        <f t="shared" ca="1" si="5"/>
        <v/>
      </c>
      <c r="MA4" s="729">
        <f t="shared" ca="1" si="5"/>
        <v>41981</v>
      </c>
      <c r="MB4" s="729" t="str">
        <f t="shared" ca="1" si="5"/>
        <v/>
      </c>
      <c r="MC4" s="729" t="str">
        <f t="shared" ca="1" si="5"/>
        <v/>
      </c>
      <c r="MD4" s="729" t="str">
        <f t="shared" ca="1" si="5"/>
        <v/>
      </c>
      <c r="ME4" s="729" t="str">
        <f t="shared" ca="1" si="5"/>
        <v/>
      </c>
      <c r="MF4" s="729" t="str">
        <f t="shared" ca="1" si="5"/>
        <v/>
      </c>
      <c r="MG4" s="729" t="str">
        <f t="shared" ca="1" si="5"/>
        <v/>
      </c>
      <c r="MH4" s="729">
        <f t="shared" ca="1" si="5"/>
        <v>41988</v>
      </c>
      <c r="MI4" s="729" t="str">
        <f t="shared" ca="1" si="5"/>
        <v/>
      </c>
      <c r="MJ4" s="729" t="str">
        <f t="shared" ca="1" si="5"/>
        <v/>
      </c>
      <c r="MK4" s="729" t="str">
        <f t="shared" ca="1" si="5"/>
        <v/>
      </c>
      <c r="ML4" s="729" t="str">
        <f t="shared" ca="1" si="5"/>
        <v/>
      </c>
      <c r="MM4" s="729" t="str">
        <f t="shared" ca="1" si="5"/>
        <v/>
      </c>
      <c r="MN4" s="729" t="str">
        <f t="shared" ca="1" si="5"/>
        <v/>
      </c>
      <c r="MO4" s="729">
        <f t="shared" ca="1" si="5"/>
        <v>41995</v>
      </c>
      <c r="MP4" s="729" t="str">
        <f t="shared" ca="1" si="5"/>
        <v/>
      </c>
      <c r="MQ4" s="729" t="str">
        <f t="shared" ca="1" si="5"/>
        <v/>
      </c>
      <c r="MR4" s="729" t="str">
        <f t="shared" ca="1" si="5"/>
        <v/>
      </c>
      <c r="MS4" s="729" t="str">
        <f t="shared" ca="1" si="5"/>
        <v/>
      </c>
      <c r="MT4" s="729" t="str">
        <f t="shared" ca="1" si="5"/>
        <v/>
      </c>
      <c r="MU4" s="729" t="str">
        <f t="shared" ca="1" si="5"/>
        <v/>
      </c>
      <c r="MV4" s="729">
        <f t="shared" ca="1" si="5"/>
        <v>42002</v>
      </c>
      <c r="MW4" s="729" t="str">
        <f t="shared" ca="1" si="5"/>
        <v/>
      </c>
      <c r="MX4" s="729" t="str">
        <f t="shared" ca="1" si="5"/>
        <v/>
      </c>
      <c r="MY4" s="729" t="str">
        <f t="shared" ca="1" si="5"/>
        <v/>
      </c>
      <c r="MZ4" s="729" t="str">
        <f t="shared" ca="1" si="5"/>
        <v/>
      </c>
      <c r="NA4" s="729" t="str">
        <f t="shared" ca="1" si="5"/>
        <v/>
      </c>
      <c r="NB4" s="729" t="str">
        <f t="shared" ca="1" si="5"/>
        <v/>
      </c>
      <c r="NC4" s="729">
        <f t="shared" ca="1" si="5"/>
        <v>42009</v>
      </c>
      <c r="ND4" s="729" t="str">
        <f t="shared" ca="1" si="5"/>
        <v/>
      </c>
      <c r="NE4" s="729" t="str">
        <f t="shared" ca="1" si="5"/>
        <v/>
      </c>
      <c r="NF4" s="729" t="str">
        <f t="shared" ca="1" si="5"/>
        <v/>
      </c>
      <c r="NG4" s="729" t="str">
        <f t="shared" ca="1" si="5"/>
        <v/>
      </c>
      <c r="NH4" s="729" t="str">
        <f t="shared" ca="1" si="5"/>
        <v/>
      </c>
      <c r="NI4" s="729" t="str">
        <f t="shared" ca="1" si="5"/>
        <v/>
      </c>
      <c r="NJ4" s="729">
        <f t="shared" ca="1" si="5"/>
        <v>42016</v>
      </c>
      <c r="NK4" s="729" t="str">
        <f t="shared" ca="1" si="5"/>
        <v/>
      </c>
      <c r="NL4" s="729" t="str">
        <f t="shared" ca="1" si="5"/>
        <v/>
      </c>
      <c r="NM4" s="729" t="str">
        <f t="shared" ca="1" si="5"/>
        <v/>
      </c>
      <c r="NN4" s="729" t="str">
        <f t="shared" ca="1" si="5"/>
        <v/>
      </c>
      <c r="NO4" s="729" t="str">
        <f t="shared" ca="1" si="5"/>
        <v/>
      </c>
      <c r="NP4" s="729" t="str">
        <f t="shared" ca="1" si="5"/>
        <v/>
      </c>
      <c r="NQ4" s="729">
        <f t="shared" ca="1" si="5"/>
        <v>42023</v>
      </c>
      <c r="NR4" s="729" t="str">
        <f t="shared" ca="1" si="5"/>
        <v/>
      </c>
      <c r="NS4" s="729" t="str">
        <f t="shared" ca="1" si="5"/>
        <v/>
      </c>
      <c r="NT4" s="729" t="str">
        <f t="shared" ca="1" si="5"/>
        <v/>
      </c>
      <c r="NU4" s="729" t="str">
        <f t="shared" ca="1" si="5"/>
        <v/>
      </c>
      <c r="NV4" s="729" t="str">
        <f t="shared" ca="1" si="5"/>
        <v/>
      </c>
      <c r="NW4" s="729" t="str">
        <f t="shared" ca="1" si="5"/>
        <v/>
      </c>
      <c r="NX4" s="729">
        <f t="shared" ca="1" si="5"/>
        <v>42030</v>
      </c>
      <c r="NY4" s="729" t="str">
        <f t="shared" ca="1" si="5"/>
        <v/>
      </c>
      <c r="NZ4" s="729" t="str">
        <f t="shared" ca="1" si="5"/>
        <v/>
      </c>
      <c r="OA4" s="729" t="str">
        <f t="shared" ca="1" si="5"/>
        <v/>
      </c>
      <c r="OB4" s="729" t="str">
        <f t="shared" ca="1" si="5"/>
        <v/>
      </c>
      <c r="OC4" s="729" t="str">
        <f t="shared" ca="1" si="5"/>
        <v/>
      </c>
      <c r="OD4" s="729" t="str">
        <f t="shared" ca="1" si="5"/>
        <v/>
      </c>
      <c r="OE4" s="729">
        <f t="shared" ca="1" si="5"/>
        <v>42037</v>
      </c>
      <c r="OF4" s="729" t="str">
        <f t="shared" ref="OF4:QQ4" ca="1" si="6">IF(WEEKDAY(OF$6)=2,OF6,"")</f>
        <v/>
      </c>
      <c r="OG4" s="729" t="str">
        <f t="shared" ca="1" si="6"/>
        <v/>
      </c>
      <c r="OH4" s="729" t="str">
        <f t="shared" ca="1" si="6"/>
        <v/>
      </c>
      <c r="OI4" s="729" t="str">
        <f t="shared" ca="1" si="6"/>
        <v/>
      </c>
      <c r="OJ4" s="729" t="str">
        <f t="shared" ca="1" si="6"/>
        <v/>
      </c>
      <c r="OK4" s="729" t="str">
        <f t="shared" ca="1" si="6"/>
        <v/>
      </c>
      <c r="OL4" s="729">
        <f t="shared" ca="1" si="6"/>
        <v>42044</v>
      </c>
      <c r="OM4" s="729" t="str">
        <f t="shared" ca="1" si="6"/>
        <v/>
      </c>
      <c r="ON4" s="729" t="str">
        <f t="shared" ca="1" si="6"/>
        <v/>
      </c>
      <c r="OO4" s="729" t="str">
        <f t="shared" ca="1" si="6"/>
        <v/>
      </c>
      <c r="OP4" s="729" t="str">
        <f t="shared" ca="1" si="6"/>
        <v/>
      </c>
      <c r="OQ4" s="729" t="str">
        <f t="shared" ca="1" si="6"/>
        <v/>
      </c>
      <c r="OR4" s="729" t="str">
        <f t="shared" ca="1" si="6"/>
        <v/>
      </c>
      <c r="OS4" s="729">
        <f t="shared" ca="1" si="6"/>
        <v>42051</v>
      </c>
      <c r="OT4" s="729" t="str">
        <f t="shared" ca="1" si="6"/>
        <v/>
      </c>
      <c r="OU4" s="729" t="str">
        <f t="shared" ca="1" si="6"/>
        <v/>
      </c>
      <c r="OV4" s="729" t="str">
        <f t="shared" ca="1" si="6"/>
        <v/>
      </c>
      <c r="OW4" s="729" t="str">
        <f t="shared" ca="1" si="6"/>
        <v/>
      </c>
      <c r="OX4" s="729" t="str">
        <f t="shared" ca="1" si="6"/>
        <v/>
      </c>
      <c r="OY4" s="729" t="str">
        <f t="shared" ca="1" si="6"/>
        <v/>
      </c>
      <c r="OZ4" s="729">
        <f t="shared" ca="1" si="6"/>
        <v>42058</v>
      </c>
      <c r="PA4" s="729" t="str">
        <f t="shared" ca="1" si="6"/>
        <v/>
      </c>
      <c r="PB4" s="729" t="str">
        <f t="shared" ca="1" si="6"/>
        <v/>
      </c>
      <c r="PC4" s="729" t="str">
        <f t="shared" ca="1" si="6"/>
        <v/>
      </c>
      <c r="PD4" s="729" t="str">
        <f t="shared" ca="1" si="6"/>
        <v/>
      </c>
      <c r="PE4" s="729" t="str">
        <f t="shared" ca="1" si="6"/>
        <v/>
      </c>
      <c r="PF4" s="729" t="str">
        <f t="shared" ca="1" si="6"/>
        <v/>
      </c>
      <c r="PG4" s="729">
        <f t="shared" ca="1" si="6"/>
        <v>42065</v>
      </c>
      <c r="PH4" s="729" t="str">
        <f t="shared" ca="1" si="6"/>
        <v/>
      </c>
      <c r="PI4" s="729" t="str">
        <f t="shared" ca="1" si="6"/>
        <v/>
      </c>
      <c r="PJ4" s="729" t="str">
        <f t="shared" ca="1" si="6"/>
        <v/>
      </c>
      <c r="PK4" s="729" t="str">
        <f t="shared" ca="1" si="6"/>
        <v/>
      </c>
      <c r="PL4" s="729" t="str">
        <f t="shared" ca="1" si="6"/>
        <v/>
      </c>
      <c r="PM4" s="729" t="str">
        <f t="shared" ca="1" si="6"/>
        <v/>
      </c>
      <c r="PN4" s="729">
        <f t="shared" ca="1" si="6"/>
        <v>42072</v>
      </c>
      <c r="PO4" s="729" t="str">
        <f t="shared" ca="1" si="6"/>
        <v/>
      </c>
      <c r="PP4" s="729" t="str">
        <f t="shared" ca="1" si="6"/>
        <v/>
      </c>
      <c r="PQ4" s="729" t="str">
        <f t="shared" ca="1" si="6"/>
        <v/>
      </c>
      <c r="PR4" s="729" t="str">
        <f t="shared" ca="1" si="6"/>
        <v/>
      </c>
      <c r="PS4" s="729" t="str">
        <f t="shared" ca="1" si="6"/>
        <v/>
      </c>
      <c r="PT4" s="729" t="str">
        <f t="shared" ca="1" si="6"/>
        <v/>
      </c>
      <c r="PU4" s="729">
        <f t="shared" ca="1" si="6"/>
        <v>42079</v>
      </c>
      <c r="PV4" s="729" t="str">
        <f t="shared" ca="1" si="6"/>
        <v/>
      </c>
      <c r="PW4" s="729" t="str">
        <f t="shared" ca="1" si="6"/>
        <v/>
      </c>
      <c r="PX4" s="729" t="str">
        <f t="shared" ca="1" si="6"/>
        <v/>
      </c>
      <c r="PY4" s="729" t="str">
        <f t="shared" ca="1" si="6"/>
        <v/>
      </c>
      <c r="PZ4" s="729" t="str">
        <f t="shared" ca="1" si="6"/>
        <v/>
      </c>
      <c r="QA4" s="729" t="str">
        <f t="shared" ca="1" si="6"/>
        <v/>
      </c>
      <c r="QB4" s="729">
        <f t="shared" ca="1" si="6"/>
        <v>42086</v>
      </c>
      <c r="QC4" s="729" t="str">
        <f t="shared" ca="1" si="6"/>
        <v/>
      </c>
      <c r="QD4" s="729" t="str">
        <f t="shared" ca="1" si="6"/>
        <v/>
      </c>
      <c r="QE4" s="729" t="str">
        <f t="shared" ca="1" si="6"/>
        <v/>
      </c>
      <c r="QF4" s="729" t="str">
        <f t="shared" ca="1" si="6"/>
        <v/>
      </c>
      <c r="QG4" s="729" t="str">
        <f t="shared" ca="1" si="6"/>
        <v/>
      </c>
      <c r="QH4" s="729" t="str">
        <f t="shared" ca="1" si="6"/>
        <v/>
      </c>
      <c r="QI4" s="729">
        <f t="shared" ca="1" si="6"/>
        <v>42093</v>
      </c>
      <c r="QJ4" s="729" t="str">
        <f t="shared" ca="1" si="6"/>
        <v/>
      </c>
      <c r="QK4" s="729" t="str">
        <f t="shared" ca="1" si="6"/>
        <v/>
      </c>
      <c r="QL4" s="729" t="str">
        <f t="shared" ca="1" si="6"/>
        <v/>
      </c>
      <c r="QM4" s="729" t="str">
        <f t="shared" ca="1" si="6"/>
        <v/>
      </c>
      <c r="QN4" s="729" t="str">
        <f t="shared" ca="1" si="6"/>
        <v/>
      </c>
      <c r="QO4" s="729" t="str">
        <f t="shared" ca="1" si="6"/>
        <v/>
      </c>
      <c r="QP4" s="729">
        <f t="shared" ca="1" si="6"/>
        <v>42100</v>
      </c>
      <c r="QQ4" s="729" t="str">
        <f t="shared" ca="1" si="6"/>
        <v/>
      </c>
      <c r="QR4" s="729" t="str">
        <f t="shared" ref="QR4:TC4" ca="1" si="7">IF(WEEKDAY(QR$6)=2,QR6,"")</f>
        <v/>
      </c>
      <c r="QS4" s="729" t="str">
        <f t="shared" ca="1" si="7"/>
        <v/>
      </c>
      <c r="QT4" s="729" t="str">
        <f t="shared" ca="1" si="7"/>
        <v/>
      </c>
      <c r="QU4" s="729" t="str">
        <f t="shared" ca="1" si="7"/>
        <v/>
      </c>
      <c r="QV4" s="729" t="str">
        <f t="shared" ca="1" si="7"/>
        <v/>
      </c>
      <c r="QW4" s="729">
        <f t="shared" ca="1" si="7"/>
        <v>42107</v>
      </c>
      <c r="QX4" s="729" t="str">
        <f t="shared" ca="1" si="7"/>
        <v/>
      </c>
      <c r="QY4" s="729" t="str">
        <f t="shared" ca="1" si="7"/>
        <v/>
      </c>
      <c r="QZ4" s="729" t="str">
        <f t="shared" ca="1" si="7"/>
        <v/>
      </c>
      <c r="RA4" s="729" t="str">
        <f t="shared" ca="1" si="7"/>
        <v/>
      </c>
      <c r="RB4" s="729" t="str">
        <f t="shared" ca="1" si="7"/>
        <v/>
      </c>
      <c r="RC4" s="729" t="str">
        <f t="shared" ca="1" si="7"/>
        <v/>
      </c>
      <c r="RD4" s="729">
        <f t="shared" ca="1" si="7"/>
        <v>42114</v>
      </c>
      <c r="RE4" s="729" t="str">
        <f t="shared" ca="1" si="7"/>
        <v/>
      </c>
      <c r="RF4" s="729" t="str">
        <f t="shared" ca="1" si="7"/>
        <v/>
      </c>
      <c r="RG4" s="729" t="str">
        <f t="shared" ca="1" si="7"/>
        <v/>
      </c>
      <c r="RH4" s="729" t="str">
        <f t="shared" ca="1" si="7"/>
        <v/>
      </c>
      <c r="RI4" s="729" t="str">
        <f t="shared" ca="1" si="7"/>
        <v/>
      </c>
      <c r="RJ4" s="729" t="str">
        <f t="shared" ca="1" si="7"/>
        <v/>
      </c>
      <c r="RK4" s="729">
        <f t="shared" ca="1" si="7"/>
        <v>42121</v>
      </c>
      <c r="RL4" s="729" t="str">
        <f t="shared" ca="1" si="7"/>
        <v/>
      </c>
      <c r="RM4" s="729" t="str">
        <f t="shared" ca="1" si="7"/>
        <v/>
      </c>
      <c r="RN4" s="729" t="str">
        <f t="shared" ca="1" si="7"/>
        <v/>
      </c>
      <c r="RO4" s="729" t="str">
        <f t="shared" ca="1" si="7"/>
        <v/>
      </c>
      <c r="RP4" s="729" t="str">
        <f t="shared" ca="1" si="7"/>
        <v/>
      </c>
      <c r="RQ4" s="729" t="str">
        <f t="shared" ca="1" si="7"/>
        <v/>
      </c>
      <c r="RR4" s="729">
        <f t="shared" ca="1" si="7"/>
        <v>42128</v>
      </c>
      <c r="RS4" s="729" t="str">
        <f t="shared" ca="1" si="7"/>
        <v/>
      </c>
      <c r="RT4" s="729" t="str">
        <f t="shared" ca="1" si="7"/>
        <v/>
      </c>
      <c r="RU4" s="729" t="str">
        <f t="shared" ca="1" si="7"/>
        <v/>
      </c>
      <c r="RV4" s="729" t="str">
        <f t="shared" ca="1" si="7"/>
        <v/>
      </c>
      <c r="RW4" s="729" t="str">
        <f t="shared" ca="1" si="7"/>
        <v/>
      </c>
      <c r="RX4" s="729" t="str">
        <f t="shared" ca="1" si="7"/>
        <v/>
      </c>
      <c r="RY4" s="729">
        <f t="shared" ca="1" si="7"/>
        <v>42135</v>
      </c>
      <c r="RZ4" s="729" t="str">
        <f t="shared" ca="1" si="7"/>
        <v/>
      </c>
      <c r="SA4" s="729" t="str">
        <f t="shared" ca="1" si="7"/>
        <v/>
      </c>
      <c r="SB4" s="729" t="str">
        <f t="shared" ca="1" si="7"/>
        <v/>
      </c>
      <c r="SC4" s="729" t="str">
        <f t="shared" ca="1" si="7"/>
        <v/>
      </c>
      <c r="SD4" s="729" t="str">
        <f t="shared" ca="1" si="7"/>
        <v/>
      </c>
      <c r="SE4" s="729" t="str">
        <f t="shared" ca="1" si="7"/>
        <v/>
      </c>
      <c r="SF4" s="729">
        <f t="shared" ca="1" si="7"/>
        <v>42142</v>
      </c>
      <c r="SG4" s="729" t="str">
        <f t="shared" ca="1" si="7"/>
        <v/>
      </c>
      <c r="SH4" s="729" t="str">
        <f t="shared" ca="1" si="7"/>
        <v/>
      </c>
      <c r="SI4" s="729" t="str">
        <f t="shared" ca="1" si="7"/>
        <v/>
      </c>
      <c r="SJ4" s="729" t="str">
        <f t="shared" ca="1" si="7"/>
        <v/>
      </c>
      <c r="SK4" s="729" t="str">
        <f t="shared" ca="1" si="7"/>
        <v/>
      </c>
      <c r="SL4" s="729" t="str">
        <f t="shared" ca="1" si="7"/>
        <v/>
      </c>
      <c r="SM4" s="729">
        <f t="shared" ca="1" si="7"/>
        <v>42149</v>
      </c>
      <c r="SN4" s="729" t="str">
        <f t="shared" ca="1" si="7"/>
        <v/>
      </c>
      <c r="SO4" s="729" t="str">
        <f t="shared" ca="1" si="7"/>
        <v/>
      </c>
      <c r="SP4" s="729" t="str">
        <f t="shared" ca="1" si="7"/>
        <v/>
      </c>
      <c r="SQ4" s="729" t="str">
        <f t="shared" ca="1" si="7"/>
        <v/>
      </c>
      <c r="SR4" s="729" t="str">
        <f t="shared" ca="1" si="7"/>
        <v/>
      </c>
      <c r="SS4" s="729" t="str">
        <f t="shared" ca="1" si="7"/>
        <v/>
      </c>
      <c r="ST4" s="729">
        <f t="shared" ca="1" si="7"/>
        <v>42156</v>
      </c>
      <c r="SU4" s="729" t="str">
        <f t="shared" ca="1" si="7"/>
        <v/>
      </c>
      <c r="SV4" s="729" t="str">
        <f t="shared" ca="1" si="7"/>
        <v/>
      </c>
      <c r="SW4" s="729" t="str">
        <f t="shared" ca="1" si="7"/>
        <v/>
      </c>
      <c r="SX4" s="729" t="str">
        <f t="shared" ca="1" si="7"/>
        <v/>
      </c>
      <c r="SY4" s="729" t="str">
        <f t="shared" ca="1" si="7"/>
        <v/>
      </c>
      <c r="SZ4" s="729" t="str">
        <f t="shared" ca="1" si="7"/>
        <v/>
      </c>
      <c r="TA4" s="729">
        <f t="shared" ca="1" si="7"/>
        <v>42163</v>
      </c>
      <c r="TB4" s="729" t="str">
        <f t="shared" ca="1" si="7"/>
        <v/>
      </c>
      <c r="TC4" s="729" t="str">
        <f t="shared" ca="1" si="7"/>
        <v/>
      </c>
      <c r="TD4" s="729" t="str">
        <f t="shared" ref="TD4:VO4" ca="1" si="8">IF(WEEKDAY(TD$6)=2,TD6,"")</f>
        <v/>
      </c>
      <c r="TE4" s="729" t="str">
        <f t="shared" ca="1" si="8"/>
        <v/>
      </c>
      <c r="TF4" s="729" t="str">
        <f t="shared" ca="1" si="8"/>
        <v/>
      </c>
      <c r="TG4" s="729" t="str">
        <f t="shared" ca="1" si="8"/>
        <v/>
      </c>
      <c r="TH4" s="729">
        <f t="shared" ca="1" si="8"/>
        <v>42170</v>
      </c>
      <c r="TI4" s="729" t="str">
        <f t="shared" ca="1" si="8"/>
        <v/>
      </c>
      <c r="TJ4" s="729" t="str">
        <f t="shared" ca="1" si="8"/>
        <v/>
      </c>
      <c r="TK4" s="729" t="str">
        <f t="shared" ca="1" si="8"/>
        <v/>
      </c>
      <c r="TL4" s="729" t="str">
        <f t="shared" ca="1" si="8"/>
        <v/>
      </c>
      <c r="TM4" s="729" t="str">
        <f t="shared" ca="1" si="8"/>
        <v/>
      </c>
      <c r="TN4" s="729" t="str">
        <f t="shared" ca="1" si="8"/>
        <v/>
      </c>
      <c r="TO4" s="729">
        <f t="shared" ca="1" si="8"/>
        <v>42177</v>
      </c>
      <c r="TP4" s="729" t="str">
        <f t="shared" ca="1" si="8"/>
        <v/>
      </c>
      <c r="TQ4" s="729" t="str">
        <f t="shared" ca="1" si="8"/>
        <v/>
      </c>
      <c r="TR4" s="729" t="str">
        <f t="shared" ca="1" si="8"/>
        <v/>
      </c>
      <c r="TS4" s="729" t="str">
        <f t="shared" ca="1" si="8"/>
        <v/>
      </c>
      <c r="TT4" s="729" t="str">
        <f t="shared" ca="1" si="8"/>
        <v/>
      </c>
      <c r="TU4" s="729" t="str">
        <f t="shared" ca="1" si="8"/>
        <v/>
      </c>
      <c r="TV4" s="729">
        <f t="shared" ca="1" si="8"/>
        <v>42184</v>
      </c>
      <c r="TW4" s="729" t="str">
        <f t="shared" ca="1" si="8"/>
        <v/>
      </c>
      <c r="TX4" s="729" t="str">
        <f t="shared" ca="1" si="8"/>
        <v/>
      </c>
      <c r="TY4" s="729" t="str">
        <f t="shared" ca="1" si="8"/>
        <v/>
      </c>
      <c r="TZ4" s="729" t="str">
        <f t="shared" ca="1" si="8"/>
        <v/>
      </c>
      <c r="UA4" s="729" t="str">
        <f t="shared" ca="1" si="8"/>
        <v/>
      </c>
      <c r="UB4" s="729" t="str">
        <f t="shared" ca="1" si="8"/>
        <v/>
      </c>
      <c r="UC4" s="729">
        <f t="shared" ca="1" si="8"/>
        <v>42191</v>
      </c>
      <c r="UD4" s="729" t="str">
        <f t="shared" ca="1" si="8"/>
        <v/>
      </c>
      <c r="UE4" s="729" t="str">
        <f t="shared" ca="1" si="8"/>
        <v/>
      </c>
      <c r="UF4" s="729" t="str">
        <f t="shared" ca="1" si="8"/>
        <v/>
      </c>
      <c r="UG4" s="729" t="str">
        <f t="shared" ca="1" si="8"/>
        <v/>
      </c>
      <c r="UH4" s="729" t="str">
        <f t="shared" ca="1" si="8"/>
        <v/>
      </c>
      <c r="UI4" s="729" t="str">
        <f t="shared" ca="1" si="8"/>
        <v/>
      </c>
      <c r="UJ4" s="729">
        <f t="shared" ca="1" si="8"/>
        <v>42198</v>
      </c>
      <c r="UK4" s="729" t="str">
        <f t="shared" ca="1" si="8"/>
        <v/>
      </c>
      <c r="UL4" s="729" t="str">
        <f t="shared" ca="1" si="8"/>
        <v/>
      </c>
      <c r="UM4" s="729" t="str">
        <f t="shared" ca="1" si="8"/>
        <v/>
      </c>
      <c r="UN4" s="729" t="str">
        <f t="shared" ca="1" si="8"/>
        <v/>
      </c>
      <c r="UO4" s="729" t="str">
        <f t="shared" ca="1" si="8"/>
        <v/>
      </c>
      <c r="UP4" s="729" t="str">
        <f t="shared" ca="1" si="8"/>
        <v/>
      </c>
      <c r="UQ4" s="729">
        <f t="shared" ca="1" si="8"/>
        <v>42205</v>
      </c>
      <c r="UR4" s="729" t="str">
        <f t="shared" ca="1" si="8"/>
        <v/>
      </c>
      <c r="US4" s="729" t="str">
        <f t="shared" ca="1" si="8"/>
        <v/>
      </c>
      <c r="UT4" s="729" t="str">
        <f t="shared" ca="1" si="8"/>
        <v/>
      </c>
      <c r="UU4" s="729" t="str">
        <f t="shared" ca="1" si="8"/>
        <v/>
      </c>
      <c r="UV4" s="729" t="str">
        <f t="shared" ca="1" si="8"/>
        <v/>
      </c>
      <c r="UW4" s="729" t="str">
        <f t="shared" ca="1" si="8"/>
        <v/>
      </c>
      <c r="UX4" s="729">
        <f t="shared" ca="1" si="8"/>
        <v>42212</v>
      </c>
      <c r="UY4" s="729" t="str">
        <f t="shared" ca="1" si="8"/>
        <v/>
      </c>
      <c r="UZ4" s="729" t="str">
        <f t="shared" ca="1" si="8"/>
        <v/>
      </c>
      <c r="VA4" s="729" t="str">
        <f t="shared" ca="1" si="8"/>
        <v/>
      </c>
      <c r="VB4" s="729" t="str">
        <f t="shared" ca="1" si="8"/>
        <v/>
      </c>
      <c r="VC4" s="729" t="str">
        <f t="shared" ca="1" si="8"/>
        <v/>
      </c>
      <c r="VD4" s="729" t="str">
        <f t="shared" ca="1" si="8"/>
        <v/>
      </c>
      <c r="VE4" s="729">
        <f t="shared" ca="1" si="8"/>
        <v>42219</v>
      </c>
      <c r="VF4" s="729" t="str">
        <f t="shared" ca="1" si="8"/>
        <v/>
      </c>
      <c r="VG4" s="729" t="str">
        <f t="shared" ca="1" si="8"/>
        <v/>
      </c>
      <c r="VH4" s="729" t="str">
        <f t="shared" ca="1" si="8"/>
        <v/>
      </c>
      <c r="VI4" s="729" t="str">
        <f t="shared" ca="1" si="8"/>
        <v/>
      </c>
      <c r="VJ4" s="729" t="str">
        <f t="shared" ca="1" si="8"/>
        <v/>
      </c>
      <c r="VK4" s="729" t="str">
        <f t="shared" ca="1" si="8"/>
        <v/>
      </c>
      <c r="VL4" s="729">
        <f t="shared" ca="1" si="8"/>
        <v>42226</v>
      </c>
      <c r="VM4" s="729" t="str">
        <f t="shared" ca="1" si="8"/>
        <v/>
      </c>
      <c r="VN4" s="729" t="str">
        <f t="shared" ca="1" si="8"/>
        <v/>
      </c>
      <c r="VO4" s="729" t="str">
        <f t="shared" ca="1" si="8"/>
        <v/>
      </c>
      <c r="VP4" s="729" t="str">
        <f t="shared" ref="VP4:YA4" ca="1" si="9">IF(WEEKDAY(VP$6)=2,VP6,"")</f>
        <v/>
      </c>
      <c r="VQ4" s="729" t="str">
        <f t="shared" ca="1" si="9"/>
        <v/>
      </c>
      <c r="VR4" s="729" t="str">
        <f t="shared" ca="1" si="9"/>
        <v/>
      </c>
      <c r="VS4" s="729">
        <f t="shared" ca="1" si="9"/>
        <v>42233</v>
      </c>
      <c r="VT4" s="729" t="str">
        <f t="shared" ca="1" si="9"/>
        <v/>
      </c>
      <c r="VU4" s="729" t="str">
        <f t="shared" ca="1" si="9"/>
        <v/>
      </c>
      <c r="VV4" s="729" t="str">
        <f t="shared" ca="1" si="9"/>
        <v/>
      </c>
      <c r="VW4" s="729" t="str">
        <f t="shared" ca="1" si="9"/>
        <v/>
      </c>
      <c r="VX4" s="729" t="str">
        <f t="shared" ca="1" si="9"/>
        <v/>
      </c>
      <c r="VY4" s="729" t="str">
        <f t="shared" ca="1" si="9"/>
        <v/>
      </c>
      <c r="VZ4" s="729">
        <f t="shared" ca="1" si="9"/>
        <v>42240</v>
      </c>
      <c r="WA4" s="729" t="str">
        <f t="shared" ca="1" si="9"/>
        <v/>
      </c>
      <c r="WB4" s="729" t="str">
        <f t="shared" ca="1" si="9"/>
        <v/>
      </c>
      <c r="WC4" s="729" t="str">
        <f t="shared" ca="1" si="9"/>
        <v/>
      </c>
      <c r="WD4" s="729" t="str">
        <f t="shared" ca="1" si="9"/>
        <v/>
      </c>
      <c r="WE4" s="729" t="str">
        <f t="shared" ca="1" si="9"/>
        <v/>
      </c>
      <c r="WF4" s="729" t="str">
        <f t="shared" ca="1" si="9"/>
        <v/>
      </c>
      <c r="WG4" s="729">
        <f t="shared" ca="1" si="9"/>
        <v>42247</v>
      </c>
      <c r="WH4" s="729" t="str">
        <f t="shared" ca="1" si="9"/>
        <v/>
      </c>
      <c r="WI4" s="729" t="str">
        <f t="shared" ca="1" si="9"/>
        <v/>
      </c>
      <c r="WJ4" s="729" t="str">
        <f t="shared" ca="1" si="9"/>
        <v/>
      </c>
      <c r="WK4" s="729" t="str">
        <f t="shared" ca="1" si="9"/>
        <v/>
      </c>
      <c r="WL4" s="729" t="str">
        <f t="shared" ca="1" si="9"/>
        <v/>
      </c>
      <c r="WM4" s="729" t="str">
        <f t="shared" ca="1" si="9"/>
        <v/>
      </c>
      <c r="WN4" s="729">
        <f t="shared" ca="1" si="9"/>
        <v>42254</v>
      </c>
      <c r="WO4" s="729" t="str">
        <f t="shared" ca="1" si="9"/>
        <v/>
      </c>
      <c r="WP4" s="729" t="str">
        <f t="shared" ca="1" si="9"/>
        <v/>
      </c>
      <c r="WQ4" s="729" t="str">
        <f t="shared" ca="1" si="9"/>
        <v/>
      </c>
      <c r="WR4" s="729" t="str">
        <f t="shared" ca="1" si="9"/>
        <v/>
      </c>
      <c r="WS4" s="729" t="str">
        <f t="shared" ca="1" si="9"/>
        <v/>
      </c>
      <c r="WT4" s="729" t="str">
        <f t="shared" ca="1" si="9"/>
        <v/>
      </c>
      <c r="WU4" s="729">
        <f t="shared" ca="1" si="9"/>
        <v>42261</v>
      </c>
      <c r="WV4" s="729" t="str">
        <f t="shared" ca="1" si="9"/>
        <v/>
      </c>
      <c r="WW4" s="729" t="str">
        <f t="shared" ca="1" si="9"/>
        <v/>
      </c>
      <c r="WX4" s="729" t="str">
        <f t="shared" ca="1" si="9"/>
        <v/>
      </c>
      <c r="WY4" s="729" t="str">
        <f t="shared" ca="1" si="9"/>
        <v/>
      </c>
      <c r="WZ4" s="729" t="str">
        <f t="shared" ca="1" si="9"/>
        <v/>
      </c>
      <c r="XA4" s="729" t="str">
        <f t="shared" ca="1" si="9"/>
        <v/>
      </c>
      <c r="XB4" s="729">
        <f t="shared" ca="1" si="9"/>
        <v>42268</v>
      </c>
      <c r="XC4" s="729" t="str">
        <f t="shared" ca="1" si="9"/>
        <v/>
      </c>
      <c r="XD4" s="729" t="str">
        <f t="shared" ca="1" si="9"/>
        <v/>
      </c>
      <c r="XE4" s="729" t="str">
        <f t="shared" ca="1" si="9"/>
        <v/>
      </c>
      <c r="XF4" s="729" t="str">
        <f t="shared" ca="1" si="9"/>
        <v/>
      </c>
      <c r="XG4" s="729" t="str">
        <f t="shared" ca="1" si="9"/>
        <v/>
      </c>
      <c r="XH4" s="729" t="str">
        <f t="shared" ca="1" si="9"/>
        <v/>
      </c>
      <c r="XI4" s="729">
        <f t="shared" ca="1" si="9"/>
        <v>42275</v>
      </c>
      <c r="XJ4" s="729" t="str">
        <f t="shared" ca="1" si="9"/>
        <v/>
      </c>
      <c r="XK4" s="729" t="str">
        <f t="shared" ca="1" si="9"/>
        <v/>
      </c>
      <c r="XL4" s="729" t="str">
        <f t="shared" ca="1" si="9"/>
        <v/>
      </c>
      <c r="XM4" s="729" t="str">
        <f t="shared" ca="1" si="9"/>
        <v/>
      </c>
      <c r="XN4" s="729" t="str">
        <f t="shared" ca="1" si="9"/>
        <v/>
      </c>
      <c r="XO4" s="729" t="str">
        <f t="shared" ca="1" si="9"/>
        <v/>
      </c>
      <c r="XP4" s="729">
        <f t="shared" ca="1" si="9"/>
        <v>42282</v>
      </c>
      <c r="XQ4" s="729" t="str">
        <f t="shared" ca="1" si="9"/>
        <v/>
      </c>
      <c r="XR4" s="729" t="str">
        <f t="shared" ca="1" si="9"/>
        <v/>
      </c>
      <c r="XS4" s="729" t="str">
        <f t="shared" ca="1" si="9"/>
        <v/>
      </c>
      <c r="XT4" s="729" t="str">
        <f t="shared" ca="1" si="9"/>
        <v/>
      </c>
      <c r="XU4" s="729" t="str">
        <f t="shared" ca="1" si="9"/>
        <v/>
      </c>
      <c r="XV4" s="729" t="str">
        <f t="shared" ca="1" si="9"/>
        <v/>
      </c>
      <c r="XW4" s="729">
        <f t="shared" ca="1" si="9"/>
        <v>42289</v>
      </c>
      <c r="XX4" s="729" t="str">
        <f t="shared" ca="1" si="9"/>
        <v/>
      </c>
      <c r="XY4" s="729" t="str">
        <f t="shared" ca="1" si="9"/>
        <v/>
      </c>
      <c r="XZ4" s="729" t="str">
        <f t="shared" ca="1" si="9"/>
        <v/>
      </c>
      <c r="YA4" s="729" t="str">
        <f t="shared" ca="1" si="9"/>
        <v/>
      </c>
      <c r="YB4" s="729" t="str">
        <f t="shared" ref="YB4:ZZ4" ca="1" si="10">IF(WEEKDAY(YB$6)=2,YB6,"")</f>
        <v/>
      </c>
      <c r="YC4" s="729" t="str">
        <f t="shared" ca="1" si="10"/>
        <v/>
      </c>
      <c r="YD4" s="729">
        <f t="shared" ca="1" si="10"/>
        <v>42296</v>
      </c>
      <c r="YE4" s="729" t="str">
        <f t="shared" ca="1" si="10"/>
        <v/>
      </c>
      <c r="YF4" s="729" t="str">
        <f t="shared" ca="1" si="10"/>
        <v/>
      </c>
      <c r="YG4" s="729" t="str">
        <f t="shared" ca="1" si="10"/>
        <v/>
      </c>
      <c r="YH4" s="729" t="str">
        <f t="shared" ca="1" si="10"/>
        <v/>
      </c>
      <c r="YI4" s="729" t="str">
        <f t="shared" ca="1" si="10"/>
        <v/>
      </c>
      <c r="YJ4" s="729" t="str">
        <f t="shared" ca="1" si="10"/>
        <v/>
      </c>
      <c r="YK4" s="729">
        <f t="shared" ca="1" si="10"/>
        <v>42303</v>
      </c>
      <c r="YL4" s="729" t="str">
        <f t="shared" ca="1" si="10"/>
        <v/>
      </c>
      <c r="YM4" s="729" t="str">
        <f t="shared" ca="1" si="10"/>
        <v/>
      </c>
      <c r="YN4" s="729" t="str">
        <f t="shared" ca="1" si="10"/>
        <v/>
      </c>
      <c r="YO4" s="729" t="str">
        <f t="shared" ca="1" si="10"/>
        <v/>
      </c>
      <c r="YP4" s="729" t="str">
        <f t="shared" ca="1" si="10"/>
        <v/>
      </c>
      <c r="YQ4" s="729" t="str">
        <f t="shared" ca="1" si="10"/>
        <v/>
      </c>
      <c r="YR4" s="729">
        <f t="shared" ca="1" si="10"/>
        <v>42310</v>
      </c>
      <c r="YS4" s="729" t="str">
        <f t="shared" ca="1" si="10"/>
        <v/>
      </c>
      <c r="YT4" s="729" t="str">
        <f t="shared" ca="1" si="10"/>
        <v/>
      </c>
      <c r="YU4" s="729" t="str">
        <f t="shared" ca="1" si="10"/>
        <v/>
      </c>
      <c r="YV4" s="729" t="str">
        <f t="shared" ca="1" si="10"/>
        <v/>
      </c>
      <c r="YW4" s="729" t="str">
        <f t="shared" ca="1" si="10"/>
        <v/>
      </c>
      <c r="YX4" s="729" t="str">
        <f t="shared" ca="1" si="10"/>
        <v/>
      </c>
      <c r="YY4" s="729">
        <f t="shared" ca="1" si="10"/>
        <v>42317</v>
      </c>
      <c r="YZ4" s="729" t="str">
        <f t="shared" ca="1" si="10"/>
        <v/>
      </c>
      <c r="ZA4" s="729" t="str">
        <f t="shared" ca="1" si="10"/>
        <v/>
      </c>
      <c r="ZB4" s="729" t="str">
        <f t="shared" ca="1" si="10"/>
        <v/>
      </c>
      <c r="ZC4" s="729" t="str">
        <f t="shared" ca="1" si="10"/>
        <v/>
      </c>
      <c r="ZD4" s="729" t="str">
        <f t="shared" ca="1" si="10"/>
        <v/>
      </c>
      <c r="ZE4" s="729" t="str">
        <f t="shared" ca="1" si="10"/>
        <v/>
      </c>
      <c r="ZF4" s="729">
        <f t="shared" ca="1" si="10"/>
        <v>42324</v>
      </c>
      <c r="ZG4" s="729" t="str">
        <f t="shared" ca="1" si="10"/>
        <v/>
      </c>
      <c r="ZH4" s="729" t="str">
        <f t="shared" ca="1" si="10"/>
        <v/>
      </c>
      <c r="ZI4" s="729" t="str">
        <f t="shared" ca="1" si="10"/>
        <v/>
      </c>
      <c r="ZJ4" s="729" t="str">
        <f t="shared" ca="1" si="10"/>
        <v/>
      </c>
      <c r="ZK4" s="729" t="str">
        <f t="shared" ca="1" si="10"/>
        <v/>
      </c>
      <c r="ZL4" s="729" t="str">
        <f t="shared" ca="1" si="10"/>
        <v/>
      </c>
      <c r="ZM4" s="729">
        <f t="shared" ca="1" si="10"/>
        <v>42331</v>
      </c>
      <c r="ZN4" s="729" t="str">
        <f t="shared" ca="1" si="10"/>
        <v/>
      </c>
      <c r="ZO4" s="729" t="str">
        <f t="shared" ca="1" si="10"/>
        <v/>
      </c>
      <c r="ZP4" s="729" t="str">
        <f t="shared" ca="1" si="10"/>
        <v/>
      </c>
      <c r="ZQ4" s="729" t="str">
        <f t="shared" ca="1" si="10"/>
        <v/>
      </c>
      <c r="ZR4" s="729" t="str">
        <f t="shared" ca="1" si="10"/>
        <v/>
      </c>
      <c r="ZS4" s="729" t="str">
        <f t="shared" ca="1" si="10"/>
        <v/>
      </c>
      <c r="ZT4" s="729">
        <f t="shared" ca="1" si="10"/>
        <v>42338</v>
      </c>
      <c r="ZU4" s="729" t="str">
        <f t="shared" ca="1" si="10"/>
        <v/>
      </c>
      <c r="ZV4" s="729" t="str">
        <f t="shared" ca="1" si="10"/>
        <v/>
      </c>
      <c r="ZW4" s="729" t="str">
        <f t="shared" ca="1" si="10"/>
        <v/>
      </c>
      <c r="ZX4" s="729" t="str">
        <f t="shared" ca="1" si="10"/>
        <v/>
      </c>
      <c r="ZY4" s="729" t="str">
        <f t="shared" ca="1" si="10"/>
        <v/>
      </c>
      <c r="ZZ4" s="729" t="str">
        <f t="shared" ca="1" si="10"/>
        <v/>
      </c>
      <c r="AAA4" s="588"/>
      <c r="AAD4" s="112"/>
      <c r="AAE4" s="551" t="s">
        <v>27</v>
      </c>
      <c r="AAF4" s="583" t="s">
        <v>174</v>
      </c>
      <c r="AAG4" s="77"/>
      <c r="AAH4" s="78">
        <f>WORKDAY(S.RuleEffective+44,1,S.DDL_DEQClosed)</f>
        <v>41764</v>
      </c>
      <c r="AAI4" s="63"/>
      <c r="AAJ4" s="508" t="s">
        <v>243</v>
      </c>
      <c r="AAK4" s="508"/>
      <c r="AAL4" s="65"/>
      <c r="AAM4" s="112"/>
      <c r="AAN4"/>
      <c r="AAP4" s="23" t="s">
        <v>0</v>
      </c>
      <c r="AAT4" s="23"/>
      <c r="AAU4" s="44"/>
    </row>
    <row r="5" spans="1:745" s="23" customFormat="1" ht="29.25" customHeight="1">
      <c r="A5" s="558"/>
      <c r="B5" s="317"/>
      <c r="C5" s="687"/>
      <c r="D5" s="205"/>
      <c r="E5" s="540" t="s">
        <v>180</v>
      </c>
      <c r="F5" s="235" t="s">
        <v>283</v>
      </c>
      <c r="G5" s="221" t="s">
        <v>248</v>
      </c>
      <c r="H5" s="221" t="s">
        <v>86</v>
      </c>
      <c r="I5" s="598"/>
      <c r="J5" s="609">
        <f ca="1">J6</f>
        <v>41652</v>
      </c>
      <c r="K5" s="609" t="str">
        <f ca="1">IF(WEEKDAY(K$6)=2,K6,"")</f>
        <v/>
      </c>
      <c r="L5" s="609" t="str">
        <f t="shared" ref="L5:R5" ca="1" si="11">IF(WEEKDAY(L$6)=2,L6,"")</f>
        <v/>
      </c>
      <c r="M5" s="609" t="str">
        <f t="shared" ca="1" si="11"/>
        <v/>
      </c>
      <c r="N5" s="609" t="str">
        <f t="shared" ca="1" si="11"/>
        <v/>
      </c>
      <c r="O5" s="609" t="str">
        <f t="shared" ca="1" si="11"/>
        <v/>
      </c>
      <c r="P5" s="609" t="str">
        <f t="shared" ca="1" si="11"/>
        <v/>
      </c>
      <c r="Q5" s="609">
        <f t="shared" ca="1" si="11"/>
        <v>41659</v>
      </c>
      <c r="R5" s="609" t="str">
        <f t="shared" ca="1" si="11"/>
        <v/>
      </c>
      <c r="S5" s="609" t="str">
        <f t="shared" ref="S5" ca="1" si="12">IF(WEEKDAY(S$6)=2,S6,"")</f>
        <v/>
      </c>
      <c r="T5" s="609" t="str">
        <f t="shared" ref="T5" ca="1" si="13">IF(WEEKDAY(T$6)=2,T6,"")</f>
        <v/>
      </c>
      <c r="U5" s="609" t="str">
        <f t="shared" ref="U5" ca="1" si="14">IF(WEEKDAY(U$6)=2,U6,"")</f>
        <v/>
      </c>
      <c r="V5" s="609" t="str">
        <f t="shared" ref="V5" ca="1" si="15">IF(WEEKDAY(V$6)=2,V6,"")</f>
        <v/>
      </c>
      <c r="W5" s="609" t="str">
        <f t="shared" ref="W5" ca="1" si="16">IF(WEEKDAY(W$6)=2,W6,"")</f>
        <v/>
      </c>
      <c r="X5" s="609">
        <f t="shared" ref="X5:Y5" ca="1" si="17">IF(WEEKDAY(X$6)=2,X6,"")</f>
        <v>41666</v>
      </c>
      <c r="Y5" s="609" t="str">
        <f t="shared" ca="1" si="17"/>
        <v/>
      </c>
      <c r="Z5" s="609" t="str">
        <f t="shared" ref="Z5" ca="1" si="18">IF(WEEKDAY(Z$6)=2,Z6,"")</f>
        <v/>
      </c>
      <c r="AA5" s="609" t="str">
        <f t="shared" ref="AA5" ca="1" si="19">IF(WEEKDAY(AA$6)=2,AA6,"")</f>
        <v/>
      </c>
      <c r="AB5" s="609" t="str">
        <f t="shared" ref="AB5" ca="1" si="20">IF(WEEKDAY(AB$6)=2,AB6,"")</f>
        <v/>
      </c>
      <c r="AC5" s="609" t="str">
        <f t="shared" ref="AC5" ca="1" si="21">IF(WEEKDAY(AC$6)=2,AC6,"")</f>
        <v/>
      </c>
      <c r="AD5" s="609" t="str">
        <f t="shared" ref="AD5" ca="1" si="22">IF(WEEKDAY(AD$6)=2,AD6,"")</f>
        <v/>
      </c>
      <c r="AE5" s="609">
        <f t="shared" ref="AE5:AF5" ca="1" si="23">IF(WEEKDAY(AE$6)=2,AE6,"")</f>
        <v>41673</v>
      </c>
      <c r="AF5" s="609" t="str">
        <f t="shared" ca="1" si="23"/>
        <v/>
      </c>
      <c r="AG5" s="609" t="str">
        <f t="shared" ref="AG5" ca="1" si="24">IF(WEEKDAY(AG$6)=2,AG6,"")</f>
        <v/>
      </c>
      <c r="AH5" s="609" t="str">
        <f t="shared" ref="AH5" ca="1" si="25">IF(WEEKDAY(AH$6)=2,AH6,"")</f>
        <v/>
      </c>
      <c r="AI5" s="609" t="str">
        <f t="shared" ref="AI5" ca="1" si="26">IF(WEEKDAY(AI$6)=2,AI6,"")</f>
        <v/>
      </c>
      <c r="AJ5" s="609" t="str">
        <f t="shared" ref="AJ5" ca="1" si="27">IF(WEEKDAY(AJ$6)=2,AJ6,"")</f>
        <v/>
      </c>
      <c r="AK5" s="609" t="str">
        <f t="shared" ref="AK5" ca="1" si="28">IF(WEEKDAY(AK$6)=2,AK6,"")</f>
        <v/>
      </c>
      <c r="AL5" s="609">
        <f t="shared" ref="AL5" ca="1" si="29">IF(WEEKDAY(AL$6)=2,AL6,"")</f>
        <v>41680</v>
      </c>
      <c r="AM5" s="609" t="str">
        <f t="shared" ref="AM5" ca="1" si="30">IF(WEEKDAY(AM$6)=2,AM6,"")</f>
        <v/>
      </c>
      <c r="AN5" s="609" t="str">
        <f t="shared" ref="AN5" ca="1" si="31">IF(WEEKDAY(AN$6)=2,AN6,"")</f>
        <v/>
      </c>
      <c r="AO5" s="609" t="str">
        <f t="shared" ref="AO5" ca="1" si="32">IF(WEEKDAY(AO$6)=2,AO6,"")</f>
        <v/>
      </c>
      <c r="AP5" s="609" t="str">
        <f t="shared" ref="AP5" ca="1" si="33">IF(WEEKDAY(AP$6)=2,AP6,"")</f>
        <v/>
      </c>
      <c r="AQ5" s="609" t="str">
        <f t="shared" ref="AQ5" ca="1" si="34">IF(WEEKDAY(AQ$6)=2,AQ6,"")</f>
        <v/>
      </c>
      <c r="AR5" s="609" t="str">
        <f t="shared" ref="AR5" ca="1" si="35">IF(WEEKDAY(AR$6)=2,AR6,"")</f>
        <v/>
      </c>
      <c r="AS5" s="609">
        <f t="shared" ref="AS5" ca="1" si="36">IF(WEEKDAY(AS$6)=2,AS6,"")</f>
        <v>41687</v>
      </c>
      <c r="AT5" s="609" t="str">
        <f t="shared" ref="AT5" ca="1" si="37">IF(WEEKDAY(AT$6)=2,AT6,"")</f>
        <v/>
      </c>
      <c r="AU5" s="609" t="str">
        <f t="shared" ref="AU5" ca="1" si="38">IF(WEEKDAY(AU$6)=2,AU6,"")</f>
        <v/>
      </c>
      <c r="AV5" s="609" t="str">
        <f t="shared" ref="AV5" ca="1" si="39">IF(WEEKDAY(AV$6)=2,AV6,"")</f>
        <v/>
      </c>
      <c r="AW5" s="609" t="str">
        <f t="shared" ref="AW5" ca="1" si="40">IF(WEEKDAY(AW$6)=2,AW6,"")</f>
        <v/>
      </c>
      <c r="AX5" s="609" t="str">
        <f t="shared" ref="AX5" ca="1" si="41">IF(WEEKDAY(AX$6)=2,AX6,"")</f>
        <v/>
      </c>
      <c r="AY5" s="609" t="str">
        <f t="shared" ref="AY5" ca="1" si="42">IF(WEEKDAY(AY$6)=2,AY6,"")</f>
        <v/>
      </c>
      <c r="AZ5" s="609">
        <f t="shared" ref="AZ5" ca="1" si="43">IF(WEEKDAY(AZ$6)=2,AZ6,"")</f>
        <v>41694</v>
      </c>
      <c r="BA5" s="609" t="str">
        <f t="shared" ref="BA5" ca="1" si="44">IF(WEEKDAY(BA$6)=2,BA6,"")</f>
        <v/>
      </c>
      <c r="BB5" s="609" t="str">
        <f t="shared" ref="BB5" ca="1" si="45">IF(WEEKDAY(BB$6)=2,BB6,"")</f>
        <v/>
      </c>
      <c r="BC5" s="609" t="str">
        <f t="shared" ref="BC5" ca="1" si="46">IF(WEEKDAY(BC$6)=2,BC6,"")</f>
        <v/>
      </c>
      <c r="BD5" s="609" t="str">
        <f t="shared" ref="BD5" ca="1" si="47">IF(WEEKDAY(BD$6)=2,BD6,"")</f>
        <v/>
      </c>
      <c r="BE5" s="609" t="str">
        <f t="shared" ref="BE5" ca="1" si="48">IF(WEEKDAY(BE$6)=2,BE6,"")</f>
        <v/>
      </c>
      <c r="BF5" s="609" t="str">
        <f t="shared" ref="BF5" ca="1" si="49">IF(WEEKDAY(BF$6)=2,BF6,"")</f>
        <v/>
      </c>
      <c r="BG5" s="609">
        <f t="shared" ref="BG5" ca="1" si="50">IF(WEEKDAY(BG$6)=2,BG6,"")</f>
        <v>41701</v>
      </c>
      <c r="BH5" s="609" t="str">
        <f t="shared" ref="BH5" ca="1" si="51">IF(WEEKDAY(BH$6)=2,BH6,"")</f>
        <v/>
      </c>
      <c r="BI5" s="609" t="str">
        <f t="shared" ref="BI5" ca="1" si="52">IF(WEEKDAY(BI$6)=2,BI6,"")</f>
        <v/>
      </c>
      <c r="BJ5" s="609" t="str">
        <f t="shared" ref="BJ5" ca="1" si="53">IF(WEEKDAY(BJ$6)=2,BJ6,"")</f>
        <v/>
      </c>
      <c r="BK5" s="609" t="str">
        <f t="shared" ref="BK5" ca="1" si="54">IF(WEEKDAY(BK$6)=2,BK6,"")</f>
        <v/>
      </c>
      <c r="BL5" s="609" t="str">
        <f t="shared" ref="BL5" ca="1" si="55">IF(WEEKDAY(BL$6)=2,BL6,"")</f>
        <v/>
      </c>
      <c r="BM5" s="609" t="str">
        <f t="shared" ref="BM5" ca="1" si="56">IF(WEEKDAY(BM$6)=2,BM6,"")</f>
        <v/>
      </c>
      <c r="BN5" s="609">
        <f t="shared" ref="BN5" ca="1" si="57">IF(WEEKDAY(BN$6)=2,BN6,"")</f>
        <v>41708</v>
      </c>
      <c r="BO5" s="609" t="str">
        <f t="shared" ref="BO5" ca="1" si="58">IF(WEEKDAY(BO$6)=2,BO6,"")</f>
        <v/>
      </c>
      <c r="BP5" s="609" t="str">
        <f t="shared" ref="BP5" ca="1" si="59">IF(WEEKDAY(BP$6)=2,BP6,"")</f>
        <v/>
      </c>
      <c r="BQ5" s="609" t="str">
        <f t="shared" ref="BQ5" ca="1" si="60">IF(WEEKDAY(BQ$6)=2,BQ6,"")</f>
        <v/>
      </c>
      <c r="BR5" s="609" t="str">
        <f t="shared" ref="BR5" ca="1" si="61">IF(WEEKDAY(BR$6)=2,BR6,"")</f>
        <v/>
      </c>
      <c r="BS5" s="609" t="str">
        <f t="shared" ref="BS5" ca="1" si="62">IF(WEEKDAY(BS$6)=2,BS6,"")</f>
        <v/>
      </c>
      <c r="BT5" s="609" t="str">
        <f t="shared" ref="BT5" ca="1" si="63">IF(WEEKDAY(BT$6)=2,BT6,"")</f>
        <v/>
      </c>
      <c r="BU5" s="609">
        <f t="shared" ref="BU5" ca="1" si="64">IF(WEEKDAY(BU$6)=2,BU6,"")</f>
        <v>41715</v>
      </c>
      <c r="BV5" s="609" t="str">
        <f t="shared" ref="BV5" ca="1" si="65">IF(WEEKDAY(BV$6)=2,BV6,"")</f>
        <v/>
      </c>
      <c r="BW5" s="609" t="str">
        <f t="shared" ref="BW5" ca="1" si="66">IF(WEEKDAY(BW$6)=2,BW6,"")</f>
        <v/>
      </c>
      <c r="BX5" s="609" t="str">
        <f t="shared" ref="BX5" ca="1" si="67">IF(WEEKDAY(BX$6)=2,BX6,"")</f>
        <v/>
      </c>
      <c r="BY5" s="609" t="str">
        <f t="shared" ref="BY5" ca="1" si="68">IF(WEEKDAY(BY$6)=2,BY6,"")</f>
        <v/>
      </c>
      <c r="BZ5" s="609" t="str">
        <f t="shared" ref="BZ5" ca="1" si="69">IF(WEEKDAY(BZ$6)=2,BZ6,"")</f>
        <v/>
      </c>
      <c r="CA5" s="609" t="str">
        <f t="shared" ref="CA5" ca="1" si="70">IF(WEEKDAY(CA$6)=2,CA6,"")</f>
        <v/>
      </c>
      <c r="CB5" s="609">
        <f t="shared" ref="CB5" ca="1" si="71">IF(WEEKDAY(CB$6)=2,CB6,"")</f>
        <v>41722</v>
      </c>
      <c r="CC5" s="609" t="str">
        <f t="shared" ref="CC5" ca="1" si="72">IF(WEEKDAY(CC$6)=2,CC6,"")</f>
        <v/>
      </c>
      <c r="CD5" s="609" t="str">
        <f t="shared" ref="CD5" ca="1" si="73">IF(WEEKDAY(CD$6)=2,CD6,"")</f>
        <v/>
      </c>
      <c r="CE5" s="609" t="str">
        <f t="shared" ref="CE5" ca="1" si="74">IF(WEEKDAY(CE$6)=2,CE6,"")</f>
        <v/>
      </c>
      <c r="CF5" s="609" t="str">
        <f t="shared" ref="CF5" ca="1" si="75">IF(WEEKDAY(CF$6)=2,CF6,"")</f>
        <v/>
      </c>
      <c r="CG5" s="609" t="str">
        <f t="shared" ref="CG5" ca="1" si="76">IF(WEEKDAY(CG$6)=2,CG6,"")</f>
        <v/>
      </c>
      <c r="CH5" s="609" t="str">
        <f t="shared" ref="CH5" ca="1" si="77">IF(WEEKDAY(CH$6)=2,CH6,"")</f>
        <v/>
      </c>
      <c r="CI5" s="609">
        <f t="shared" ref="CI5" ca="1" si="78">IF(WEEKDAY(CI$6)=2,CI6,"")</f>
        <v>41729</v>
      </c>
      <c r="CJ5" s="609" t="str">
        <f t="shared" ref="CJ5" ca="1" si="79">IF(WEEKDAY(CJ$6)=2,CJ6,"")</f>
        <v/>
      </c>
      <c r="CK5" s="609" t="str">
        <f t="shared" ref="CK5" ca="1" si="80">IF(WEEKDAY(CK$6)=2,CK6,"")</f>
        <v/>
      </c>
      <c r="CL5" s="609" t="str">
        <f t="shared" ref="CL5" ca="1" si="81">IF(WEEKDAY(CL$6)=2,CL6,"")</f>
        <v/>
      </c>
      <c r="CM5" s="609" t="str">
        <f t="shared" ref="CM5" ca="1" si="82">IF(WEEKDAY(CM$6)=2,CM6,"")</f>
        <v/>
      </c>
      <c r="CN5" s="609" t="str">
        <f t="shared" ref="CN5" ca="1" si="83">IF(WEEKDAY(CN$6)=2,CN6,"")</f>
        <v/>
      </c>
      <c r="CO5" s="609" t="str">
        <f t="shared" ref="CO5" ca="1" si="84">IF(WEEKDAY(CO$6)=2,CO6,"")</f>
        <v/>
      </c>
      <c r="CP5" s="609">
        <f t="shared" ref="CP5" ca="1" si="85">IF(WEEKDAY(CP$6)=2,CP6,"")</f>
        <v>41736</v>
      </c>
      <c r="CQ5" s="609" t="str">
        <f t="shared" ref="CQ5" ca="1" si="86">IF(WEEKDAY(CQ$6)=2,CQ6,"")</f>
        <v/>
      </c>
      <c r="CR5" s="609" t="str">
        <f t="shared" ref="CR5" ca="1" si="87">IF(WEEKDAY(CR$6)=2,CR6,"")</f>
        <v/>
      </c>
      <c r="CS5" s="609" t="str">
        <f t="shared" ref="CS5" ca="1" si="88">IF(WEEKDAY(CS$6)=2,CS6,"")</f>
        <v/>
      </c>
      <c r="CT5" s="609" t="str">
        <f t="shared" ref="CT5" ca="1" si="89">IF(WEEKDAY(CT$6)=2,CT6,"")</f>
        <v/>
      </c>
      <c r="CU5" s="609" t="str">
        <f t="shared" ref="CU5" ca="1" si="90">IF(WEEKDAY(CU$6)=2,CU6,"")</f>
        <v/>
      </c>
      <c r="CV5" s="609" t="str">
        <f t="shared" ref="CV5" ca="1" si="91">IF(WEEKDAY(CV$6)=2,CV6,"")</f>
        <v/>
      </c>
      <c r="CW5" s="609">
        <f t="shared" ref="CW5" ca="1" si="92">IF(WEEKDAY(CW$6)=2,CW6,"")</f>
        <v>41743</v>
      </c>
      <c r="CX5" s="609" t="str">
        <f t="shared" ref="CX5" ca="1" si="93">IF(WEEKDAY(CX$6)=2,CX6,"")</f>
        <v/>
      </c>
      <c r="CY5" s="609" t="str">
        <f t="shared" ref="CY5" ca="1" si="94">IF(WEEKDAY(CY$6)=2,CY6,"")</f>
        <v/>
      </c>
      <c r="CZ5" s="609" t="str">
        <f t="shared" ref="CZ5" ca="1" si="95">IF(WEEKDAY(CZ$6)=2,CZ6,"")</f>
        <v/>
      </c>
      <c r="DA5" s="609" t="str">
        <f t="shared" ref="DA5" ca="1" si="96">IF(WEEKDAY(DA$6)=2,DA6,"")</f>
        <v/>
      </c>
      <c r="DB5" s="609" t="str">
        <f t="shared" ref="DB5" ca="1" si="97">IF(WEEKDAY(DB$6)=2,DB6,"")</f>
        <v/>
      </c>
      <c r="DC5" s="609" t="str">
        <f t="shared" ref="DC5" ca="1" si="98">IF(WEEKDAY(DC$6)=2,DC6,"")</f>
        <v/>
      </c>
      <c r="DD5" s="609">
        <f t="shared" ref="DD5" ca="1" si="99">IF(WEEKDAY(DD$6)=2,DD6,"")</f>
        <v>41750</v>
      </c>
      <c r="DE5" s="609" t="str">
        <f t="shared" ref="DE5" ca="1" si="100">IF(WEEKDAY(DE$6)=2,DE6,"")</f>
        <v/>
      </c>
      <c r="DF5" s="609" t="str">
        <f t="shared" ref="DF5" ca="1" si="101">IF(WEEKDAY(DF$6)=2,DF6,"")</f>
        <v/>
      </c>
      <c r="DG5" s="609" t="str">
        <f t="shared" ref="DG5" ca="1" si="102">IF(WEEKDAY(DG$6)=2,DG6,"")</f>
        <v/>
      </c>
      <c r="DH5" s="609" t="str">
        <f t="shared" ref="DH5" ca="1" si="103">IF(WEEKDAY(DH$6)=2,DH6,"")</f>
        <v/>
      </c>
      <c r="DI5" s="609" t="str">
        <f t="shared" ref="DI5" ca="1" si="104">IF(WEEKDAY(DI$6)=2,DI6,"")</f>
        <v/>
      </c>
      <c r="DJ5" s="609" t="str">
        <f t="shared" ref="DJ5" ca="1" si="105">IF(WEEKDAY(DJ$6)=2,DJ6,"")</f>
        <v/>
      </c>
      <c r="DK5" s="609">
        <f t="shared" ref="DK5" ca="1" si="106">IF(WEEKDAY(DK$6)=2,DK6,"")</f>
        <v>41757</v>
      </c>
      <c r="DL5" s="609" t="str">
        <f t="shared" ref="DL5" ca="1" si="107">IF(WEEKDAY(DL$6)=2,DL6,"")</f>
        <v/>
      </c>
      <c r="DM5" s="609" t="str">
        <f t="shared" ref="DM5" ca="1" si="108">IF(WEEKDAY(DM$6)=2,DM6,"")</f>
        <v/>
      </c>
      <c r="DN5" s="609" t="str">
        <f t="shared" ref="DN5" ca="1" si="109">IF(WEEKDAY(DN$6)=2,DN6,"")</f>
        <v/>
      </c>
      <c r="DO5" s="609" t="str">
        <f t="shared" ref="DO5" ca="1" si="110">IF(WEEKDAY(DO$6)=2,DO6,"")</f>
        <v/>
      </c>
      <c r="DP5" s="609" t="str">
        <f t="shared" ref="DP5" ca="1" si="111">IF(WEEKDAY(DP$6)=2,DP6,"")</f>
        <v/>
      </c>
      <c r="DQ5" s="609" t="str">
        <f t="shared" ref="DQ5" ca="1" si="112">IF(WEEKDAY(DQ$6)=2,DQ6,"")</f>
        <v/>
      </c>
      <c r="DR5" s="609">
        <f t="shared" ref="DR5" ca="1" si="113">IF(WEEKDAY(DR$6)=2,DR6,"")</f>
        <v>41764</v>
      </c>
      <c r="DS5" s="609" t="str">
        <f t="shared" ref="DS5" ca="1" si="114">IF(WEEKDAY(DS$6)=2,DS6,"")</f>
        <v/>
      </c>
      <c r="DT5" s="609" t="str">
        <f t="shared" ref="DT5" ca="1" si="115">IF(WEEKDAY(DT$6)=2,DT6,"")</f>
        <v/>
      </c>
      <c r="DU5" s="609" t="str">
        <f t="shared" ref="DU5" ca="1" si="116">IF(WEEKDAY(DU$6)=2,DU6,"")</f>
        <v/>
      </c>
      <c r="DV5" s="609" t="str">
        <f t="shared" ref="DV5" ca="1" si="117">IF(WEEKDAY(DV$6)=2,DV6,"")</f>
        <v/>
      </c>
      <c r="DW5" s="609" t="str">
        <f t="shared" ref="DW5" ca="1" si="118">IF(WEEKDAY(DW$6)=2,DW6,"")</f>
        <v/>
      </c>
      <c r="DX5" s="609" t="str">
        <f t="shared" ref="DX5" ca="1" si="119">IF(WEEKDAY(DX$6)=2,DX6,"")</f>
        <v/>
      </c>
      <c r="DY5" s="609">
        <f t="shared" ref="DY5" ca="1" si="120">IF(WEEKDAY(DY$6)=2,DY6,"")</f>
        <v>41771</v>
      </c>
      <c r="DZ5" s="609" t="str">
        <f t="shared" ref="DZ5" ca="1" si="121">IF(WEEKDAY(DZ$6)=2,DZ6,"")</f>
        <v/>
      </c>
      <c r="EA5" s="609" t="str">
        <f t="shared" ref="EA5" ca="1" si="122">IF(WEEKDAY(EA$6)=2,EA6,"")</f>
        <v/>
      </c>
      <c r="EB5" s="609" t="str">
        <f t="shared" ref="EB5" ca="1" si="123">IF(WEEKDAY(EB$6)=2,EB6,"")</f>
        <v/>
      </c>
      <c r="EC5" s="609" t="str">
        <f t="shared" ref="EC5" ca="1" si="124">IF(WEEKDAY(EC$6)=2,EC6,"")</f>
        <v/>
      </c>
      <c r="ED5" s="609" t="str">
        <f t="shared" ref="ED5" ca="1" si="125">IF(WEEKDAY(ED$6)=2,ED6,"")</f>
        <v/>
      </c>
      <c r="EE5" s="609" t="str">
        <f t="shared" ref="EE5" ca="1" si="126">IF(WEEKDAY(EE$6)=2,EE6,"")</f>
        <v/>
      </c>
      <c r="EF5" s="609">
        <f t="shared" ref="EF5" ca="1" si="127">IF(WEEKDAY(EF$6)=2,EF6,"")</f>
        <v>41778</v>
      </c>
      <c r="EG5" s="609" t="str">
        <f t="shared" ref="EG5" ca="1" si="128">IF(WEEKDAY(EG$6)=2,EG6,"")</f>
        <v/>
      </c>
      <c r="EH5" s="609" t="str">
        <f t="shared" ref="EH5" ca="1" si="129">IF(WEEKDAY(EH$6)=2,EH6,"")</f>
        <v/>
      </c>
      <c r="EI5" s="609" t="str">
        <f t="shared" ref="EI5" ca="1" si="130">IF(WEEKDAY(EI$6)=2,EI6,"")</f>
        <v/>
      </c>
      <c r="EJ5" s="609" t="str">
        <f t="shared" ref="EJ5" ca="1" si="131">IF(WEEKDAY(EJ$6)=2,EJ6,"")</f>
        <v/>
      </c>
      <c r="EK5" s="609" t="str">
        <f t="shared" ref="EK5" ca="1" si="132">IF(WEEKDAY(EK$6)=2,EK6,"")</f>
        <v/>
      </c>
      <c r="EL5" s="609" t="str">
        <f t="shared" ref="EL5" ca="1" si="133">IF(WEEKDAY(EL$6)=2,EL6,"")</f>
        <v/>
      </c>
      <c r="EM5" s="609">
        <f t="shared" ref="EM5" ca="1" si="134">IF(WEEKDAY(EM$6)=2,EM6,"")</f>
        <v>41785</v>
      </c>
      <c r="EN5" s="609" t="str">
        <f t="shared" ref="EN5" ca="1" si="135">IF(WEEKDAY(EN$6)=2,EN6,"")</f>
        <v/>
      </c>
      <c r="EO5" s="609" t="str">
        <f t="shared" ref="EO5" ca="1" si="136">IF(WEEKDAY(EO$6)=2,EO6,"")</f>
        <v/>
      </c>
      <c r="EP5" s="609" t="str">
        <f t="shared" ref="EP5" ca="1" si="137">IF(WEEKDAY(EP$6)=2,EP6,"")</f>
        <v/>
      </c>
      <c r="EQ5" s="609" t="str">
        <f t="shared" ref="EQ5" ca="1" si="138">IF(WEEKDAY(EQ$6)=2,EQ6,"")</f>
        <v/>
      </c>
      <c r="ER5" s="609" t="str">
        <f t="shared" ref="ER5" ca="1" si="139">IF(WEEKDAY(ER$6)=2,ER6,"")</f>
        <v/>
      </c>
      <c r="ES5" s="609" t="str">
        <f t="shared" ref="ES5" ca="1" si="140">IF(WEEKDAY(ES$6)=2,ES6,"")</f>
        <v/>
      </c>
      <c r="ET5" s="609">
        <f t="shared" ref="ET5" ca="1" si="141">IF(WEEKDAY(ET$6)=2,ET6,"")</f>
        <v>41792</v>
      </c>
      <c r="EU5" s="609" t="str">
        <f t="shared" ref="EU5" ca="1" si="142">IF(WEEKDAY(EU$6)=2,EU6,"")</f>
        <v/>
      </c>
      <c r="EV5" s="609" t="str">
        <f t="shared" ref="EV5" ca="1" si="143">IF(WEEKDAY(EV$6)=2,EV6,"")</f>
        <v/>
      </c>
      <c r="EW5" s="609" t="str">
        <f t="shared" ref="EW5" ca="1" si="144">IF(WEEKDAY(EW$6)=2,EW6,"")</f>
        <v/>
      </c>
      <c r="EX5" s="609" t="str">
        <f t="shared" ref="EX5" ca="1" si="145">IF(WEEKDAY(EX$6)=2,EX6,"")</f>
        <v/>
      </c>
      <c r="EY5" s="609" t="str">
        <f t="shared" ref="EY5" ca="1" si="146">IF(WEEKDAY(EY$6)=2,EY6,"")</f>
        <v/>
      </c>
      <c r="EZ5" s="609" t="str">
        <f t="shared" ref="EZ5" ca="1" si="147">IF(WEEKDAY(EZ$6)=2,EZ6,"")</f>
        <v/>
      </c>
      <c r="FA5" s="609">
        <f t="shared" ref="FA5" ca="1" si="148">IF(WEEKDAY(FA$6)=2,FA6,"")</f>
        <v>41799</v>
      </c>
      <c r="FB5" s="609" t="str">
        <f t="shared" ref="FB5" ca="1" si="149">IF(WEEKDAY(FB$6)=2,FB6,"")</f>
        <v/>
      </c>
      <c r="FC5" s="609" t="str">
        <f t="shared" ref="FC5" ca="1" si="150">IF(WEEKDAY(FC$6)=2,FC6,"")</f>
        <v/>
      </c>
      <c r="FD5" s="609" t="str">
        <f t="shared" ref="FD5" ca="1" si="151">IF(WEEKDAY(FD$6)=2,FD6,"")</f>
        <v/>
      </c>
      <c r="FE5" s="609" t="str">
        <f t="shared" ref="FE5" ca="1" si="152">IF(WEEKDAY(FE$6)=2,FE6,"")</f>
        <v/>
      </c>
      <c r="FF5" s="609" t="str">
        <f t="shared" ref="FF5" ca="1" si="153">IF(WEEKDAY(FF$6)=2,FF6,"")</f>
        <v/>
      </c>
      <c r="FG5" s="609" t="str">
        <f t="shared" ref="FG5" ca="1" si="154">IF(WEEKDAY(FG$6)=2,FG6,"")</f>
        <v/>
      </c>
      <c r="FH5" s="609">
        <f t="shared" ref="FH5" ca="1" si="155">IF(WEEKDAY(FH$6)=2,FH6,"")</f>
        <v>41806</v>
      </c>
      <c r="FI5" s="609" t="str">
        <f t="shared" ref="FI5" ca="1" si="156">IF(WEEKDAY(FI$6)=2,FI6,"")</f>
        <v/>
      </c>
      <c r="FJ5" s="609" t="str">
        <f t="shared" ref="FJ5" ca="1" si="157">IF(WEEKDAY(FJ$6)=2,FJ6,"")</f>
        <v/>
      </c>
      <c r="FK5" s="609" t="str">
        <f t="shared" ref="FK5" ca="1" si="158">IF(WEEKDAY(FK$6)=2,FK6,"")</f>
        <v/>
      </c>
      <c r="FL5" s="609" t="str">
        <f t="shared" ref="FL5" ca="1" si="159">IF(WEEKDAY(FL$6)=2,FL6,"")</f>
        <v/>
      </c>
      <c r="FM5" s="609" t="str">
        <f t="shared" ref="FM5" ca="1" si="160">IF(WEEKDAY(FM$6)=2,FM6,"")</f>
        <v/>
      </c>
      <c r="FN5" s="609" t="str">
        <f t="shared" ref="FN5" ca="1" si="161">IF(WEEKDAY(FN$6)=2,FN6,"")</f>
        <v/>
      </c>
      <c r="FO5" s="609">
        <f t="shared" ref="FO5" ca="1" si="162">IF(WEEKDAY(FO$6)=2,FO6,"")</f>
        <v>41813</v>
      </c>
      <c r="FP5" s="609" t="str">
        <f t="shared" ref="FP5" ca="1" si="163">IF(WEEKDAY(FP$6)=2,FP6,"")</f>
        <v/>
      </c>
      <c r="FQ5" s="609" t="str">
        <f t="shared" ref="FQ5" ca="1" si="164">IF(WEEKDAY(FQ$6)=2,FQ6,"")</f>
        <v/>
      </c>
      <c r="FR5" s="609" t="str">
        <f t="shared" ref="FR5" ca="1" si="165">IF(WEEKDAY(FR$6)=2,FR6,"")</f>
        <v/>
      </c>
      <c r="FS5" s="609" t="str">
        <f t="shared" ref="FS5" ca="1" si="166">IF(WEEKDAY(FS$6)=2,FS6,"")</f>
        <v/>
      </c>
      <c r="FT5" s="609" t="str">
        <f t="shared" ref="FT5" ca="1" si="167">IF(WEEKDAY(FT$6)=2,FT6,"")</f>
        <v/>
      </c>
      <c r="FU5" s="609" t="str">
        <f t="shared" ref="FU5" ca="1" si="168">IF(WEEKDAY(FU$6)=2,FU6,"")</f>
        <v/>
      </c>
      <c r="FV5" s="609">
        <f t="shared" ref="FV5" ca="1" si="169">IF(WEEKDAY(FV$6)=2,FV6,"")</f>
        <v>41820</v>
      </c>
      <c r="FW5" s="609" t="str">
        <f t="shared" ref="FW5" ca="1" si="170">IF(WEEKDAY(FW$6)=2,FW6,"")</f>
        <v/>
      </c>
      <c r="FX5" s="609" t="str">
        <f t="shared" ref="FX5" ca="1" si="171">IF(WEEKDAY(FX$6)=2,FX6,"")</f>
        <v/>
      </c>
      <c r="FY5" s="609" t="str">
        <f t="shared" ref="FY5" ca="1" si="172">IF(WEEKDAY(FY$6)=2,FY6,"")</f>
        <v/>
      </c>
      <c r="FZ5" s="609" t="str">
        <f t="shared" ref="FZ5" ca="1" si="173">IF(WEEKDAY(FZ$6)=2,FZ6,"")</f>
        <v/>
      </c>
      <c r="GA5" s="609" t="str">
        <f t="shared" ref="GA5" ca="1" si="174">IF(WEEKDAY(GA$6)=2,GA6,"")</f>
        <v/>
      </c>
      <c r="GB5" s="609" t="str">
        <f t="shared" ref="GB5" ca="1" si="175">IF(WEEKDAY(GB$6)=2,GB6,"")</f>
        <v/>
      </c>
      <c r="GC5" s="609">
        <f t="shared" ref="GC5" ca="1" si="176">IF(WEEKDAY(GC$6)=2,GC6,"")</f>
        <v>41827</v>
      </c>
      <c r="GD5" s="609" t="str">
        <f t="shared" ref="GD5" ca="1" si="177">IF(WEEKDAY(GD$6)=2,GD6,"")</f>
        <v/>
      </c>
      <c r="GE5" s="609" t="str">
        <f t="shared" ref="GE5" ca="1" si="178">IF(WEEKDAY(GE$6)=2,GE6,"")</f>
        <v/>
      </c>
      <c r="GF5" s="609" t="str">
        <f t="shared" ref="GF5" ca="1" si="179">IF(WEEKDAY(GF$6)=2,GF6,"")</f>
        <v/>
      </c>
      <c r="GG5" s="609" t="str">
        <f t="shared" ref="GG5" ca="1" si="180">IF(WEEKDAY(GG$6)=2,GG6,"")</f>
        <v/>
      </c>
      <c r="GH5" s="609" t="str">
        <f t="shared" ref="GH5" ca="1" si="181">IF(WEEKDAY(GH$6)=2,GH6,"")</f>
        <v/>
      </c>
      <c r="GI5" s="609" t="str">
        <f t="shared" ref="GI5" ca="1" si="182">IF(WEEKDAY(GI$6)=2,GI6,"")</f>
        <v/>
      </c>
      <c r="GJ5" s="609">
        <f t="shared" ref="GJ5" ca="1" si="183">IF(WEEKDAY(GJ$6)=2,GJ6,"")</f>
        <v>41834</v>
      </c>
      <c r="GK5" s="609" t="str">
        <f t="shared" ref="GK5" ca="1" si="184">IF(WEEKDAY(GK$6)=2,GK6,"")</f>
        <v/>
      </c>
      <c r="GL5" s="609" t="str">
        <f t="shared" ref="GL5" ca="1" si="185">IF(WEEKDAY(GL$6)=2,GL6,"")</f>
        <v/>
      </c>
      <c r="GM5" s="609" t="str">
        <f t="shared" ref="GM5" ca="1" si="186">IF(WEEKDAY(GM$6)=2,GM6,"")</f>
        <v/>
      </c>
      <c r="GN5" s="609" t="str">
        <f t="shared" ref="GN5" ca="1" si="187">IF(WEEKDAY(GN$6)=2,GN6,"")</f>
        <v/>
      </c>
      <c r="GO5" s="609" t="str">
        <f t="shared" ref="GO5" ca="1" si="188">IF(WEEKDAY(GO$6)=2,GO6,"")</f>
        <v/>
      </c>
      <c r="GP5" s="609" t="str">
        <f t="shared" ref="GP5" ca="1" si="189">IF(WEEKDAY(GP$6)=2,GP6,"")</f>
        <v/>
      </c>
      <c r="GQ5" s="609">
        <f t="shared" ref="GQ5" ca="1" si="190">IF(WEEKDAY(GQ$6)=2,GQ6,"")</f>
        <v>41841</v>
      </c>
      <c r="GR5" s="609" t="str">
        <f t="shared" ref="GR5" ca="1" si="191">IF(WEEKDAY(GR$6)=2,GR6,"")</f>
        <v/>
      </c>
      <c r="GS5" s="609" t="str">
        <f t="shared" ref="GS5" ca="1" si="192">IF(WEEKDAY(GS$6)=2,GS6,"")</f>
        <v/>
      </c>
      <c r="GT5" s="609" t="str">
        <f t="shared" ref="GT5" ca="1" si="193">IF(WEEKDAY(GT$6)=2,GT6,"")</f>
        <v/>
      </c>
      <c r="GU5" s="609" t="str">
        <f t="shared" ref="GU5" ca="1" si="194">IF(WEEKDAY(GU$6)=2,GU6,"")</f>
        <v/>
      </c>
      <c r="GV5" s="609" t="str">
        <f t="shared" ref="GV5" ca="1" si="195">IF(WEEKDAY(GV$6)=2,GV6,"")</f>
        <v/>
      </c>
      <c r="GW5" s="609" t="str">
        <f t="shared" ref="GW5" ca="1" si="196">IF(WEEKDAY(GW$6)=2,GW6,"")</f>
        <v/>
      </c>
      <c r="GX5" s="609">
        <f t="shared" ref="GX5" ca="1" si="197">IF(WEEKDAY(GX$6)=2,GX6,"")</f>
        <v>41848</v>
      </c>
      <c r="GY5" s="609" t="str">
        <f t="shared" ref="GY5" ca="1" si="198">IF(WEEKDAY(GY$6)=2,GY6,"")</f>
        <v/>
      </c>
      <c r="GZ5" s="609" t="str">
        <f t="shared" ref="GZ5" ca="1" si="199">IF(WEEKDAY(GZ$6)=2,GZ6,"")</f>
        <v/>
      </c>
      <c r="HA5" s="609" t="str">
        <f t="shared" ref="HA5" ca="1" si="200">IF(WEEKDAY(HA$6)=2,HA6,"")</f>
        <v/>
      </c>
      <c r="HB5" s="609" t="str">
        <f t="shared" ref="HB5" ca="1" si="201">IF(WEEKDAY(HB$6)=2,HB6,"")</f>
        <v/>
      </c>
      <c r="HC5" s="609" t="str">
        <f t="shared" ref="HC5" ca="1" si="202">IF(WEEKDAY(HC$6)=2,HC6,"")</f>
        <v/>
      </c>
      <c r="HD5" s="609" t="str">
        <f t="shared" ref="HD5" ca="1" si="203">IF(WEEKDAY(HD$6)=2,HD6,"")</f>
        <v/>
      </c>
      <c r="HE5" s="609">
        <f t="shared" ref="HE5" ca="1" si="204">IF(WEEKDAY(HE$6)=2,HE6,"")</f>
        <v>41855</v>
      </c>
      <c r="HF5" s="609" t="str">
        <f t="shared" ref="HF5" ca="1" si="205">IF(WEEKDAY(HF$6)=2,HF6,"")</f>
        <v/>
      </c>
      <c r="HG5" s="609" t="str">
        <f t="shared" ref="HG5" ca="1" si="206">IF(WEEKDAY(HG$6)=2,HG6,"")</f>
        <v/>
      </c>
      <c r="HH5" s="609" t="str">
        <f t="shared" ref="HH5" ca="1" si="207">IF(WEEKDAY(HH$6)=2,HH6,"")</f>
        <v/>
      </c>
      <c r="HI5" s="609" t="str">
        <f t="shared" ref="HI5" ca="1" si="208">IF(WEEKDAY(HI$6)=2,HI6,"")</f>
        <v/>
      </c>
      <c r="HJ5" s="609" t="str">
        <f t="shared" ref="HJ5" ca="1" si="209">IF(WEEKDAY(HJ$6)=2,HJ6,"")</f>
        <v/>
      </c>
      <c r="HK5" s="609" t="str">
        <f t="shared" ref="HK5" ca="1" si="210">IF(WEEKDAY(HK$6)=2,HK6,"")</f>
        <v/>
      </c>
      <c r="HL5" s="609">
        <f t="shared" ref="HL5" ca="1" si="211">IF(WEEKDAY(HL$6)=2,HL6,"")</f>
        <v>41862</v>
      </c>
      <c r="HM5" s="609" t="str">
        <f t="shared" ref="HM5" ca="1" si="212">IF(WEEKDAY(HM$6)=2,HM6,"")</f>
        <v/>
      </c>
      <c r="HN5" s="609" t="str">
        <f t="shared" ref="HN5" ca="1" si="213">IF(WEEKDAY(HN$6)=2,HN6,"")</f>
        <v/>
      </c>
      <c r="HO5" s="609" t="str">
        <f t="shared" ref="HO5" ca="1" si="214">IF(WEEKDAY(HO$6)=2,HO6,"")</f>
        <v/>
      </c>
      <c r="HP5" s="609" t="str">
        <f t="shared" ref="HP5" ca="1" si="215">IF(WEEKDAY(HP$6)=2,HP6,"")</f>
        <v/>
      </c>
      <c r="HQ5" s="609" t="str">
        <f t="shared" ref="HQ5" ca="1" si="216">IF(WEEKDAY(HQ$6)=2,HQ6,"")</f>
        <v/>
      </c>
      <c r="HR5" s="609" t="str">
        <f t="shared" ref="HR5" ca="1" si="217">IF(WEEKDAY(HR$6)=2,HR6,"")</f>
        <v/>
      </c>
      <c r="HS5" s="609">
        <f t="shared" ref="HS5" ca="1" si="218">IF(WEEKDAY(HS$6)=2,HS6,"")</f>
        <v>41869</v>
      </c>
      <c r="HT5" s="609" t="str">
        <f t="shared" ref="HT5" ca="1" si="219">IF(WEEKDAY(HT$6)=2,HT6,"")</f>
        <v/>
      </c>
      <c r="HU5" s="609" t="str">
        <f t="shared" ref="HU5" ca="1" si="220">IF(WEEKDAY(HU$6)=2,HU6,"")</f>
        <v/>
      </c>
      <c r="HV5" s="609" t="str">
        <f t="shared" ref="HV5" ca="1" si="221">IF(WEEKDAY(HV$6)=2,HV6,"")</f>
        <v/>
      </c>
      <c r="HW5" s="609" t="str">
        <f t="shared" ref="HW5" ca="1" si="222">IF(WEEKDAY(HW$6)=2,HW6,"")</f>
        <v/>
      </c>
      <c r="HX5" s="609" t="str">
        <f t="shared" ref="HX5" ca="1" si="223">IF(WEEKDAY(HX$6)=2,HX6,"")</f>
        <v/>
      </c>
      <c r="HY5" s="609" t="str">
        <f t="shared" ref="HY5" ca="1" si="224">IF(WEEKDAY(HY$6)=2,HY6,"")</f>
        <v/>
      </c>
      <c r="HZ5" s="609">
        <f t="shared" ref="HZ5" ca="1" si="225">IF(WEEKDAY(HZ$6)=2,HZ6,"")</f>
        <v>41876</v>
      </c>
      <c r="IA5" s="609" t="str">
        <f t="shared" ref="IA5" ca="1" si="226">IF(WEEKDAY(IA$6)=2,IA6,"")</f>
        <v/>
      </c>
      <c r="IB5" s="609" t="str">
        <f t="shared" ref="IB5" ca="1" si="227">IF(WEEKDAY(IB$6)=2,IB6,"")</f>
        <v/>
      </c>
      <c r="IC5" s="609" t="str">
        <f t="shared" ref="IC5" ca="1" si="228">IF(WEEKDAY(IC$6)=2,IC6,"")</f>
        <v/>
      </c>
      <c r="ID5" s="609" t="str">
        <f t="shared" ref="ID5" ca="1" si="229">IF(WEEKDAY(ID$6)=2,ID6,"")</f>
        <v/>
      </c>
      <c r="IE5" s="609" t="str">
        <f t="shared" ref="IE5" ca="1" si="230">IF(WEEKDAY(IE$6)=2,IE6,"")</f>
        <v/>
      </c>
      <c r="IF5" s="609" t="str">
        <f t="shared" ref="IF5" ca="1" si="231">IF(WEEKDAY(IF$6)=2,IF6,"")</f>
        <v/>
      </c>
      <c r="IG5" s="609">
        <f t="shared" ref="IG5" ca="1" si="232">IF(WEEKDAY(IG$6)=2,IG6,"")</f>
        <v>41883</v>
      </c>
      <c r="IH5" s="609" t="str">
        <f t="shared" ref="IH5" ca="1" si="233">IF(WEEKDAY(IH$6)=2,IH6,"")</f>
        <v/>
      </c>
      <c r="II5" s="609" t="str">
        <f t="shared" ref="II5" ca="1" si="234">IF(WEEKDAY(II$6)=2,II6,"")</f>
        <v/>
      </c>
      <c r="IJ5" s="609" t="str">
        <f t="shared" ref="IJ5" ca="1" si="235">IF(WEEKDAY(IJ$6)=2,IJ6,"")</f>
        <v/>
      </c>
      <c r="IK5" s="609" t="str">
        <f t="shared" ref="IK5" ca="1" si="236">IF(WEEKDAY(IK$6)=2,IK6,"")</f>
        <v/>
      </c>
      <c r="IL5" s="609" t="str">
        <f t="shared" ref="IL5" ca="1" si="237">IF(WEEKDAY(IL$6)=2,IL6,"")</f>
        <v/>
      </c>
      <c r="IM5" s="609" t="str">
        <f t="shared" ref="IM5" ca="1" si="238">IF(WEEKDAY(IM$6)=2,IM6,"")</f>
        <v/>
      </c>
      <c r="IN5" s="609">
        <f t="shared" ref="IN5" ca="1" si="239">IF(WEEKDAY(IN$6)=2,IN6,"")</f>
        <v>41890</v>
      </c>
      <c r="IO5" s="609" t="str">
        <f t="shared" ref="IO5" ca="1" si="240">IF(WEEKDAY(IO$6)=2,IO6,"")</f>
        <v/>
      </c>
      <c r="IP5" s="609" t="str">
        <f t="shared" ref="IP5" ca="1" si="241">IF(WEEKDAY(IP$6)=2,IP6,"")</f>
        <v/>
      </c>
      <c r="IQ5" s="609" t="str">
        <f t="shared" ref="IQ5" ca="1" si="242">IF(WEEKDAY(IQ$6)=2,IQ6,"")</f>
        <v/>
      </c>
      <c r="IR5" s="609" t="str">
        <f t="shared" ref="IR5" ca="1" si="243">IF(WEEKDAY(IR$6)=2,IR6,"")</f>
        <v/>
      </c>
      <c r="IS5" s="609" t="str">
        <f t="shared" ref="IS5" ca="1" si="244">IF(WEEKDAY(IS$6)=2,IS6,"")</f>
        <v/>
      </c>
      <c r="IT5" s="609" t="str">
        <f t="shared" ref="IT5" ca="1" si="245">IF(WEEKDAY(IT$6)=2,IT6,"")</f>
        <v/>
      </c>
      <c r="IU5" s="609">
        <f t="shared" ref="IU5" ca="1" si="246">IF(WEEKDAY(IU$6)=2,IU6,"")</f>
        <v>41897</v>
      </c>
      <c r="IV5" s="609" t="str">
        <f t="shared" ref="IV5" ca="1" si="247">IF(WEEKDAY(IV$6)=2,IV6,"")</f>
        <v/>
      </c>
      <c r="IW5" s="609" t="str">
        <f t="shared" ref="IW5" ca="1" si="248">IF(WEEKDAY(IW$6)=2,IW6,"")</f>
        <v/>
      </c>
      <c r="IX5" s="609" t="str">
        <f t="shared" ref="IX5" ca="1" si="249">IF(WEEKDAY(IX$6)=2,IX6,"")</f>
        <v/>
      </c>
      <c r="IY5" s="609" t="str">
        <f t="shared" ref="IY5" ca="1" si="250">IF(WEEKDAY(IY$6)=2,IY6,"")</f>
        <v/>
      </c>
      <c r="IZ5" s="609" t="str">
        <f t="shared" ref="IZ5" ca="1" si="251">IF(WEEKDAY(IZ$6)=2,IZ6,"")</f>
        <v/>
      </c>
      <c r="JA5" s="609" t="str">
        <f t="shared" ref="JA5" ca="1" si="252">IF(WEEKDAY(JA$6)=2,JA6,"")</f>
        <v/>
      </c>
      <c r="JB5" s="609">
        <f t="shared" ref="JB5" ca="1" si="253">IF(WEEKDAY(JB$6)=2,JB6,"")</f>
        <v>41904</v>
      </c>
      <c r="JC5" s="609" t="str">
        <f t="shared" ref="JC5" ca="1" si="254">IF(WEEKDAY(JC$6)=2,JC6,"")</f>
        <v/>
      </c>
      <c r="JD5" s="609" t="str">
        <f t="shared" ref="JD5" ca="1" si="255">IF(WEEKDAY(JD$6)=2,JD6,"")</f>
        <v/>
      </c>
      <c r="JE5" s="609" t="str">
        <f t="shared" ref="JE5" ca="1" si="256">IF(WEEKDAY(JE$6)=2,JE6,"")</f>
        <v/>
      </c>
      <c r="JF5" s="609" t="str">
        <f t="shared" ref="JF5" ca="1" si="257">IF(WEEKDAY(JF$6)=2,JF6,"")</f>
        <v/>
      </c>
      <c r="JG5" s="609" t="str">
        <f t="shared" ref="JG5" ca="1" si="258">IF(WEEKDAY(JG$6)=2,JG6,"")</f>
        <v/>
      </c>
      <c r="JH5" s="609" t="str">
        <f t="shared" ref="JH5" ca="1" si="259">IF(WEEKDAY(JH$6)=2,JH6,"")</f>
        <v/>
      </c>
      <c r="JI5" s="609">
        <f t="shared" ref="JI5" ca="1" si="260">IF(WEEKDAY(JI$6)=2,JI6,"")</f>
        <v>41911</v>
      </c>
      <c r="JJ5" s="609" t="str">
        <f t="shared" ref="JJ5" ca="1" si="261">IF(WEEKDAY(JJ$6)=2,JJ6,"")</f>
        <v/>
      </c>
      <c r="JK5" s="609" t="str">
        <f t="shared" ref="JK5" ca="1" si="262">IF(WEEKDAY(JK$6)=2,JK6,"")</f>
        <v/>
      </c>
      <c r="JL5" s="609" t="str">
        <f t="shared" ref="JL5" ca="1" si="263">IF(WEEKDAY(JL$6)=2,JL6,"")</f>
        <v/>
      </c>
      <c r="JM5" s="609" t="str">
        <f t="shared" ref="JM5" ca="1" si="264">IF(WEEKDAY(JM$6)=2,JM6,"")</f>
        <v/>
      </c>
      <c r="JN5" s="609" t="str">
        <f t="shared" ref="JN5" ca="1" si="265">IF(WEEKDAY(JN$6)=2,JN6,"")</f>
        <v/>
      </c>
      <c r="JO5" s="609" t="str">
        <f t="shared" ref="JO5" ca="1" si="266">IF(WEEKDAY(JO$6)=2,JO6,"")</f>
        <v/>
      </c>
      <c r="JP5" s="609">
        <f t="shared" ref="JP5" ca="1" si="267">IF(WEEKDAY(JP$6)=2,JP6,"")</f>
        <v>41918</v>
      </c>
      <c r="JQ5" s="609" t="str">
        <f t="shared" ref="JQ5" ca="1" si="268">IF(WEEKDAY(JQ$6)=2,JQ6,"")</f>
        <v/>
      </c>
      <c r="JR5" s="609" t="str">
        <f t="shared" ref="JR5" ca="1" si="269">IF(WEEKDAY(JR$6)=2,JR6,"")</f>
        <v/>
      </c>
      <c r="JS5" s="609" t="str">
        <f t="shared" ref="JS5" ca="1" si="270">IF(WEEKDAY(JS$6)=2,JS6,"")</f>
        <v/>
      </c>
      <c r="JT5" s="609" t="str">
        <f t="shared" ref="JT5" ca="1" si="271">IF(WEEKDAY(JT$6)=2,JT6,"")</f>
        <v/>
      </c>
      <c r="JU5" s="609" t="str">
        <f t="shared" ref="JU5" ca="1" si="272">IF(WEEKDAY(JU$6)=2,JU6,"")</f>
        <v/>
      </c>
      <c r="JV5" s="609" t="str">
        <f t="shared" ref="JV5" ca="1" si="273">IF(WEEKDAY(JV$6)=2,JV6,"")</f>
        <v/>
      </c>
      <c r="JW5" s="609">
        <f t="shared" ref="JW5" ca="1" si="274">IF(WEEKDAY(JW$6)=2,JW6,"")</f>
        <v>41925</v>
      </c>
      <c r="JX5" s="609" t="str">
        <f t="shared" ref="JX5" ca="1" si="275">IF(WEEKDAY(JX$6)=2,JX6,"")</f>
        <v/>
      </c>
      <c r="JY5" s="609" t="str">
        <f t="shared" ref="JY5" ca="1" si="276">IF(WEEKDAY(JY$6)=2,JY6,"")</f>
        <v/>
      </c>
      <c r="JZ5" s="609" t="str">
        <f t="shared" ref="JZ5" ca="1" si="277">IF(WEEKDAY(JZ$6)=2,JZ6,"")</f>
        <v/>
      </c>
      <c r="KA5" s="609" t="str">
        <f t="shared" ref="KA5" ca="1" si="278">IF(WEEKDAY(KA$6)=2,KA6,"")</f>
        <v/>
      </c>
      <c r="KB5" s="609" t="str">
        <f t="shared" ref="KB5" ca="1" si="279">IF(WEEKDAY(KB$6)=2,KB6,"")</f>
        <v/>
      </c>
      <c r="KC5" s="609" t="str">
        <f t="shared" ref="KC5" ca="1" si="280">IF(WEEKDAY(KC$6)=2,KC6,"")</f>
        <v/>
      </c>
      <c r="KD5" s="609">
        <f t="shared" ref="KD5" ca="1" si="281">IF(WEEKDAY(KD$6)=2,KD6,"")</f>
        <v>41932</v>
      </c>
      <c r="KE5" s="609" t="str">
        <f t="shared" ref="KE5" ca="1" si="282">IF(WEEKDAY(KE$6)=2,KE6,"")</f>
        <v/>
      </c>
      <c r="KF5" s="609" t="str">
        <f t="shared" ref="KF5" ca="1" si="283">IF(WEEKDAY(KF$6)=2,KF6,"")</f>
        <v/>
      </c>
      <c r="KG5" s="609" t="str">
        <f t="shared" ref="KG5" ca="1" si="284">IF(WEEKDAY(KG$6)=2,KG6,"")</f>
        <v/>
      </c>
      <c r="KH5" s="609" t="str">
        <f t="shared" ref="KH5" ca="1" si="285">IF(WEEKDAY(KH$6)=2,KH6,"")</f>
        <v/>
      </c>
      <c r="KI5" s="609" t="str">
        <f t="shared" ref="KI5" ca="1" si="286">IF(WEEKDAY(KI$6)=2,KI6,"")</f>
        <v/>
      </c>
      <c r="KJ5" s="609" t="str">
        <f t="shared" ref="KJ5" ca="1" si="287">IF(WEEKDAY(KJ$6)=2,KJ6,"")</f>
        <v/>
      </c>
      <c r="KK5" s="609">
        <f t="shared" ref="KK5" ca="1" si="288">IF(WEEKDAY(KK$6)=2,KK6,"")</f>
        <v>41939</v>
      </c>
      <c r="KL5" s="609" t="str">
        <f t="shared" ref="KL5" ca="1" si="289">IF(WEEKDAY(KL$6)=2,KL6,"")</f>
        <v/>
      </c>
      <c r="KM5" s="609" t="str">
        <f t="shared" ref="KM5" ca="1" si="290">IF(WEEKDAY(KM$6)=2,KM6,"")</f>
        <v/>
      </c>
      <c r="KN5" s="609" t="str">
        <f t="shared" ref="KN5" ca="1" si="291">IF(WEEKDAY(KN$6)=2,KN6,"")</f>
        <v/>
      </c>
      <c r="KO5" s="609" t="str">
        <f t="shared" ref="KO5" ca="1" si="292">IF(WEEKDAY(KO$6)=2,KO6,"")</f>
        <v/>
      </c>
      <c r="KP5" s="609" t="str">
        <f t="shared" ref="KP5" ca="1" si="293">IF(WEEKDAY(KP$6)=2,KP6,"")</f>
        <v/>
      </c>
      <c r="KQ5" s="609" t="str">
        <f t="shared" ref="KQ5" ca="1" si="294">IF(WEEKDAY(KQ$6)=2,KQ6,"")</f>
        <v/>
      </c>
      <c r="KR5" s="609">
        <f t="shared" ref="KR5" ca="1" si="295">IF(WEEKDAY(KR$6)=2,KR6,"")</f>
        <v>41946</v>
      </c>
      <c r="KS5" s="609" t="str">
        <f t="shared" ref="KS5" ca="1" si="296">IF(WEEKDAY(KS$6)=2,KS6,"")</f>
        <v/>
      </c>
      <c r="KT5" s="609" t="str">
        <f t="shared" ref="KT5" ca="1" si="297">IF(WEEKDAY(KT$6)=2,KT6,"")</f>
        <v/>
      </c>
      <c r="KU5" s="609" t="str">
        <f t="shared" ref="KU5" ca="1" si="298">IF(WEEKDAY(KU$6)=2,KU6,"")</f>
        <v/>
      </c>
      <c r="KV5" s="609" t="str">
        <f t="shared" ref="KV5" ca="1" si="299">IF(WEEKDAY(KV$6)=2,KV6,"")</f>
        <v/>
      </c>
      <c r="KW5" s="609" t="str">
        <f t="shared" ref="KW5" ca="1" si="300">IF(WEEKDAY(KW$6)=2,KW6,"")</f>
        <v/>
      </c>
      <c r="KX5" s="609" t="str">
        <f t="shared" ref="KX5" ca="1" si="301">IF(WEEKDAY(KX$6)=2,KX6,"")</f>
        <v/>
      </c>
      <c r="KY5" s="609">
        <f t="shared" ref="KY5" ca="1" si="302">IF(WEEKDAY(KY$6)=2,KY6,"")</f>
        <v>41953</v>
      </c>
      <c r="KZ5" s="609" t="str">
        <f t="shared" ref="KZ5" ca="1" si="303">IF(WEEKDAY(KZ$6)=2,KZ6,"")</f>
        <v/>
      </c>
      <c r="LA5" s="609" t="str">
        <f t="shared" ref="LA5" ca="1" si="304">IF(WEEKDAY(LA$6)=2,LA6,"")</f>
        <v/>
      </c>
      <c r="LB5" s="609" t="str">
        <f t="shared" ref="LB5" ca="1" si="305">IF(WEEKDAY(LB$6)=2,LB6,"")</f>
        <v/>
      </c>
      <c r="LC5" s="609" t="str">
        <f t="shared" ref="LC5" ca="1" si="306">IF(WEEKDAY(LC$6)=2,LC6,"")</f>
        <v/>
      </c>
      <c r="LD5" s="609" t="str">
        <f t="shared" ref="LD5" ca="1" si="307">IF(WEEKDAY(LD$6)=2,LD6,"")</f>
        <v/>
      </c>
      <c r="LE5" s="609" t="str">
        <f t="shared" ref="LE5" ca="1" si="308">IF(WEEKDAY(LE$6)=2,LE6,"")</f>
        <v/>
      </c>
      <c r="LF5" s="609">
        <f t="shared" ref="LF5" ca="1" si="309">IF(WEEKDAY(LF$6)=2,LF6,"")</f>
        <v>41960</v>
      </c>
      <c r="LG5" s="609" t="str">
        <f t="shared" ref="LG5" ca="1" si="310">IF(WEEKDAY(LG$6)=2,LG6,"")</f>
        <v/>
      </c>
      <c r="LH5" s="609" t="str">
        <f t="shared" ref="LH5" ca="1" si="311">IF(WEEKDAY(LH$6)=2,LH6,"")</f>
        <v/>
      </c>
      <c r="LI5" s="609" t="str">
        <f t="shared" ref="LI5" ca="1" si="312">IF(WEEKDAY(LI$6)=2,LI6,"")</f>
        <v/>
      </c>
      <c r="LJ5" s="609" t="str">
        <f t="shared" ref="LJ5" ca="1" si="313">IF(WEEKDAY(LJ$6)=2,LJ6,"")</f>
        <v/>
      </c>
      <c r="LK5" s="609" t="str">
        <f t="shared" ref="LK5" ca="1" si="314">IF(WEEKDAY(LK$6)=2,LK6,"")</f>
        <v/>
      </c>
      <c r="LL5" s="609" t="str">
        <f t="shared" ref="LL5" ca="1" si="315">IF(WEEKDAY(LL$6)=2,LL6,"")</f>
        <v/>
      </c>
      <c r="LM5" s="609">
        <f t="shared" ref="LM5" ca="1" si="316">IF(WEEKDAY(LM$6)=2,LM6,"")</f>
        <v>41967</v>
      </c>
      <c r="LN5" s="609" t="str">
        <f t="shared" ref="LN5" ca="1" si="317">IF(WEEKDAY(LN$6)=2,LN6,"")</f>
        <v/>
      </c>
      <c r="LO5" s="609" t="str">
        <f t="shared" ref="LO5" ca="1" si="318">IF(WEEKDAY(LO$6)=2,LO6,"")</f>
        <v/>
      </c>
      <c r="LP5" s="609" t="str">
        <f t="shared" ref="LP5" ca="1" si="319">IF(WEEKDAY(LP$6)=2,LP6,"")</f>
        <v/>
      </c>
      <c r="LQ5" s="609" t="str">
        <f t="shared" ref="LQ5" ca="1" si="320">IF(WEEKDAY(LQ$6)=2,LQ6,"")</f>
        <v/>
      </c>
      <c r="LR5" s="609" t="str">
        <f t="shared" ref="LR5" ca="1" si="321">IF(WEEKDAY(LR$6)=2,LR6,"")</f>
        <v/>
      </c>
      <c r="LS5" s="609" t="str">
        <f t="shared" ref="LS5" ca="1" si="322">IF(WEEKDAY(LS$6)=2,LS6,"")</f>
        <v/>
      </c>
      <c r="LT5" s="609">
        <f t="shared" ref="LT5" ca="1" si="323">IF(WEEKDAY(LT$6)=2,LT6,"")</f>
        <v>41974</v>
      </c>
      <c r="LU5" s="609" t="str">
        <f t="shared" ref="LU5" ca="1" si="324">IF(WEEKDAY(LU$6)=2,LU6,"")</f>
        <v/>
      </c>
      <c r="LV5" s="609" t="str">
        <f t="shared" ref="LV5" ca="1" si="325">IF(WEEKDAY(LV$6)=2,LV6,"")</f>
        <v/>
      </c>
      <c r="LW5" s="609" t="str">
        <f t="shared" ref="LW5" ca="1" si="326">IF(WEEKDAY(LW$6)=2,LW6,"")</f>
        <v/>
      </c>
      <c r="LX5" s="609" t="str">
        <f t="shared" ref="LX5" ca="1" si="327">IF(WEEKDAY(LX$6)=2,LX6,"")</f>
        <v/>
      </c>
      <c r="LY5" s="609" t="str">
        <f t="shared" ref="LY5" ca="1" si="328">IF(WEEKDAY(LY$6)=2,LY6,"")</f>
        <v/>
      </c>
      <c r="LZ5" s="609" t="str">
        <f t="shared" ref="LZ5" ca="1" si="329">IF(WEEKDAY(LZ$6)=2,LZ6,"")</f>
        <v/>
      </c>
      <c r="MA5" s="609">
        <f t="shared" ref="MA5" ca="1" si="330">IF(WEEKDAY(MA$6)=2,MA6,"")</f>
        <v>41981</v>
      </c>
      <c r="MB5" s="609" t="str">
        <f t="shared" ref="MB5" ca="1" si="331">IF(WEEKDAY(MB$6)=2,MB6,"")</f>
        <v/>
      </c>
      <c r="MC5" s="609" t="str">
        <f t="shared" ref="MC5" ca="1" si="332">IF(WEEKDAY(MC$6)=2,MC6,"")</f>
        <v/>
      </c>
      <c r="MD5" s="609" t="str">
        <f t="shared" ref="MD5" ca="1" si="333">IF(WEEKDAY(MD$6)=2,MD6,"")</f>
        <v/>
      </c>
      <c r="ME5" s="609" t="str">
        <f t="shared" ref="ME5" ca="1" si="334">IF(WEEKDAY(ME$6)=2,ME6,"")</f>
        <v/>
      </c>
      <c r="MF5" s="609" t="str">
        <f t="shared" ref="MF5" ca="1" si="335">IF(WEEKDAY(MF$6)=2,MF6,"")</f>
        <v/>
      </c>
      <c r="MG5" s="609" t="str">
        <f t="shared" ref="MG5" ca="1" si="336">IF(WEEKDAY(MG$6)=2,MG6,"")</f>
        <v/>
      </c>
      <c r="MH5" s="609">
        <f t="shared" ref="MH5" ca="1" si="337">IF(WEEKDAY(MH$6)=2,MH6,"")</f>
        <v>41988</v>
      </c>
      <c r="MI5" s="609" t="str">
        <f t="shared" ref="MI5" ca="1" si="338">IF(WEEKDAY(MI$6)=2,MI6,"")</f>
        <v/>
      </c>
      <c r="MJ5" s="609" t="str">
        <f t="shared" ref="MJ5" ca="1" si="339">IF(WEEKDAY(MJ$6)=2,MJ6,"")</f>
        <v/>
      </c>
      <c r="MK5" s="609" t="str">
        <f t="shared" ref="MK5" ca="1" si="340">IF(WEEKDAY(MK$6)=2,MK6,"")</f>
        <v/>
      </c>
      <c r="ML5" s="609" t="str">
        <f t="shared" ref="ML5" ca="1" si="341">IF(WEEKDAY(ML$6)=2,ML6,"")</f>
        <v/>
      </c>
      <c r="MM5" s="609" t="str">
        <f t="shared" ref="MM5" ca="1" si="342">IF(WEEKDAY(MM$6)=2,MM6,"")</f>
        <v/>
      </c>
      <c r="MN5" s="609" t="str">
        <f t="shared" ref="MN5" ca="1" si="343">IF(WEEKDAY(MN$6)=2,MN6,"")</f>
        <v/>
      </c>
      <c r="MO5" s="609">
        <f t="shared" ref="MO5" ca="1" si="344">IF(WEEKDAY(MO$6)=2,MO6,"")</f>
        <v>41995</v>
      </c>
      <c r="MP5" s="609" t="str">
        <f t="shared" ref="MP5" ca="1" si="345">IF(WEEKDAY(MP$6)=2,MP6,"")</f>
        <v/>
      </c>
      <c r="MQ5" s="609" t="str">
        <f t="shared" ref="MQ5" ca="1" si="346">IF(WEEKDAY(MQ$6)=2,MQ6,"")</f>
        <v/>
      </c>
      <c r="MR5" s="609" t="str">
        <f t="shared" ref="MR5" ca="1" si="347">IF(WEEKDAY(MR$6)=2,MR6,"")</f>
        <v/>
      </c>
      <c r="MS5" s="609" t="str">
        <f t="shared" ref="MS5" ca="1" si="348">IF(WEEKDAY(MS$6)=2,MS6,"")</f>
        <v/>
      </c>
      <c r="MT5" s="609" t="str">
        <f t="shared" ref="MT5" ca="1" si="349">IF(WEEKDAY(MT$6)=2,MT6,"")</f>
        <v/>
      </c>
      <c r="MU5" s="609" t="str">
        <f t="shared" ref="MU5" ca="1" si="350">IF(WEEKDAY(MU$6)=2,MU6,"")</f>
        <v/>
      </c>
      <c r="MV5" s="609">
        <f t="shared" ref="MV5" ca="1" si="351">IF(WEEKDAY(MV$6)=2,MV6,"")</f>
        <v>42002</v>
      </c>
      <c r="MW5" s="609" t="str">
        <f t="shared" ref="MW5" ca="1" si="352">IF(WEEKDAY(MW$6)=2,MW6,"")</f>
        <v/>
      </c>
      <c r="MX5" s="609" t="str">
        <f t="shared" ref="MX5" ca="1" si="353">IF(WEEKDAY(MX$6)=2,MX6,"")</f>
        <v/>
      </c>
      <c r="MY5" s="609" t="str">
        <f t="shared" ref="MY5" ca="1" si="354">IF(WEEKDAY(MY$6)=2,MY6,"")</f>
        <v/>
      </c>
      <c r="MZ5" s="609" t="str">
        <f t="shared" ref="MZ5" ca="1" si="355">IF(WEEKDAY(MZ$6)=2,MZ6,"")</f>
        <v/>
      </c>
      <c r="NA5" s="609" t="str">
        <f t="shared" ref="NA5" ca="1" si="356">IF(WEEKDAY(NA$6)=2,NA6,"")</f>
        <v/>
      </c>
      <c r="NB5" s="609" t="str">
        <f t="shared" ref="NB5" ca="1" si="357">IF(WEEKDAY(NB$6)=2,NB6,"")</f>
        <v/>
      </c>
      <c r="NC5" s="609">
        <f t="shared" ref="NC5" ca="1" si="358">IF(WEEKDAY(NC$6)=2,NC6,"")</f>
        <v>42009</v>
      </c>
      <c r="ND5" s="609" t="str">
        <f t="shared" ref="ND5" ca="1" si="359">IF(WEEKDAY(ND$6)=2,ND6,"")</f>
        <v/>
      </c>
      <c r="NE5" s="609" t="str">
        <f t="shared" ref="NE5" ca="1" si="360">IF(WEEKDAY(NE$6)=2,NE6,"")</f>
        <v/>
      </c>
      <c r="NF5" s="609" t="str">
        <f t="shared" ref="NF5" ca="1" si="361">IF(WEEKDAY(NF$6)=2,NF6,"")</f>
        <v/>
      </c>
      <c r="NG5" s="609" t="str">
        <f t="shared" ref="NG5" ca="1" si="362">IF(WEEKDAY(NG$6)=2,NG6,"")</f>
        <v/>
      </c>
      <c r="NH5" s="609" t="str">
        <f t="shared" ref="NH5" ca="1" si="363">IF(WEEKDAY(NH$6)=2,NH6,"")</f>
        <v/>
      </c>
      <c r="NI5" s="609" t="str">
        <f t="shared" ref="NI5" ca="1" si="364">IF(WEEKDAY(NI$6)=2,NI6,"")</f>
        <v/>
      </c>
      <c r="NJ5" s="609">
        <f t="shared" ref="NJ5" ca="1" si="365">IF(WEEKDAY(NJ$6)=2,NJ6,"")</f>
        <v>42016</v>
      </c>
      <c r="NK5" s="609" t="str">
        <f t="shared" ref="NK5" ca="1" si="366">IF(WEEKDAY(NK$6)=2,NK6,"")</f>
        <v/>
      </c>
      <c r="NL5" s="609" t="str">
        <f t="shared" ref="NL5" ca="1" si="367">IF(WEEKDAY(NL$6)=2,NL6,"")</f>
        <v/>
      </c>
      <c r="NM5" s="609" t="str">
        <f t="shared" ref="NM5" ca="1" si="368">IF(WEEKDAY(NM$6)=2,NM6,"")</f>
        <v/>
      </c>
      <c r="NN5" s="609" t="str">
        <f t="shared" ref="NN5" ca="1" si="369">IF(WEEKDAY(NN$6)=2,NN6,"")</f>
        <v/>
      </c>
      <c r="NO5" s="609" t="str">
        <f t="shared" ref="NO5" ca="1" si="370">IF(WEEKDAY(NO$6)=2,NO6,"")</f>
        <v/>
      </c>
      <c r="NP5" s="609" t="str">
        <f t="shared" ref="NP5" ca="1" si="371">IF(WEEKDAY(NP$6)=2,NP6,"")</f>
        <v/>
      </c>
      <c r="NQ5" s="609">
        <f t="shared" ref="NQ5" ca="1" si="372">IF(WEEKDAY(NQ$6)=2,NQ6,"")</f>
        <v>42023</v>
      </c>
      <c r="NR5" s="609" t="str">
        <f t="shared" ref="NR5" ca="1" si="373">IF(WEEKDAY(NR$6)=2,NR6,"")</f>
        <v/>
      </c>
      <c r="NS5" s="609" t="str">
        <f t="shared" ref="NS5" ca="1" si="374">IF(WEEKDAY(NS$6)=2,NS6,"")</f>
        <v/>
      </c>
      <c r="NT5" s="609" t="str">
        <f t="shared" ref="NT5" ca="1" si="375">IF(WEEKDAY(NT$6)=2,NT6,"")</f>
        <v/>
      </c>
      <c r="NU5" s="609" t="str">
        <f t="shared" ref="NU5" ca="1" si="376">IF(WEEKDAY(NU$6)=2,NU6,"")</f>
        <v/>
      </c>
      <c r="NV5" s="609" t="str">
        <f t="shared" ref="NV5" ca="1" si="377">IF(WEEKDAY(NV$6)=2,NV6,"")</f>
        <v/>
      </c>
      <c r="NW5" s="609" t="str">
        <f t="shared" ref="NW5" ca="1" si="378">IF(WEEKDAY(NW$6)=2,NW6,"")</f>
        <v/>
      </c>
      <c r="NX5" s="609">
        <f t="shared" ref="NX5" ca="1" si="379">IF(WEEKDAY(NX$6)=2,NX6,"")</f>
        <v>42030</v>
      </c>
      <c r="NY5" s="609" t="str">
        <f t="shared" ref="NY5" ca="1" si="380">IF(WEEKDAY(NY$6)=2,NY6,"")</f>
        <v/>
      </c>
      <c r="NZ5" s="609" t="str">
        <f t="shared" ref="NZ5" ca="1" si="381">IF(WEEKDAY(NZ$6)=2,NZ6,"")</f>
        <v/>
      </c>
      <c r="OA5" s="609" t="str">
        <f t="shared" ref="OA5" ca="1" si="382">IF(WEEKDAY(OA$6)=2,OA6,"")</f>
        <v/>
      </c>
      <c r="OB5" s="609" t="str">
        <f t="shared" ref="OB5" ca="1" si="383">IF(WEEKDAY(OB$6)=2,OB6,"")</f>
        <v/>
      </c>
      <c r="OC5" s="609" t="str">
        <f t="shared" ref="OC5" ca="1" si="384">IF(WEEKDAY(OC$6)=2,OC6,"")</f>
        <v/>
      </c>
      <c r="OD5" s="609" t="str">
        <f t="shared" ref="OD5" ca="1" si="385">IF(WEEKDAY(OD$6)=2,OD6,"")</f>
        <v/>
      </c>
      <c r="OE5" s="609">
        <f t="shared" ref="OE5" ca="1" si="386">IF(WEEKDAY(OE$6)=2,OE6,"")</f>
        <v>42037</v>
      </c>
      <c r="OF5" s="609" t="str">
        <f t="shared" ref="OF5" ca="1" si="387">IF(WEEKDAY(OF$6)=2,OF6,"")</f>
        <v/>
      </c>
      <c r="OG5" s="609" t="str">
        <f t="shared" ref="OG5" ca="1" si="388">IF(WEEKDAY(OG$6)=2,OG6,"")</f>
        <v/>
      </c>
      <c r="OH5" s="609" t="str">
        <f t="shared" ref="OH5" ca="1" si="389">IF(WEEKDAY(OH$6)=2,OH6,"")</f>
        <v/>
      </c>
      <c r="OI5" s="609" t="str">
        <f t="shared" ref="OI5" ca="1" si="390">IF(WEEKDAY(OI$6)=2,OI6,"")</f>
        <v/>
      </c>
      <c r="OJ5" s="609" t="str">
        <f t="shared" ref="OJ5" ca="1" si="391">IF(WEEKDAY(OJ$6)=2,OJ6,"")</f>
        <v/>
      </c>
      <c r="OK5" s="609" t="str">
        <f t="shared" ref="OK5" ca="1" si="392">IF(WEEKDAY(OK$6)=2,OK6,"")</f>
        <v/>
      </c>
      <c r="OL5" s="609">
        <f t="shared" ref="OL5" ca="1" si="393">IF(WEEKDAY(OL$6)=2,OL6,"")</f>
        <v>42044</v>
      </c>
      <c r="OM5" s="609" t="str">
        <f t="shared" ref="OM5" ca="1" si="394">IF(WEEKDAY(OM$6)=2,OM6,"")</f>
        <v/>
      </c>
      <c r="ON5" s="609" t="str">
        <f t="shared" ref="ON5" ca="1" si="395">IF(WEEKDAY(ON$6)=2,ON6,"")</f>
        <v/>
      </c>
      <c r="OO5" s="609" t="str">
        <f t="shared" ref="OO5" ca="1" si="396">IF(WEEKDAY(OO$6)=2,OO6,"")</f>
        <v/>
      </c>
      <c r="OP5" s="609" t="str">
        <f t="shared" ref="OP5" ca="1" si="397">IF(WEEKDAY(OP$6)=2,OP6,"")</f>
        <v/>
      </c>
      <c r="OQ5" s="609" t="str">
        <f t="shared" ref="OQ5" ca="1" si="398">IF(WEEKDAY(OQ$6)=2,OQ6,"")</f>
        <v/>
      </c>
      <c r="OR5" s="609" t="str">
        <f t="shared" ref="OR5" ca="1" si="399">IF(WEEKDAY(OR$6)=2,OR6,"")</f>
        <v/>
      </c>
      <c r="OS5" s="609">
        <f t="shared" ref="OS5" ca="1" si="400">IF(WEEKDAY(OS$6)=2,OS6,"")</f>
        <v>42051</v>
      </c>
      <c r="OT5" s="609" t="str">
        <f t="shared" ref="OT5" ca="1" si="401">IF(WEEKDAY(OT$6)=2,OT6,"")</f>
        <v/>
      </c>
      <c r="OU5" s="609" t="str">
        <f t="shared" ref="OU5" ca="1" si="402">IF(WEEKDAY(OU$6)=2,OU6,"")</f>
        <v/>
      </c>
      <c r="OV5" s="609" t="str">
        <f t="shared" ref="OV5" ca="1" si="403">IF(WEEKDAY(OV$6)=2,OV6,"")</f>
        <v/>
      </c>
      <c r="OW5" s="609" t="str">
        <f t="shared" ref="OW5" ca="1" si="404">IF(WEEKDAY(OW$6)=2,OW6,"")</f>
        <v/>
      </c>
      <c r="OX5" s="609" t="str">
        <f t="shared" ref="OX5" ca="1" si="405">IF(WEEKDAY(OX$6)=2,OX6,"")</f>
        <v/>
      </c>
      <c r="OY5" s="609" t="str">
        <f t="shared" ref="OY5" ca="1" si="406">IF(WEEKDAY(OY$6)=2,OY6,"")</f>
        <v/>
      </c>
      <c r="OZ5" s="609">
        <f t="shared" ref="OZ5" ca="1" si="407">IF(WEEKDAY(OZ$6)=2,OZ6,"")</f>
        <v>42058</v>
      </c>
      <c r="PA5" s="609" t="str">
        <f t="shared" ref="PA5" ca="1" si="408">IF(WEEKDAY(PA$6)=2,PA6,"")</f>
        <v/>
      </c>
      <c r="PB5" s="609" t="str">
        <f t="shared" ref="PB5" ca="1" si="409">IF(WEEKDAY(PB$6)=2,PB6,"")</f>
        <v/>
      </c>
      <c r="PC5" s="609" t="str">
        <f t="shared" ref="PC5" ca="1" si="410">IF(WEEKDAY(PC$6)=2,PC6,"")</f>
        <v/>
      </c>
      <c r="PD5" s="609" t="str">
        <f t="shared" ref="PD5" ca="1" si="411">IF(WEEKDAY(PD$6)=2,PD6,"")</f>
        <v/>
      </c>
      <c r="PE5" s="609" t="str">
        <f t="shared" ref="PE5" ca="1" si="412">IF(WEEKDAY(PE$6)=2,PE6,"")</f>
        <v/>
      </c>
      <c r="PF5" s="609" t="str">
        <f t="shared" ref="PF5" ca="1" si="413">IF(WEEKDAY(PF$6)=2,PF6,"")</f>
        <v/>
      </c>
      <c r="PG5" s="609">
        <f t="shared" ref="PG5" ca="1" si="414">IF(WEEKDAY(PG$6)=2,PG6,"")</f>
        <v>42065</v>
      </c>
      <c r="PH5" s="609" t="str">
        <f t="shared" ref="PH5" ca="1" si="415">IF(WEEKDAY(PH$6)=2,PH6,"")</f>
        <v/>
      </c>
      <c r="PI5" s="609" t="str">
        <f t="shared" ref="PI5" ca="1" si="416">IF(WEEKDAY(PI$6)=2,PI6,"")</f>
        <v/>
      </c>
      <c r="PJ5" s="609" t="str">
        <f t="shared" ref="PJ5" ca="1" si="417">IF(WEEKDAY(PJ$6)=2,PJ6,"")</f>
        <v/>
      </c>
      <c r="PK5" s="609" t="str">
        <f t="shared" ref="PK5" ca="1" si="418">IF(WEEKDAY(PK$6)=2,PK6,"")</f>
        <v/>
      </c>
      <c r="PL5" s="609" t="str">
        <f t="shared" ref="PL5" ca="1" si="419">IF(WEEKDAY(PL$6)=2,PL6,"")</f>
        <v/>
      </c>
      <c r="PM5" s="609" t="str">
        <f t="shared" ref="PM5" ca="1" si="420">IF(WEEKDAY(PM$6)=2,PM6,"")</f>
        <v/>
      </c>
      <c r="PN5" s="609">
        <f t="shared" ref="PN5" ca="1" si="421">IF(WEEKDAY(PN$6)=2,PN6,"")</f>
        <v>42072</v>
      </c>
      <c r="PO5" s="609" t="str">
        <f t="shared" ref="PO5" ca="1" si="422">IF(WEEKDAY(PO$6)=2,PO6,"")</f>
        <v/>
      </c>
      <c r="PP5" s="609" t="str">
        <f t="shared" ref="PP5" ca="1" si="423">IF(WEEKDAY(PP$6)=2,PP6,"")</f>
        <v/>
      </c>
      <c r="PQ5" s="609" t="str">
        <f t="shared" ref="PQ5" ca="1" si="424">IF(WEEKDAY(PQ$6)=2,PQ6,"")</f>
        <v/>
      </c>
      <c r="PR5" s="609" t="str">
        <f t="shared" ref="PR5" ca="1" si="425">IF(WEEKDAY(PR$6)=2,PR6,"")</f>
        <v/>
      </c>
      <c r="PS5" s="609" t="str">
        <f t="shared" ref="PS5" ca="1" si="426">IF(WEEKDAY(PS$6)=2,PS6,"")</f>
        <v/>
      </c>
      <c r="PT5" s="609" t="str">
        <f t="shared" ref="PT5" ca="1" si="427">IF(WEEKDAY(PT$6)=2,PT6,"")</f>
        <v/>
      </c>
      <c r="PU5" s="609">
        <f t="shared" ref="PU5" ca="1" si="428">IF(WEEKDAY(PU$6)=2,PU6,"")</f>
        <v>42079</v>
      </c>
      <c r="PV5" s="609" t="str">
        <f t="shared" ref="PV5" ca="1" si="429">IF(WEEKDAY(PV$6)=2,PV6,"")</f>
        <v/>
      </c>
      <c r="PW5" s="609" t="str">
        <f t="shared" ref="PW5" ca="1" si="430">IF(WEEKDAY(PW$6)=2,PW6,"")</f>
        <v/>
      </c>
      <c r="PX5" s="609" t="str">
        <f t="shared" ref="PX5" ca="1" si="431">IF(WEEKDAY(PX$6)=2,PX6,"")</f>
        <v/>
      </c>
      <c r="PY5" s="609" t="str">
        <f t="shared" ref="PY5" ca="1" si="432">IF(WEEKDAY(PY$6)=2,PY6,"")</f>
        <v/>
      </c>
      <c r="PZ5" s="609" t="str">
        <f t="shared" ref="PZ5" ca="1" si="433">IF(WEEKDAY(PZ$6)=2,PZ6,"")</f>
        <v/>
      </c>
      <c r="QA5" s="609" t="str">
        <f t="shared" ref="QA5" ca="1" si="434">IF(WEEKDAY(QA$6)=2,QA6,"")</f>
        <v/>
      </c>
      <c r="QB5" s="609">
        <f t="shared" ref="QB5" ca="1" si="435">IF(WEEKDAY(QB$6)=2,QB6,"")</f>
        <v>42086</v>
      </c>
      <c r="QC5" s="609" t="str">
        <f t="shared" ref="QC5" ca="1" si="436">IF(WEEKDAY(QC$6)=2,QC6,"")</f>
        <v/>
      </c>
      <c r="QD5" s="609" t="str">
        <f t="shared" ref="QD5" ca="1" si="437">IF(WEEKDAY(QD$6)=2,QD6,"")</f>
        <v/>
      </c>
      <c r="QE5" s="609" t="str">
        <f t="shared" ref="QE5" ca="1" si="438">IF(WEEKDAY(QE$6)=2,QE6,"")</f>
        <v/>
      </c>
      <c r="QF5" s="609" t="str">
        <f t="shared" ref="QF5" ca="1" si="439">IF(WEEKDAY(QF$6)=2,QF6,"")</f>
        <v/>
      </c>
      <c r="QG5" s="609" t="str">
        <f t="shared" ref="QG5" ca="1" si="440">IF(WEEKDAY(QG$6)=2,QG6,"")</f>
        <v/>
      </c>
      <c r="QH5" s="609" t="str">
        <f t="shared" ref="QH5" ca="1" si="441">IF(WEEKDAY(QH$6)=2,QH6,"")</f>
        <v/>
      </c>
      <c r="QI5" s="609">
        <f t="shared" ref="QI5" ca="1" si="442">IF(WEEKDAY(QI$6)=2,QI6,"")</f>
        <v>42093</v>
      </c>
      <c r="QJ5" s="609" t="str">
        <f t="shared" ref="QJ5" ca="1" si="443">IF(WEEKDAY(QJ$6)=2,QJ6,"")</f>
        <v/>
      </c>
      <c r="QK5" s="609" t="str">
        <f t="shared" ref="QK5" ca="1" si="444">IF(WEEKDAY(QK$6)=2,QK6,"")</f>
        <v/>
      </c>
      <c r="QL5" s="609" t="str">
        <f t="shared" ref="QL5" ca="1" si="445">IF(WEEKDAY(QL$6)=2,QL6,"")</f>
        <v/>
      </c>
      <c r="QM5" s="609" t="str">
        <f t="shared" ref="QM5" ca="1" si="446">IF(WEEKDAY(QM$6)=2,QM6,"")</f>
        <v/>
      </c>
      <c r="QN5" s="609" t="str">
        <f t="shared" ref="QN5" ca="1" si="447">IF(WEEKDAY(QN$6)=2,QN6,"")</f>
        <v/>
      </c>
      <c r="QO5" s="609" t="str">
        <f t="shared" ref="QO5" ca="1" si="448">IF(WEEKDAY(QO$6)=2,QO6,"")</f>
        <v/>
      </c>
      <c r="QP5" s="609">
        <f t="shared" ref="QP5" ca="1" si="449">IF(WEEKDAY(QP$6)=2,QP6,"")</f>
        <v>42100</v>
      </c>
      <c r="QQ5" s="609" t="str">
        <f t="shared" ref="QQ5" ca="1" si="450">IF(WEEKDAY(QQ$6)=2,QQ6,"")</f>
        <v/>
      </c>
      <c r="QR5" s="609" t="str">
        <f t="shared" ref="QR5" ca="1" si="451">IF(WEEKDAY(QR$6)=2,QR6,"")</f>
        <v/>
      </c>
      <c r="QS5" s="609" t="str">
        <f t="shared" ref="QS5" ca="1" si="452">IF(WEEKDAY(QS$6)=2,QS6,"")</f>
        <v/>
      </c>
      <c r="QT5" s="609" t="str">
        <f t="shared" ref="QT5" ca="1" si="453">IF(WEEKDAY(QT$6)=2,QT6,"")</f>
        <v/>
      </c>
      <c r="QU5" s="609" t="str">
        <f t="shared" ref="QU5" ca="1" si="454">IF(WEEKDAY(QU$6)=2,QU6,"")</f>
        <v/>
      </c>
      <c r="QV5" s="609" t="str">
        <f t="shared" ref="QV5" ca="1" si="455">IF(WEEKDAY(QV$6)=2,QV6,"")</f>
        <v/>
      </c>
      <c r="QW5" s="609">
        <f t="shared" ref="QW5" ca="1" si="456">IF(WEEKDAY(QW$6)=2,QW6,"")</f>
        <v>42107</v>
      </c>
      <c r="QX5" s="609" t="str">
        <f t="shared" ref="QX5" ca="1" si="457">IF(WEEKDAY(QX$6)=2,QX6,"")</f>
        <v/>
      </c>
      <c r="QY5" s="609" t="str">
        <f t="shared" ref="QY5" ca="1" si="458">IF(WEEKDAY(QY$6)=2,QY6,"")</f>
        <v/>
      </c>
      <c r="QZ5" s="609" t="str">
        <f t="shared" ref="QZ5" ca="1" si="459">IF(WEEKDAY(QZ$6)=2,QZ6,"")</f>
        <v/>
      </c>
      <c r="RA5" s="609" t="str">
        <f t="shared" ref="RA5" ca="1" si="460">IF(WEEKDAY(RA$6)=2,RA6,"")</f>
        <v/>
      </c>
      <c r="RB5" s="609" t="str">
        <f t="shared" ref="RB5" ca="1" si="461">IF(WEEKDAY(RB$6)=2,RB6,"")</f>
        <v/>
      </c>
      <c r="RC5" s="609" t="str">
        <f t="shared" ref="RC5" ca="1" si="462">IF(WEEKDAY(RC$6)=2,RC6,"")</f>
        <v/>
      </c>
      <c r="RD5" s="609">
        <f t="shared" ref="RD5" ca="1" si="463">IF(WEEKDAY(RD$6)=2,RD6,"")</f>
        <v>42114</v>
      </c>
      <c r="RE5" s="609" t="str">
        <f t="shared" ref="RE5" ca="1" si="464">IF(WEEKDAY(RE$6)=2,RE6,"")</f>
        <v/>
      </c>
      <c r="RF5" s="609" t="str">
        <f t="shared" ref="RF5" ca="1" si="465">IF(WEEKDAY(RF$6)=2,RF6,"")</f>
        <v/>
      </c>
      <c r="RG5" s="609" t="str">
        <f t="shared" ref="RG5" ca="1" si="466">IF(WEEKDAY(RG$6)=2,RG6,"")</f>
        <v/>
      </c>
      <c r="RH5" s="609" t="str">
        <f t="shared" ref="RH5" ca="1" si="467">IF(WEEKDAY(RH$6)=2,RH6,"")</f>
        <v/>
      </c>
      <c r="RI5" s="609" t="str">
        <f t="shared" ref="RI5" ca="1" si="468">IF(WEEKDAY(RI$6)=2,RI6,"")</f>
        <v/>
      </c>
      <c r="RJ5" s="609" t="str">
        <f t="shared" ref="RJ5" ca="1" si="469">IF(WEEKDAY(RJ$6)=2,RJ6,"")</f>
        <v/>
      </c>
      <c r="RK5" s="609">
        <f t="shared" ref="RK5" ca="1" si="470">IF(WEEKDAY(RK$6)=2,RK6,"")</f>
        <v>42121</v>
      </c>
      <c r="RL5" s="609" t="str">
        <f t="shared" ref="RL5" ca="1" si="471">IF(WEEKDAY(RL$6)=2,RL6,"")</f>
        <v/>
      </c>
      <c r="RM5" s="609" t="str">
        <f t="shared" ref="RM5" ca="1" si="472">IF(WEEKDAY(RM$6)=2,RM6,"")</f>
        <v/>
      </c>
      <c r="RN5" s="609" t="str">
        <f t="shared" ref="RN5" ca="1" si="473">IF(WEEKDAY(RN$6)=2,RN6,"")</f>
        <v/>
      </c>
      <c r="RO5" s="609" t="str">
        <f t="shared" ref="RO5" ca="1" si="474">IF(WEEKDAY(RO$6)=2,RO6,"")</f>
        <v/>
      </c>
      <c r="RP5" s="609" t="str">
        <f t="shared" ref="RP5" ca="1" si="475">IF(WEEKDAY(RP$6)=2,RP6,"")</f>
        <v/>
      </c>
      <c r="RQ5" s="609" t="str">
        <f t="shared" ref="RQ5" ca="1" si="476">IF(WEEKDAY(RQ$6)=2,RQ6,"")</f>
        <v/>
      </c>
      <c r="RR5" s="609">
        <f t="shared" ref="RR5" ca="1" si="477">IF(WEEKDAY(RR$6)=2,RR6,"")</f>
        <v>42128</v>
      </c>
      <c r="RS5" s="609" t="str">
        <f t="shared" ref="RS5" ca="1" si="478">IF(WEEKDAY(RS$6)=2,RS6,"")</f>
        <v/>
      </c>
      <c r="RT5" s="609" t="str">
        <f t="shared" ref="RT5" ca="1" si="479">IF(WEEKDAY(RT$6)=2,RT6,"")</f>
        <v/>
      </c>
      <c r="RU5" s="609" t="str">
        <f t="shared" ref="RU5" ca="1" si="480">IF(WEEKDAY(RU$6)=2,RU6,"")</f>
        <v/>
      </c>
      <c r="RV5" s="609" t="str">
        <f t="shared" ref="RV5" ca="1" si="481">IF(WEEKDAY(RV$6)=2,RV6,"")</f>
        <v/>
      </c>
      <c r="RW5" s="609" t="str">
        <f t="shared" ref="RW5" ca="1" si="482">IF(WEEKDAY(RW$6)=2,RW6,"")</f>
        <v/>
      </c>
      <c r="RX5" s="609" t="str">
        <f t="shared" ref="RX5" ca="1" si="483">IF(WEEKDAY(RX$6)=2,RX6,"")</f>
        <v/>
      </c>
      <c r="RY5" s="609">
        <f t="shared" ref="RY5" ca="1" si="484">IF(WEEKDAY(RY$6)=2,RY6,"")</f>
        <v>42135</v>
      </c>
      <c r="RZ5" s="609" t="str">
        <f t="shared" ref="RZ5" ca="1" si="485">IF(WEEKDAY(RZ$6)=2,RZ6,"")</f>
        <v/>
      </c>
      <c r="SA5" s="609" t="str">
        <f t="shared" ref="SA5" ca="1" si="486">IF(WEEKDAY(SA$6)=2,SA6,"")</f>
        <v/>
      </c>
      <c r="SB5" s="609" t="str">
        <f t="shared" ref="SB5" ca="1" si="487">IF(WEEKDAY(SB$6)=2,SB6,"")</f>
        <v/>
      </c>
      <c r="SC5" s="609" t="str">
        <f t="shared" ref="SC5" ca="1" si="488">IF(WEEKDAY(SC$6)=2,SC6,"")</f>
        <v/>
      </c>
      <c r="SD5" s="609" t="str">
        <f t="shared" ref="SD5" ca="1" si="489">IF(WEEKDAY(SD$6)=2,SD6,"")</f>
        <v/>
      </c>
      <c r="SE5" s="609" t="str">
        <f t="shared" ref="SE5" ca="1" si="490">IF(WEEKDAY(SE$6)=2,SE6,"")</f>
        <v/>
      </c>
      <c r="SF5" s="609">
        <f t="shared" ref="SF5" ca="1" si="491">IF(WEEKDAY(SF$6)=2,SF6,"")</f>
        <v>42142</v>
      </c>
      <c r="SG5" s="609" t="str">
        <f t="shared" ref="SG5" ca="1" si="492">IF(WEEKDAY(SG$6)=2,SG6,"")</f>
        <v/>
      </c>
      <c r="SH5" s="609" t="str">
        <f t="shared" ref="SH5" ca="1" si="493">IF(WEEKDAY(SH$6)=2,SH6,"")</f>
        <v/>
      </c>
      <c r="SI5" s="609" t="str">
        <f t="shared" ref="SI5" ca="1" si="494">IF(WEEKDAY(SI$6)=2,SI6,"")</f>
        <v/>
      </c>
      <c r="SJ5" s="609" t="str">
        <f t="shared" ref="SJ5" ca="1" si="495">IF(WEEKDAY(SJ$6)=2,SJ6,"")</f>
        <v/>
      </c>
      <c r="SK5" s="609" t="str">
        <f t="shared" ref="SK5" ca="1" si="496">IF(WEEKDAY(SK$6)=2,SK6,"")</f>
        <v/>
      </c>
      <c r="SL5" s="609" t="str">
        <f t="shared" ref="SL5" ca="1" si="497">IF(WEEKDAY(SL$6)=2,SL6,"")</f>
        <v/>
      </c>
      <c r="SM5" s="609">
        <f t="shared" ref="SM5" ca="1" si="498">IF(WEEKDAY(SM$6)=2,SM6,"")</f>
        <v>42149</v>
      </c>
      <c r="SN5" s="609" t="str">
        <f t="shared" ref="SN5" ca="1" si="499">IF(WEEKDAY(SN$6)=2,SN6,"")</f>
        <v/>
      </c>
      <c r="SO5" s="609" t="str">
        <f t="shared" ref="SO5" ca="1" si="500">IF(WEEKDAY(SO$6)=2,SO6,"")</f>
        <v/>
      </c>
      <c r="SP5" s="609" t="str">
        <f t="shared" ref="SP5" ca="1" si="501">IF(WEEKDAY(SP$6)=2,SP6,"")</f>
        <v/>
      </c>
      <c r="SQ5" s="609" t="str">
        <f t="shared" ref="SQ5" ca="1" si="502">IF(WEEKDAY(SQ$6)=2,SQ6,"")</f>
        <v/>
      </c>
      <c r="SR5" s="609" t="str">
        <f t="shared" ref="SR5" ca="1" si="503">IF(WEEKDAY(SR$6)=2,SR6,"")</f>
        <v/>
      </c>
      <c r="SS5" s="609" t="str">
        <f t="shared" ref="SS5" ca="1" si="504">IF(WEEKDAY(SS$6)=2,SS6,"")</f>
        <v/>
      </c>
      <c r="ST5" s="609">
        <f t="shared" ref="ST5" ca="1" si="505">IF(WEEKDAY(ST$6)=2,ST6,"")</f>
        <v>42156</v>
      </c>
      <c r="SU5" s="609" t="str">
        <f t="shared" ref="SU5" ca="1" si="506">IF(WEEKDAY(SU$6)=2,SU6,"")</f>
        <v/>
      </c>
      <c r="SV5" s="609" t="str">
        <f t="shared" ref="SV5" ca="1" si="507">IF(WEEKDAY(SV$6)=2,SV6,"")</f>
        <v/>
      </c>
      <c r="SW5" s="609" t="str">
        <f t="shared" ref="SW5" ca="1" si="508">IF(WEEKDAY(SW$6)=2,SW6,"")</f>
        <v/>
      </c>
      <c r="SX5" s="609" t="str">
        <f t="shared" ref="SX5" ca="1" si="509">IF(WEEKDAY(SX$6)=2,SX6,"")</f>
        <v/>
      </c>
      <c r="SY5" s="609" t="str">
        <f t="shared" ref="SY5" ca="1" si="510">IF(WEEKDAY(SY$6)=2,SY6,"")</f>
        <v/>
      </c>
      <c r="SZ5" s="609" t="str">
        <f t="shared" ref="SZ5" ca="1" si="511">IF(WEEKDAY(SZ$6)=2,SZ6,"")</f>
        <v/>
      </c>
      <c r="TA5" s="609">
        <f t="shared" ref="TA5" ca="1" si="512">IF(WEEKDAY(TA$6)=2,TA6,"")</f>
        <v>42163</v>
      </c>
      <c r="TB5" s="609" t="str">
        <f t="shared" ref="TB5" ca="1" si="513">IF(WEEKDAY(TB$6)=2,TB6,"")</f>
        <v/>
      </c>
      <c r="TC5" s="609" t="str">
        <f t="shared" ref="TC5" ca="1" si="514">IF(WEEKDAY(TC$6)=2,TC6,"")</f>
        <v/>
      </c>
      <c r="TD5" s="609" t="str">
        <f t="shared" ref="TD5" ca="1" si="515">IF(WEEKDAY(TD$6)=2,TD6,"")</f>
        <v/>
      </c>
      <c r="TE5" s="609" t="str">
        <f t="shared" ref="TE5" ca="1" si="516">IF(WEEKDAY(TE$6)=2,TE6,"")</f>
        <v/>
      </c>
      <c r="TF5" s="609" t="str">
        <f t="shared" ref="TF5" ca="1" si="517">IF(WEEKDAY(TF$6)=2,TF6,"")</f>
        <v/>
      </c>
      <c r="TG5" s="609" t="str">
        <f t="shared" ref="TG5" ca="1" si="518">IF(WEEKDAY(TG$6)=2,TG6,"")</f>
        <v/>
      </c>
      <c r="TH5" s="609">
        <f t="shared" ref="TH5" ca="1" si="519">IF(WEEKDAY(TH$6)=2,TH6,"")</f>
        <v>42170</v>
      </c>
      <c r="TI5" s="609" t="str">
        <f t="shared" ref="TI5" ca="1" si="520">IF(WEEKDAY(TI$6)=2,TI6,"")</f>
        <v/>
      </c>
      <c r="TJ5" s="609" t="str">
        <f t="shared" ref="TJ5" ca="1" si="521">IF(WEEKDAY(TJ$6)=2,TJ6,"")</f>
        <v/>
      </c>
      <c r="TK5" s="609" t="str">
        <f t="shared" ref="TK5" ca="1" si="522">IF(WEEKDAY(TK$6)=2,TK6,"")</f>
        <v/>
      </c>
      <c r="TL5" s="609" t="str">
        <f t="shared" ref="TL5" ca="1" si="523">IF(WEEKDAY(TL$6)=2,TL6,"")</f>
        <v/>
      </c>
      <c r="TM5" s="609" t="str">
        <f t="shared" ref="TM5" ca="1" si="524">IF(WEEKDAY(TM$6)=2,TM6,"")</f>
        <v/>
      </c>
      <c r="TN5" s="609" t="str">
        <f t="shared" ref="TN5" ca="1" si="525">IF(WEEKDAY(TN$6)=2,TN6,"")</f>
        <v/>
      </c>
      <c r="TO5" s="609">
        <f t="shared" ref="TO5" ca="1" si="526">IF(WEEKDAY(TO$6)=2,TO6,"")</f>
        <v>42177</v>
      </c>
      <c r="TP5" s="609" t="str">
        <f t="shared" ref="TP5" ca="1" si="527">IF(WEEKDAY(TP$6)=2,TP6,"")</f>
        <v/>
      </c>
      <c r="TQ5" s="609" t="str">
        <f t="shared" ref="TQ5" ca="1" si="528">IF(WEEKDAY(TQ$6)=2,TQ6,"")</f>
        <v/>
      </c>
      <c r="TR5" s="609" t="str">
        <f t="shared" ref="TR5" ca="1" si="529">IF(WEEKDAY(TR$6)=2,TR6,"")</f>
        <v/>
      </c>
      <c r="TS5" s="609" t="str">
        <f t="shared" ref="TS5" ca="1" si="530">IF(WEEKDAY(TS$6)=2,TS6,"")</f>
        <v/>
      </c>
      <c r="TT5" s="609" t="str">
        <f t="shared" ref="TT5" ca="1" si="531">IF(WEEKDAY(TT$6)=2,TT6,"")</f>
        <v/>
      </c>
      <c r="TU5" s="609" t="str">
        <f t="shared" ref="TU5" ca="1" si="532">IF(WEEKDAY(TU$6)=2,TU6,"")</f>
        <v/>
      </c>
      <c r="TV5" s="609">
        <f t="shared" ref="TV5" ca="1" si="533">IF(WEEKDAY(TV$6)=2,TV6,"")</f>
        <v>42184</v>
      </c>
      <c r="TW5" s="609" t="str">
        <f t="shared" ref="TW5" ca="1" si="534">IF(WEEKDAY(TW$6)=2,TW6,"")</f>
        <v/>
      </c>
      <c r="TX5" s="609" t="str">
        <f t="shared" ref="TX5" ca="1" si="535">IF(WEEKDAY(TX$6)=2,TX6,"")</f>
        <v/>
      </c>
      <c r="TY5" s="609" t="str">
        <f t="shared" ref="TY5" ca="1" si="536">IF(WEEKDAY(TY$6)=2,TY6,"")</f>
        <v/>
      </c>
      <c r="TZ5" s="609" t="str">
        <f t="shared" ref="TZ5" ca="1" si="537">IF(WEEKDAY(TZ$6)=2,TZ6,"")</f>
        <v/>
      </c>
      <c r="UA5" s="609" t="str">
        <f t="shared" ref="UA5" ca="1" si="538">IF(WEEKDAY(UA$6)=2,UA6,"")</f>
        <v/>
      </c>
      <c r="UB5" s="609" t="str">
        <f t="shared" ref="UB5" ca="1" si="539">IF(WEEKDAY(UB$6)=2,UB6,"")</f>
        <v/>
      </c>
      <c r="UC5" s="609">
        <f t="shared" ref="UC5" ca="1" si="540">IF(WEEKDAY(UC$6)=2,UC6,"")</f>
        <v>42191</v>
      </c>
      <c r="UD5" s="609" t="str">
        <f t="shared" ref="UD5" ca="1" si="541">IF(WEEKDAY(UD$6)=2,UD6,"")</f>
        <v/>
      </c>
      <c r="UE5" s="609" t="str">
        <f t="shared" ref="UE5" ca="1" si="542">IF(WEEKDAY(UE$6)=2,UE6,"")</f>
        <v/>
      </c>
      <c r="UF5" s="609" t="str">
        <f t="shared" ref="UF5" ca="1" si="543">IF(WEEKDAY(UF$6)=2,UF6,"")</f>
        <v/>
      </c>
      <c r="UG5" s="609" t="str">
        <f t="shared" ref="UG5" ca="1" si="544">IF(WEEKDAY(UG$6)=2,UG6,"")</f>
        <v/>
      </c>
      <c r="UH5" s="609" t="str">
        <f t="shared" ref="UH5" ca="1" si="545">IF(WEEKDAY(UH$6)=2,UH6,"")</f>
        <v/>
      </c>
      <c r="UI5" s="609" t="str">
        <f t="shared" ref="UI5" ca="1" si="546">IF(WEEKDAY(UI$6)=2,UI6,"")</f>
        <v/>
      </c>
      <c r="UJ5" s="609">
        <f t="shared" ref="UJ5" ca="1" si="547">IF(WEEKDAY(UJ$6)=2,UJ6,"")</f>
        <v>42198</v>
      </c>
      <c r="UK5" s="609" t="str">
        <f t="shared" ref="UK5" ca="1" si="548">IF(WEEKDAY(UK$6)=2,UK6,"")</f>
        <v/>
      </c>
      <c r="UL5" s="609" t="str">
        <f t="shared" ref="UL5" ca="1" si="549">IF(WEEKDAY(UL$6)=2,UL6,"")</f>
        <v/>
      </c>
      <c r="UM5" s="609" t="str">
        <f t="shared" ref="UM5" ca="1" si="550">IF(WEEKDAY(UM$6)=2,UM6,"")</f>
        <v/>
      </c>
      <c r="UN5" s="609" t="str">
        <f t="shared" ref="UN5" ca="1" si="551">IF(WEEKDAY(UN$6)=2,UN6,"")</f>
        <v/>
      </c>
      <c r="UO5" s="609" t="str">
        <f t="shared" ref="UO5" ca="1" si="552">IF(WEEKDAY(UO$6)=2,UO6,"")</f>
        <v/>
      </c>
      <c r="UP5" s="609" t="str">
        <f t="shared" ref="UP5" ca="1" si="553">IF(WEEKDAY(UP$6)=2,UP6,"")</f>
        <v/>
      </c>
      <c r="UQ5" s="609">
        <f t="shared" ref="UQ5" ca="1" si="554">IF(WEEKDAY(UQ$6)=2,UQ6,"")</f>
        <v>42205</v>
      </c>
      <c r="UR5" s="609" t="str">
        <f t="shared" ref="UR5" ca="1" si="555">IF(WEEKDAY(UR$6)=2,UR6,"")</f>
        <v/>
      </c>
      <c r="US5" s="609" t="str">
        <f t="shared" ref="US5" ca="1" si="556">IF(WEEKDAY(US$6)=2,US6,"")</f>
        <v/>
      </c>
      <c r="UT5" s="609" t="str">
        <f t="shared" ref="UT5" ca="1" si="557">IF(WEEKDAY(UT$6)=2,UT6,"")</f>
        <v/>
      </c>
      <c r="UU5" s="609" t="str">
        <f t="shared" ref="UU5" ca="1" si="558">IF(WEEKDAY(UU$6)=2,UU6,"")</f>
        <v/>
      </c>
      <c r="UV5" s="609" t="str">
        <f t="shared" ref="UV5" ca="1" si="559">IF(WEEKDAY(UV$6)=2,UV6,"")</f>
        <v/>
      </c>
      <c r="UW5" s="609" t="str">
        <f t="shared" ref="UW5" ca="1" si="560">IF(WEEKDAY(UW$6)=2,UW6,"")</f>
        <v/>
      </c>
      <c r="UX5" s="609">
        <f t="shared" ref="UX5" ca="1" si="561">IF(WEEKDAY(UX$6)=2,UX6,"")</f>
        <v>42212</v>
      </c>
      <c r="UY5" s="609" t="str">
        <f t="shared" ref="UY5" ca="1" si="562">IF(WEEKDAY(UY$6)=2,UY6,"")</f>
        <v/>
      </c>
      <c r="UZ5" s="609" t="str">
        <f t="shared" ref="UZ5" ca="1" si="563">IF(WEEKDAY(UZ$6)=2,UZ6,"")</f>
        <v/>
      </c>
      <c r="VA5" s="609" t="str">
        <f t="shared" ref="VA5" ca="1" si="564">IF(WEEKDAY(VA$6)=2,VA6,"")</f>
        <v/>
      </c>
      <c r="VB5" s="609" t="str">
        <f t="shared" ref="VB5" ca="1" si="565">IF(WEEKDAY(VB$6)=2,VB6,"")</f>
        <v/>
      </c>
      <c r="VC5" s="609" t="str">
        <f t="shared" ref="VC5" ca="1" si="566">IF(WEEKDAY(VC$6)=2,VC6,"")</f>
        <v/>
      </c>
      <c r="VD5" s="609" t="str">
        <f t="shared" ref="VD5" ca="1" si="567">IF(WEEKDAY(VD$6)=2,VD6,"")</f>
        <v/>
      </c>
      <c r="VE5" s="609">
        <f t="shared" ref="VE5" ca="1" si="568">IF(WEEKDAY(VE$6)=2,VE6,"")</f>
        <v>42219</v>
      </c>
      <c r="VF5" s="609" t="str">
        <f t="shared" ref="VF5" ca="1" si="569">IF(WEEKDAY(VF$6)=2,VF6,"")</f>
        <v/>
      </c>
      <c r="VG5" s="609" t="str">
        <f t="shared" ref="VG5" ca="1" si="570">IF(WEEKDAY(VG$6)=2,VG6,"")</f>
        <v/>
      </c>
      <c r="VH5" s="609" t="str">
        <f t="shared" ref="VH5" ca="1" si="571">IF(WEEKDAY(VH$6)=2,VH6,"")</f>
        <v/>
      </c>
      <c r="VI5" s="609" t="str">
        <f t="shared" ref="VI5" ca="1" si="572">IF(WEEKDAY(VI$6)=2,VI6,"")</f>
        <v/>
      </c>
      <c r="VJ5" s="609" t="str">
        <f t="shared" ref="VJ5" ca="1" si="573">IF(WEEKDAY(VJ$6)=2,VJ6,"")</f>
        <v/>
      </c>
      <c r="VK5" s="609" t="str">
        <f t="shared" ref="VK5" ca="1" si="574">IF(WEEKDAY(VK$6)=2,VK6,"")</f>
        <v/>
      </c>
      <c r="VL5" s="609">
        <f t="shared" ref="VL5" ca="1" si="575">IF(WEEKDAY(VL$6)=2,VL6,"")</f>
        <v>42226</v>
      </c>
      <c r="VM5" s="609" t="str">
        <f t="shared" ref="VM5" ca="1" si="576">IF(WEEKDAY(VM$6)=2,VM6,"")</f>
        <v/>
      </c>
      <c r="VN5" s="609" t="str">
        <f t="shared" ref="VN5" ca="1" si="577">IF(WEEKDAY(VN$6)=2,VN6,"")</f>
        <v/>
      </c>
      <c r="VO5" s="609" t="str">
        <f t="shared" ref="VO5" ca="1" si="578">IF(WEEKDAY(VO$6)=2,VO6,"")</f>
        <v/>
      </c>
      <c r="VP5" s="609" t="str">
        <f t="shared" ref="VP5" ca="1" si="579">IF(WEEKDAY(VP$6)=2,VP6,"")</f>
        <v/>
      </c>
      <c r="VQ5" s="609" t="str">
        <f t="shared" ref="VQ5" ca="1" si="580">IF(WEEKDAY(VQ$6)=2,VQ6,"")</f>
        <v/>
      </c>
      <c r="VR5" s="609" t="str">
        <f t="shared" ref="VR5" ca="1" si="581">IF(WEEKDAY(VR$6)=2,VR6,"")</f>
        <v/>
      </c>
      <c r="VS5" s="609">
        <f t="shared" ref="VS5" ca="1" si="582">IF(WEEKDAY(VS$6)=2,VS6,"")</f>
        <v>42233</v>
      </c>
      <c r="VT5" s="609" t="str">
        <f t="shared" ref="VT5" ca="1" si="583">IF(WEEKDAY(VT$6)=2,VT6,"")</f>
        <v/>
      </c>
      <c r="VU5" s="609" t="str">
        <f t="shared" ref="VU5" ca="1" si="584">IF(WEEKDAY(VU$6)=2,VU6,"")</f>
        <v/>
      </c>
      <c r="VV5" s="609" t="str">
        <f t="shared" ref="VV5" ca="1" si="585">IF(WEEKDAY(VV$6)=2,VV6,"")</f>
        <v/>
      </c>
      <c r="VW5" s="609" t="str">
        <f t="shared" ref="VW5" ca="1" si="586">IF(WEEKDAY(VW$6)=2,VW6,"")</f>
        <v/>
      </c>
      <c r="VX5" s="609" t="str">
        <f t="shared" ref="VX5" ca="1" si="587">IF(WEEKDAY(VX$6)=2,VX6,"")</f>
        <v/>
      </c>
      <c r="VY5" s="609" t="str">
        <f t="shared" ref="VY5" ca="1" si="588">IF(WEEKDAY(VY$6)=2,VY6,"")</f>
        <v/>
      </c>
      <c r="VZ5" s="609">
        <f t="shared" ref="VZ5" ca="1" si="589">IF(WEEKDAY(VZ$6)=2,VZ6,"")</f>
        <v>42240</v>
      </c>
      <c r="WA5" s="609" t="str">
        <f t="shared" ref="WA5" ca="1" si="590">IF(WEEKDAY(WA$6)=2,WA6,"")</f>
        <v/>
      </c>
      <c r="WB5" s="609" t="str">
        <f t="shared" ref="WB5" ca="1" si="591">IF(WEEKDAY(WB$6)=2,WB6,"")</f>
        <v/>
      </c>
      <c r="WC5" s="609" t="str">
        <f t="shared" ref="WC5" ca="1" si="592">IF(WEEKDAY(WC$6)=2,WC6,"")</f>
        <v/>
      </c>
      <c r="WD5" s="609" t="str">
        <f t="shared" ref="WD5" ca="1" si="593">IF(WEEKDAY(WD$6)=2,WD6,"")</f>
        <v/>
      </c>
      <c r="WE5" s="609" t="str">
        <f t="shared" ref="WE5" ca="1" si="594">IF(WEEKDAY(WE$6)=2,WE6,"")</f>
        <v/>
      </c>
      <c r="WF5" s="609" t="str">
        <f t="shared" ref="WF5" ca="1" si="595">IF(WEEKDAY(WF$6)=2,WF6,"")</f>
        <v/>
      </c>
      <c r="WG5" s="609">
        <f t="shared" ref="WG5" ca="1" si="596">IF(WEEKDAY(WG$6)=2,WG6,"")</f>
        <v>42247</v>
      </c>
      <c r="WH5" s="609" t="str">
        <f t="shared" ref="WH5" ca="1" si="597">IF(WEEKDAY(WH$6)=2,WH6,"")</f>
        <v/>
      </c>
      <c r="WI5" s="609" t="str">
        <f t="shared" ref="WI5" ca="1" si="598">IF(WEEKDAY(WI$6)=2,WI6,"")</f>
        <v/>
      </c>
      <c r="WJ5" s="609" t="str">
        <f t="shared" ref="WJ5" ca="1" si="599">IF(WEEKDAY(WJ$6)=2,WJ6,"")</f>
        <v/>
      </c>
      <c r="WK5" s="609" t="str">
        <f t="shared" ref="WK5" ca="1" si="600">IF(WEEKDAY(WK$6)=2,WK6,"")</f>
        <v/>
      </c>
      <c r="WL5" s="609" t="str">
        <f t="shared" ref="WL5" ca="1" si="601">IF(WEEKDAY(WL$6)=2,WL6,"")</f>
        <v/>
      </c>
      <c r="WM5" s="609" t="str">
        <f t="shared" ref="WM5" ca="1" si="602">IF(WEEKDAY(WM$6)=2,WM6,"")</f>
        <v/>
      </c>
      <c r="WN5" s="609">
        <f t="shared" ref="WN5" ca="1" si="603">IF(WEEKDAY(WN$6)=2,WN6,"")</f>
        <v>42254</v>
      </c>
      <c r="WO5" s="609" t="str">
        <f t="shared" ref="WO5" ca="1" si="604">IF(WEEKDAY(WO$6)=2,WO6,"")</f>
        <v/>
      </c>
      <c r="WP5" s="609" t="str">
        <f t="shared" ref="WP5" ca="1" si="605">IF(WEEKDAY(WP$6)=2,WP6,"")</f>
        <v/>
      </c>
      <c r="WQ5" s="609" t="str">
        <f t="shared" ref="WQ5" ca="1" si="606">IF(WEEKDAY(WQ$6)=2,WQ6,"")</f>
        <v/>
      </c>
      <c r="WR5" s="609" t="str">
        <f t="shared" ref="WR5" ca="1" si="607">IF(WEEKDAY(WR$6)=2,WR6,"")</f>
        <v/>
      </c>
      <c r="WS5" s="609" t="str">
        <f t="shared" ref="WS5" ca="1" si="608">IF(WEEKDAY(WS$6)=2,WS6,"")</f>
        <v/>
      </c>
      <c r="WT5" s="609" t="str">
        <f t="shared" ref="WT5" ca="1" si="609">IF(WEEKDAY(WT$6)=2,WT6,"")</f>
        <v/>
      </c>
      <c r="WU5" s="609">
        <f t="shared" ref="WU5" ca="1" si="610">IF(WEEKDAY(WU$6)=2,WU6,"")</f>
        <v>42261</v>
      </c>
      <c r="WV5" s="609" t="str">
        <f t="shared" ref="WV5" ca="1" si="611">IF(WEEKDAY(WV$6)=2,WV6,"")</f>
        <v/>
      </c>
      <c r="WW5" s="609" t="str">
        <f t="shared" ref="WW5" ca="1" si="612">IF(WEEKDAY(WW$6)=2,WW6,"")</f>
        <v/>
      </c>
      <c r="WX5" s="609" t="str">
        <f t="shared" ref="WX5" ca="1" si="613">IF(WEEKDAY(WX$6)=2,WX6,"")</f>
        <v/>
      </c>
      <c r="WY5" s="609" t="str">
        <f t="shared" ref="WY5" ca="1" si="614">IF(WEEKDAY(WY$6)=2,WY6,"")</f>
        <v/>
      </c>
      <c r="WZ5" s="609" t="str">
        <f t="shared" ref="WZ5" ca="1" si="615">IF(WEEKDAY(WZ$6)=2,WZ6,"")</f>
        <v/>
      </c>
      <c r="XA5" s="609" t="str">
        <f t="shared" ref="XA5" ca="1" si="616">IF(WEEKDAY(XA$6)=2,XA6,"")</f>
        <v/>
      </c>
      <c r="XB5" s="609">
        <f t="shared" ref="XB5" ca="1" si="617">IF(WEEKDAY(XB$6)=2,XB6,"")</f>
        <v>42268</v>
      </c>
      <c r="XC5" s="609" t="str">
        <f t="shared" ref="XC5" ca="1" si="618">IF(WEEKDAY(XC$6)=2,XC6,"")</f>
        <v/>
      </c>
      <c r="XD5" s="609" t="str">
        <f t="shared" ref="XD5" ca="1" si="619">IF(WEEKDAY(XD$6)=2,XD6,"")</f>
        <v/>
      </c>
      <c r="XE5" s="609" t="str">
        <f t="shared" ref="XE5" ca="1" si="620">IF(WEEKDAY(XE$6)=2,XE6,"")</f>
        <v/>
      </c>
      <c r="XF5" s="609" t="str">
        <f t="shared" ref="XF5" ca="1" si="621">IF(WEEKDAY(XF$6)=2,XF6,"")</f>
        <v/>
      </c>
      <c r="XG5" s="609" t="str">
        <f t="shared" ref="XG5" ca="1" si="622">IF(WEEKDAY(XG$6)=2,XG6,"")</f>
        <v/>
      </c>
      <c r="XH5" s="609" t="str">
        <f t="shared" ref="XH5" ca="1" si="623">IF(WEEKDAY(XH$6)=2,XH6,"")</f>
        <v/>
      </c>
      <c r="XI5" s="609">
        <f t="shared" ref="XI5" ca="1" si="624">IF(WEEKDAY(XI$6)=2,XI6,"")</f>
        <v>42275</v>
      </c>
      <c r="XJ5" s="609" t="str">
        <f t="shared" ref="XJ5" ca="1" si="625">IF(WEEKDAY(XJ$6)=2,XJ6,"")</f>
        <v/>
      </c>
      <c r="XK5" s="609" t="str">
        <f t="shared" ref="XK5" ca="1" si="626">IF(WEEKDAY(XK$6)=2,XK6,"")</f>
        <v/>
      </c>
      <c r="XL5" s="609" t="str">
        <f t="shared" ref="XL5" ca="1" si="627">IF(WEEKDAY(XL$6)=2,XL6,"")</f>
        <v/>
      </c>
      <c r="XM5" s="609" t="str">
        <f t="shared" ref="XM5" ca="1" si="628">IF(WEEKDAY(XM$6)=2,XM6,"")</f>
        <v/>
      </c>
      <c r="XN5" s="609" t="str">
        <f t="shared" ref="XN5" ca="1" si="629">IF(WEEKDAY(XN$6)=2,XN6,"")</f>
        <v/>
      </c>
      <c r="XO5" s="609" t="str">
        <f t="shared" ref="XO5" ca="1" si="630">IF(WEEKDAY(XO$6)=2,XO6,"")</f>
        <v/>
      </c>
      <c r="XP5" s="609">
        <f t="shared" ref="XP5" ca="1" si="631">IF(WEEKDAY(XP$6)=2,XP6,"")</f>
        <v>42282</v>
      </c>
      <c r="XQ5" s="609" t="str">
        <f t="shared" ref="XQ5" ca="1" si="632">IF(WEEKDAY(XQ$6)=2,XQ6,"")</f>
        <v/>
      </c>
      <c r="XR5" s="609" t="str">
        <f t="shared" ref="XR5" ca="1" si="633">IF(WEEKDAY(XR$6)=2,XR6,"")</f>
        <v/>
      </c>
      <c r="XS5" s="609" t="str">
        <f t="shared" ref="XS5" ca="1" si="634">IF(WEEKDAY(XS$6)=2,XS6,"")</f>
        <v/>
      </c>
      <c r="XT5" s="609" t="str">
        <f t="shared" ref="XT5" ca="1" si="635">IF(WEEKDAY(XT$6)=2,XT6,"")</f>
        <v/>
      </c>
      <c r="XU5" s="609" t="str">
        <f t="shared" ref="XU5" ca="1" si="636">IF(WEEKDAY(XU$6)=2,XU6,"")</f>
        <v/>
      </c>
      <c r="XV5" s="609" t="str">
        <f t="shared" ref="XV5" ca="1" si="637">IF(WEEKDAY(XV$6)=2,XV6,"")</f>
        <v/>
      </c>
      <c r="XW5" s="609">
        <f t="shared" ref="XW5" ca="1" si="638">IF(WEEKDAY(XW$6)=2,XW6,"")</f>
        <v>42289</v>
      </c>
      <c r="XX5" s="609" t="str">
        <f t="shared" ref="XX5" ca="1" si="639">IF(WEEKDAY(XX$6)=2,XX6,"")</f>
        <v/>
      </c>
      <c r="XY5" s="609" t="str">
        <f t="shared" ref="XY5" ca="1" si="640">IF(WEEKDAY(XY$6)=2,XY6,"")</f>
        <v/>
      </c>
      <c r="XZ5" s="609" t="str">
        <f t="shared" ref="XZ5" ca="1" si="641">IF(WEEKDAY(XZ$6)=2,XZ6,"")</f>
        <v/>
      </c>
      <c r="YA5" s="609" t="str">
        <f t="shared" ref="YA5" ca="1" si="642">IF(WEEKDAY(YA$6)=2,YA6,"")</f>
        <v/>
      </c>
      <c r="YB5" s="609" t="str">
        <f t="shared" ref="YB5" ca="1" si="643">IF(WEEKDAY(YB$6)=2,YB6,"")</f>
        <v/>
      </c>
      <c r="YC5" s="609" t="str">
        <f t="shared" ref="YC5" ca="1" si="644">IF(WEEKDAY(YC$6)=2,YC6,"")</f>
        <v/>
      </c>
      <c r="YD5" s="609">
        <f t="shared" ref="YD5" ca="1" si="645">IF(WEEKDAY(YD$6)=2,YD6,"")</f>
        <v>42296</v>
      </c>
      <c r="YE5" s="609" t="str">
        <f t="shared" ref="YE5" ca="1" si="646">IF(WEEKDAY(YE$6)=2,YE6,"")</f>
        <v/>
      </c>
      <c r="YF5" s="609" t="str">
        <f t="shared" ref="YF5" ca="1" si="647">IF(WEEKDAY(YF$6)=2,YF6,"")</f>
        <v/>
      </c>
      <c r="YG5" s="609" t="str">
        <f t="shared" ref="YG5" ca="1" si="648">IF(WEEKDAY(YG$6)=2,YG6,"")</f>
        <v/>
      </c>
      <c r="YH5" s="609" t="str">
        <f t="shared" ref="YH5" ca="1" si="649">IF(WEEKDAY(YH$6)=2,YH6,"")</f>
        <v/>
      </c>
      <c r="YI5" s="609" t="str">
        <f t="shared" ref="YI5" ca="1" si="650">IF(WEEKDAY(YI$6)=2,YI6,"")</f>
        <v/>
      </c>
      <c r="YJ5" s="609" t="str">
        <f t="shared" ref="YJ5" ca="1" si="651">IF(WEEKDAY(YJ$6)=2,YJ6,"")</f>
        <v/>
      </c>
      <c r="YK5" s="609">
        <f t="shared" ref="YK5" ca="1" si="652">IF(WEEKDAY(YK$6)=2,YK6,"")</f>
        <v>42303</v>
      </c>
      <c r="YL5" s="609" t="str">
        <f t="shared" ref="YL5" ca="1" si="653">IF(WEEKDAY(YL$6)=2,YL6,"")</f>
        <v/>
      </c>
      <c r="YM5" s="609" t="str">
        <f t="shared" ref="YM5" ca="1" si="654">IF(WEEKDAY(YM$6)=2,YM6,"")</f>
        <v/>
      </c>
      <c r="YN5" s="609" t="str">
        <f t="shared" ref="YN5" ca="1" si="655">IF(WEEKDAY(YN$6)=2,YN6,"")</f>
        <v/>
      </c>
      <c r="YO5" s="609" t="str">
        <f t="shared" ref="YO5" ca="1" si="656">IF(WEEKDAY(YO$6)=2,YO6,"")</f>
        <v/>
      </c>
      <c r="YP5" s="609" t="str">
        <f t="shared" ref="YP5" ca="1" si="657">IF(WEEKDAY(YP$6)=2,YP6,"")</f>
        <v/>
      </c>
      <c r="YQ5" s="609" t="str">
        <f t="shared" ref="YQ5" ca="1" si="658">IF(WEEKDAY(YQ$6)=2,YQ6,"")</f>
        <v/>
      </c>
      <c r="YR5" s="609">
        <f t="shared" ref="YR5" ca="1" si="659">IF(WEEKDAY(YR$6)=2,YR6,"")</f>
        <v>42310</v>
      </c>
      <c r="YS5" s="609" t="str">
        <f t="shared" ref="YS5" ca="1" si="660">IF(WEEKDAY(YS$6)=2,YS6,"")</f>
        <v/>
      </c>
      <c r="YT5" s="609" t="str">
        <f t="shared" ref="YT5" ca="1" si="661">IF(WEEKDAY(YT$6)=2,YT6,"")</f>
        <v/>
      </c>
      <c r="YU5" s="609" t="str">
        <f t="shared" ref="YU5" ca="1" si="662">IF(WEEKDAY(YU$6)=2,YU6,"")</f>
        <v/>
      </c>
      <c r="YV5" s="609" t="str">
        <f t="shared" ref="YV5" ca="1" si="663">IF(WEEKDAY(YV$6)=2,YV6,"")</f>
        <v/>
      </c>
      <c r="YW5" s="609" t="str">
        <f t="shared" ref="YW5" ca="1" si="664">IF(WEEKDAY(YW$6)=2,YW6,"")</f>
        <v/>
      </c>
      <c r="YX5" s="609" t="str">
        <f t="shared" ref="YX5" ca="1" si="665">IF(WEEKDAY(YX$6)=2,YX6,"")</f>
        <v/>
      </c>
      <c r="YY5" s="609">
        <f t="shared" ref="YY5" ca="1" si="666">IF(WEEKDAY(YY$6)=2,YY6,"")</f>
        <v>42317</v>
      </c>
      <c r="YZ5" s="609" t="str">
        <f t="shared" ref="YZ5" ca="1" si="667">IF(WEEKDAY(YZ$6)=2,YZ6,"")</f>
        <v/>
      </c>
      <c r="ZA5" s="609" t="str">
        <f t="shared" ref="ZA5" ca="1" si="668">IF(WEEKDAY(ZA$6)=2,ZA6,"")</f>
        <v/>
      </c>
      <c r="ZB5" s="609" t="str">
        <f t="shared" ref="ZB5" ca="1" si="669">IF(WEEKDAY(ZB$6)=2,ZB6,"")</f>
        <v/>
      </c>
      <c r="ZC5" s="609" t="str">
        <f t="shared" ref="ZC5" ca="1" si="670">IF(WEEKDAY(ZC$6)=2,ZC6,"")</f>
        <v/>
      </c>
      <c r="ZD5" s="609" t="str">
        <f t="shared" ref="ZD5" ca="1" si="671">IF(WEEKDAY(ZD$6)=2,ZD6,"")</f>
        <v/>
      </c>
      <c r="ZE5" s="609" t="str">
        <f t="shared" ref="ZE5" ca="1" si="672">IF(WEEKDAY(ZE$6)=2,ZE6,"")</f>
        <v/>
      </c>
      <c r="ZF5" s="609">
        <f t="shared" ref="ZF5" ca="1" si="673">IF(WEEKDAY(ZF$6)=2,ZF6,"")</f>
        <v>42324</v>
      </c>
      <c r="ZG5" s="609" t="str">
        <f t="shared" ref="ZG5" ca="1" si="674">IF(WEEKDAY(ZG$6)=2,ZG6,"")</f>
        <v/>
      </c>
      <c r="ZH5" s="609" t="str">
        <f t="shared" ref="ZH5" ca="1" si="675">IF(WEEKDAY(ZH$6)=2,ZH6,"")</f>
        <v/>
      </c>
      <c r="ZI5" s="609" t="str">
        <f t="shared" ref="ZI5" ca="1" si="676">IF(WEEKDAY(ZI$6)=2,ZI6,"")</f>
        <v/>
      </c>
      <c r="ZJ5" s="609" t="str">
        <f t="shared" ref="ZJ5" ca="1" si="677">IF(WEEKDAY(ZJ$6)=2,ZJ6,"")</f>
        <v/>
      </c>
      <c r="ZK5" s="609" t="str">
        <f t="shared" ref="ZK5" ca="1" si="678">IF(WEEKDAY(ZK$6)=2,ZK6,"")</f>
        <v/>
      </c>
      <c r="ZL5" s="609" t="str">
        <f t="shared" ref="ZL5" ca="1" si="679">IF(WEEKDAY(ZL$6)=2,ZL6,"")</f>
        <v/>
      </c>
      <c r="ZM5" s="609">
        <f t="shared" ref="ZM5" ca="1" si="680">IF(WEEKDAY(ZM$6)=2,ZM6,"")</f>
        <v>42331</v>
      </c>
      <c r="ZN5" s="609" t="str">
        <f t="shared" ref="ZN5" ca="1" si="681">IF(WEEKDAY(ZN$6)=2,ZN6,"")</f>
        <v/>
      </c>
      <c r="ZO5" s="609" t="str">
        <f t="shared" ref="ZO5" ca="1" si="682">IF(WEEKDAY(ZO$6)=2,ZO6,"")</f>
        <v/>
      </c>
      <c r="ZP5" s="609" t="str">
        <f t="shared" ref="ZP5" ca="1" si="683">IF(WEEKDAY(ZP$6)=2,ZP6,"")</f>
        <v/>
      </c>
      <c r="ZQ5" s="609" t="str">
        <f t="shared" ref="ZQ5" ca="1" si="684">IF(WEEKDAY(ZQ$6)=2,ZQ6,"")</f>
        <v/>
      </c>
      <c r="ZR5" s="609" t="str">
        <f t="shared" ref="ZR5" ca="1" si="685">IF(WEEKDAY(ZR$6)=2,ZR6,"")</f>
        <v/>
      </c>
      <c r="ZS5" s="609" t="str">
        <f t="shared" ref="ZS5" ca="1" si="686">IF(WEEKDAY(ZS$6)=2,ZS6,"")</f>
        <v/>
      </c>
      <c r="ZT5" s="609">
        <f t="shared" ref="ZT5" ca="1" si="687">IF(WEEKDAY(ZT$6)=2,ZT6,"")</f>
        <v>42338</v>
      </c>
      <c r="ZU5" s="609" t="str">
        <f t="shared" ref="ZU5" ca="1" si="688">IF(WEEKDAY(ZU$6)=2,ZU6,"")</f>
        <v/>
      </c>
      <c r="ZV5" s="609" t="str">
        <f t="shared" ref="ZV5" ca="1" si="689">IF(WEEKDAY(ZV$6)=2,ZV6,"")</f>
        <v/>
      </c>
      <c r="ZW5" s="609" t="str">
        <f t="shared" ref="ZW5" ca="1" si="690">IF(WEEKDAY(ZW$6)=2,ZW6,"")</f>
        <v/>
      </c>
      <c r="ZX5" s="609" t="str">
        <f t="shared" ref="ZX5" ca="1" si="691">IF(WEEKDAY(ZX$6)=2,ZX6,"")</f>
        <v/>
      </c>
      <c r="ZY5" s="609" t="str">
        <f t="shared" ref="ZY5" ca="1" si="692">IF(WEEKDAY(ZY$6)=2,ZY6,"")</f>
        <v/>
      </c>
      <c r="ZZ5" s="609" t="str">
        <f t="shared" ref="ZZ5" ca="1" si="693">IF(WEEKDAY(ZZ$6)=2,ZZ6,"")</f>
        <v/>
      </c>
      <c r="AAA5" s="588"/>
      <c r="AAB5"/>
      <c r="AAC5"/>
      <c r="AAD5" s="112"/>
      <c r="AAE5" s="551" t="s">
        <v>27</v>
      </c>
      <c r="AAF5" s="583" t="s">
        <v>174</v>
      </c>
      <c r="AAG5" s="112"/>
      <c r="AAH5" s="112"/>
      <c r="AAI5" s="77"/>
      <c r="AAJ5" s="508"/>
      <c r="AAK5" s="508"/>
      <c r="AAL5" s="64" t="str">
        <f ca="1">"Next EQC Meeting  "&amp;TEXT(S.EQCMeetingNEXT,"mm/dd/yy")</f>
        <v>Next EQC Meeting  04/07/00</v>
      </c>
      <c r="AAM5" s="112"/>
      <c r="AAN5" s="325"/>
      <c r="AAU5" s="44"/>
      <c r="ABB5" s="23">
        <f>S.BANNER.OverviewStart+76</f>
        <v>41445</v>
      </c>
    </row>
    <row r="6" spans="1:745" s="23" customFormat="1" ht="20.25" customHeight="1">
      <c r="A6" s="558"/>
      <c r="B6" s="541"/>
      <c r="C6" s="542"/>
      <c r="D6" s="773" t="s">
        <v>0</v>
      </c>
      <c r="E6" s="773"/>
      <c r="F6" s="318">
        <f ca="1">NETWORKDAYS(TODAY(),H6)</f>
        <v>91</v>
      </c>
      <c r="G6" s="524">
        <v>41369</v>
      </c>
      <c r="H6" s="524">
        <f>AAH6</f>
        <v>41778</v>
      </c>
      <c r="I6" s="598"/>
      <c r="J6" s="610">
        <f ca="1">TODAY()+J3</f>
        <v>41652</v>
      </c>
      <c r="K6" s="610">
        <f ca="1">J$6+1</f>
        <v>41653</v>
      </c>
      <c r="L6" s="610">
        <f t="shared" ref="L6:BW6" ca="1" si="694">K$6+1</f>
        <v>41654</v>
      </c>
      <c r="M6" s="610">
        <f t="shared" ca="1" si="694"/>
        <v>41655</v>
      </c>
      <c r="N6" s="610">
        <f t="shared" ca="1" si="694"/>
        <v>41656</v>
      </c>
      <c r="O6" s="610">
        <f t="shared" ca="1" si="694"/>
        <v>41657</v>
      </c>
      <c r="P6" s="610">
        <f t="shared" ca="1" si="694"/>
        <v>41658</v>
      </c>
      <c r="Q6" s="610">
        <f t="shared" ca="1" si="694"/>
        <v>41659</v>
      </c>
      <c r="R6" s="610">
        <f t="shared" ca="1" si="694"/>
        <v>41660</v>
      </c>
      <c r="S6" s="610">
        <f t="shared" ca="1" si="694"/>
        <v>41661</v>
      </c>
      <c r="T6" s="610">
        <f t="shared" ca="1" si="694"/>
        <v>41662</v>
      </c>
      <c r="U6" s="610">
        <f t="shared" ca="1" si="694"/>
        <v>41663</v>
      </c>
      <c r="V6" s="610">
        <f t="shared" ca="1" si="694"/>
        <v>41664</v>
      </c>
      <c r="W6" s="610">
        <f t="shared" ca="1" si="694"/>
        <v>41665</v>
      </c>
      <c r="X6" s="610">
        <f t="shared" ca="1" si="694"/>
        <v>41666</v>
      </c>
      <c r="Y6" s="610">
        <f t="shared" ca="1" si="694"/>
        <v>41667</v>
      </c>
      <c r="Z6" s="610">
        <f t="shared" ca="1" si="694"/>
        <v>41668</v>
      </c>
      <c r="AA6" s="610">
        <f t="shared" ca="1" si="694"/>
        <v>41669</v>
      </c>
      <c r="AB6" s="610">
        <f t="shared" ca="1" si="694"/>
        <v>41670</v>
      </c>
      <c r="AC6" s="610">
        <f t="shared" ca="1" si="694"/>
        <v>41671</v>
      </c>
      <c r="AD6" s="610">
        <f t="shared" ca="1" si="694"/>
        <v>41672</v>
      </c>
      <c r="AE6" s="610">
        <f t="shared" ca="1" si="694"/>
        <v>41673</v>
      </c>
      <c r="AF6" s="610">
        <f t="shared" ca="1" si="694"/>
        <v>41674</v>
      </c>
      <c r="AG6" s="610">
        <f t="shared" ca="1" si="694"/>
        <v>41675</v>
      </c>
      <c r="AH6" s="610">
        <f t="shared" ca="1" si="694"/>
        <v>41676</v>
      </c>
      <c r="AI6" s="610">
        <f t="shared" ca="1" si="694"/>
        <v>41677</v>
      </c>
      <c r="AJ6" s="610">
        <f t="shared" ca="1" si="694"/>
        <v>41678</v>
      </c>
      <c r="AK6" s="610">
        <f t="shared" ca="1" si="694"/>
        <v>41679</v>
      </c>
      <c r="AL6" s="610">
        <f t="shared" ca="1" si="694"/>
        <v>41680</v>
      </c>
      <c r="AM6" s="610">
        <f t="shared" ca="1" si="694"/>
        <v>41681</v>
      </c>
      <c r="AN6" s="610">
        <f t="shared" ca="1" si="694"/>
        <v>41682</v>
      </c>
      <c r="AO6" s="610">
        <f t="shared" ca="1" si="694"/>
        <v>41683</v>
      </c>
      <c r="AP6" s="610">
        <f t="shared" ca="1" si="694"/>
        <v>41684</v>
      </c>
      <c r="AQ6" s="610">
        <f t="shared" ca="1" si="694"/>
        <v>41685</v>
      </c>
      <c r="AR6" s="610">
        <f t="shared" ca="1" si="694"/>
        <v>41686</v>
      </c>
      <c r="AS6" s="610">
        <f t="shared" ca="1" si="694"/>
        <v>41687</v>
      </c>
      <c r="AT6" s="610">
        <f t="shared" ca="1" si="694"/>
        <v>41688</v>
      </c>
      <c r="AU6" s="610">
        <f t="shared" ca="1" si="694"/>
        <v>41689</v>
      </c>
      <c r="AV6" s="610">
        <f t="shared" ca="1" si="694"/>
        <v>41690</v>
      </c>
      <c r="AW6" s="610">
        <f t="shared" ca="1" si="694"/>
        <v>41691</v>
      </c>
      <c r="AX6" s="610">
        <f t="shared" ca="1" si="694"/>
        <v>41692</v>
      </c>
      <c r="AY6" s="610">
        <f t="shared" ca="1" si="694"/>
        <v>41693</v>
      </c>
      <c r="AZ6" s="610">
        <f t="shared" ca="1" si="694"/>
        <v>41694</v>
      </c>
      <c r="BA6" s="610">
        <f t="shared" ca="1" si="694"/>
        <v>41695</v>
      </c>
      <c r="BB6" s="610">
        <f t="shared" ca="1" si="694"/>
        <v>41696</v>
      </c>
      <c r="BC6" s="610">
        <f t="shared" ca="1" si="694"/>
        <v>41697</v>
      </c>
      <c r="BD6" s="610">
        <f t="shared" ca="1" si="694"/>
        <v>41698</v>
      </c>
      <c r="BE6" s="610">
        <f t="shared" ca="1" si="694"/>
        <v>41699</v>
      </c>
      <c r="BF6" s="610">
        <f t="shared" ca="1" si="694"/>
        <v>41700</v>
      </c>
      <c r="BG6" s="610">
        <f t="shared" ca="1" si="694"/>
        <v>41701</v>
      </c>
      <c r="BH6" s="610">
        <f t="shared" ca="1" si="694"/>
        <v>41702</v>
      </c>
      <c r="BI6" s="610">
        <f t="shared" ca="1" si="694"/>
        <v>41703</v>
      </c>
      <c r="BJ6" s="610">
        <f t="shared" ca="1" si="694"/>
        <v>41704</v>
      </c>
      <c r="BK6" s="610">
        <f t="shared" ca="1" si="694"/>
        <v>41705</v>
      </c>
      <c r="BL6" s="610">
        <f t="shared" ca="1" si="694"/>
        <v>41706</v>
      </c>
      <c r="BM6" s="610">
        <f t="shared" ca="1" si="694"/>
        <v>41707</v>
      </c>
      <c r="BN6" s="610">
        <f t="shared" ca="1" si="694"/>
        <v>41708</v>
      </c>
      <c r="BO6" s="610">
        <f t="shared" ca="1" si="694"/>
        <v>41709</v>
      </c>
      <c r="BP6" s="610">
        <f t="shared" ca="1" si="694"/>
        <v>41710</v>
      </c>
      <c r="BQ6" s="610">
        <f t="shared" ca="1" si="694"/>
        <v>41711</v>
      </c>
      <c r="BR6" s="610">
        <f t="shared" ca="1" si="694"/>
        <v>41712</v>
      </c>
      <c r="BS6" s="610">
        <f t="shared" ca="1" si="694"/>
        <v>41713</v>
      </c>
      <c r="BT6" s="610">
        <f t="shared" ca="1" si="694"/>
        <v>41714</v>
      </c>
      <c r="BU6" s="610">
        <f t="shared" ca="1" si="694"/>
        <v>41715</v>
      </c>
      <c r="BV6" s="610">
        <f t="shared" ca="1" si="694"/>
        <v>41716</v>
      </c>
      <c r="BW6" s="610">
        <f t="shared" ca="1" si="694"/>
        <v>41717</v>
      </c>
      <c r="BX6" s="610">
        <f t="shared" ref="BX6:EI6" ca="1" si="695">BW$6+1</f>
        <v>41718</v>
      </c>
      <c r="BY6" s="610">
        <f t="shared" ca="1" si="695"/>
        <v>41719</v>
      </c>
      <c r="BZ6" s="610">
        <f t="shared" ca="1" si="695"/>
        <v>41720</v>
      </c>
      <c r="CA6" s="610">
        <f t="shared" ca="1" si="695"/>
        <v>41721</v>
      </c>
      <c r="CB6" s="610">
        <f t="shared" ca="1" si="695"/>
        <v>41722</v>
      </c>
      <c r="CC6" s="610">
        <f t="shared" ca="1" si="695"/>
        <v>41723</v>
      </c>
      <c r="CD6" s="610">
        <f t="shared" ca="1" si="695"/>
        <v>41724</v>
      </c>
      <c r="CE6" s="610">
        <f t="shared" ca="1" si="695"/>
        <v>41725</v>
      </c>
      <c r="CF6" s="610">
        <f t="shared" ca="1" si="695"/>
        <v>41726</v>
      </c>
      <c r="CG6" s="610">
        <f t="shared" ca="1" si="695"/>
        <v>41727</v>
      </c>
      <c r="CH6" s="610">
        <f t="shared" ca="1" si="695"/>
        <v>41728</v>
      </c>
      <c r="CI6" s="610">
        <f t="shared" ca="1" si="695"/>
        <v>41729</v>
      </c>
      <c r="CJ6" s="610">
        <f t="shared" ca="1" si="695"/>
        <v>41730</v>
      </c>
      <c r="CK6" s="610">
        <f t="shared" ca="1" si="695"/>
        <v>41731</v>
      </c>
      <c r="CL6" s="610">
        <f t="shared" ca="1" si="695"/>
        <v>41732</v>
      </c>
      <c r="CM6" s="610">
        <f t="shared" ca="1" si="695"/>
        <v>41733</v>
      </c>
      <c r="CN6" s="610">
        <f t="shared" ca="1" si="695"/>
        <v>41734</v>
      </c>
      <c r="CO6" s="610">
        <f t="shared" ca="1" si="695"/>
        <v>41735</v>
      </c>
      <c r="CP6" s="610">
        <f t="shared" ca="1" si="695"/>
        <v>41736</v>
      </c>
      <c r="CQ6" s="610">
        <f t="shared" ca="1" si="695"/>
        <v>41737</v>
      </c>
      <c r="CR6" s="610">
        <f t="shared" ca="1" si="695"/>
        <v>41738</v>
      </c>
      <c r="CS6" s="610">
        <f t="shared" ca="1" si="695"/>
        <v>41739</v>
      </c>
      <c r="CT6" s="610">
        <f t="shared" ca="1" si="695"/>
        <v>41740</v>
      </c>
      <c r="CU6" s="610">
        <f t="shared" ca="1" si="695"/>
        <v>41741</v>
      </c>
      <c r="CV6" s="610">
        <f t="shared" ca="1" si="695"/>
        <v>41742</v>
      </c>
      <c r="CW6" s="610">
        <f t="shared" ca="1" si="695"/>
        <v>41743</v>
      </c>
      <c r="CX6" s="610">
        <f t="shared" ca="1" si="695"/>
        <v>41744</v>
      </c>
      <c r="CY6" s="610">
        <f t="shared" ca="1" si="695"/>
        <v>41745</v>
      </c>
      <c r="CZ6" s="610">
        <f t="shared" ca="1" si="695"/>
        <v>41746</v>
      </c>
      <c r="DA6" s="610">
        <f t="shared" ca="1" si="695"/>
        <v>41747</v>
      </c>
      <c r="DB6" s="610">
        <f t="shared" ca="1" si="695"/>
        <v>41748</v>
      </c>
      <c r="DC6" s="610">
        <f t="shared" ca="1" si="695"/>
        <v>41749</v>
      </c>
      <c r="DD6" s="610">
        <f t="shared" ca="1" si="695"/>
        <v>41750</v>
      </c>
      <c r="DE6" s="610">
        <f t="shared" ca="1" si="695"/>
        <v>41751</v>
      </c>
      <c r="DF6" s="610">
        <f t="shared" ca="1" si="695"/>
        <v>41752</v>
      </c>
      <c r="DG6" s="610">
        <f t="shared" ca="1" si="695"/>
        <v>41753</v>
      </c>
      <c r="DH6" s="610">
        <f t="shared" ca="1" si="695"/>
        <v>41754</v>
      </c>
      <c r="DI6" s="610">
        <f t="shared" ca="1" si="695"/>
        <v>41755</v>
      </c>
      <c r="DJ6" s="610">
        <f t="shared" ca="1" si="695"/>
        <v>41756</v>
      </c>
      <c r="DK6" s="610">
        <f t="shared" ca="1" si="695"/>
        <v>41757</v>
      </c>
      <c r="DL6" s="610">
        <f t="shared" ca="1" si="695"/>
        <v>41758</v>
      </c>
      <c r="DM6" s="610">
        <f t="shared" ca="1" si="695"/>
        <v>41759</v>
      </c>
      <c r="DN6" s="610">
        <f t="shared" ca="1" si="695"/>
        <v>41760</v>
      </c>
      <c r="DO6" s="610">
        <f t="shared" ca="1" si="695"/>
        <v>41761</v>
      </c>
      <c r="DP6" s="610">
        <f t="shared" ca="1" si="695"/>
        <v>41762</v>
      </c>
      <c r="DQ6" s="610">
        <f t="shared" ca="1" si="695"/>
        <v>41763</v>
      </c>
      <c r="DR6" s="610">
        <f t="shared" ca="1" si="695"/>
        <v>41764</v>
      </c>
      <c r="DS6" s="610">
        <f t="shared" ca="1" si="695"/>
        <v>41765</v>
      </c>
      <c r="DT6" s="610">
        <f t="shared" ca="1" si="695"/>
        <v>41766</v>
      </c>
      <c r="DU6" s="610">
        <f t="shared" ca="1" si="695"/>
        <v>41767</v>
      </c>
      <c r="DV6" s="610">
        <f t="shared" ca="1" si="695"/>
        <v>41768</v>
      </c>
      <c r="DW6" s="610">
        <f t="shared" ca="1" si="695"/>
        <v>41769</v>
      </c>
      <c r="DX6" s="610">
        <f t="shared" ca="1" si="695"/>
        <v>41770</v>
      </c>
      <c r="DY6" s="610">
        <f t="shared" ca="1" si="695"/>
        <v>41771</v>
      </c>
      <c r="DZ6" s="610">
        <f t="shared" ca="1" si="695"/>
        <v>41772</v>
      </c>
      <c r="EA6" s="610">
        <f t="shared" ca="1" si="695"/>
        <v>41773</v>
      </c>
      <c r="EB6" s="610">
        <f t="shared" ca="1" si="695"/>
        <v>41774</v>
      </c>
      <c r="EC6" s="610">
        <f t="shared" ca="1" si="695"/>
        <v>41775</v>
      </c>
      <c r="ED6" s="610">
        <f t="shared" ca="1" si="695"/>
        <v>41776</v>
      </c>
      <c r="EE6" s="610">
        <f t="shared" ca="1" si="695"/>
        <v>41777</v>
      </c>
      <c r="EF6" s="610">
        <f t="shared" ca="1" si="695"/>
        <v>41778</v>
      </c>
      <c r="EG6" s="610">
        <f t="shared" ca="1" si="695"/>
        <v>41779</v>
      </c>
      <c r="EH6" s="610">
        <f t="shared" ca="1" si="695"/>
        <v>41780</v>
      </c>
      <c r="EI6" s="610">
        <f t="shared" ca="1" si="695"/>
        <v>41781</v>
      </c>
      <c r="EJ6" s="610">
        <f t="shared" ref="EJ6:GU6" ca="1" si="696">EI$6+1</f>
        <v>41782</v>
      </c>
      <c r="EK6" s="610">
        <f t="shared" ca="1" si="696"/>
        <v>41783</v>
      </c>
      <c r="EL6" s="610">
        <f t="shared" ca="1" si="696"/>
        <v>41784</v>
      </c>
      <c r="EM6" s="610">
        <f t="shared" ca="1" si="696"/>
        <v>41785</v>
      </c>
      <c r="EN6" s="610">
        <f t="shared" ca="1" si="696"/>
        <v>41786</v>
      </c>
      <c r="EO6" s="610">
        <f t="shared" ca="1" si="696"/>
        <v>41787</v>
      </c>
      <c r="EP6" s="610">
        <f t="shared" ca="1" si="696"/>
        <v>41788</v>
      </c>
      <c r="EQ6" s="610">
        <f t="shared" ca="1" si="696"/>
        <v>41789</v>
      </c>
      <c r="ER6" s="610">
        <f t="shared" ca="1" si="696"/>
        <v>41790</v>
      </c>
      <c r="ES6" s="610">
        <f t="shared" ca="1" si="696"/>
        <v>41791</v>
      </c>
      <c r="ET6" s="610">
        <f t="shared" ca="1" si="696"/>
        <v>41792</v>
      </c>
      <c r="EU6" s="610">
        <f t="shared" ca="1" si="696"/>
        <v>41793</v>
      </c>
      <c r="EV6" s="610">
        <f t="shared" ca="1" si="696"/>
        <v>41794</v>
      </c>
      <c r="EW6" s="610">
        <f t="shared" ca="1" si="696"/>
        <v>41795</v>
      </c>
      <c r="EX6" s="610">
        <f t="shared" ca="1" si="696"/>
        <v>41796</v>
      </c>
      <c r="EY6" s="610">
        <f t="shared" ca="1" si="696"/>
        <v>41797</v>
      </c>
      <c r="EZ6" s="610">
        <f t="shared" ca="1" si="696"/>
        <v>41798</v>
      </c>
      <c r="FA6" s="610">
        <f t="shared" ca="1" si="696"/>
        <v>41799</v>
      </c>
      <c r="FB6" s="610">
        <f t="shared" ca="1" si="696"/>
        <v>41800</v>
      </c>
      <c r="FC6" s="610">
        <f t="shared" ca="1" si="696"/>
        <v>41801</v>
      </c>
      <c r="FD6" s="610">
        <f t="shared" ca="1" si="696"/>
        <v>41802</v>
      </c>
      <c r="FE6" s="610">
        <f t="shared" ca="1" si="696"/>
        <v>41803</v>
      </c>
      <c r="FF6" s="610">
        <f t="shared" ca="1" si="696"/>
        <v>41804</v>
      </c>
      <c r="FG6" s="610">
        <f t="shared" ca="1" si="696"/>
        <v>41805</v>
      </c>
      <c r="FH6" s="610">
        <f t="shared" ca="1" si="696"/>
        <v>41806</v>
      </c>
      <c r="FI6" s="610">
        <f t="shared" ca="1" si="696"/>
        <v>41807</v>
      </c>
      <c r="FJ6" s="610">
        <f t="shared" ca="1" si="696"/>
        <v>41808</v>
      </c>
      <c r="FK6" s="610">
        <f t="shared" ca="1" si="696"/>
        <v>41809</v>
      </c>
      <c r="FL6" s="610">
        <f t="shared" ca="1" si="696"/>
        <v>41810</v>
      </c>
      <c r="FM6" s="610">
        <f t="shared" ca="1" si="696"/>
        <v>41811</v>
      </c>
      <c r="FN6" s="610">
        <f t="shared" ca="1" si="696"/>
        <v>41812</v>
      </c>
      <c r="FO6" s="610">
        <f t="shared" ca="1" si="696"/>
        <v>41813</v>
      </c>
      <c r="FP6" s="610">
        <f t="shared" ca="1" si="696"/>
        <v>41814</v>
      </c>
      <c r="FQ6" s="610">
        <f t="shared" ca="1" si="696"/>
        <v>41815</v>
      </c>
      <c r="FR6" s="610">
        <f t="shared" ca="1" si="696"/>
        <v>41816</v>
      </c>
      <c r="FS6" s="610">
        <f t="shared" ca="1" si="696"/>
        <v>41817</v>
      </c>
      <c r="FT6" s="610">
        <f t="shared" ca="1" si="696"/>
        <v>41818</v>
      </c>
      <c r="FU6" s="610">
        <f t="shared" ca="1" si="696"/>
        <v>41819</v>
      </c>
      <c r="FV6" s="610">
        <f t="shared" ca="1" si="696"/>
        <v>41820</v>
      </c>
      <c r="FW6" s="610">
        <f t="shared" ca="1" si="696"/>
        <v>41821</v>
      </c>
      <c r="FX6" s="610">
        <f t="shared" ca="1" si="696"/>
        <v>41822</v>
      </c>
      <c r="FY6" s="610">
        <f t="shared" ca="1" si="696"/>
        <v>41823</v>
      </c>
      <c r="FZ6" s="610">
        <f t="shared" ca="1" si="696"/>
        <v>41824</v>
      </c>
      <c r="GA6" s="610">
        <f t="shared" ca="1" si="696"/>
        <v>41825</v>
      </c>
      <c r="GB6" s="610">
        <f t="shared" ca="1" si="696"/>
        <v>41826</v>
      </c>
      <c r="GC6" s="610">
        <f t="shared" ca="1" si="696"/>
        <v>41827</v>
      </c>
      <c r="GD6" s="610">
        <f t="shared" ca="1" si="696"/>
        <v>41828</v>
      </c>
      <c r="GE6" s="610">
        <f t="shared" ca="1" si="696"/>
        <v>41829</v>
      </c>
      <c r="GF6" s="610">
        <f t="shared" ca="1" si="696"/>
        <v>41830</v>
      </c>
      <c r="GG6" s="610">
        <f t="shared" ca="1" si="696"/>
        <v>41831</v>
      </c>
      <c r="GH6" s="610">
        <f t="shared" ca="1" si="696"/>
        <v>41832</v>
      </c>
      <c r="GI6" s="610">
        <f t="shared" ca="1" si="696"/>
        <v>41833</v>
      </c>
      <c r="GJ6" s="610">
        <f t="shared" ca="1" si="696"/>
        <v>41834</v>
      </c>
      <c r="GK6" s="610">
        <f t="shared" ca="1" si="696"/>
        <v>41835</v>
      </c>
      <c r="GL6" s="610">
        <f t="shared" ca="1" si="696"/>
        <v>41836</v>
      </c>
      <c r="GM6" s="610">
        <f t="shared" ca="1" si="696"/>
        <v>41837</v>
      </c>
      <c r="GN6" s="610">
        <f t="shared" ca="1" si="696"/>
        <v>41838</v>
      </c>
      <c r="GO6" s="610">
        <f t="shared" ca="1" si="696"/>
        <v>41839</v>
      </c>
      <c r="GP6" s="610">
        <f t="shared" ca="1" si="696"/>
        <v>41840</v>
      </c>
      <c r="GQ6" s="610">
        <f t="shared" ca="1" si="696"/>
        <v>41841</v>
      </c>
      <c r="GR6" s="610">
        <f t="shared" ca="1" si="696"/>
        <v>41842</v>
      </c>
      <c r="GS6" s="610">
        <f t="shared" ca="1" si="696"/>
        <v>41843</v>
      </c>
      <c r="GT6" s="610">
        <f t="shared" ca="1" si="696"/>
        <v>41844</v>
      </c>
      <c r="GU6" s="610">
        <f t="shared" ca="1" si="696"/>
        <v>41845</v>
      </c>
      <c r="GV6" s="610">
        <f t="shared" ref="GV6:JG6" ca="1" si="697">GU$6+1</f>
        <v>41846</v>
      </c>
      <c r="GW6" s="610">
        <f t="shared" ca="1" si="697"/>
        <v>41847</v>
      </c>
      <c r="GX6" s="610">
        <f t="shared" ca="1" si="697"/>
        <v>41848</v>
      </c>
      <c r="GY6" s="610">
        <f t="shared" ca="1" si="697"/>
        <v>41849</v>
      </c>
      <c r="GZ6" s="610">
        <f t="shared" ca="1" si="697"/>
        <v>41850</v>
      </c>
      <c r="HA6" s="610">
        <f t="shared" ca="1" si="697"/>
        <v>41851</v>
      </c>
      <c r="HB6" s="610">
        <f t="shared" ca="1" si="697"/>
        <v>41852</v>
      </c>
      <c r="HC6" s="610">
        <f t="shared" ca="1" si="697"/>
        <v>41853</v>
      </c>
      <c r="HD6" s="610">
        <f t="shared" ca="1" si="697"/>
        <v>41854</v>
      </c>
      <c r="HE6" s="610">
        <f t="shared" ca="1" si="697"/>
        <v>41855</v>
      </c>
      <c r="HF6" s="610">
        <f t="shared" ca="1" si="697"/>
        <v>41856</v>
      </c>
      <c r="HG6" s="610">
        <f t="shared" ca="1" si="697"/>
        <v>41857</v>
      </c>
      <c r="HH6" s="610">
        <f t="shared" ca="1" si="697"/>
        <v>41858</v>
      </c>
      <c r="HI6" s="610">
        <f t="shared" ca="1" si="697"/>
        <v>41859</v>
      </c>
      <c r="HJ6" s="610">
        <f t="shared" ca="1" si="697"/>
        <v>41860</v>
      </c>
      <c r="HK6" s="610">
        <f t="shared" ca="1" si="697"/>
        <v>41861</v>
      </c>
      <c r="HL6" s="610">
        <f t="shared" ca="1" si="697"/>
        <v>41862</v>
      </c>
      <c r="HM6" s="610">
        <f t="shared" ca="1" si="697"/>
        <v>41863</v>
      </c>
      <c r="HN6" s="610">
        <f t="shared" ca="1" si="697"/>
        <v>41864</v>
      </c>
      <c r="HO6" s="610">
        <f t="shared" ca="1" si="697"/>
        <v>41865</v>
      </c>
      <c r="HP6" s="610">
        <f t="shared" ca="1" si="697"/>
        <v>41866</v>
      </c>
      <c r="HQ6" s="610">
        <f t="shared" ca="1" si="697"/>
        <v>41867</v>
      </c>
      <c r="HR6" s="610">
        <f t="shared" ca="1" si="697"/>
        <v>41868</v>
      </c>
      <c r="HS6" s="610">
        <f t="shared" ca="1" si="697"/>
        <v>41869</v>
      </c>
      <c r="HT6" s="610">
        <f t="shared" ca="1" si="697"/>
        <v>41870</v>
      </c>
      <c r="HU6" s="610">
        <f t="shared" ca="1" si="697"/>
        <v>41871</v>
      </c>
      <c r="HV6" s="610">
        <f t="shared" ca="1" si="697"/>
        <v>41872</v>
      </c>
      <c r="HW6" s="610">
        <f t="shared" ca="1" si="697"/>
        <v>41873</v>
      </c>
      <c r="HX6" s="610">
        <f t="shared" ca="1" si="697"/>
        <v>41874</v>
      </c>
      <c r="HY6" s="610">
        <f t="shared" ca="1" si="697"/>
        <v>41875</v>
      </c>
      <c r="HZ6" s="610">
        <f t="shared" ca="1" si="697"/>
        <v>41876</v>
      </c>
      <c r="IA6" s="610">
        <f t="shared" ca="1" si="697"/>
        <v>41877</v>
      </c>
      <c r="IB6" s="610">
        <f t="shared" ca="1" si="697"/>
        <v>41878</v>
      </c>
      <c r="IC6" s="610">
        <f t="shared" ca="1" si="697"/>
        <v>41879</v>
      </c>
      <c r="ID6" s="610">
        <f t="shared" ca="1" si="697"/>
        <v>41880</v>
      </c>
      <c r="IE6" s="610">
        <f t="shared" ca="1" si="697"/>
        <v>41881</v>
      </c>
      <c r="IF6" s="610">
        <f t="shared" ca="1" si="697"/>
        <v>41882</v>
      </c>
      <c r="IG6" s="610">
        <f t="shared" ca="1" si="697"/>
        <v>41883</v>
      </c>
      <c r="IH6" s="610">
        <f t="shared" ca="1" si="697"/>
        <v>41884</v>
      </c>
      <c r="II6" s="610">
        <f t="shared" ca="1" si="697"/>
        <v>41885</v>
      </c>
      <c r="IJ6" s="610">
        <f t="shared" ca="1" si="697"/>
        <v>41886</v>
      </c>
      <c r="IK6" s="610">
        <f t="shared" ca="1" si="697"/>
        <v>41887</v>
      </c>
      <c r="IL6" s="610">
        <f t="shared" ca="1" si="697"/>
        <v>41888</v>
      </c>
      <c r="IM6" s="610">
        <f t="shared" ca="1" si="697"/>
        <v>41889</v>
      </c>
      <c r="IN6" s="610">
        <f t="shared" ca="1" si="697"/>
        <v>41890</v>
      </c>
      <c r="IO6" s="610">
        <f t="shared" ca="1" si="697"/>
        <v>41891</v>
      </c>
      <c r="IP6" s="610">
        <f t="shared" ca="1" si="697"/>
        <v>41892</v>
      </c>
      <c r="IQ6" s="610">
        <f t="shared" ca="1" si="697"/>
        <v>41893</v>
      </c>
      <c r="IR6" s="610">
        <f t="shared" ca="1" si="697"/>
        <v>41894</v>
      </c>
      <c r="IS6" s="610">
        <f t="shared" ca="1" si="697"/>
        <v>41895</v>
      </c>
      <c r="IT6" s="610">
        <f t="shared" ca="1" si="697"/>
        <v>41896</v>
      </c>
      <c r="IU6" s="610">
        <f t="shared" ca="1" si="697"/>
        <v>41897</v>
      </c>
      <c r="IV6" s="610">
        <f t="shared" ca="1" si="697"/>
        <v>41898</v>
      </c>
      <c r="IW6" s="610">
        <f t="shared" ca="1" si="697"/>
        <v>41899</v>
      </c>
      <c r="IX6" s="610">
        <f t="shared" ca="1" si="697"/>
        <v>41900</v>
      </c>
      <c r="IY6" s="610">
        <f t="shared" ca="1" si="697"/>
        <v>41901</v>
      </c>
      <c r="IZ6" s="610">
        <f t="shared" ca="1" si="697"/>
        <v>41902</v>
      </c>
      <c r="JA6" s="610">
        <f t="shared" ca="1" si="697"/>
        <v>41903</v>
      </c>
      <c r="JB6" s="610">
        <f t="shared" ca="1" si="697"/>
        <v>41904</v>
      </c>
      <c r="JC6" s="610">
        <f t="shared" ca="1" si="697"/>
        <v>41905</v>
      </c>
      <c r="JD6" s="610">
        <f t="shared" ca="1" si="697"/>
        <v>41906</v>
      </c>
      <c r="JE6" s="610">
        <f t="shared" ca="1" si="697"/>
        <v>41907</v>
      </c>
      <c r="JF6" s="610">
        <f t="shared" ca="1" si="697"/>
        <v>41908</v>
      </c>
      <c r="JG6" s="610">
        <f t="shared" ca="1" si="697"/>
        <v>41909</v>
      </c>
      <c r="JH6" s="610">
        <f t="shared" ref="JH6:LS6" ca="1" si="698">JG$6+1</f>
        <v>41910</v>
      </c>
      <c r="JI6" s="610">
        <f t="shared" ca="1" si="698"/>
        <v>41911</v>
      </c>
      <c r="JJ6" s="610">
        <f t="shared" ca="1" si="698"/>
        <v>41912</v>
      </c>
      <c r="JK6" s="610">
        <f t="shared" ca="1" si="698"/>
        <v>41913</v>
      </c>
      <c r="JL6" s="610">
        <f t="shared" ca="1" si="698"/>
        <v>41914</v>
      </c>
      <c r="JM6" s="610">
        <f t="shared" ca="1" si="698"/>
        <v>41915</v>
      </c>
      <c r="JN6" s="610">
        <f t="shared" ca="1" si="698"/>
        <v>41916</v>
      </c>
      <c r="JO6" s="610">
        <f t="shared" ca="1" si="698"/>
        <v>41917</v>
      </c>
      <c r="JP6" s="610">
        <f t="shared" ca="1" si="698"/>
        <v>41918</v>
      </c>
      <c r="JQ6" s="610">
        <f t="shared" ca="1" si="698"/>
        <v>41919</v>
      </c>
      <c r="JR6" s="610">
        <f t="shared" ca="1" si="698"/>
        <v>41920</v>
      </c>
      <c r="JS6" s="610">
        <f t="shared" ca="1" si="698"/>
        <v>41921</v>
      </c>
      <c r="JT6" s="610">
        <f t="shared" ca="1" si="698"/>
        <v>41922</v>
      </c>
      <c r="JU6" s="610">
        <f t="shared" ca="1" si="698"/>
        <v>41923</v>
      </c>
      <c r="JV6" s="610">
        <f t="shared" ca="1" si="698"/>
        <v>41924</v>
      </c>
      <c r="JW6" s="610">
        <f t="shared" ca="1" si="698"/>
        <v>41925</v>
      </c>
      <c r="JX6" s="610">
        <f t="shared" ca="1" si="698"/>
        <v>41926</v>
      </c>
      <c r="JY6" s="610">
        <f t="shared" ca="1" si="698"/>
        <v>41927</v>
      </c>
      <c r="JZ6" s="610">
        <f t="shared" ca="1" si="698"/>
        <v>41928</v>
      </c>
      <c r="KA6" s="610">
        <f t="shared" ca="1" si="698"/>
        <v>41929</v>
      </c>
      <c r="KB6" s="610">
        <f t="shared" ca="1" si="698"/>
        <v>41930</v>
      </c>
      <c r="KC6" s="610">
        <f t="shared" ca="1" si="698"/>
        <v>41931</v>
      </c>
      <c r="KD6" s="610">
        <f t="shared" ca="1" si="698"/>
        <v>41932</v>
      </c>
      <c r="KE6" s="610">
        <f t="shared" ca="1" si="698"/>
        <v>41933</v>
      </c>
      <c r="KF6" s="610">
        <f t="shared" ca="1" si="698"/>
        <v>41934</v>
      </c>
      <c r="KG6" s="610">
        <f t="shared" ca="1" si="698"/>
        <v>41935</v>
      </c>
      <c r="KH6" s="610">
        <f t="shared" ca="1" si="698"/>
        <v>41936</v>
      </c>
      <c r="KI6" s="610">
        <f t="shared" ca="1" si="698"/>
        <v>41937</v>
      </c>
      <c r="KJ6" s="610">
        <f t="shared" ca="1" si="698"/>
        <v>41938</v>
      </c>
      <c r="KK6" s="610">
        <f t="shared" ca="1" si="698"/>
        <v>41939</v>
      </c>
      <c r="KL6" s="610">
        <f t="shared" ca="1" si="698"/>
        <v>41940</v>
      </c>
      <c r="KM6" s="610">
        <f t="shared" ca="1" si="698"/>
        <v>41941</v>
      </c>
      <c r="KN6" s="610">
        <f t="shared" ca="1" si="698"/>
        <v>41942</v>
      </c>
      <c r="KO6" s="610">
        <f t="shared" ca="1" si="698"/>
        <v>41943</v>
      </c>
      <c r="KP6" s="610">
        <f t="shared" ca="1" si="698"/>
        <v>41944</v>
      </c>
      <c r="KQ6" s="610">
        <f t="shared" ca="1" si="698"/>
        <v>41945</v>
      </c>
      <c r="KR6" s="610">
        <f t="shared" ca="1" si="698"/>
        <v>41946</v>
      </c>
      <c r="KS6" s="610">
        <f t="shared" ca="1" si="698"/>
        <v>41947</v>
      </c>
      <c r="KT6" s="610">
        <f t="shared" ca="1" si="698"/>
        <v>41948</v>
      </c>
      <c r="KU6" s="610">
        <f t="shared" ca="1" si="698"/>
        <v>41949</v>
      </c>
      <c r="KV6" s="610">
        <f t="shared" ca="1" si="698"/>
        <v>41950</v>
      </c>
      <c r="KW6" s="610">
        <f t="shared" ca="1" si="698"/>
        <v>41951</v>
      </c>
      <c r="KX6" s="610">
        <f t="shared" ca="1" si="698"/>
        <v>41952</v>
      </c>
      <c r="KY6" s="610">
        <f t="shared" ca="1" si="698"/>
        <v>41953</v>
      </c>
      <c r="KZ6" s="610">
        <f t="shared" ca="1" si="698"/>
        <v>41954</v>
      </c>
      <c r="LA6" s="610">
        <f t="shared" ca="1" si="698"/>
        <v>41955</v>
      </c>
      <c r="LB6" s="610">
        <f t="shared" ca="1" si="698"/>
        <v>41956</v>
      </c>
      <c r="LC6" s="610">
        <f t="shared" ca="1" si="698"/>
        <v>41957</v>
      </c>
      <c r="LD6" s="610">
        <f t="shared" ca="1" si="698"/>
        <v>41958</v>
      </c>
      <c r="LE6" s="610">
        <f t="shared" ca="1" si="698"/>
        <v>41959</v>
      </c>
      <c r="LF6" s="610">
        <f t="shared" ca="1" si="698"/>
        <v>41960</v>
      </c>
      <c r="LG6" s="610">
        <f t="shared" ca="1" si="698"/>
        <v>41961</v>
      </c>
      <c r="LH6" s="610">
        <f t="shared" ca="1" si="698"/>
        <v>41962</v>
      </c>
      <c r="LI6" s="610">
        <f t="shared" ca="1" si="698"/>
        <v>41963</v>
      </c>
      <c r="LJ6" s="610">
        <f t="shared" ca="1" si="698"/>
        <v>41964</v>
      </c>
      <c r="LK6" s="610">
        <f t="shared" ca="1" si="698"/>
        <v>41965</v>
      </c>
      <c r="LL6" s="610">
        <f t="shared" ca="1" si="698"/>
        <v>41966</v>
      </c>
      <c r="LM6" s="610">
        <f t="shared" ca="1" si="698"/>
        <v>41967</v>
      </c>
      <c r="LN6" s="610">
        <f t="shared" ca="1" si="698"/>
        <v>41968</v>
      </c>
      <c r="LO6" s="610">
        <f t="shared" ca="1" si="698"/>
        <v>41969</v>
      </c>
      <c r="LP6" s="610">
        <f t="shared" ca="1" si="698"/>
        <v>41970</v>
      </c>
      <c r="LQ6" s="610">
        <f t="shared" ca="1" si="698"/>
        <v>41971</v>
      </c>
      <c r="LR6" s="610">
        <f t="shared" ca="1" si="698"/>
        <v>41972</v>
      </c>
      <c r="LS6" s="610">
        <f t="shared" ca="1" si="698"/>
        <v>41973</v>
      </c>
      <c r="LT6" s="610">
        <f t="shared" ref="LT6:OE6" ca="1" si="699">LS$6+1</f>
        <v>41974</v>
      </c>
      <c r="LU6" s="610">
        <f t="shared" ca="1" si="699"/>
        <v>41975</v>
      </c>
      <c r="LV6" s="610">
        <f t="shared" ca="1" si="699"/>
        <v>41976</v>
      </c>
      <c r="LW6" s="610">
        <f t="shared" ca="1" si="699"/>
        <v>41977</v>
      </c>
      <c r="LX6" s="610">
        <f t="shared" ca="1" si="699"/>
        <v>41978</v>
      </c>
      <c r="LY6" s="610">
        <f t="shared" ca="1" si="699"/>
        <v>41979</v>
      </c>
      <c r="LZ6" s="610">
        <f t="shared" ca="1" si="699"/>
        <v>41980</v>
      </c>
      <c r="MA6" s="610">
        <f t="shared" ca="1" si="699"/>
        <v>41981</v>
      </c>
      <c r="MB6" s="610">
        <f t="shared" ca="1" si="699"/>
        <v>41982</v>
      </c>
      <c r="MC6" s="610">
        <f t="shared" ca="1" si="699"/>
        <v>41983</v>
      </c>
      <c r="MD6" s="610">
        <f t="shared" ca="1" si="699"/>
        <v>41984</v>
      </c>
      <c r="ME6" s="610">
        <f t="shared" ca="1" si="699"/>
        <v>41985</v>
      </c>
      <c r="MF6" s="610">
        <f t="shared" ca="1" si="699"/>
        <v>41986</v>
      </c>
      <c r="MG6" s="610">
        <f t="shared" ca="1" si="699"/>
        <v>41987</v>
      </c>
      <c r="MH6" s="610">
        <f t="shared" ca="1" si="699"/>
        <v>41988</v>
      </c>
      <c r="MI6" s="610">
        <f t="shared" ca="1" si="699"/>
        <v>41989</v>
      </c>
      <c r="MJ6" s="610">
        <f t="shared" ca="1" si="699"/>
        <v>41990</v>
      </c>
      <c r="MK6" s="610">
        <f t="shared" ca="1" si="699"/>
        <v>41991</v>
      </c>
      <c r="ML6" s="610">
        <f t="shared" ca="1" si="699"/>
        <v>41992</v>
      </c>
      <c r="MM6" s="610">
        <f t="shared" ca="1" si="699"/>
        <v>41993</v>
      </c>
      <c r="MN6" s="610">
        <f t="shared" ca="1" si="699"/>
        <v>41994</v>
      </c>
      <c r="MO6" s="610">
        <f t="shared" ca="1" si="699"/>
        <v>41995</v>
      </c>
      <c r="MP6" s="610">
        <f t="shared" ca="1" si="699"/>
        <v>41996</v>
      </c>
      <c r="MQ6" s="610">
        <f t="shared" ca="1" si="699"/>
        <v>41997</v>
      </c>
      <c r="MR6" s="610">
        <f t="shared" ca="1" si="699"/>
        <v>41998</v>
      </c>
      <c r="MS6" s="610">
        <f t="shared" ca="1" si="699"/>
        <v>41999</v>
      </c>
      <c r="MT6" s="610">
        <f t="shared" ca="1" si="699"/>
        <v>42000</v>
      </c>
      <c r="MU6" s="610">
        <f t="shared" ca="1" si="699"/>
        <v>42001</v>
      </c>
      <c r="MV6" s="610">
        <f t="shared" ca="1" si="699"/>
        <v>42002</v>
      </c>
      <c r="MW6" s="610">
        <f t="shared" ca="1" si="699"/>
        <v>42003</v>
      </c>
      <c r="MX6" s="610">
        <f t="shared" ca="1" si="699"/>
        <v>42004</v>
      </c>
      <c r="MY6" s="610">
        <f t="shared" ca="1" si="699"/>
        <v>42005</v>
      </c>
      <c r="MZ6" s="610">
        <f t="shared" ca="1" si="699"/>
        <v>42006</v>
      </c>
      <c r="NA6" s="610">
        <f t="shared" ca="1" si="699"/>
        <v>42007</v>
      </c>
      <c r="NB6" s="610">
        <f t="shared" ca="1" si="699"/>
        <v>42008</v>
      </c>
      <c r="NC6" s="610">
        <f t="shared" ca="1" si="699"/>
        <v>42009</v>
      </c>
      <c r="ND6" s="610">
        <f t="shared" ca="1" si="699"/>
        <v>42010</v>
      </c>
      <c r="NE6" s="610">
        <f t="shared" ca="1" si="699"/>
        <v>42011</v>
      </c>
      <c r="NF6" s="610">
        <f t="shared" ca="1" si="699"/>
        <v>42012</v>
      </c>
      <c r="NG6" s="610">
        <f t="shared" ca="1" si="699"/>
        <v>42013</v>
      </c>
      <c r="NH6" s="610">
        <f t="shared" ca="1" si="699"/>
        <v>42014</v>
      </c>
      <c r="NI6" s="610">
        <f t="shared" ca="1" si="699"/>
        <v>42015</v>
      </c>
      <c r="NJ6" s="610">
        <f t="shared" ca="1" si="699"/>
        <v>42016</v>
      </c>
      <c r="NK6" s="610">
        <f t="shared" ca="1" si="699"/>
        <v>42017</v>
      </c>
      <c r="NL6" s="610">
        <f t="shared" ca="1" si="699"/>
        <v>42018</v>
      </c>
      <c r="NM6" s="610">
        <f t="shared" ca="1" si="699"/>
        <v>42019</v>
      </c>
      <c r="NN6" s="610">
        <f t="shared" ca="1" si="699"/>
        <v>42020</v>
      </c>
      <c r="NO6" s="610">
        <f t="shared" ca="1" si="699"/>
        <v>42021</v>
      </c>
      <c r="NP6" s="610">
        <f t="shared" ca="1" si="699"/>
        <v>42022</v>
      </c>
      <c r="NQ6" s="610">
        <f t="shared" ca="1" si="699"/>
        <v>42023</v>
      </c>
      <c r="NR6" s="610">
        <f t="shared" ca="1" si="699"/>
        <v>42024</v>
      </c>
      <c r="NS6" s="610">
        <f t="shared" ca="1" si="699"/>
        <v>42025</v>
      </c>
      <c r="NT6" s="610">
        <f t="shared" ca="1" si="699"/>
        <v>42026</v>
      </c>
      <c r="NU6" s="610">
        <f t="shared" ca="1" si="699"/>
        <v>42027</v>
      </c>
      <c r="NV6" s="610">
        <f t="shared" ca="1" si="699"/>
        <v>42028</v>
      </c>
      <c r="NW6" s="610">
        <f t="shared" ca="1" si="699"/>
        <v>42029</v>
      </c>
      <c r="NX6" s="610">
        <f t="shared" ca="1" si="699"/>
        <v>42030</v>
      </c>
      <c r="NY6" s="610">
        <f t="shared" ca="1" si="699"/>
        <v>42031</v>
      </c>
      <c r="NZ6" s="610">
        <f t="shared" ca="1" si="699"/>
        <v>42032</v>
      </c>
      <c r="OA6" s="610">
        <f t="shared" ca="1" si="699"/>
        <v>42033</v>
      </c>
      <c r="OB6" s="610">
        <f t="shared" ca="1" si="699"/>
        <v>42034</v>
      </c>
      <c r="OC6" s="610">
        <f t="shared" ca="1" si="699"/>
        <v>42035</v>
      </c>
      <c r="OD6" s="610">
        <f t="shared" ca="1" si="699"/>
        <v>42036</v>
      </c>
      <c r="OE6" s="610">
        <f t="shared" ca="1" si="699"/>
        <v>42037</v>
      </c>
      <c r="OF6" s="610">
        <f t="shared" ref="OF6:QQ6" ca="1" si="700">OE$6+1</f>
        <v>42038</v>
      </c>
      <c r="OG6" s="610">
        <f t="shared" ca="1" si="700"/>
        <v>42039</v>
      </c>
      <c r="OH6" s="610">
        <f t="shared" ca="1" si="700"/>
        <v>42040</v>
      </c>
      <c r="OI6" s="610">
        <f t="shared" ca="1" si="700"/>
        <v>42041</v>
      </c>
      <c r="OJ6" s="610">
        <f t="shared" ca="1" si="700"/>
        <v>42042</v>
      </c>
      <c r="OK6" s="610">
        <f t="shared" ca="1" si="700"/>
        <v>42043</v>
      </c>
      <c r="OL6" s="610">
        <f t="shared" ca="1" si="700"/>
        <v>42044</v>
      </c>
      <c r="OM6" s="610">
        <f t="shared" ca="1" si="700"/>
        <v>42045</v>
      </c>
      <c r="ON6" s="610">
        <f t="shared" ca="1" si="700"/>
        <v>42046</v>
      </c>
      <c r="OO6" s="610">
        <f t="shared" ca="1" si="700"/>
        <v>42047</v>
      </c>
      <c r="OP6" s="610">
        <f t="shared" ca="1" si="700"/>
        <v>42048</v>
      </c>
      <c r="OQ6" s="610">
        <f t="shared" ca="1" si="700"/>
        <v>42049</v>
      </c>
      <c r="OR6" s="610">
        <f t="shared" ca="1" si="700"/>
        <v>42050</v>
      </c>
      <c r="OS6" s="610">
        <f t="shared" ca="1" si="700"/>
        <v>42051</v>
      </c>
      <c r="OT6" s="610">
        <f t="shared" ca="1" si="700"/>
        <v>42052</v>
      </c>
      <c r="OU6" s="610">
        <f t="shared" ca="1" si="700"/>
        <v>42053</v>
      </c>
      <c r="OV6" s="610">
        <f t="shared" ca="1" si="700"/>
        <v>42054</v>
      </c>
      <c r="OW6" s="610">
        <f t="shared" ca="1" si="700"/>
        <v>42055</v>
      </c>
      <c r="OX6" s="610">
        <f t="shared" ca="1" si="700"/>
        <v>42056</v>
      </c>
      <c r="OY6" s="610">
        <f t="shared" ca="1" si="700"/>
        <v>42057</v>
      </c>
      <c r="OZ6" s="610">
        <f t="shared" ca="1" si="700"/>
        <v>42058</v>
      </c>
      <c r="PA6" s="610">
        <f t="shared" ca="1" si="700"/>
        <v>42059</v>
      </c>
      <c r="PB6" s="610">
        <f t="shared" ca="1" si="700"/>
        <v>42060</v>
      </c>
      <c r="PC6" s="610">
        <f t="shared" ca="1" si="700"/>
        <v>42061</v>
      </c>
      <c r="PD6" s="610">
        <f t="shared" ca="1" si="700"/>
        <v>42062</v>
      </c>
      <c r="PE6" s="610">
        <f t="shared" ca="1" si="700"/>
        <v>42063</v>
      </c>
      <c r="PF6" s="610">
        <f t="shared" ca="1" si="700"/>
        <v>42064</v>
      </c>
      <c r="PG6" s="610">
        <f t="shared" ca="1" si="700"/>
        <v>42065</v>
      </c>
      <c r="PH6" s="610">
        <f t="shared" ca="1" si="700"/>
        <v>42066</v>
      </c>
      <c r="PI6" s="610">
        <f t="shared" ca="1" si="700"/>
        <v>42067</v>
      </c>
      <c r="PJ6" s="610">
        <f t="shared" ca="1" si="700"/>
        <v>42068</v>
      </c>
      <c r="PK6" s="610">
        <f t="shared" ca="1" si="700"/>
        <v>42069</v>
      </c>
      <c r="PL6" s="610">
        <f t="shared" ca="1" si="700"/>
        <v>42070</v>
      </c>
      <c r="PM6" s="610">
        <f t="shared" ca="1" si="700"/>
        <v>42071</v>
      </c>
      <c r="PN6" s="610">
        <f t="shared" ca="1" si="700"/>
        <v>42072</v>
      </c>
      <c r="PO6" s="610">
        <f t="shared" ca="1" si="700"/>
        <v>42073</v>
      </c>
      <c r="PP6" s="610">
        <f t="shared" ca="1" si="700"/>
        <v>42074</v>
      </c>
      <c r="PQ6" s="610">
        <f t="shared" ca="1" si="700"/>
        <v>42075</v>
      </c>
      <c r="PR6" s="610">
        <f t="shared" ca="1" si="700"/>
        <v>42076</v>
      </c>
      <c r="PS6" s="610">
        <f t="shared" ca="1" si="700"/>
        <v>42077</v>
      </c>
      <c r="PT6" s="610">
        <f t="shared" ca="1" si="700"/>
        <v>42078</v>
      </c>
      <c r="PU6" s="610">
        <f t="shared" ca="1" si="700"/>
        <v>42079</v>
      </c>
      <c r="PV6" s="610">
        <f t="shared" ca="1" si="700"/>
        <v>42080</v>
      </c>
      <c r="PW6" s="610">
        <f t="shared" ca="1" si="700"/>
        <v>42081</v>
      </c>
      <c r="PX6" s="610">
        <f t="shared" ca="1" si="700"/>
        <v>42082</v>
      </c>
      <c r="PY6" s="610">
        <f t="shared" ca="1" si="700"/>
        <v>42083</v>
      </c>
      <c r="PZ6" s="610">
        <f t="shared" ca="1" si="700"/>
        <v>42084</v>
      </c>
      <c r="QA6" s="610">
        <f t="shared" ca="1" si="700"/>
        <v>42085</v>
      </c>
      <c r="QB6" s="610">
        <f t="shared" ca="1" si="700"/>
        <v>42086</v>
      </c>
      <c r="QC6" s="610">
        <f t="shared" ca="1" si="700"/>
        <v>42087</v>
      </c>
      <c r="QD6" s="610">
        <f t="shared" ca="1" si="700"/>
        <v>42088</v>
      </c>
      <c r="QE6" s="610">
        <f t="shared" ca="1" si="700"/>
        <v>42089</v>
      </c>
      <c r="QF6" s="610">
        <f t="shared" ca="1" si="700"/>
        <v>42090</v>
      </c>
      <c r="QG6" s="610">
        <f t="shared" ca="1" si="700"/>
        <v>42091</v>
      </c>
      <c r="QH6" s="610">
        <f t="shared" ca="1" si="700"/>
        <v>42092</v>
      </c>
      <c r="QI6" s="610">
        <f t="shared" ca="1" si="700"/>
        <v>42093</v>
      </c>
      <c r="QJ6" s="610">
        <f t="shared" ca="1" si="700"/>
        <v>42094</v>
      </c>
      <c r="QK6" s="610">
        <f t="shared" ca="1" si="700"/>
        <v>42095</v>
      </c>
      <c r="QL6" s="610">
        <f t="shared" ca="1" si="700"/>
        <v>42096</v>
      </c>
      <c r="QM6" s="610">
        <f t="shared" ca="1" si="700"/>
        <v>42097</v>
      </c>
      <c r="QN6" s="610">
        <f t="shared" ca="1" si="700"/>
        <v>42098</v>
      </c>
      <c r="QO6" s="610">
        <f t="shared" ca="1" si="700"/>
        <v>42099</v>
      </c>
      <c r="QP6" s="610">
        <f t="shared" ca="1" si="700"/>
        <v>42100</v>
      </c>
      <c r="QQ6" s="610">
        <f t="shared" ca="1" si="700"/>
        <v>42101</v>
      </c>
      <c r="QR6" s="610">
        <f t="shared" ref="QR6:TC6" ca="1" si="701">QQ$6+1</f>
        <v>42102</v>
      </c>
      <c r="QS6" s="610">
        <f t="shared" ca="1" si="701"/>
        <v>42103</v>
      </c>
      <c r="QT6" s="610">
        <f t="shared" ca="1" si="701"/>
        <v>42104</v>
      </c>
      <c r="QU6" s="610">
        <f t="shared" ca="1" si="701"/>
        <v>42105</v>
      </c>
      <c r="QV6" s="610">
        <f t="shared" ca="1" si="701"/>
        <v>42106</v>
      </c>
      <c r="QW6" s="610">
        <f t="shared" ca="1" si="701"/>
        <v>42107</v>
      </c>
      <c r="QX6" s="610">
        <f t="shared" ca="1" si="701"/>
        <v>42108</v>
      </c>
      <c r="QY6" s="610">
        <f t="shared" ca="1" si="701"/>
        <v>42109</v>
      </c>
      <c r="QZ6" s="610">
        <f t="shared" ca="1" si="701"/>
        <v>42110</v>
      </c>
      <c r="RA6" s="610">
        <f t="shared" ca="1" si="701"/>
        <v>42111</v>
      </c>
      <c r="RB6" s="610">
        <f t="shared" ca="1" si="701"/>
        <v>42112</v>
      </c>
      <c r="RC6" s="610">
        <f t="shared" ca="1" si="701"/>
        <v>42113</v>
      </c>
      <c r="RD6" s="610">
        <f t="shared" ca="1" si="701"/>
        <v>42114</v>
      </c>
      <c r="RE6" s="610">
        <f t="shared" ca="1" si="701"/>
        <v>42115</v>
      </c>
      <c r="RF6" s="610">
        <f t="shared" ca="1" si="701"/>
        <v>42116</v>
      </c>
      <c r="RG6" s="610">
        <f t="shared" ca="1" si="701"/>
        <v>42117</v>
      </c>
      <c r="RH6" s="610">
        <f t="shared" ca="1" si="701"/>
        <v>42118</v>
      </c>
      <c r="RI6" s="610">
        <f t="shared" ca="1" si="701"/>
        <v>42119</v>
      </c>
      <c r="RJ6" s="610">
        <f t="shared" ca="1" si="701"/>
        <v>42120</v>
      </c>
      <c r="RK6" s="610">
        <f t="shared" ca="1" si="701"/>
        <v>42121</v>
      </c>
      <c r="RL6" s="610">
        <f t="shared" ca="1" si="701"/>
        <v>42122</v>
      </c>
      <c r="RM6" s="610">
        <f t="shared" ca="1" si="701"/>
        <v>42123</v>
      </c>
      <c r="RN6" s="610">
        <f t="shared" ca="1" si="701"/>
        <v>42124</v>
      </c>
      <c r="RO6" s="610">
        <f t="shared" ca="1" si="701"/>
        <v>42125</v>
      </c>
      <c r="RP6" s="610">
        <f t="shared" ca="1" si="701"/>
        <v>42126</v>
      </c>
      <c r="RQ6" s="610">
        <f t="shared" ca="1" si="701"/>
        <v>42127</v>
      </c>
      <c r="RR6" s="610">
        <f t="shared" ca="1" si="701"/>
        <v>42128</v>
      </c>
      <c r="RS6" s="610">
        <f t="shared" ca="1" si="701"/>
        <v>42129</v>
      </c>
      <c r="RT6" s="610">
        <f t="shared" ca="1" si="701"/>
        <v>42130</v>
      </c>
      <c r="RU6" s="610">
        <f t="shared" ca="1" si="701"/>
        <v>42131</v>
      </c>
      <c r="RV6" s="610">
        <f t="shared" ca="1" si="701"/>
        <v>42132</v>
      </c>
      <c r="RW6" s="610">
        <f t="shared" ca="1" si="701"/>
        <v>42133</v>
      </c>
      <c r="RX6" s="610">
        <f t="shared" ca="1" si="701"/>
        <v>42134</v>
      </c>
      <c r="RY6" s="610">
        <f t="shared" ca="1" si="701"/>
        <v>42135</v>
      </c>
      <c r="RZ6" s="610">
        <f t="shared" ca="1" si="701"/>
        <v>42136</v>
      </c>
      <c r="SA6" s="610">
        <f t="shared" ca="1" si="701"/>
        <v>42137</v>
      </c>
      <c r="SB6" s="610">
        <f t="shared" ca="1" si="701"/>
        <v>42138</v>
      </c>
      <c r="SC6" s="610">
        <f t="shared" ca="1" si="701"/>
        <v>42139</v>
      </c>
      <c r="SD6" s="610">
        <f t="shared" ca="1" si="701"/>
        <v>42140</v>
      </c>
      <c r="SE6" s="610">
        <f t="shared" ca="1" si="701"/>
        <v>42141</v>
      </c>
      <c r="SF6" s="610">
        <f t="shared" ca="1" si="701"/>
        <v>42142</v>
      </c>
      <c r="SG6" s="610">
        <f t="shared" ca="1" si="701"/>
        <v>42143</v>
      </c>
      <c r="SH6" s="610">
        <f t="shared" ca="1" si="701"/>
        <v>42144</v>
      </c>
      <c r="SI6" s="610">
        <f t="shared" ca="1" si="701"/>
        <v>42145</v>
      </c>
      <c r="SJ6" s="610">
        <f t="shared" ca="1" si="701"/>
        <v>42146</v>
      </c>
      <c r="SK6" s="610">
        <f t="shared" ca="1" si="701"/>
        <v>42147</v>
      </c>
      <c r="SL6" s="610">
        <f t="shared" ca="1" si="701"/>
        <v>42148</v>
      </c>
      <c r="SM6" s="610">
        <f t="shared" ca="1" si="701"/>
        <v>42149</v>
      </c>
      <c r="SN6" s="610">
        <f t="shared" ca="1" si="701"/>
        <v>42150</v>
      </c>
      <c r="SO6" s="610">
        <f t="shared" ca="1" si="701"/>
        <v>42151</v>
      </c>
      <c r="SP6" s="610">
        <f t="shared" ca="1" si="701"/>
        <v>42152</v>
      </c>
      <c r="SQ6" s="610">
        <f t="shared" ca="1" si="701"/>
        <v>42153</v>
      </c>
      <c r="SR6" s="610">
        <f t="shared" ca="1" si="701"/>
        <v>42154</v>
      </c>
      <c r="SS6" s="610">
        <f t="shared" ca="1" si="701"/>
        <v>42155</v>
      </c>
      <c r="ST6" s="610">
        <f t="shared" ca="1" si="701"/>
        <v>42156</v>
      </c>
      <c r="SU6" s="610">
        <f t="shared" ca="1" si="701"/>
        <v>42157</v>
      </c>
      <c r="SV6" s="610">
        <f t="shared" ca="1" si="701"/>
        <v>42158</v>
      </c>
      <c r="SW6" s="610">
        <f t="shared" ca="1" si="701"/>
        <v>42159</v>
      </c>
      <c r="SX6" s="610">
        <f t="shared" ca="1" si="701"/>
        <v>42160</v>
      </c>
      <c r="SY6" s="610">
        <f t="shared" ca="1" si="701"/>
        <v>42161</v>
      </c>
      <c r="SZ6" s="610">
        <f t="shared" ca="1" si="701"/>
        <v>42162</v>
      </c>
      <c r="TA6" s="610">
        <f t="shared" ca="1" si="701"/>
        <v>42163</v>
      </c>
      <c r="TB6" s="610">
        <f t="shared" ca="1" si="701"/>
        <v>42164</v>
      </c>
      <c r="TC6" s="610">
        <f t="shared" ca="1" si="701"/>
        <v>42165</v>
      </c>
      <c r="TD6" s="610">
        <f t="shared" ref="TD6:VO6" ca="1" si="702">TC$6+1</f>
        <v>42166</v>
      </c>
      <c r="TE6" s="610">
        <f t="shared" ca="1" si="702"/>
        <v>42167</v>
      </c>
      <c r="TF6" s="610">
        <f t="shared" ca="1" si="702"/>
        <v>42168</v>
      </c>
      <c r="TG6" s="610">
        <f t="shared" ca="1" si="702"/>
        <v>42169</v>
      </c>
      <c r="TH6" s="610">
        <f t="shared" ca="1" si="702"/>
        <v>42170</v>
      </c>
      <c r="TI6" s="610">
        <f t="shared" ca="1" si="702"/>
        <v>42171</v>
      </c>
      <c r="TJ6" s="610">
        <f t="shared" ca="1" si="702"/>
        <v>42172</v>
      </c>
      <c r="TK6" s="610">
        <f t="shared" ca="1" si="702"/>
        <v>42173</v>
      </c>
      <c r="TL6" s="610">
        <f t="shared" ca="1" si="702"/>
        <v>42174</v>
      </c>
      <c r="TM6" s="610">
        <f t="shared" ca="1" si="702"/>
        <v>42175</v>
      </c>
      <c r="TN6" s="610">
        <f t="shared" ca="1" si="702"/>
        <v>42176</v>
      </c>
      <c r="TO6" s="610">
        <f t="shared" ca="1" si="702"/>
        <v>42177</v>
      </c>
      <c r="TP6" s="610">
        <f t="shared" ca="1" si="702"/>
        <v>42178</v>
      </c>
      <c r="TQ6" s="610">
        <f t="shared" ca="1" si="702"/>
        <v>42179</v>
      </c>
      <c r="TR6" s="610">
        <f t="shared" ca="1" si="702"/>
        <v>42180</v>
      </c>
      <c r="TS6" s="610">
        <f t="shared" ca="1" si="702"/>
        <v>42181</v>
      </c>
      <c r="TT6" s="610">
        <f t="shared" ca="1" si="702"/>
        <v>42182</v>
      </c>
      <c r="TU6" s="610">
        <f t="shared" ca="1" si="702"/>
        <v>42183</v>
      </c>
      <c r="TV6" s="610">
        <f t="shared" ca="1" si="702"/>
        <v>42184</v>
      </c>
      <c r="TW6" s="610">
        <f t="shared" ca="1" si="702"/>
        <v>42185</v>
      </c>
      <c r="TX6" s="610">
        <f t="shared" ca="1" si="702"/>
        <v>42186</v>
      </c>
      <c r="TY6" s="610">
        <f t="shared" ca="1" si="702"/>
        <v>42187</v>
      </c>
      <c r="TZ6" s="610">
        <f t="shared" ca="1" si="702"/>
        <v>42188</v>
      </c>
      <c r="UA6" s="610">
        <f t="shared" ca="1" si="702"/>
        <v>42189</v>
      </c>
      <c r="UB6" s="610">
        <f t="shared" ca="1" si="702"/>
        <v>42190</v>
      </c>
      <c r="UC6" s="610">
        <f t="shared" ca="1" si="702"/>
        <v>42191</v>
      </c>
      <c r="UD6" s="610">
        <f t="shared" ca="1" si="702"/>
        <v>42192</v>
      </c>
      <c r="UE6" s="610">
        <f t="shared" ca="1" si="702"/>
        <v>42193</v>
      </c>
      <c r="UF6" s="610">
        <f t="shared" ca="1" si="702"/>
        <v>42194</v>
      </c>
      <c r="UG6" s="610">
        <f t="shared" ca="1" si="702"/>
        <v>42195</v>
      </c>
      <c r="UH6" s="610">
        <f t="shared" ca="1" si="702"/>
        <v>42196</v>
      </c>
      <c r="UI6" s="610">
        <f t="shared" ca="1" si="702"/>
        <v>42197</v>
      </c>
      <c r="UJ6" s="610">
        <f t="shared" ca="1" si="702"/>
        <v>42198</v>
      </c>
      <c r="UK6" s="610">
        <f t="shared" ca="1" si="702"/>
        <v>42199</v>
      </c>
      <c r="UL6" s="610">
        <f t="shared" ca="1" si="702"/>
        <v>42200</v>
      </c>
      <c r="UM6" s="610">
        <f t="shared" ca="1" si="702"/>
        <v>42201</v>
      </c>
      <c r="UN6" s="610">
        <f t="shared" ca="1" si="702"/>
        <v>42202</v>
      </c>
      <c r="UO6" s="610">
        <f t="shared" ca="1" si="702"/>
        <v>42203</v>
      </c>
      <c r="UP6" s="610">
        <f t="shared" ca="1" si="702"/>
        <v>42204</v>
      </c>
      <c r="UQ6" s="610">
        <f t="shared" ca="1" si="702"/>
        <v>42205</v>
      </c>
      <c r="UR6" s="610">
        <f t="shared" ca="1" si="702"/>
        <v>42206</v>
      </c>
      <c r="US6" s="610">
        <f t="shared" ca="1" si="702"/>
        <v>42207</v>
      </c>
      <c r="UT6" s="610">
        <f t="shared" ca="1" si="702"/>
        <v>42208</v>
      </c>
      <c r="UU6" s="610">
        <f t="shared" ca="1" si="702"/>
        <v>42209</v>
      </c>
      <c r="UV6" s="610">
        <f t="shared" ca="1" si="702"/>
        <v>42210</v>
      </c>
      <c r="UW6" s="610">
        <f t="shared" ca="1" si="702"/>
        <v>42211</v>
      </c>
      <c r="UX6" s="610">
        <f t="shared" ca="1" si="702"/>
        <v>42212</v>
      </c>
      <c r="UY6" s="610">
        <f t="shared" ca="1" si="702"/>
        <v>42213</v>
      </c>
      <c r="UZ6" s="610">
        <f t="shared" ca="1" si="702"/>
        <v>42214</v>
      </c>
      <c r="VA6" s="610">
        <f t="shared" ca="1" si="702"/>
        <v>42215</v>
      </c>
      <c r="VB6" s="610">
        <f t="shared" ca="1" si="702"/>
        <v>42216</v>
      </c>
      <c r="VC6" s="610">
        <f t="shared" ca="1" si="702"/>
        <v>42217</v>
      </c>
      <c r="VD6" s="610">
        <f t="shared" ca="1" si="702"/>
        <v>42218</v>
      </c>
      <c r="VE6" s="610">
        <f t="shared" ca="1" si="702"/>
        <v>42219</v>
      </c>
      <c r="VF6" s="610">
        <f t="shared" ca="1" si="702"/>
        <v>42220</v>
      </c>
      <c r="VG6" s="610">
        <f t="shared" ca="1" si="702"/>
        <v>42221</v>
      </c>
      <c r="VH6" s="610">
        <f t="shared" ca="1" si="702"/>
        <v>42222</v>
      </c>
      <c r="VI6" s="610">
        <f t="shared" ca="1" si="702"/>
        <v>42223</v>
      </c>
      <c r="VJ6" s="610">
        <f t="shared" ca="1" si="702"/>
        <v>42224</v>
      </c>
      <c r="VK6" s="610">
        <f t="shared" ca="1" si="702"/>
        <v>42225</v>
      </c>
      <c r="VL6" s="610">
        <f t="shared" ca="1" si="702"/>
        <v>42226</v>
      </c>
      <c r="VM6" s="610">
        <f t="shared" ca="1" si="702"/>
        <v>42227</v>
      </c>
      <c r="VN6" s="610">
        <f t="shared" ca="1" si="702"/>
        <v>42228</v>
      </c>
      <c r="VO6" s="610">
        <f t="shared" ca="1" si="702"/>
        <v>42229</v>
      </c>
      <c r="VP6" s="610">
        <f t="shared" ref="VP6:YA6" ca="1" si="703">VO$6+1</f>
        <v>42230</v>
      </c>
      <c r="VQ6" s="610">
        <f t="shared" ca="1" si="703"/>
        <v>42231</v>
      </c>
      <c r="VR6" s="610">
        <f t="shared" ca="1" si="703"/>
        <v>42232</v>
      </c>
      <c r="VS6" s="610">
        <f t="shared" ca="1" si="703"/>
        <v>42233</v>
      </c>
      <c r="VT6" s="610">
        <f t="shared" ca="1" si="703"/>
        <v>42234</v>
      </c>
      <c r="VU6" s="610">
        <f t="shared" ca="1" si="703"/>
        <v>42235</v>
      </c>
      <c r="VV6" s="610">
        <f t="shared" ca="1" si="703"/>
        <v>42236</v>
      </c>
      <c r="VW6" s="610">
        <f t="shared" ca="1" si="703"/>
        <v>42237</v>
      </c>
      <c r="VX6" s="610">
        <f t="shared" ca="1" si="703"/>
        <v>42238</v>
      </c>
      <c r="VY6" s="610">
        <f t="shared" ca="1" si="703"/>
        <v>42239</v>
      </c>
      <c r="VZ6" s="610">
        <f t="shared" ca="1" si="703"/>
        <v>42240</v>
      </c>
      <c r="WA6" s="610">
        <f t="shared" ca="1" si="703"/>
        <v>42241</v>
      </c>
      <c r="WB6" s="610">
        <f t="shared" ca="1" si="703"/>
        <v>42242</v>
      </c>
      <c r="WC6" s="610">
        <f t="shared" ca="1" si="703"/>
        <v>42243</v>
      </c>
      <c r="WD6" s="610">
        <f t="shared" ca="1" si="703"/>
        <v>42244</v>
      </c>
      <c r="WE6" s="610">
        <f t="shared" ca="1" si="703"/>
        <v>42245</v>
      </c>
      <c r="WF6" s="610">
        <f t="shared" ca="1" si="703"/>
        <v>42246</v>
      </c>
      <c r="WG6" s="610">
        <f t="shared" ca="1" si="703"/>
        <v>42247</v>
      </c>
      <c r="WH6" s="610">
        <f t="shared" ca="1" si="703"/>
        <v>42248</v>
      </c>
      <c r="WI6" s="610">
        <f t="shared" ca="1" si="703"/>
        <v>42249</v>
      </c>
      <c r="WJ6" s="610">
        <f t="shared" ca="1" si="703"/>
        <v>42250</v>
      </c>
      <c r="WK6" s="610">
        <f t="shared" ca="1" si="703"/>
        <v>42251</v>
      </c>
      <c r="WL6" s="610">
        <f t="shared" ca="1" si="703"/>
        <v>42252</v>
      </c>
      <c r="WM6" s="610">
        <f t="shared" ca="1" si="703"/>
        <v>42253</v>
      </c>
      <c r="WN6" s="610">
        <f t="shared" ca="1" si="703"/>
        <v>42254</v>
      </c>
      <c r="WO6" s="610">
        <f t="shared" ca="1" si="703"/>
        <v>42255</v>
      </c>
      <c r="WP6" s="610">
        <f t="shared" ca="1" si="703"/>
        <v>42256</v>
      </c>
      <c r="WQ6" s="610">
        <f t="shared" ca="1" si="703"/>
        <v>42257</v>
      </c>
      <c r="WR6" s="610">
        <f t="shared" ca="1" si="703"/>
        <v>42258</v>
      </c>
      <c r="WS6" s="610">
        <f t="shared" ca="1" si="703"/>
        <v>42259</v>
      </c>
      <c r="WT6" s="610">
        <f t="shared" ca="1" si="703"/>
        <v>42260</v>
      </c>
      <c r="WU6" s="610">
        <f t="shared" ca="1" si="703"/>
        <v>42261</v>
      </c>
      <c r="WV6" s="610">
        <f t="shared" ca="1" si="703"/>
        <v>42262</v>
      </c>
      <c r="WW6" s="610">
        <f t="shared" ca="1" si="703"/>
        <v>42263</v>
      </c>
      <c r="WX6" s="610">
        <f t="shared" ca="1" si="703"/>
        <v>42264</v>
      </c>
      <c r="WY6" s="610">
        <f t="shared" ca="1" si="703"/>
        <v>42265</v>
      </c>
      <c r="WZ6" s="610">
        <f t="shared" ca="1" si="703"/>
        <v>42266</v>
      </c>
      <c r="XA6" s="610">
        <f t="shared" ca="1" si="703"/>
        <v>42267</v>
      </c>
      <c r="XB6" s="610">
        <f t="shared" ca="1" si="703"/>
        <v>42268</v>
      </c>
      <c r="XC6" s="610">
        <f t="shared" ca="1" si="703"/>
        <v>42269</v>
      </c>
      <c r="XD6" s="610">
        <f t="shared" ca="1" si="703"/>
        <v>42270</v>
      </c>
      <c r="XE6" s="610">
        <f t="shared" ca="1" si="703"/>
        <v>42271</v>
      </c>
      <c r="XF6" s="610">
        <f t="shared" ca="1" si="703"/>
        <v>42272</v>
      </c>
      <c r="XG6" s="610">
        <f t="shared" ca="1" si="703"/>
        <v>42273</v>
      </c>
      <c r="XH6" s="610">
        <f t="shared" ca="1" si="703"/>
        <v>42274</v>
      </c>
      <c r="XI6" s="610">
        <f t="shared" ca="1" si="703"/>
        <v>42275</v>
      </c>
      <c r="XJ6" s="610">
        <f t="shared" ca="1" si="703"/>
        <v>42276</v>
      </c>
      <c r="XK6" s="610">
        <f t="shared" ca="1" si="703"/>
        <v>42277</v>
      </c>
      <c r="XL6" s="610">
        <f t="shared" ca="1" si="703"/>
        <v>42278</v>
      </c>
      <c r="XM6" s="610">
        <f t="shared" ca="1" si="703"/>
        <v>42279</v>
      </c>
      <c r="XN6" s="610">
        <f t="shared" ca="1" si="703"/>
        <v>42280</v>
      </c>
      <c r="XO6" s="610">
        <f t="shared" ca="1" si="703"/>
        <v>42281</v>
      </c>
      <c r="XP6" s="610">
        <f t="shared" ca="1" si="703"/>
        <v>42282</v>
      </c>
      <c r="XQ6" s="610">
        <f t="shared" ca="1" si="703"/>
        <v>42283</v>
      </c>
      <c r="XR6" s="610">
        <f t="shared" ca="1" si="703"/>
        <v>42284</v>
      </c>
      <c r="XS6" s="610">
        <f t="shared" ca="1" si="703"/>
        <v>42285</v>
      </c>
      <c r="XT6" s="610">
        <f t="shared" ca="1" si="703"/>
        <v>42286</v>
      </c>
      <c r="XU6" s="610">
        <f t="shared" ca="1" si="703"/>
        <v>42287</v>
      </c>
      <c r="XV6" s="610">
        <f t="shared" ca="1" si="703"/>
        <v>42288</v>
      </c>
      <c r="XW6" s="610">
        <f t="shared" ca="1" si="703"/>
        <v>42289</v>
      </c>
      <c r="XX6" s="610">
        <f t="shared" ca="1" si="703"/>
        <v>42290</v>
      </c>
      <c r="XY6" s="610">
        <f t="shared" ca="1" si="703"/>
        <v>42291</v>
      </c>
      <c r="XZ6" s="610">
        <f t="shared" ca="1" si="703"/>
        <v>42292</v>
      </c>
      <c r="YA6" s="610">
        <f t="shared" ca="1" si="703"/>
        <v>42293</v>
      </c>
      <c r="YB6" s="610">
        <f t="shared" ref="YB6:ZZ6" ca="1" si="704">YA$6+1</f>
        <v>42294</v>
      </c>
      <c r="YC6" s="610">
        <f t="shared" ca="1" si="704"/>
        <v>42295</v>
      </c>
      <c r="YD6" s="610">
        <f t="shared" ca="1" si="704"/>
        <v>42296</v>
      </c>
      <c r="YE6" s="610">
        <f t="shared" ca="1" si="704"/>
        <v>42297</v>
      </c>
      <c r="YF6" s="610">
        <f t="shared" ca="1" si="704"/>
        <v>42298</v>
      </c>
      <c r="YG6" s="610">
        <f t="shared" ca="1" si="704"/>
        <v>42299</v>
      </c>
      <c r="YH6" s="610">
        <f t="shared" ca="1" si="704"/>
        <v>42300</v>
      </c>
      <c r="YI6" s="610">
        <f t="shared" ca="1" si="704"/>
        <v>42301</v>
      </c>
      <c r="YJ6" s="610">
        <f t="shared" ca="1" si="704"/>
        <v>42302</v>
      </c>
      <c r="YK6" s="610">
        <f t="shared" ca="1" si="704"/>
        <v>42303</v>
      </c>
      <c r="YL6" s="610">
        <f t="shared" ca="1" si="704"/>
        <v>42304</v>
      </c>
      <c r="YM6" s="610">
        <f t="shared" ca="1" si="704"/>
        <v>42305</v>
      </c>
      <c r="YN6" s="610">
        <f t="shared" ca="1" si="704"/>
        <v>42306</v>
      </c>
      <c r="YO6" s="610">
        <f t="shared" ca="1" si="704"/>
        <v>42307</v>
      </c>
      <c r="YP6" s="610">
        <f t="shared" ca="1" si="704"/>
        <v>42308</v>
      </c>
      <c r="YQ6" s="610">
        <f t="shared" ca="1" si="704"/>
        <v>42309</v>
      </c>
      <c r="YR6" s="610">
        <f t="shared" ca="1" si="704"/>
        <v>42310</v>
      </c>
      <c r="YS6" s="610">
        <f t="shared" ca="1" si="704"/>
        <v>42311</v>
      </c>
      <c r="YT6" s="610">
        <f t="shared" ca="1" si="704"/>
        <v>42312</v>
      </c>
      <c r="YU6" s="610">
        <f t="shared" ca="1" si="704"/>
        <v>42313</v>
      </c>
      <c r="YV6" s="610">
        <f t="shared" ca="1" si="704"/>
        <v>42314</v>
      </c>
      <c r="YW6" s="610">
        <f t="shared" ca="1" si="704"/>
        <v>42315</v>
      </c>
      <c r="YX6" s="610">
        <f t="shared" ca="1" si="704"/>
        <v>42316</v>
      </c>
      <c r="YY6" s="610">
        <f t="shared" ca="1" si="704"/>
        <v>42317</v>
      </c>
      <c r="YZ6" s="610">
        <f t="shared" ca="1" si="704"/>
        <v>42318</v>
      </c>
      <c r="ZA6" s="610">
        <f t="shared" ca="1" si="704"/>
        <v>42319</v>
      </c>
      <c r="ZB6" s="610">
        <f t="shared" ca="1" si="704"/>
        <v>42320</v>
      </c>
      <c r="ZC6" s="610">
        <f t="shared" ca="1" si="704"/>
        <v>42321</v>
      </c>
      <c r="ZD6" s="610">
        <f t="shared" ca="1" si="704"/>
        <v>42322</v>
      </c>
      <c r="ZE6" s="610">
        <f t="shared" ca="1" si="704"/>
        <v>42323</v>
      </c>
      <c r="ZF6" s="610">
        <f t="shared" ca="1" si="704"/>
        <v>42324</v>
      </c>
      <c r="ZG6" s="610">
        <f t="shared" ca="1" si="704"/>
        <v>42325</v>
      </c>
      <c r="ZH6" s="610">
        <f t="shared" ca="1" si="704"/>
        <v>42326</v>
      </c>
      <c r="ZI6" s="610">
        <f t="shared" ca="1" si="704"/>
        <v>42327</v>
      </c>
      <c r="ZJ6" s="610">
        <f t="shared" ca="1" si="704"/>
        <v>42328</v>
      </c>
      <c r="ZK6" s="610">
        <f t="shared" ca="1" si="704"/>
        <v>42329</v>
      </c>
      <c r="ZL6" s="610">
        <f t="shared" ca="1" si="704"/>
        <v>42330</v>
      </c>
      <c r="ZM6" s="610">
        <f t="shared" ca="1" si="704"/>
        <v>42331</v>
      </c>
      <c r="ZN6" s="610">
        <f t="shared" ca="1" si="704"/>
        <v>42332</v>
      </c>
      <c r="ZO6" s="610">
        <f t="shared" ca="1" si="704"/>
        <v>42333</v>
      </c>
      <c r="ZP6" s="610">
        <f t="shared" ca="1" si="704"/>
        <v>42334</v>
      </c>
      <c r="ZQ6" s="610">
        <f t="shared" ca="1" si="704"/>
        <v>42335</v>
      </c>
      <c r="ZR6" s="610">
        <f t="shared" ca="1" si="704"/>
        <v>42336</v>
      </c>
      <c r="ZS6" s="610">
        <f t="shared" ca="1" si="704"/>
        <v>42337</v>
      </c>
      <c r="ZT6" s="610">
        <f t="shared" ca="1" si="704"/>
        <v>42338</v>
      </c>
      <c r="ZU6" s="610">
        <f t="shared" ca="1" si="704"/>
        <v>42339</v>
      </c>
      <c r="ZV6" s="610">
        <f t="shared" ca="1" si="704"/>
        <v>42340</v>
      </c>
      <c r="ZW6" s="610">
        <f t="shared" ca="1" si="704"/>
        <v>42341</v>
      </c>
      <c r="ZX6" s="610">
        <f t="shared" ca="1" si="704"/>
        <v>42342</v>
      </c>
      <c r="ZY6" s="610">
        <f t="shared" ca="1" si="704"/>
        <v>42343</v>
      </c>
      <c r="ZZ6" s="610">
        <f t="shared" ca="1" si="704"/>
        <v>42344</v>
      </c>
      <c r="AAA6" s="588"/>
      <c r="AAB6"/>
      <c r="AAC6"/>
      <c r="AAD6" s="112"/>
      <c r="AAE6" s="551" t="s">
        <v>245</v>
      </c>
      <c r="AAF6" s="583" t="s">
        <v>174</v>
      </c>
      <c r="AAG6" s="78">
        <f ca="1">WORKDAY(TODAY()-1,1,S.DDL_DEQClosed)</f>
        <v>41652</v>
      </c>
      <c r="AAH6" s="78">
        <f>S.BANNER.PostEQCEnd</f>
        <v>41778</v>
      </c>
      <c r="AAI6" s="77"/>
      <c r="AAJ6" s="98">
        <v>1</v>
      </c>
      <c r="AAK6" s="579">
        <f>IF(S.RuleType=2,14,28)</f>
        <v>28</v>
      </c>
      <c r="AAL6" s="76"/>
      <c r="AAM6" s="112"/>
      <c r="AAU6" s="44"/>
      <c r="ABK6" s="779"/>
      <c r="ABL6" s="779"/>
      <c r="ABM6" s="779"/>
      <c r="ABN6" s="779"/>
      <c r="ABO6" s="779"/>
      <c r="ABP6" s="779"/>
      <c r="ABQ6" s="779"/>
    </row>
    <row r="7" spans="1:745" ht="6" customHeight="1">
      <c r="A7" s="599"/>
      <c r="B7" s="206"/>
      <c r="C7" s="688"/>
      <c r="D7" s="180"/>
      <c r="E7" s="181"/>
      <c r="F7" s="181"/>
      <c r="G7" s="180"/>
      <c r="H7" s="180"/>
      <c r="I7" s="588"/>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588"/>
      <c r="AAD7" s="112"/>
      <c r="AAE7" s="551" t="s">
        <v>20</v>
      </c>
      <c r="AAF7" s="583" t="s">
        <v>174</v>
      </c>
      <c r="AAG7" s="76"/>
      <c r="AAH7" s="76"/>
      <c r="AAI7" s="76"/>
      <c r="AAJ7" s="508"/>
      <c r="AAK7" s="575"/>
      <c r="AAL7" s="40"/>
      <c r="AAM7" s="112"/>
      <c r="AAN7"/>
      <c r="AAT7" s="23"/>
      <c r="AAU7" s="44"/>
    </row>
    <row r="8" spans="1:745" s="23" customFormat="1" ht="6" customHeight="1">
      <c r="A8" s="599"/>
      <c r="B8" s="144"/>
      <c r="C8" s="689"/>
      <c r="D8" s="145"/>
      <c r="E8" s="146"/>
      <c r="F8" s="146"/>
      <c r="G8" s="145"/>
      <c r="H8" s="145"/>
      <c r="I8" s="588"/>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588"/>
      <c r="AAB8"/>
      <c r="AAC8"/>
      <c r="AAD8" s="112"/>
      <c r="AAE8" s="551">
        <v>0</v>
      </c>
      <c r="AAF8" s="583" t="s">
        <v>174</v>
      </c>
      <c r="AAG8" s="76"/>
      <c r="AAH8" s="76"/>
      <c r="AAI8" s="76"/>
      <c r="AAJ8" s="508"/>
      <c r="AAK8" s="575"/>
      <c r="AAL8" s="40" t="s">
        <v>244</v>
      </c>
      <c r="AAM8" s="112"/>
      <c r="AAU8" s="44"/>
    </row>
    <row r="9" spans="1:745" ht="21" customHeight="1">
      <c r="A9" s="558"/>
      <c r="B9" s="120" t="s">
        <v>249</v>
      </c>
      <c r="C9" s="121"/>
      <c r="D9" s="121"/>
      <c r="E9" s="121"/>
      <c r="F9"/>
      <c r="G9"/>
      <c r="H9" s="535" t="s">
        <v>0</v>
      </c>
      <c r="I9" s="588"/>
      <c r="J9" s="63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17"/>
      <c r="ZZ9" s="622"/>
      <c r="AAA9" s="588"/>
      <c r="AAD9" s="112"/>
      <c r="AAE9" s="551">
        <v>1</v>
      </c>
      <c r="AAF9" s="583" t="s">
        <v>174</v>
      </c>
      <c r="AAG9" s="78">
        <f ca="1">IF(TODAY()&lt;DDLs!A4,DDLs!A4,VLOOKUP(TODAY(),VL_EQCActivities,4,TRUE))</f>
        <v>98</v>
      </c>
      <c r="AAH9" s="77"/>
      <c r="AAI9" s="77"/>
      <c r="AAJ9" s="65"/>
      <c r="AAK9" s="576"/>
      <c r="AAL9" s="118"/>
      <c r="AAM9" s="112"/>
      <c r="AAN9"/>
      <c r="AAO9" s="106">
        <f>S.BANNER.OverviewStart</f>
        <v>41369</v>
      </c>
    </row>
    <row r="10" spans="1:745" s="23" customFormat="1" ht="26.25" customHeight="1">
      <c r="A10" s="599"/>
      <c r="B10" s="120"/>
      <c r="C10" s="683"/>
      <c r="D10" s="121"/>
      <c r="E10" s="121"/>
      <c r="F10"/>
      <c r="G10"/>
      <c r="H10"/>
      <c r="I10" s="588"/>
      <c r="J10" s="591"/>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17"/>
      <c r="ZZ10" s="622"/>
      <c r="AAA10" s="588"/>
      <c r="AAB10"/>
      <c r="AAC10"/>
      <c r="AAD10" s="112"/>
      <c r="AAE10" s="551">
        <v>0</v>
      </c>
      <c r="AAF10" s="583" t="s">
        <v>174</v>
      </c>
      <c r="AAG10" s="112"/>
      <c r="AAH10" s="77"/>
      <c r="AAI10" s="77"/>
      <c r="AAJ10" s="113"/>
      <c r="AAK10" s="576"/>
      <c r="AAL10" s="39"/>
      <c r="AAM10" s="112"/>
      <c r="AAT10" s="335" t="s">
        <v>0</v>
      </c>
    </row>
    <row r="11" spans="1:745" s="23" customFormat="1" ht="16.5" customHeight="1">
      <c r="A11" s="599"/>
      <c r="B11" s="538" t="s">
        <v>282</v>
      </c>
      <c r="C11" s="690"/>
      <c r="D11" s="538"/>
      <c r="E11" s="539"/>
      <c r="F11" s="321">
        <f ca="1">NETWORKDAYS(TODAY(),H11,S.DDL_DEQClosed)</f>
        <v>46</v>
      </c>
      <c r="G11" s="590">
        <f>S.EQCMeeting</f>
        <v>41717</v>
      </c>
      <c r="H11" s="585">
        <v>41717</v>
      </c>
      <c r="I11" s="627"/>
      <c r="J11" s="591"/>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588"/>
      <c r="AAB11"/>
      <c r="AAC11"/>
      <c r="AAD11" s="112"/>
      <c r="AAE11" s="551">
        <v>1</v>
      </c>
      <c r="AAF11" s="112"/>
      <c r="AAG11" s="65"/>
      <c r="AAH11" s="78">
        <f>VLOOKUP(WORKDAY(S.BANNER.OverviewStart,AAK37,S.DDL_DEQClosed),VL_EQCActivities,5,TRUE)</f>
        <v>41563</v>
      </c>
      <c r="AAI11" s="65"/>
      <c r="AAJ11" s="77"/>
      <c r="AAK11" s="65"/>
      <c r="AAL11" s="77"/>
      <c r="AAM11" s="112"/>
      <c r="AAO11" s="108" t="s">
        <v>222</v>
      </c>
      <c r="AAP11" s="336">
        <f t="shared" ref="AAP11:AAS11" si="705">AAP20/30</f>
        <v>6.3</v>
      </c>
      <c r="AAQ11" s="336">
        <f t="shared" si="705"/>
        <v>5.5666666666666664</v>
      </c>
      <c r="AAR11" s="336">
        <f t="shared" si="705"/>
        <v>4.833333333333333</v>
      </c>
      <c r="AAS11" s="336">
        <f t="shared" si="705"/>
        <v>4.0999999999999996</v>
      </c>
      <c r="AAX11" s="23" t="s">
        <v>238</v>
      </c>
      <c r="AAY11" s="23" t="s">
        <v>238</v>
      </c>
      <c r="AAZ11" s="23" t="s">
        <v>238</v>
      </c>
      <c r="ABA11" s="23" t="s">
        <v>238</v>
      </c>
      <c r="ABB11" s="23" t="s">
        <v>0</v>
      </c>
    </row>
    <row r="12" spans="1:745" s="23" customFormat="1" ht="16.5" customHeight="1">
      <c r="A12" s="599"/>
      <c r="B12" s="759" t="str">
        <f>AAL12</f>
        <v>INVOLVED before Rulemaking Action Item</v>
      </c>
      <c r="C12" s="759"/>
      <c r="D12" s="759"/>
      <c r="E12" s="125"/>
      <c r="F12" s="212"/>
      <c r="G12" s="535" t="s">
        <v>277</v>
      </c>
      <c r="H12" s="535" t="s">
        <v>276</v>
      </c>
      <c r="I12" s="627"/>
      <c r="J12" s="592"/>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18"/>
      <c r="ZZ12" s="36"/>
      <c r="AAA12" s="588"/>
      <c r="AAB12"/>
      <c r="AAC12"/>
      <c r="AAD12" s="112"/>
      <c r="AAE12" s="552">
        <f>IF(AAJ12=TRUE,1,0)</f>
        <v>1</v>
      </c>
      <c r="AAF12" s="583" t="s">
        <v>174</v>
      </c>
      <c r="AAG12" s="65"/>
      <c r="AAH12" s="65"/>
      <c r="AAI12" s="65"/>
      <c r="AAJ12" s="81" t="b">
        <f>IF(OR(S.InvolveEQCDirDialog=TRUE,S.InvolveEQCInfoItem=TRUE,S.InvolveEQCFacHearing=TRUE),TRUE,FALSE)</f>
        <v>1</v>
      </c>
      <c r="AAK12" s="523"/>
      <c r="AAL12" s="81" t="str">
        <f>IF(AAJ12=TRUE,"INVOLVED before Rulemaking Action Item","NOT INVOLVED before Rulemaking Action Item")</f>
        <v>INVOLVED before Rulemaking Action Item</v>
      </c>
      <c r="AAM12" s="112"/>
      <c r="AAN12" s="53"/>
      <c r="AAO12" s="337" t="s">
        <v>0</v>
      </c>
      <c r="AAP12" s="106" t="s">
        <v>232</v>
      </c>
      <c r="AAQ12" s="106" t="s">
        <v>229</v>
      </c>
      <c r="AAR12" s="106" t="s">
        <v>230</v>
      </c>
      <c r="AAS12" s="106" t="s">
        <v>231</v>
      </c>
      <c r="AAU12" s="103">
        <v>1</v>
      </c>
      <c r="AAV12" s="103">
        <v>2</v>
      </c>
      <c r="AAW12" s="103">
        <v>3</v>
      </c>
      <c r="AAX12" s="104">
        <v>4</v>
      </c>
      <c r="AAY12" s="104">
        <v>5</v>
      </c>
      <c r="AAZ12" s="104">
        <v>6</v>
      </c>
      <c r="ABA12" s="104">
        <v>7</v>
      </c>
      <c r="ABB12" s="104">
        <v>8</v>
      </c>
      <c r="ABC12" s="104">
        <v>9</v>
      </c>
      <c r="ABD12" s="104">
        <v>10</v>
      </c>
    </row>
    <row r="13" spans="1:745" s="23" customFormat="1" ht="16.350000000000001" customHeight="1">
      <c r="A13" s="599"/>
      <c r="B13" s="735" t="s">
        <v>221</v>
      </c>
      <c r="C13" s="736"/>
      <c r="D13" s="789" t="str">
        <f>AAI13</f>
        <v/>
      </c>
      <c r="E13" s="789"/>
      <c r="F13" s="737">
        <f t="shared" ref="F13:F15" ca="1" si="706">NETWORKDAYS(TODAY(),H13,S.DDL_DEQClosed)</f>
        <v>-22</v>
      </c>
      <c r="G13" s="738">
        <f>AAG13</f>
        <v>41619</v>
      </c>
      <c r="H13" s="738">
        <f>AAH13</f>
        <v>41619</v>
      </c>
      <c r="I13" s="627"/>
      <c r="J13" s="592"/>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588"/>
      <c r="AAB13"/>
      <c r="AAC13"/>
      <c r="AAD13" s="112"/>
      <c r="AAE13" s="552">
        <f>IF(AAJ13=TRUE,1,0)</f>
        <v>1</v>
      </c>
      <c r="AAF13" s="584" t="s">
        <v>0</v>
      </c>
      <c r="AAG13" s="78">
        <f>VLOOKUP(S.EQCMeeting,VL_EQCActivities,6,FALSE)</f>
        <v>41619</v>
      </c>
      <c r="AAH13" s="78">
        <f>G13</f>
        <v>41619</v>
      </c>
      <c r="AAI13" s="571" t="str">
        <f>IF(OR(G13&gt;=S.EQCMeeting,H13&gt;=S.EQCMeeting),"Must be less than H13","")</f>
        <v/>
      </c>
      <c r="AAJ13" s="81" t="b">
        <v>1</v>
      </c>
      <c r="AAK13" s="523"/>
      <c r="AAL13" s="65"/>
      <c r="AAM13" s="112"/>
      <c r="AAO13" s="109" t="s">
        <v>233</v>
      </c>
      <c r="AAP13" s="107">
        <f>IF(S.RuleType=1,28,21)</f>
        <v>28</v>
      </c>
      <c r="AAQ13" s="107">
        <f>IF(S.RuleType=1,21,14)</f>
        <v>21</v>
      </c>
      <c r="AAR13" s="107">
        <f>IF(S.RuleType=1,14,7)</f>
        <v>14</v>
      </c>
      <c r="AAS13" s="107">
        <f>IF(S.RuleType=1,7,0)</f>
        <v>7</v>
      </c>
      <c r="AAU13" s="510" t="s">
        <v>22</v>
      </c>
      <c r="AAV13" s="512" t="s">
        <v>237</v>
      </c>
      <c r="AAW13" s="510"/>
      <c r="AAX13" s="510" t="s">
        <v>1</v>
      </c>
      <c r="AAY13" s="511" t="s">
        <v>235</v>
      </c>
      <c r="AAZ13" s="512" t="s">
        <v>234</v>
      </c>
      <c r="ABA13" s="514" t="s">
        <v>227</v>
      </c>
      <c r="ABB13" s="510" t="s">
        <v>135</v>
      </c>
      <c r="ABC13" s="506" t="s">
        <v>239</v>
      </c>
      <c r="ABD13" s="506" t="s">
        <v>260</v>
      </c>
    </row>
    <row r="14" spans="1:745" s="23" customFormat="1" ht="16.7" customHeight="1">
      <c r="A14" s="599"/>
      <c r="B14" s="126" t="s">
        <v>218</v>
      </c>
      <c r="C14" s="691"/>
      <c r="D14" s="790" t="str">
        <f t="shared" ref="D14:D15" si="707">AAI14</f>
        <v/>
      </c>
      <c r="E14" s="790"/>
      <c r="F14" s="321">
        <f t="shared" ca="1" si="706"/>
        <v>-60</v>
      </c>
      <c r="G14" s="586">
        <f t="shared" ref="G14:G15" si="708">AAG14</f>
        <v>41619</v>
      </c>
      <c r="H14" s="586">
        <v>41563</v>
      </c>
      <c r="I14" s="627"/>
      <c r="J14" s="592"/>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588"/>
      <c r="AAB14"/>
      <c r="AAC14"/>
      <c r="AAD14" s="112"/>
      <c r="AAE14" s="552">
        <f>IF(AAJ14=TRUE,1,0)</f>
        <v>1</v>
      </c>
      <c r="AAF14" s="584" t="s">
        <v>0</v>
      </c>
      <c r="AAG14" s="78">
        <f>VLOOKUP(S.EQCMeeting,VL_EQCActivities,6,FALSE)</f>
        <v>41619</v>
      </c>
      <c r="AAH14" s="78">
        <f t="shared" ref="AAH14:AAH15" si="709">G14</f>
        <v>41619</v>
      </c>
      <c r="AAI14" s="571" t="str">
        <f>IF(OR(G14&gt;=S.EQCMeeting,H14&gt;=S.EQCMeeting),"Must be less than H13","")</f>
        <v/>
      </c>
      <c r="AAJ14" s="81" t="b">
        <v>1</v>
      </c>
      <c r="AAK14" s="523"/>
      <c r="AAL14" s="76"/>
      <c r="AAM14" s="112"/>
      <c r="AAO14" s="109" t="s">
        <v>223</v>
      </c>
      <c r="AAP14" s="107">
        <f>IF(S.InvolveSIP=TRUE,25,0)</f>
        <v>25</v>
      </c>
      <c r="AAQ14" s="107">
        <f>IF(S.InvolveSIP=TRUE,20,0)</f>
        <v>20</v>
      </c>
      <c r="AAR14" s="107">
        <f>IF(S.InvolveSIP=TRUE,15,0)</f>
        <v>15</v>
      </c>
      <c r="AAS14" s="107">
        <f>IF(S.InvolveSIP=TRUE,10,0)</f>
        <v>10</v>
      </c>
      <c r="AAT14" s="23" t="s">
        <v>0</v>
      </c>
      <c r="AAU14" s="510"/>
      <c r="AAV14" s="512"/>
      <c r="AAW14" s="510" t="s">
        <v>224</v>
      </c>
      <c r="AAX14" s="510"/>
      <c r="AAY14" s="507"/>
      <c r="AAZ14" s="513"/>
      <c r="ABA14" s="514"/>
      <c r="ABB14" s="510"/>
      <c r="ABC14" s="507"/>
      <c r="ABD14" s="507"/>
    </row>
    <row r="15" spans="1:745" s="23" customFormat="1" ht="15.75" customHeight="1">
      <c r="A15" s="599"/>
      <c r="B15" s="128" t="str">
        <f>AAL15</f>
        <v>Facilitated Hearing</v>
      </c>
      <c r="C15" s="691"/>
      <c r="D15" s="790" t="str">
        <f t="shared" si="707"/>
        <v/>
      </c>
      <c r="E15" s="790"/>
      <c r="F15" s="321">
        <f t="shared" ca="1" si="706"/>
        <v>-22</v>
      </c>
      <c r="G15" s="586">
        <f t="shared" si="708"/>
        <v>41619</v>
      </c>
      <c r="H15" s="586">
        <f t="shared" ref="H15" si="710">AAH15</f>
        <v>41619</v>
      </c>
      <c r="I15" s="627"/>
      <c r="J15" s="592"/>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588"/>
      <c r="AAB15"/>
      <c r="AAC15"/>
      <c r="AAD15" s="112"/>
      <c r="AAE15" s="552">
        <f>IF(AAJ15=TRUE,1,0)</f>
        <v>0</v>
      </c>
      <c r="AAF15" s="584" t="s">
        <v>0</v>
      </c>
      <c r="AAG15" s="78">
        <f>VLOOKUP(S.EQCMeeting,VL_EQCActivities,6,FALSE)</f>
        <v>41619</v>
      </c>
      <c r="AAH15" s="78">
        <f t="shared" si="709"/>
        <v>41619</v>
      </c>
      <c r="AAI15" s="571" t="str">
        <f>IF(OR(G15&gt;=S.EQCMeeting,H15&gt;=S.EQCMeeting),"Must be less than H13","")</f>
        <v/>
      </c>
      <c r="AAJ15" s="81" t="b">
        <v>0</v>
      </c>
      <c r="AAK15" s="523"/>
      <c r="AAL15" s="570" t="str">
        <f>IF(AND(S.InvolveEQCFacHearing=TRUE,S.InvolveHearing=FALSE),"ERROR:No hearings selected below","Facilitated Hearing")</f>
        <v>Facilitated Hearing</v>
      </c>
      <c r="AAM15" s="112"/>
      <c r="AAO15" s="109" t="s">
        <v>224</v>
      </c>
      <c r="AAP15" s="107">
        <f>IF(AND(S.InvolveCommittee=TRUE,S.InvolveFee=TRUE),35,IF(S.InvolveCommittee=TRUE,25,0))</f>
        <v>25</v>
      </c>
      <c r="AAQ15" s="107">
        <f>IF(AND(S.InvolveCommittee=TRUE,S.InvolveFee=TRUE),30,IF(S.InvolveCommittee=TRUE,20,0))</f>
        <v>20</v>
      </c>
      <c r="AAR15" s="107">
        <f>IF(AND(S.InvolveCommittee=TRUE,S.InvolveFee=TRUE),25,IF(S.InvolveCommittee=TRUE,15,0))</f>
        <v>15</v>
      </c>
      <c r="AAS15" s="107">
        <f>IF(AND(S.InvolveCommittee=TRUE,S.InvolveFee=TRUE),20,IF(S.InvolveCommittee=TRUE,10,0))</f>
        <v>10</v>
      </c>
      <c r="AAU15" s="101" t="s">
        <v>232</v>
      </c>
      <c r="AAV15" s="100">
        <f>IF(S.InvolveSIP=FALSE,S.BANNER.OverviewStart,IF(WORKDAY(ABA15-46,1,S.DDL_DEQClosed)&lt;S.BANNER.OverviewStart,S.BANNER.OverviewStart,WORKDAY(ABA15-46,1,S.DDL_DEQClosed)))</f>
        <v>41761</v>
      </c>
      <c r="AAW15" s="100">
        <f>IF(S.InvolveCommittee=FALSE,S.BANNER.OverviewStart,WORKDAY(S.BANNER.OverviewStart+31,-1,S.DDL_DEQClosed))</f>
        <v>41397</v>
      </c>
      <c r="AAX15" s="100">
        <f>IF(S.DASApprovalRequired=TRUE,WORKDAY(AAY15-31,1,S.DDL_DEQClosed),IF(S.InvolveFee=TRUE,AAY15,S.BANNER.OverviewStart))</f>
        <v>41369</v>
      </c>
      <c r="AAY15" s="100">
        <f>IF(S.InvolveNotice=FALSE,S.BANNER.OverviewStart,VLOOKUP(AAZ15,VL_Bulletin,2,FALSE))</f>
        <v>41774</v>
      </c>
      <c r="AAZ15" s="100">
        <f>VLOOKUP(ABB15-120,VL_Bulletin,1,TRUE)</f>
        <v>41791</v>
      </c>
      <c r="ABA15" s="100">
        <f>IF(S.InvolveHearing=FALSE,S.BANNER.OverviewStart,WORKDAY(AAZ15+13,1,S.DDL_DEQClosed))</f>
        <v>41806</v>
      </c>
      <c r="ABB15" s="100">
        <f>ABB17+ABD17</f>
        <v>41927</v>
      </c>
      <c r="ABC15" s="320">
        <f>VLOOKUP(ABB15-ABD15,VL_EQCActivities,TRUE)</f>
        <v>41871</v>
      </c>
      <c r="ABD15" s="339">
        <f>VLOOKUP(ABB15,VL_EQCActivities,4,FALSE)</f>
        <v>56</v>
      </c>
    </row>
    <row r="16" spans="1:745" s="23" customFormat="1" ht="6" customHeight="1">
      <c r="A16" s="599"/>
      <c r="B16" s="128"/>
      <c r="C16" s="691"/>
      <c r="D16" s="129"/>
      <c r="E16" s="124"/>
      <c r="F16" s="214"/>
      <c r="G16" s="553"/>
      <c r="H16" s="553"/>
      <c r="I16" s="588"/>
      <c r="J16" s="592"/>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18"/>
      <c r="ZZ16" s="36"/>
      <c r="AAA16" s="588"/>
      <c r="AAB16"/>
      <c r="AAC16"/>
      <c r="AAD16" s="112"/>
      <c r="AAE16" s="552">
        <v>0</v>
      </c>
      <c r="AAF16" s="583" t="s">
        <v>174</v>
      </c>
      <c r="AAG16" s="78"/>
      <c r="AAH16" s="78"/>
      <c r="AAI16" s="82"/>
      <c r="AAJ16" s="81"/>
      <c r="AAK16" s="523"/>
      <c r="AAL16" s="65"/>
      <c r="AAM16" s="112"/>
      <c r="AAO16" s="109"/>
      <c r="AAP16" s="107"/>
      <c r="AAQ16" s="107"/>
      <c r="AAR16" s="107"/>
      <c r="AAS16" s="107"/>
      <c r="AAU16" s="101"/>
      <c r="AAV16" s="100"/>
      <c r="AAW16" s="100"/>
      <c r="AAX16" s="100"/>
      <c r="AAY16" s="100"/>
      <c r="AAZ16" s="100"/>
      <c r="ABA16" s="100"/>
      <c r="ABB16" s="100"/>
      <c r="ABC16" s="320"/>
      <c r="ABD16" s="339"/>
    </row>
    <row r="17" spans="1:735" s="23" customFormat="1" ht="20.100000000000001" customHeight="1">
      <c r="A17" s="599"/>
      <c r="B17" s="760" t="str">
        <f>AAL17</f>
        <v>1-State Implementation Plan (AQ rules)</v>
      </c>
      <c r="C17" s="760"/>
      <c r="D17" s="517"/>
      <c r="E17" s="555">
        <f t="shared" ref="E17" si="711">NETWORKDAYS(G17,H17,S.DDL_DEQClosed)</f>
        <v>242</v>
      </c>
      <c r="F17" s="321">
        <f t="shared" ref="F17" ca="1" si="712">NETWORKDAYS(TODAY(),H17,S.DDL_DEQClosed)</f>
        <v>56</v>
      </c>
      <c r="G17" s="522">
        <f t="shared" ref="G17" si="713">AAG17</f>
        <v>41379</v>
      </c>
      <c r="H17" s="521">
        <f>AAH17</f>
        <v>41731</v>
      </c>
      <c r="I17" s="628"/>
      <c r="J17" s="591"/>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588"/>
      <c r="AAB17"/>
      <c r="AAC17"/>
      <c r="AAD17" s="112"/>
      <c r="AAE17" s="552">
        <f>IF(S.InvolveSIP=TRUE,1,0)</f>
        <v>1</v>
      </c>
      <c r="AAF17" s="584" t="s">
        <v>0</v>
      </c>
      <c r="AAG17" s="78">
        <f>WORKDAY(S.BANNER.OverviewStart+9,1,S.DDL_DEQClosed)</f>
        <v>41379</v>
      </c>
      <c r="AAH17" s="78">
        <f>WORKDAY(S.SubmitSIPToEPA.PostEQC-1,1,S.DDL_DEQClosed)</f>
        <v>41731</v>
      </c>
      <c r="AAI17" s="65"/>
      <c r="AAJ17" s="81" t="b">
        <v>1</v>
      </c>
      <c r="AAK17" s="523"/>
      <c r="AAL17" s="83" t="str">
        <f>IF(AND(S.InvolveSIP=TRUE,S.InvolveHearing=FALSE),"ERROR: EPA requires hearings for SIP rules",IF(S.InvolveSIP=TRUE,"1-State Implementation Plan (AQ rules)","1-State Implementation Plan (AQ rules) NOT involved"))</f>
        <v>1-State Implementation Plan (AQ rules)</v>
      </c>
      <c r="AAM17" s="112"/>
      <c r="AAO17" s="109" t="s">
        <v>225</v>
      </c>
      <c r="AAP17" s="107">
        <f>IF(S.DASApprovalRequired=TRUE,50,IF(S.InvolveFee=TRUE,25,0))</f>
        <v>0</v>
      </c>
      <c r="AAQ17" s="107">
        <f>IF(S.DASApprovalRequired=TRUE,45,IF(S.InvolveFee=TRUE,20,0))</f>
        <v>0</v>
      </c>
      <c r="AAR17" s="107">
        <f>IF(S.DASApprovalRequired=TRUE,40,IF(S.InvolveFee=TRUE,15,0))</f>
        <v>0</v>
      </c>
      <c r="AAS17" s="107">
        <f>IF(S.DASApprovalRequired=TRUE,35,IF(S.InvolveFee=TRUE,10,0))</f>
        <v>0</v>
      </c>
      <c r="AAU17" s="101" t="s">
        <v>229</v>
      </c>
      <c r="AAV17" s="100">
        <f>IF(S.InvolveSIP=FALSE,S.BANNER.OverviewStart,IF(WORKDAY(ABA17-46,1,S.DDL_DEQClosed)&lt;S.BANNER.OverviewStart,S.BANNER.OverviewStart,WORKDAY(ABA17-46,1,S.DDL_DEQClosed)))</f>
        <v>41729</v>
      </c>
      <c r="AAW17" s="100">
        <f>IF(S.InvolveCommittee=FALSE,S.BANNER.OverviewStart,WORKDAY(S.BANNER.OverviewStart+26,-1,S.DDL_DEQClosed))</f>
        <v>41394</v>
      </c>
      <c r="AAX17" s="100">
        <f>IF(S.DASApprovalRequired=TRUE,WORKDAY(AAY17-31,1,S.DDL_DEQClosed),IF(S.InvolveFee=TRUE,AAY17,S.BANNER.OverviewStart))</f>
        <v>41369</v>
      </c>
      <c r="AAY17" s="100">
        <f>IF(S.InvolveNotice=FALSE,S.BANNER.OverviewStart,VLOOKUP(AAZ17,VL_Bulletin,2,FALSE))</f>
        <v>41744</v>
      </c>
      <c r="AAZ17" s="100">
        <f>VLOOKUP(ABB17-90,VL_Bulletin,1,TRUE)</f>
        <v>41760</v>
      </c>
      <c r="ABA17" s="100">
        <f>IF(S.InvolveHearing=FALSE,S.BANNER.OverviewStart,WORKDAY(AAZ17+13,1,S.DDL_DEQClosed))</f>
        <v>41774</v>
      </c>
      <c r="ABB17" s="100">
        <f>ABB18+ABD18</f>
        <v>41871</v>
      </c>
      <c r="ABC17" s="320">
        <f>VLOOKUP(ABB17-ABD17,VL_EQCActivities,TRUE)</f>
        <v>41808</v>
      </c>
      <c r="ABD17" s="339">
        <f>VLOOKUP(ABB17,VL_EQCActivities,4,FALSE)</f>
        <v>56</v>
      </c>
    </row>
    <row r="18" spans="1:735" s="23" customFormat="1" ht="6" customHeight="1">
      <c r="A18" s="558"/>
      <c r="B18" s="130"/>
      <c r="C18" s="692"/>
      <c r="D18" s="130"/>
      <c r="E18" s="124"/>
      <c r="F18" s="214"/>
      <c r="G18" s="493"/>
      <c r="H18"/>
      <c r="I18" s="588"/>
      <c r="J18" s="591"/>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17"/>
      <c r="ZZ18" s="622"/>
      <c r="AAA18" s="588"/>
      <c r="AAB18"/>
      <c r="AAC18"/>
      <c r="AAD18" s="112"/>
      <c r="AAE18" s="551">
        <v>0</v>
      </c>
      <c r="AAF18" s="583" t="s">
        <v>174</v>
      </c>
      <c r="AAG18" s="112"/>
      <c r="AAH18" s="112"/>
      <c r="AAI18" s="211"/>
      <c r="AAJ18" s="523" t="s">
        <v>0</v>
      </c>
      <c r="AAK18" s="523"/>
      <c r="AAL18" s="114"/>
      <c r="AAM18" s="112"/>
      <c r="AAO18" s="110" t="s">
        <v>226</v>
      </c>
      <c r="AAP18" s="107">
        <f>IF(AND(S.InvolveNotice=TRUE,S.InvolveHearing=TRUE),66,IF(S.InvolveNotice=TRUE,51,0))</f>
        <v>66</v>
      </c>
      <c r="AAQ18" s="107">
        <f>IF(AND(S.InvolveNotice=TRUE,S.InvolveHearing=TRUE),61,IF(S.InvolveNotice=TRUE,46,0))</f>
        <v>61</v>
      </c>
      <c r="AAR18" s="107">
        <f>IF(AND(S.InvolveNotice=TRUE,S.InvolveHearing=TRUE),56,IF(S.InvolveNotice=TRUE,41,0))</f>
        <v>56</v>
      </c>
      <c r="AAS18" s="107">
        <f>IF(AND(S.InvolveNotice=TRUE,S.InvolveHearing=TRUE),51,IF(S.InvolveNotice=TRUE,36,0))</f>
        <v>51</v>
      </c>
      <c r="AAU18" s="101" t="s">
        <v>230</v>
      </c>
      <c r="AAV18" s="100">
        <f>IF(S.InvolveSIP=FALSE,S.BANNER.OverviewStart,IF(WORKDAY(ABA18-46,1,S.DDL_DEQClosed)&lt;S.BANNER.OverviewStart,S.BANNER.OverviewStart,WORKDAY(ABA18-46,1,S.DDL_DEQClosed)))</f>
        <v>41701</v>
      </c>
      <c r="AAW18" s="100">
        <f>IF(S.InvolveCommittee=FALSE,S.BANNER.OverviewStart,WORKDAY(S.BANNER.OverviewStart+21,-1,S.DDL_DEQClosed))</f>
        <v>41389</v>
      </c>
      <c r="AAX18" s="100">
        <f>IF(S.DASApprovalRequired=TRUE,WORKDAY(AAY18-31,1,S.DDL_DEQClosed),IF(S.InvolveFee=TRUE,AAY18,S.BANNER.OverviewStart))</f>
        <v>41369</v>
      </c>
      <c r="AAY18" s="100">
        <f>IF(S.InvolveNotice=FALSE,S.BANNER.OverviewStart,VLOOKUP(AAZ18,VL_Bulletin,2,FALSE))</f>
        <v>41712</v>
      </c>
      <c r="AAZ18" s="100">
        <f>VLOOKUP(ABB18-60,VL_Bulletin,1,TRUE)</f>
        <v>41730</v>
      </c>
      <c r="ABA18" s="100">
        <f>IF(S.InvolveHearing=FALSE,S.BANNER.OverviewStart,WORKDAY(AAZ18+13,1,S.DDL_DEQClosed))</f>
        <v>41744</v>
      </c>
      <c r="ABB18" s="100">
        <f>ABB19+ABD19</f>
        <v>41808</v>
      </c>
      <c r="ABC18" s="320">
        <f>VLOOKUP(ABB18-ABD18,VL_EQCActivities,TRUE)</f>
        <v>41717</v>
      </c>
      <c r="ABD18" s="339">
        <f>VLOOKUP(ABB18,VL_EQCActivities,4,FALSE)</f>
        <v>63</v>
      </c>
    </row>
    <row r="19" spans="1:735" s="23" customFormat="1" ht="20.100000000000001" customHeight="1">
      <c r="A19" s="558"/>
      <c r="B19" s="326" t="str">
        <f t="shared" ref="B19:B28" si="714">AAL19</f>
        <v>2-Advisory Committee</v>
      </c>
      <c r="C19" s="684"/>
      <c r="D19" s="326"/>
      <c r="E19" s="677">
        <f t="shared" ref="E19" si="715">NETWORKDAYS(G19,H19,S.DDL_DEQClosed)</f>
        <v>220</v>
      </c>
      <c r="F19" s="545">
        <f ca="1">NETWORKDAYS(TODAY(),G19,S.DDL_DEQClosed)</f>
        <v>-163</v>
      </c>
      <c r="G19" s="652">
        <f>AAG19</f>
        <v>41414</v>
      </c>
      <c r="H19" s="678">
        <f>AAH19</f>
        <v>41733</v>
      </c>
      <c r="I19" s="627"/>
      <c r="J19" s="591"/>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588"/>
      <c r="AAB19"/>
      <c r="AAC19"/>
      <c r="AAD19" s="112"/>
      <c r="AAE19" s="552">
        <f>IF(S.InvolveCommittee=TRUE,1,0)</f>
        <v>1</v>
      </c>
      <c r="AAF19" s="112" t="s">
        <v>0</v>
      </c>
      <c r="AAG19" s="78">
        <f>IF(S.InvolveCommittee=TRUE,WORKDAY(S.BANNER.OverviewStart,30,S.DDL_DEQClosed),S.BANNER.OverviewStart)</f>
        <v>41414</v>
      </c>
      <c r="AAH19" s="78">
        <f>IF(S.InvolveCommittee=TRUE,WORKDAY(S.FileRuleWithSOS,10,S.DDL_DEQClosed),S.BANNER.OverviewStart)</f>
        <v>41733</v>
      </c>
      <c r="AAI19" s="65"/>
      <c r="AAJ19" s="81" t="b">
        <v>1</v>
      </c>
      <c r="AAK19" s="523"/>
      <c r="AAL19" s="85" t="str">
        <f>IF(S.InvolveCommittee=TRUE,"2-Advisory Committee","2-Advisory Committee NOT involved")</f>
        <v>2-Advisory Committee</v>
      </c>
      <c r="AAM19" s="112"/>
      <c r="AAO19" s="110" t="s">
        <v>228</v>
      </c>
      <c r="AAP19" s="107">
        <v>45</v>
      </c>
      <c r="AAQ19" s="107">
        <v>45</v>
      </c>
      <c r="AAR19" s="107">
        <v>45</v>
      </c>
      <c r="AAS19" s="107">
        <v>45</v>
      </c>
      <c r="AAU19" s="101" t="s">
        <v>231</v>
      </c>
      <c r="AAV19" s="100">
        <f>IF(S.InvolveSIP=FALSE,S.BANNER.OverviewStart,IF(WORKDAY(ABA19-46,1,S.DDL_DEQClosed)&lt;S.BANNER.OverviewStart,S.BANNER.OverviewStart,WORKDAY(ABA19-46,1,S.DDL_DEQClosed)))</f>
        <v>41610</v>
      </c>
      <c r="AAW19" s="100">
        <f>IF(S.InvolveCommittee=FALSE,S.BANNER.OverviewStart,WORKDAY(S.BANNER.OverviewStart+11,-1,S.DDL_DEQClosed))</f>
        <v>41379</v>
      </c>
      <c r="AAX19" s="340">
        <f>IF(S.DASApprovalRequired=TRUE,WORKDAY(AAY19-31,1,S.DDL_DEQClosed),IF(S.InvolveFee=TRUE,AAY19,S.BANNER.OverviewStart))</f>
        <v>41369</v>
      </c>
      <c r="AAY19" s="100">
        <f>IF(S.InvolveNotice=FALSE,S.BANNER.OverviewStart,VLOOKUP(AAZ19,VL_Bulletin,2,FALSE))</f>
        <v>41621</v>
      </c>
      <c r="AAZ19" s="100">
        <f>VLOOKUP(ABB19-60,VL_Bulletin,1,TRUE)</f>
        <v>41640</v>
      </c>
      <c r="ABA19" s="100">
        <f>IF(S.InvolveHearing=FALSE,S.BANNER.OverviewStart,WORKDAY(AAZ19+13,1,S.DDL_DEQClosed))</f>
        <v>41654</v>
      </c>
      <c r="ABB19" s="100">
        <f>VLOOKUP(S.EQCMeeting,VL_EQCActivities,1,TRUE)</f>
        <v>41717</v>
      </c>
      <c r="ABC19" s="320">
        <f>VLOOKUP(ABB19-ABD19,VL_EQCActivities,TRUE)</f>
        <v>41619</v>
      </c>
      <c r="ABD19" s="339">
        <f>VLOOKUP(ABB19,VL_EQCActivities,4,FALSE)</f>
        <v>91</v>
      </c>
    </row>
    <row r="20" spans="1:735" s="23" customFormat="1" ht="6" customHeight="1">
      <c r="A20" s="558"/>
      <c r="B20" s="203"/>
      <c r="C20" s="693"/>
      <c r="D20" s="131"/>
      <c r="E20" s="124"/>
      <c r="F20" s="214"/>
      <c r="G20" s="493"/>
      <c r="H20" s="215"/>
      <c r="I20" s="588"/>
      <c r="J20" s="591"/>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645"/>
      <c r="ZZ20" s="622"/>
      <c r="AAA20" s="588"/>
      <c r="AAB20"/>
      <c r="AAC20"/>
      <c r="AAD20" s="112"/>
      <c r="AAE20" s="551">
        <v>0</v>
      </c>
      <c r="AAF20" s="583" t="s">
        <v>174</v>
      </c>
      <c r="AAG20" s="84"/>
      <c r="AAH20" s="77"/>
      <c r="AAI20" s="211"/>
      <c r="AAJ20" s="81"/>
      <c r="AAK20" s="523"/>
      <c r="AAL20" s="85"/>
      <c r="AAM20" s="112"/>
      <c r="AAO20" s="787"/>
      <c r="AAP20" s="780">
        <f>SUM(AAP13:AAP19)</f>
        <v>189</v>
      </c>
      <c r="AAQ20" s="780">
        <f>SUM(AAQ13:AAQ19)</f>
        <v>167</v>
      </c>
      <c r="AAR20" s="780">
        <f>SUM(AAR13:AAR19)</f>
        <v>145</v>
      </c>
      <c r="AAS20" s="780">
        <f>SUM(AAS13:AAS19)</f>
        <v>123</v>
      </c>
      <c r="AAU20"/>
      <c r="AAV20"/>
      <c r="AAW20"/>
      <c r="AAX20"/>
      <c r="AAY20"/>
      <c r="AAZ20"/>
      <c r="ABA20"/>
      <c r="ABB20"/>
      <c r="ABC20"/>
      <c r="ABD20"/>
    </row>
    <row r="21" spans="1:735" ht="20.100000000000001" customHeight="1">
      <c r="A21" s="558"/>
      <c r="B21" s="130" t="str">
        <f t="shared" si="714"/>
        <v>3-Fees Not Involved</v>
      </c>
      <c r="C21" s="685"/>
      <c r="D21" s="133" t="s">
        <v>0</v>
      </c>
      <c r="E21" s="544">
        <f t="shared" ref="E21" si="716">NETWORKDAYS(G21,H21,S.DDL_DEQClosed)</f>
        <v>112</v>
      </c>
      <c r="F21" s="543">
        <f t="shared" ref="F21" ca="1" si="717">NETWORKDAYS(TODAY(),H21,S.DDL_DEQClosed)</f>
        <v>-82</v>
      </c>
      <c r="G21" s="522">
        <f>AAG21</f>
        <v>41369</v>
      </c>
      <c r="H21" s="519">
        <f>AAH21</f>
        <v>41533</v>
      </c>
      <c r="I21" s="627"/>
      <c r="J21" s="591"/>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588"/>
      <c r="AAD21" s="112"/>
      <c r="AAE21" s="552">
        <f>IF(S.InvolveFee=TRUE,1,0)</f>
        <v>0</v>
      </c>
      <c r="AAF21" s="112" t="s">
        <v>0</v>
      </c>
      <c r="AAG21" s="78">
        <f>IF(S.InvolveFee=TRUE,WORKDAY(S.BANNER.OverviewStart,30,S.DDL_DEQClosed),S.BANNER.OverviewStart)</f>
        <v>41369</v>
      </c>
      <c r="AAH21" s="78">
        <f>S.BANNER.FeeEnd</f>
        <v>41533</v>
      </c>
      <c r="AAI21" s="334" t="b">
        <f>IF(AND(S.InvolveFee,AAJ22=1),TRUE,FALSE)</f>
        <v>0</v>
      </c>
      <c r="AAJ21" s="81" t="b">
        <v>0</v>
      </c>
      <c r="AAK21" s="523"/>
      <c r="AAL21" s="83" t="str">
        <f>IF(S.InvolveFee=TRUE,"3-Fees Involved","3-Fees Not Involved")</f>
        <v>3-Fees Not Involved</v>
      </c>
      <c r="AAM21" s="112"/>
      <c r="AAN21"/>
      <c r="AAO21" s="787"/>
      <c r="AAP21" s="780"/>
      <c r="AAQ21" s="780"/>
      <c r="AAR21" s="780"/>
      <c r="AAS21" s="780"/>
      <c r="AAT21" s="23"/>
    </row>
    <row r="22" spans="1:735" s="23" customFormat="1" ht="20.100000000000001" customHeight="1">
      <c r="A22" s="558"/>
      <c r="B22" s="134" t="str">
        <f t="shared" si="714"/>
        <v>DAS - Fee approval not involved</v>
      </c>
      <c r="C22" s="694"/>
      <c r="D22" s="135" t="s">
        <v>70</v>
      </c>
      <c r="E22" s="122"/>
      <c r="F22" s="216"/>
      <c r="G22" s="520"/>
      <c r="H22" s="217"/>
      <c r="I22" s="588"/>
      <c r="J22" s="591"/>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639"/>
      <c r="ZZ22" s="622"/>
      <c r="AAA22" s="588"/>
      <c r="AAB22"/>
      <c r="AAC22"/>
      <c r="AAD22" s="112"/>
      <c r="AAE22" s="551">
        <f>IF(S.InvolveFee=TRUE,1,0)</f>
        <v>0</v>
      </c>
      <c r="AAF22" s="583" t="s">
        <v>174</v>
      </c>
      <c r="AAG22" s="84"/>
      <c r="AAH22" s="84" t="s">
        <v>0</v>
      </c>
      <c r="AAI22" s="84"/>
      <c r="AAJ22" s="86">
        <v>2</v>
      </c>
      <c r="AAK22" s="523"/>
      <c r="AAL22" s="83" t="str">
        <f>IF(S.InvolveFee=TRUE,"DAS - Fee approval required","DAS - Fee approval not involved")</f>
        <v>DAS - Fee approval not involved</v>
      </c>
      <c r="AAM22" s="112"/>
      <c r="AAO22" s="23" t="s">
        <v>0</v>
      </c>
      <c r="AAP22"/>
      <c r="AAQ22"/>
      <c r="AAR22"/>
      <c r="AAS22"/>
      <c r="AAT22" s="23" t="s">
        <v>0</v>
      </c>
      <c r="ABB22"/>
    </row>
    <row r="23" spans="1:735" s="23" customFormat="1" ht="20.100000000000001" customHeight="1">
      <c r="A23" s="558"/>
      <c r="B23" s="134" t="str">
        <f t="shared" si="714"/>
        <v>DAS - Email notice not involved</v>
      </c>
      <c r="C23" s="694"/>
      <c r="D23" s="136"/>
      <c r="E23" s="122"/>
      <c r="F23" s="216"/>
      <c r="G23" s="520"/>
      <c r="H23" s="217"/>
      <c r="I23" s="588"/>
      <c r="J23" s="591"/>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17"/>
      <c r="ZZ23" s="622"/>
      <c r="AAA23" s="588"/>
      <c r="AAB23"/>
      <c r="AAC23"/>
      <c r="AAD23" s="112"/>
      <c r="AAE23" s="551">
        <f>IF(S.InvolveFee=TRUE,1,0)</f>
        <v>0</v>
      </c>
      <c r="AAF23" s="583" t="s">
        <v>174</v>
      </c>
      <c r="AAG23" s="84"/>
      <c r="AAH23" s="84"/>
      <c r="AAI23" s="84"/>
      <c r="AAJ23" s="77"/>
      <c r="AAK23" s="341"/>
      <c r="AAL23" s="83" t="str">
        <f>IF(S.InvolveFee=TRUE,"DAS - Fee approval NOT required","DAS - Email notice not involved")</f>
        <v>DAS - Email notice not involved</v>
      </c>
      <c r="AAM23" s="112"/>
      <c r="AAO23" s="338"/>
      <c r="AAP23"/>
      <c r="AAQ23"/>
      <c r="AAR23"/>
      <c r="AAS23"/>
      <c r="AAT23" s="75"/>
      <c r="AAV23" s="102" t="s">
        <v>0</v>
      </c>
      <c r="AAW23" s="329" t="s">
        <v>0</v>
      </c>
      <c r="AAX23" s="329"/>
      <c r="AAY23" s="329"/>
      <c r="AAZ23" s="329"/>
      <c r="ABA23" s="329"/>
      <c r="ABB23" s="329"/>
      <c r="ABC23" s="329"/>
      <c r="ABD23" s="329"/>
      <c r="ABE23" s="329"/>
      <c r="ABF23" s="329"/>
    </row>
    <row r="24" spans="1:735" s="23" customFormat="1" ht="6" customHeight="1">
      <c r="A24" s="558"/>
      <c r="B24" s="134"/>
      <c r="C24" s="694"/>
      <c r="D24" s="136"/>
      <c r="E24" s="122"/>
      <c r="F24" s="216"/>
      <c r="G24" s="520"/>
      <c r="H24" s="217"/>
      <c r="I24" s="588"/>
      <c r="J24" s="591"/>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17"/>
      <c r="ZZ24" s="622"/>
      <c r="AAA24" s="588"/>
      <c r="AAB24"/>
      <c r="AAC24"/>
      <c r="AAD24" s="112"/>
      <c r="AAE24" s="551">
        <v>0</v>
      </c>
      <c r="AAF24" s="583" t="s">
        <v>174</v>
      </c>
      <c r="AAG24" s="84"/>
      <c r="AAH24" s="84"/>
      <c r="AAI24" s="84"/>
      <c r="AAJ24" s="77"/>
      <c r="AAK24" s="341"/>
      <c r="AAL24" s="83"/>
      <c r="AAM24" s="112"/>
      <c r="AAU24" s="44"/>
      <c r="AAX24" s="329"/>
      <c r="AAY24" s="329"/>
      <c r="AAZ24" s="329"/>
      <c r="ABA24" s="329"/>
      <c r="ABB24" s="329"/>
      <c r="ABC24" s="329"/>
      <c r="ABD24" s="329"/>
      <c r="ABE24" s="329"/>
      <c r="ABF24" s="329"/>
      <c r="ABG24" s="329"/>
    </row>
    <row r="25" spans="1:735" s="23" customFormat="1" ht="20.100000000000001" customHeight="1">
      <c r="A25" s="558"/>
      <c r="B25" s="758" t="str">
        <f t="shared" si="714"/>
        <v>4-Public Notice WITH hearing</v>
      </c>
      <c r="C25" s="758"/>
      <c r="D25" s="758"/>
      <c r="E25" s="122"/>
      <c r="F25" s="216"/>
      <c r="G25" s="520"/>
      <c r="H25" s="217"/>
      <c r="I25" s="588"/>
      <c r="J25" s="591"/>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645"/>
      <c r="ZZ25" s="622"/>
      <c r="AAA25" s="588"/>
      <c r="AAB25"/>
      <c r="AAC25"/>
      <c r="AAD25" s="112"/>
      <c r="AAE25" s="551">
        <f>IF(S.InvolveNotice=TRUE,1,0)</f>
        <v>1</v>
      </c>
      <c r="AAF25" s="583" t="s">
        <v>174</v>
      </c>
      <c r="AAG25" s="65"/>
      <c r="AAH25" s="65"/>
      <c r="AAI25" s="65"/>
      <c r="AAJ25" s="77"/>
      <c r="AAK25" s="341"/>
      <c r="AAL25" s="209"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2"/>
      <c r="AAU25" s="44"/>
      <c r="AAX25" s="329"/>
      <c r="AAY25" s="329"/>
      <c r="AAZ25" s="329"/>
      <c r="ABA25" s="329"/>
      <c r="ABB25" s="329"/>
      <c r="ABC25" s="329"/>
      <c r="ABD25" s="329"/>
      <c r="ABE25" s="329"/>
      <c r="ABF25" s="329"/>
      <c r="ABG25" s="329"/>
    </row>
    <row r="26" spans="1:735" s="23" customFormat="1" ht="16.7" customHeight="1">
      <c r="A26" s="558"/>
      <c r="B26" s="770" t="str">
        <f>AAL26</f>
        <v>EPA - submit 45 days BEFORE 1st hearing (H31)</v>
      </c>
      <c r="C26" s="771"/>
      <c r="D26" s="771"/>
      <c r="E26" s="518" t="s">
        <v>0</v>
      </c>
      <c r="F26" s="321">
        <f t="shared" ref="F26" ca="1" si="718">NETWORKDAYS(TODAY(),H26,S.DDL_DEQClosed)</f>
        <v>-71</v>
      </c>
      <c r="G26" s="650">
        <f>S.SubmitNoticeToEPA</f>
        <v>41548</v>
      </c>
      <c r="H26" s="322">
        <v>41548</v>
      </c>
      <c r="I26" s="627"/>
      <c r="J26" s="591"/>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588"/>
      <c r="AAB26"/>
      <c r="AAC26"/>
      <c r="AAD26" s="112"/>
      <c r="AAE26" s="552">
        <f>IF(AND(S.InvolveSIP=TRUE,S.InvolveNotice=TRUE),1,0)</f>
        <v>1</v>
      </c>
      <c r="AAF26" s="112" t="s">
        <v>0</v>
      </c>
      <c r="AAG26" s="65"/>
      <c r="AAH26" s="78">
        <f>WORKDAY(S.FirstHearingDate-44,-1,S.DDL_DEQClosed)</f>
        <v>41540</v>
      </c>
      <c r="AAI26" s="341" t="s">
        <v>0</v>
      </c>
      <c r="AAJ26" s="87"/>
      <c r="AAK26" s="577"/>
      <c r="AAL26" s="209" t="str">
        <f>IF(S.InvolveSIP=TRUE,"EPA - submit 45 days BEFORE 1st hearing (H31)","EPA - SIP not involved")</f>
        <v>EPA - submit 45 days BEFORE 1st hearing (H31)</v>
      </c>
      <c r="AAM26" s="112"/>
      <c r="AAU26" s="44"/>
      <c r="AAX26" s="329"/>
      <c r="AAY26" s="329"/>
      <c r="AAZ26" s="329"/>
      <c r="ABA26" s="329"/>
      <c r="ABB26" s="329"/>
      <c r="ABC26" s="329"/>
      <c r="ABD26" s="329"/>
      <c r="ABE26" s="329"/>
      <c r="ABF26" s="329"/>
      <c r="ABG26" s="329"/>
    </row>
    <row r="27" spans="1:735" s="23" customFormat="1" ht="16.7" customHeight="1">
      <c r="A27" s="558"/>
      <c r="B27" s="772" t="str">
        <f>AAL27</f>
        <v>DAS - fees not involved</v>
      </c>
      <c r="C27" s="772"/>
      <c r="D27" s="772"/>
      <c r="E27" s="518" t="s">
        <v>0</v>
      </c>
      <c r="F27" s="321">
        <f t="shared" ref="F27" ca="1" si="719">NETWORKDAYS(TODAY(),H27,S.DDL_DEQClosed)</f>
        <v>-193</v>
      </c>
      <c r="G27" s="650">
        <f>S.SubmitFeeToDAS</f>
        <v>41369</v>
      </c>
      <c r="H27" s="322">
        <f>AAH27</f>
        <v>41369</v>
      </c>
      <c r="I27" s="627"/>
      <c r="J27" s="591"/>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588"/>
      <c r="AAB27"/>
      <c r="AAC27"/>
      <c r="AAD27" s="112"/>
      <c r="AAE27" s="551">
        <f>IF(AND(S.InvolveFee=TRUE,S.InvolveNotice=TRUE),1,0)</f>
        <v>0</v>
      </c>
      <c r="AAF27" s="112" t="s">
        <v>0</v>
      </c>
      <c r="AAG27" s="65"/>
      <c r="AAH27" s="78">
        <f>IF(S.DASApprovalRequired=TRUE,WORKDAY(S.SubmitNoticeToSOS-31,1,S.DDL_DEQClosed),IF(S.InvolveFee=TRUE,S.SubmitNoticeToSOS,S.BANNER.OverviewStart))</f>
        <v>41369</v>
      </c>
      <c r="AAI27" s="77"/>
      <c r="AAJ27" s="77"/>
      <c r="AAK27" s="580">
        <f>IF(AND(S.InvolveSIP=FALSE,S.InvolveCommittee=FALSE,S.InvolveFee=FALSE),0,IF(AND(S.InvolveSIP=TRUE,S.InvolveCommittee=TRUE,S.DASApprovalRequired=TRUE),28,14))</f>
        <v>14</v>
      </c>
      <c r="AAL27" s="83" t="str">
        <f>IF(AND(S.InvolveFee=TRUE,AAJ22=1),"DAS - submit Part 1, about 30 days BEFORE SOS submittal (H28)",IF(AND(S.InvolveFee=TRUE,AAJ22=2),"DAS - email notification before Oregon Bulletin publication","DAS - fees not involved"))</f>
        <v>DAS - fees not involved</v>
      </c>
      <c r="AAM27" s="112"/>
      <c r="AAU27" s="44"/>
      <c r="AAX27" s="329"/>
      <c r="AAY27" s="329"/>
      <c r="AAZ27" s="329"/>
      <c r="ABA27" s="329"/>
      <c r="ABB27" s="329"/>
      <c r="ABC27" s="329"/>
      <c r="ABD27" s="329"/>
      <c r="ABE27" s="329"/>
      <c r="ABF27" s="329"/>
      <c r="ABG27" s="329"/>
    </row>
    <row r="28" spans="1:735" s="23" customFormat="1" ht="16.7" customHeight="1">
      <c r="A28" s="558" t="s">
        <v>0</v>
      </c>
      <c r="B28" s="772" t="str">
        <f t="shared" si="714"/>
        <v>SOS - submit on workday &lt;=15th of month BEFORE Bulletin (H29)</v>
      </c>
      <c r="C28" s="772"/>
      <c r="D28" s="772"/>
      <c r="E28" s="518"/>
      <c r="F28" s="321">
        <f ca="1">NETWORKDAYS(TODAY(),H28,S.DDL_DEQClosed)</f>
        <v>-83</v>
      </c>
      <c r="G28" s="650">
        <f>S.SubmitNoticeToSOS</f>
        <v>41530</v>
      </c>
      <c r="H28" s="322">
        <v>41530</v>
      </c>
      <c r="I28" s="627"/>
      <c r="J28" s="591"/>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588"/>
      <c r="AAB28"/>
      <c r="AAC28"/>
      <c r="AAD28" s="112"/>
      <c r="AAE28" s="551">
        <f>IF(S.InvolveNotice=TRUE,1,0)</f>
        <v>1</v>
      </c>
      <c r="AAF28" s="112" t="s">
        <v>0</v>
      </c>
      <c r="AAG28" s="65"/>
      <c r="AAH28" s="78">
        <f>VLOOKUP(S.PublicNoticeInBulletin,VL_Bulletin,2,FALSE)</f>
        <v>41530</v>
      </c>
      <c r="AAI28" s="77"/>
      <c r="AAJ28" s="77"/>
      <c r="AAK28" s="341"/>
      <c r="AAL28" s="209" t="str">
        <f>IF(S.InvolveNotice=TRUE,"SOS - submit on workday &lt;=15th of month BEFORE Bulletin (H29)","SOS - not involved")</f>
        <v>SOS - submit on workday &lt;=15th of month BEFORE Bulletin (H29)</v>
      </c>
      <c r="AAM28" s="112"/>
      <c r="AAU28" s="44"/>
      <c r="AAV28"/>
      <c r="AAW28"/>
      <c r="AAX28"/>
      <c r="AAY28"/>
      <c r="AAZ28"/>
      <c r="ABA28"/>
      <c r="ABB28"/>
      <c r="ABC28"/>
      <c r="ABD28"/>
    </row>
    <row r="29" spans="1:735" s="23" customFormat="1" ht="16.7" customHeight="1">
      <c r="A29" s="558" t="s">
        <v>0</v>
      </c>
      <c r="B29" s="772" t="s">
        <v>372</v>
      </c>
      <c r="C29" s="772"/>
      <c r="D29" s="772"/>
      <c r="E29" s="733"/>
      <c r="F29" s="321">
        <f ca="1">NETWORKDAYS(TODAY(),H29,S.DDL_DEQClosed)</f>
        <v>-29738</v>
      </c>
      <c r="G29" s="650">
        <f>S.SubmitNoticeToSOS</f>
        <v>41530</v>
      </c>
      <c r="H29" s="739"/>
      <c r="I29" s="627"/>
      <c r="J29" s="591"/>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588"/>
      <c r="AAD29" s="112"/>
      <c r="AAE29" s="551">
        <f>IF(S.InvolveNotice=TRUE,1,0)</f>
        <v>1</v>
      </c>
      <c r="AAF29" s="112" t="s">
        <v>0</v>
      </c>
      <c r="AAG29" s="65"/>
      <c r="AAH29" s="78">
        <f>VLOOKUP(S.PublicNoticeInBulletin,VL_Bulletin,2,FALSE)</f>
        <v>41530</v>
      </c>
      <c r="AAI29" s="77"/>
      <c r="AAJ29" s="77"/>
      <c r="AAK29" s="341"/>
      <c r="AAL29" s="209" t="str">
        <f>IF(S.InvolveNotice=TRUE,"SOS - submit on workday &lt;=15th of month BEFORE Bulletin (H29)","SOS - not involved")</f>
        <v>SOS - submit on workday &lt;=15th of month BEFORE Bulletin (H29)</v>
      </c>
      <c r="AAM29" s="112"/>
      <c r="AAU29" s="44"/>
    </row>
    <row r="30" spans="1:735" s="23" customFormat="1" ht="16.7" customHeight="1">
      <c r="A30" s="558" t="s">
        <v>0</v>
      </c>
      <c r="B30" s="509" t="str">
        <f t="shared" ref="B30" si="720">AAL30</f>
        <v>SOS - Bulletin always publishes 1st of month</v>
      </c>
      <c r="C30" s="694"/>
      <c r="D30" s="785" t="str">
        <f>AAI30</f>
        <v/>
      </c>
      <c r="E30" s="786"/>
      <c r="F30" s="321">
        <f ca="1">NETWORKDAYS(TODAY(),H30,S.DDL_DEQClosed)</f>
        <v>-71</v>
      </c>
      <c r="G30" s="651" t="s">
        <v>0</v>
      </c>
      <c r="H30" s="585">
        <v>41548</v>
      </c>
      <c r="I30" s="627"/>
      <c r="J30" s="591"/>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47"/>
      <c r="ZZ30" s="47"/>
      <c r="AAA30" s="588"/>
      <c r="AAB30"/>
      <c r="AAC30"/>
      <c r="AAD30" s="112"/>
      <c r="AAE30" s="551">
        <f>IF(S.InvolveNotice=TRUE,1,0)</f>
        <v>1</v>
      </c>
      <c r="AAF30" s="112" t="s">
        <v>0</v>
      </c>
      <c r="AAG30" s="65"/>
      <c r="AAH30" s="78">
        <f>VLOOKUP(S.EQCMeeting-60,S.DDL_Bulletin,TRUE)</f>
        <v>41640</v>
      </c>
      <c r="AAI30" s="573" t="str">
        <f>IF(S.PublicNoticeInBulletin&gt;=S.SubmitStaffRpt-25,"Select earlier date &gt;","")</f>
        <v/>
      </c>
      <c r="AAJ30" s="81" t="b">
        <v>1</v>
      </c>
      <c r="AAK30" s="580">
        <f>IF(S.InvolveNotice=TRUE,30,0)</f>
        <v>30</v>
      </c>
      <c r="AAL30" s="209" t="str">
        <f>IF(S.InvolveNotice=TRUE,"SOS - Bulletin always publishes 1st of month","SOS - not involved")</f>
        <v>SOS - Bulletin always publishes 1st of month</v>
      </c>
      <c r="AAM30" s="112"/>
      <c r="AAO30" s="75"/>
      <c r="AAP30" s="75"/>
      <c r="AAQ30" s="75"/>
      <c r="AAR30" s="75"/>
      <c r="AAS30" s="75"/>
      <c r="AAT30" s="75"/>
      <c r="AAU30" s="99"/>
    </row>
    <row r="31" spans="1:735" s="23" customFormat="1" ht="20.100000000000001" customHeight="1">
      <c r="A31" s="558"/>
      <c r="B31" s="130" t="s">
        <v>170</v>
      </c>
      <c r="C31" s="695"/>
      <c r="D31" s="136"/>
      <c r="E31" s="122"/>
      <c r="F31" s="216"/>
      <c r="G31" s="520"/>
      <c r="H31" s="217"/>
      <c r="I31" s="588"/>
      <c r="J31" s="591"/>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646"/>
      <c r="ZZ31" s="622"/>
      <c r="AAA31" s="588"/>
      <c r="AAB31"/>
      <c r="AAC31"/>
      <c r="AAD31" s="112"/>
      <c r="AAE31" s="551">
        <f>IF(S.InvolveNotice=TRUE,1,0)</f>
        <v>1</v>
      </c>
      <c r="AAF31" s="583" t="s">
        <v>174</v>
      </c>
      <c r="AAG31" s="77"/>
      <c r="AAH31" s="77"/>
      <c r="AAI31" s="77"/>
      <c r="AAJ31" s="77"/>
      <c r="AAK31" s="341"/>
      <c r="AAL31" s="210" t="s">
        <v>219</v>
      </c>
      <c r="AAM31" s="112"/>
      <c r="AAN31" s="572" t="s">
        <v>0</v>
      </c>
      <c r="AAU31" s="44"/>
      <c r="AAV31"/>
      <c r="AAW31"/>
      <c r="AAX31"/>
      <c r="AAY31"/>
      <c r="AAZ31"/>
      <c r="ABA31"/>
      <c r="ABB31"/>
      <c r="ABC31"/>
      <c r="ABD31"/>
    </row>
    <row r="32" spans="1:735" ht="16.7" customHeight="1">
      <c r="A32" s="558"/>
      <c r="B32" s="781" t="str">
        <f>AAL32</f>
        <v>First Hearing =&gt; 15th workday AFTER Bulletin (H29)</v>
      </c>
      <c r="C32" s="781"/>
      <c r="D32" s="781"/>
      <c r="E32" s="515"/>
      <c r="F32" s="321">
        <f t="shared" ref="F32:F41" ca="1" si="721">NETWORKDAYS(TODAY(),H32,S.DDL_DEQClosed)</f>
        <v>-44</v>
      </c>
      <c r="G32" s="650">
        <f>S.FirstHearingDate</f>
        <v>41585</v>
      </c>
      <c r="H32" s="322">
        <v>41585</v>
      </c>
      <c r="I32" s="627"/>
      <c r="J32" s="591"/>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588"/>
      <c r="AAD32" s="112"/>
      <c r="AAE32" s="551">
        <f>IF(S.InvolveNotice=FALSE,0,IF(S.InvolveHearing=TRUE,1,0))</f>
        <v>1</v>
      </c>
      <c r="AAF32" s="112" t="s">
        <v>0</v>
      </c>
      <c r="AAG32" s="65"/>
      <c r="AAH32" s="78">
        <f>WORKDAY(S.PublicNoticeInBulletin+13,1,S.DDL_DEQClosed)</f>
        <v>41562</v>
      </c>
      <c r="AAI32" s="77"/>
      <c r="AAJ32" s="81" t="b">
        <v>1</v>
      </c>
      <c r="AAK32" s="580">
        <f>IF(S.InvolveHearing=TRUE,14,0)</f>
        <v>14</v>
      </c>
      <c r="AAL32" s="210" t="str">
        <f>IF(AND(S.InvolveNotice=FALSE,S.InvolveHearing=FALSE),"No public notice with hearing",IF(AND(S.InvolveNotice=FALSE,S.InvolveHearing=TRUE),"ERROR: All hearings must be noticed","First Hearing =&gt; 15th workday AFTER Bulletin (H29)"))</f>
        <v>First Hearing =&gt; 15th workday AFTER Bulletin (H29)</v>
      </c>
      <c r="AAM32" s="112"/>
      <c r="AAN32"/>
      <c r="AAT32" s="23"/>
      <c r="AAU32" s="44"/>
      <c r="AAV32" s="23"/>
      <c r="AAW32" s="23"/>
      <c r="AAX32" s="23"/>
      <c r="AAY32" s="23"/>
      <c r="AAZ32" s="23"/>
      <c r="ABA32" s="23"/>
      <c r="ABB32" s="23"/>
      <c r="ABC32" s="23"/>
      <c r="ABD32" s="23"/>
    </row>
    <row r="33" spans="1:732" ht="17.100000000000001" customHeight="1">
      <c r="A33" s="558"/>
      <c r="B33" s="137" t="str">
        <f>AAL33</f>
        <v>Close PUBLIC COMMENT</v>
      </c>
      <c r="C33" s="696"/>
      <c r="D33" s="139"/>
      <c r="E33" s="124"/>
      <c r="F33" s="321">
        <f ca="1">NETWORKDAYS(TODAY(),H33,S.DDL_DEQClosed)</f>
        <v>-39</v>
      </c>
      <c r="G33" s="650">
        <f>S.CloseComment</f>
        <v>41593</v>
      </c>
      <c r="H33" s="322">
        <v>41593</v>
      </c>
      <c r="I33" s="627"/>
      <c r="J33" s="591"/>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47"/>
      <c r="ZZ33" s="47"/>
      <c r="AAA33" s="588"/>
      <c r="AAD33" s="112"/>
      <c r="AAE33" s="551">
        <f>IF(S.InvolveNotice=TRUE,1,0)</f>
        <v>1</v>
      </c>
      <c r="AAF33" s="112" t="s">
        <v>0</v>
      </c>
      <c r="AAG33" s="65"/>
      <c r="AAH33" s="78">
        <f>IF(S.InvolveNotice=FALSE,S.BANNER.OverviewStart,WORKDAY(S.LastHearingDate+2,1,S.DDL_DEQClosed))</f>
        <v>41590</v>
      </c>
      <c r="AAI33" s="77"/>
      <c r="AAJ33" s="56" t="s">
        <v>0</v>
      </c>
      <c r="AAK33" s="578"/>
      <c r="AAL33" s="115" t="str">
        <f>IF(S.InvolveNotice=FALSE,"No public comment period","Close PUBLIC COMMENT")</f>
        <v>Close PUBLIC COMMENT</v>
      </c>
      <c r="AAM33" s="112"/>
      <c r="AAN33"/>
      <c r="AAT33" s="23"/>
      <c r="AAU33" s="44"/>
      <c r="AAV33" s="23"/>
      <c r="AAW33" s="23"/>
      <c r="AAX33" s="23"/>
      <c r="AAY33" s="23"/>
      <c r="AAZ33" s="23"/>
      <c r="ABA33" s="23"/>
      <c r="ABB33" s="23"/>
      <c r="ABC33" s="23"/>
      <c r="ABD33" s="23"/>
    </row>
    <row r="34" spans="1:732" s="23" customFormat="1" ht="20.100000000000001" customHeight="1">
      <c r="A34" s="558"/>
      <c r="B34" s="140" t="s">
        <v>94</v>
      </c>
      <c r="C34" s="696"/>
      <c r="D34" s="139"/>
      <c r="E34" s="122"/>
      <c r="F34" s="216"/>
      <c r="G34" s="520"/>
      <c r="H34" s="217"/>
      <c r="I34" s="588"/>
      <c r="J34" s="591"/>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646"/>
      <c r="ZZ34" s="622"/>
      <c r="AAA34" s="588"/>
      <c r="AAB34"/>
      <c r="AAC34"/>
      <c r="AAD34" s="112"/>
      <c r="AAE34" s="551">
        <v>1</v>
      </c>
      <c r="AAF34" s="583" t="s">
        <v>174</v>
      </c>
      <c r="AAG34" s="84"/>
      <c r="AAH34" s="84"/>
      <c r="AAI34" s="77"/>
      <c r="AAJ34" s="87"/>
      <c r="AAK34" s="577"/>
      <c r="AAL34" s="116"/>
      <c r="AAM34" s="112"/>
      <c r="AAU34" s="44"/>
    </row>
    <row r="35" spans="1:732" s="23" customFormat="1" ht="17.100000000000001" customHeight="1">
      <c r="A35" s="558"/>
      <c r="B35" s="143" t="s">
        <v>240</v>
      </c>
      <c r="C35" s="697" t="s">
        <v>69</v>
      </c>
      <c r="D35" s="138"/>
      <c r="E35" s="124"/>
      <c r="F35" s="321">
        <f ca="1">NETWORKDAYS(TODAY(),H35,S.DDL_DEQClosed)</f>
        <v>18</v>
      </c>
      <c r="G35" s="650">
        <f>S.SubmitStaffRpt</f>
        <v>41676</v>
      </c>
      <c r="H35" s="323">
        <f>AAH35</f>
        <v>41676</v>
      </c>
      <c r="I35" s="627"/>
      <c r="J35" s="591"/>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588"/>
      <c r="AAB35"/>
      <c r="AAC35"/>
      <c r="AAD35" s="112"/>
      <c r="AAE35" s="551">
        <v>1</v>
      </c>
      <c r="AAF35" s="112" t="s">
        <v>0</v>
      </c>
      <c r="AAG35" s="65"/>
      <c r="AAH35" s="78">
        <f>VLOOKUP(S.EQCMeeting,VL_EQCActivities,2,FALSE)</f>
        <v>41676</v>
      </c>
      <c r="AAI35" s="77"/>
      <c r="AAJ35" s="56"/>
      <c r="AAK35" s="580">
        <v>41</v>
      </c>
      <c r="AAL35" s="39" t="s">
        <v>308</v>
      </c>
      <c r="AAM35" s="112"/>
      <c r="AAU35" s="44"/>
    </row>
    <row r="36" spans="1:732" s="23" customFormat="1" ht="17.100000000000001" customHeight="1">
      <c r="A36" s="558"/>
      <c r="B36" s="143" t="s">
        <v>250</v>
      </c>
      <c r="C36" s="697" t="s">
        <v>69</v>
      </c>
      <c r="D36" s="138"/>
      <c r="E36" s="124"/>
      <c r="F36" s="321">
        <f ca="1">NETWORKDAYS(TODAY(),H36,S.DDL_DEQClosed)</f>
        <v>46</v>
      </c>
      <c r="G36" s="650">
        <f>H36</f>
        <v>41717</v>
      </c>
      <c r="H36" s="324">
        <f>AAH36</f>
        <v>41717</v>
      </c>
      <c r="I36" s="627"/>
      <c r="J36" s="591"/>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47"/>
      <c r="ZZ36" s="47"/>
      <c r="AAA36" s="588"/>
      <c r="AAB36"/>
      <c r="AAC36"/>
      <c r="AAD36" s="112"/>
      <c r="AAE36" s="551">
        <v>1</v>
      </c>
      <c r="AAF36" s="112"/>
      <c r="AAG36" s="65"/>
      <c r="AAH36" s="78">
        <f>S.EQCMeeting</f>
        <v>41717</v>
      </c>
      <c r="AAI36" s="65"/>
      <c r="AAJ36" s="56"/>
      <c r="AAK36" s="578"/>
      <c r="AAL36" s="39"/>
      <c r="AAM36" s="112"/>
      <c r="AAU36" s="44"/>
    </row>
    <row r="37" spans="1:732" s="23" customFormat="1" ht="20.100000000000001" customHeight="1">
      <c r="A37" s="558"/>
      <c r="B37" s="140" t="s">
        <v>172</v>
      </c>
      <c r="C37" s="696"/>
      <c r="D37" s="139"/>
      <c r="E37" s="122"/>
      <c r="F37" s="216"/>
      <c r="G37" s="520"/>
      <c r="H37" s="217"/>
      <c r="I37" s="588"/>
      <c r="J37" s="591"/>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646"/>
      <c r="ZZ37" s="622"/>
      <c r="AAA37" s="588"/>
      <c r="AAB37"/>
      <c r="AAC37"/>
      <c r="AAD37" s="112"/>
      <c r="AAE37" s="551">
        <v>1</v>
      </c>
      <c r="AAF37" s="583" t="s">
        <v>174</v>
      </c>
      <c r="AAG37" s="112"/>
      <c r="AAH37" s="87"/>
      <c r="AAI37" s="65"/>
      <c r="AAJ37" s="87"/>
      <c r="AAK37" s="581">
        <f>AAK6+AAK27+AAK30+AAK32+AAK35</f>
        <v>127</v>
      </c>
      <c r="AAL37" s="116"/>
      <c r="AAM37" s="112"/>
      <c r="AAU37" s="44"/>
    </row>
    <row r="38" spans="1:732" s="23" customFormat="1" ht="17.100000000000001" customHeight="1">
      <c r="A38" s="558"/>
      <c r="B38" s="768" t="s">
        <v>236</v>
      </c>
      <c r="C38" s="768"/>
      <c r="D38" s="768"/>
      <c r="E38" s="124"/>
      <c r="F38" s="321">
        <f t="shared" ref="F38" ca="1" si="722">NETWORKDAYS(TODAY(),H38,S.DDL_DEQClosed)</f>
        <v>48</v>
      </c>
      <c r="G38" s="650">
        <f>S.FileRuleWithSOS</f>
        <v>41719</v>
      </c>
      <c r="H38" s="322">
        <f>AAH38</f>
        <v>41719</v>
      </c>
      <c r="I38" s="627"/>
      <c r="J38" s="591"/>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588"/>
      <c r="AAB38"/>
      <c r="AAC38"/>
      <c r="AAD38" s="112"/>
      <c r="AAE38" s="551">
        <v>1</v>
      </c>
      <c r="AAF38" s="112" t="s">
        <v>0</v>
      </c>
      <c r="AAG38" s="65"/>
      <c r="AAH38" s="78">
        <f>WORKDAY(S.EQCMeeting+5,-1,S.DDL_DEQClosed)</f>
        <v>41719</v>
      </c>
      <c r="AAI38" s="65"/>
      <c r="AAJ38" s="77"/>
      <c r="AAK38" s="341"/>
      <c r="AAL38" s="77"/>
      <c r="AAM38" s="112"/>
      <c r="AAU38" s="44"/>
    </row>
    <row r="39" spans="1:732" s="23" customFormat="1" ht="17.100000000000001" customHeight="1">
      <c r="A39" s="558"/>
      <c r="B39" s="142" t="str">
        <f>AAL39</f>
        <v>EPA - submit SIP</v>
      </c>
      <c r="C39" s="694"/>
      <c r="D39" s="142"/>
      <c r="E39" s="124"/>
      <c r="F39" s="321">
        <f t="shared" ref="F39" ca="1" si="723">NETWORKDAYS(TODAY(),H39,S.DDL_DEQClosed)</f>
        <v>56</v>
      </c>
      <c r="G39" s="650">
        <f>S.SubmitSIPToEPA.PostEQC</f>
        <v>41731</v>
      </c>
      <c r="H39" s="322">
        <f>AAH39</f>
        <v>41731</v>
      </c>
      <c r="I39" s="627"/>
      <c r="J39" s="591"/>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588"/>
      <c r="AAB39"/>
      <c r="AAC39"/>
      <c r="AAD39" s="112"/>
      <c r="AAE39" s="552">
        <f>IF(S.InvolveSIP=TRUE,1,0)</f>
        <v>1</v>
      </c>
      <c r="AAF39" s="112"/>
      <c r="AAG39" s="65"/>
      <c r="AAH39" s="78">
        <f>WORKDAY(S.EQCMeeting,10,S.DDL_DEQClosed)</f>
        <v>41731</v>
      </c>
      <c r="AAI39" s="65"/>
      <c r="AAJ39" s="77"/>
      <c r="AAK39" s="341"/>
      <c r="AAL39" s="209" t="str">
        <f>IF(S.InvolveSIP=TRUE,"EPA - submit SIP","EPA - SIP not involved")</f>
        <v>EPA - submit SIP</v>
      </c>
      <c r="AAM39" s="112"/>
      <c r="AAU39" s="44"/>
      <c r="AAV39"/>
      <c r="AAW39"/>
      <c r="AAX39"/>
      <c r="AAY39"/>
      <c r="AAZ39"/>
      <c r="ABA39"/>
      <c r="ABB39"/>
      <c r="ABC39"/>
      <c r="ABD39"/>
    </row>
    <row r="40" spans="1:732" s="23" customFormat="1" ht="17.100000000000001" customHeight="1">
      <c r="A40" s="558"/>
      <c r="B40" s="768" t="str">
        <f>IF(S.InvolveFee=FALSE,"DAS - fees not involved",IF(AAJ22=1,"DAS - submit Part 2 within 10 days after EQC rulemaking action","DAS - email notification within 10 days after EQC rulemaking action"))</f>
        <v>DAS - fees not involved</v>
      </c>
      <c r="C40" s="768"/>
      <c r="D40" s="768"/>
      <c r="E40" s="124"/>
      <c r="F40" s="321">
        <f t="shared" ref="F40" ca="1" si="724">NETWORKDAYS(TODAY(),H40,S.DDL_DEQClosed)</f>
        <v>49</v>
      </c>
      <c r="G40" s="650">
        <f>S.SubmitDASPart2</f>
        <v>41722</v>
      </c>
      <c r="H40" s="322">
        <f>AAH40</f>
        <v>41722</v>
      </c>
      <c r="I40" s="627"/>
      <c r="J40" s="591"/>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47"/>
      <c r="JJ40" s="47"/>
      <c r="JK40" s="47"/>
      <c r="JL40" s="47"/>
      <c r="JM40" s="47"/>
      <c r="JN40" s="47"/>
      <c r="JO40" s="47"/>
      <c r="JP40" s="47"/>
      <c r="JQ40" s="47"/>
      <c r="JR40" s="47"/>
      <c r="JS40" s="47"/>
      <c r="JT40" s="47"/>
      <c r="JU40" s="47"/>
      <c r="JV40" s="47"/>
      <c r="JW40" s="47"/>
      <c r="JX40" s="47"/>
      <c r="JY40" s="47"/>
      <c r="JZ40" s="47"/>
      <c r="KA40" s="47"/>
      <c r="KB40" s="47"/>
      <c r="KC40" s="47"/>
      <c r="KD40" s="47"/>
      <c r="KE40" s="47"/>
      <c r="KF40" s="47"/>
      <c r="KG40" s="47"/>
      <c r="KH40" s="47"/>
      <c r="KI40" s="47"/>
      <c r="KJ40" s="47"/>
      <c r="KK40" s="47"/>
      <c r="KL40" s="47"/>
      <c r="KM40" s="47"/>
      <c r="KN40" s="47"/>
      <c r="KO40" s="47"/>
      <c r="KP40" s="47"/>
      <c r="KQ40" s="47"/>
      <c r="KR40" s="47"/>
      <c r="KS40" s="47"/>
      <c r="KT40" s="47"/>
      <c r="KU40" s="47"/>
      <c r="KV40" s="47"/>
      <c r="KW40" s="47"/>
      <c r="KX40" s="47"/>
      <c r="KY40" s="47"/>
      <c r="KZ40" s="47"/>
      <c r="LA40" s="47"/>
      <c r="LB40" s="47"/>
      <c r="LC40" s="47"/>
      <c r="LD40" s="47"/>
      <c r="LE40" s="47"/>
      <c r="LF40" s="47"/>
      <c r="LG40" s="47"/>
      <c r="LH40" s="47"/>
      <c r="LI40" s="47"/>
      <c r="LJ40" s="47"/>
      <c r="LK40" s="47"/>
      <c r="LL40" s="47"/>
      <c r="LM40" s="47"/>
      <c r="LN40" s="47"/>
      <c r="LO40" s="47"/>
      <c r="LP40" s="47"/>
      <c r="LQ40" s="47"/>
      <c r="LR40" s="47"/>
      <c r="LS40" s="47"/>
      <c r="LT40" s="47"/>
      <c r="LU40" s="47"/>
      <c r="LV40" s="47"/>
      <c r="LW40" s="47"/>
      <c r="LX40" s="47"/>
      <c r="LY40" s="47"/>
      <c r="LZ40" s="47"/>
      <c r="MA40" s="47"/>
      <c r="MB40" s="47"/>
      <c r="MC40" s="47"/>
      <c r="MD40" s="47"/>
      <c r="ME40" s="47"/>
      <c r="MF40" s="47"/>
      <c r="MG40" s="47"/>
      <c r="MH40" s="47"/>
      <c r="MI40" s="47"/>
      <c r="MJ40" s="47"/>
      <c r="MK40" s="47"/>
      <c r="ML40" s="47"/>
      <c r="MM40" s="47"/>
      <c r="MN40" s="47"/>
      <c r="MO40" s="47"/>
      <c r="MP40" s="47"/>
      <c r="MQ40" s="47"/>
      <c r="MR40" s="47"/>
      <c r="MS40" s="47"/>
      <c r="MT40" s="47"/>
      <c r="MU40" s="47"/>
      <c r="MV40" s="47"/>
      <c r="MW40" s="47"/>
      <c r="MX40" s="47"/>
      <c r="MY40" s="47"/>
      <c r="MZ40" s="47"/>
      <c r="NA40" s="47"/>
      <c r="NB40" s="47"/>
      <c r="NC40" s="47"/>
      <c r="ND40" s="47"/>
      <c r="NE40" s="47"/>
      <c r="NF40" s="47"/>
      <c r="NG40" s="47"/>
      <c r="NH40" s="47"/>
      <c r="NI40" s="47"/>
      <c r="NJ40" s="47"/>
      <c r="NK40" s="47"/>
      <c r="NL40" s="47"/>
      <c r="NM40" s="47"/>
      <c r="NN40" s="47"/>
      <c r="NO40" s="47"/>
      <c r="NP40" s="47"/>
      <c r="NQ40" s="47"/>
      <c r="NR40" s="47"/>
      <c r="NS40" s="47"/>
      <c r="NT40" s="47"/>
      <c r="NU40" s="47"/>
      <c r="NV40" s="47"/>
      <c r="NW40" s="47"/>
      <c r="NX40" s="47"/>
      <c r="NY40" s="47"/>
      <c r="NZ40" s="47"/>
      <c r="OA40" s="47"/>
      <c r="OB40" s="47"/>
      <c r="OC40" s="47"/>
      <c r="OD40" s="47"/>
      <c r="OE40" s="47"/>
      <c r="OF40" s="47"/>
      <c r="OG40" s="47"/>
      <c r="OH40" s="47"/>
      <c r="OI40" s="47"/>
      <c r="OJ40" s="47"/>
      <c r="OK40" s="47"/>
      <c r="OL40" s="47"/>
      <c r="OM40" s="47"/>
      <c r="ON40" s="47"/>
      <c r="OO40" s="47"/>
      <c r="OP40" s="47"/>
      <c r="OQ40" s="47"/>
      <c r="OR40" s="47"/>
      <c r="OS40" s="47"/>
      <c r="OT40" s="47"/>
      <c r="OU40" s="47"/>
      <c r="OV40" s="47"/>
      <c r="OW40" s="47"/>
      <c r="OX40" s="47"/>
      <c r="OY40" s="47"/>
      <c r="OZ40" s="47"/>
      <c r="PA40" s="47"/>
      <c r="PB40" s="47"/>
      <c r="PC40" s="47"/>
      <c r="PD40" s="47"/>
      <c r="PE40" s="47"/>
      <c r="PF40" s="47"/>
      <c r="PG40" s="47"/>
      <c r="PH40" s="47"/>
      <c r="PI40" s="47"/>
      <c r="PJ40" s="47"/>
      <c r="PK40" s="47"/>
      <c r="PL40" s="47"/>
      <c r="PM40" s="47"/>
      <c r="PN40" s="47"/>
      <c r="PO40" s="47"/>
      <c r="PP40" s="47"/>
      <c r="PQ40" s="47"/>
      <c r="PR40" s="47"/>
      <c r="PS40" s="47"/>
      <c r="PT40" s="47"/>
      <c r="PU40" s="47"/>
      <c r="PV40" s="47"/>
      <c r="PW40" s="47"/>
      <c r="PX40" s="47"/>
      <c r="PY40" s="47"/>
      <c r="PZ40" s="47"/>
      <c r="QA40" s="47"/>
      <c r="QB40" s="47"/>
      <c r="QC40" s="47"/>
      <c r="QD40" s="47"/>
      <c r="QE40" s="47"/>
      <c r="QF40" s="47"/>
      <c r="QG40" s="47"/>
      <c r="QH40" s="47"/>
      <c r="QI40" s="47"/>
      <c r="QJ40" s="47"/>
      <c r="QK40" s="47"/>
      <c r="QL40" s="47"/>
      <c r="QM40" s="47"/>
      <c r="QN40" s="47"/>
      <c r="QO40" s="47"/>
      <c r="QP40" s="47"/>
      <c r="QQ40" s="47"/>
      <c r="QR40" s="47"/>
      <c r="QS40" s="47"/>
      <c r="QT40" s="47"/>
      <c r="QU40" s="47"/>
      <c r="QV40" s="47"/>
      <c r="QW40" s="47"/>
      <c r="QX40" s="47"/>
      <c r="QY40" s="47"/>
      <c r="QZ40" s="47"/>
      <c r="RA40" s="47"/>
      <c r="RB40" s="47"/>
      <c r="RC40" s="47"/>
      <c r="RD40" s="47"/>
      <c r="RE40" s="47"/>
      <c r="RF40" s="47"/>
      <c r="RG40" s="47"/>
      <c r="RH40" s="47"/>
      <c r="RI40" s="47"/>
      <c r="RJ40" s="47"/>
      <c r="RK40" s="47"/>
      <c r="RL40" s="47"/>
      <c r="RM40" s="47"/>
      <c r="RN40" s="47"/>
      <c r="RO40" s="47"/>
      <c r="RP40" s="47"/>
      <c r="RQ40" s="47"/>
      <c r="RR40" s="47"/>
      <c r="RS40" s="47"/>
      <c r="RT40" s="47"/>
      <c r="RU40" s="47"/>
      <c r="RV40" s="47"/>
      <c r="RW40" s="47"/>
      <c r="RX40" s="47"/>
      <c r="RY40" s="47"/>
      <c r="RZ40" s="47"/>
      <c r="SA40" s="47"/>
      <c r="SB40" s="47"/>
      <c r="SC40" s="47"/>
      <c r="SD40" s="47"/>
      <c r="SE40" s="47"/>
      <c r="SF40" s="47"/>
      <c r="SG40" s="47"/>
      <c r="SH40" s="47"/>
      <c r="SI40" s="47"/>
      <c r="SJ40" s="47"/>
      <c r="SK40" s="47"/>
      <c r="SL40" s="47"/>
      <c r="SM40" s="47"/>
      <c r="SN40" s="47"/>
      <c r="SO40" s="47"/>
      <c r="SP40" s="47"/>
      <c r="SQ40" s="47"/>
      <c r="SR40" s="47"/>
      <c r="SS40" s="47"/>
      <c r="ST40" s="47"/>
      <c r="SU40" s="47"/>
      <c r="SV40" s="47"/>
      <c r="SW40" s="47"/>
      <c r="SX40" s="47"/>
      <c r="SY40" s="47"/>
      <c r="SZ40" s="47"/>
      <c r="TA40" s="47"/>
      <c r="TB40" s="47"/>
      <c r="TC40" s="47"/>
      <c r="TD40" s="47"/>
      <c r="TE40" s="47"/>
      <c r="TF40" s="47"/>
      <c r="TG40" s="47"/>
      <c r="TH40" s="47"/>
      <c r="TI40" s="47"/>
      <c r="TJ40" s="47"/>
      <c r="TK40" s="47"/>
      <c r="TL40" s="47"/>
      <c r="TM40" s="47"/>
      <c r="TN40" s="47"/>
      <c r="TO40" s="47"/>
      <c r="TP40" s="47"/>
      <c r="TQ40" s="47"/>
      <c r="TR40" s="47"/>
      <c r="TS40" s="47"/>
      <c r="TT40" s="47"/>
      <c r="TU40" s="47"/>
      <c r="TV40" s="47"/>
      <c r="TW40" s="47"/>
      <c r="TX40" s="47"/>
      <c r="TY40" s="47"/>
      <c r="TZ40" s="47"/>
      <c r="UA40" s="47"/>
      <c r="UB40" s="47"/>
      <c r="UC40" s="47"/>
      <c r="UD40" s="47"/>
      <c r="UE40" s="47"/>
      <c r="UF40" s="47"/>
      <c r="UG40" s="47"/>
      <c r="UH40" s="47"/>
      <c r="UI40" s="47"/>
      <c r="UJ40" s="47"/>
      <c r="UK40" s="47"/>
      <c r="UL40" s="47"/>
      <c r="UM40" s="47"/>
      <c r="UN40" s="47"/>
      <c r="UO40" s="47"/>
      <c r="UP40" s="47"/>
      <c r="UQ40" s="47"/>
      <c r="UR40" s="47"/>
      <c r="US40" s="47"/>
      <c r="UT40" s="47"/>
      <c r="UU40" s="47"/>
      <c r="UV40" s="47"/>
      <c r="UW40" s="47"/>
      <c r="UX40" s="47"/>
      <c r="UY40" s="47"/>
      <c r="UZ40" s="47"/>
      <c r="VA40" s="47"/>
      <c r="VB40" s="47"/>
      <c r="VC40" s="47"/>
      <c r="VD40" s="47"/>
      <c r="VE40" s="47"/>
      <c r="VF40" s="47"/>
      <c r="VG40" s="47"/>
      <c r="VH40" s="47"/>
      <c r="VI40" s="47"/>
      <c r="VJ40" s="47"/>
      <c r="VK40" s="47"/>
      <c r="VL40" s="47"/>
      <c r="VM40" s="47"/>
      <c r="VN40" s="47"/>
      <c r="VO40" s="47"/>
      <c r="VP40" s="47"/>
      <c r="VQ40" s="47"/>
      <c r="VR40" s="47"/>
      <c r="VS40" s="47"/>
      <c r="VT40" s="47"/>
      <c r="VU40" s="47"/>
      <c r="VV40" s="47"/>
      <c r="VW40" s="47"/>
      <c r="VX40" s="47"/>
      <c r="VY40" s="47"/>
      <c r="VZ40" s="47"/>
      <c r="WA40" s="47"/>
      <c r="WB40" s="47"/>
      <c r="WC40" s="47"/>
      <c r="WD40" s="47"/>
      <c r="WE40" s="47"/>
      <c r="WF40" s="47"/>
      <c r="WG40" s="47"/>
      <c r="WH40" s="47"/>
      <c r="WI40" s="47"/>
      <c r="WJ40" s="47"/>
      <c r="WK40" s="47"/>
      <c r="WL40" s="47"/>
      <c r="WM40" s="47"/>
      <c r="WN40" s="47"/>
      <c r="WO40" s="47"/>
      <c r="WP40" s="47"/>
      <c r="WQ40" s="47"/>
      <c r="WR40" s="47"/>
      <c r="WS40" s="47"/>
      <c r="WT40" s="47"/>
      <c r="WU40" s="47"/>
      <c r="WV40" s="47"/>
      <c r="WW40" s="47"/>
      <c r="WX40" s="47"/>
      <c r="WY40" s="47"/>
      <c r="WZ40" s="47"/>
      <c r="XA40" s="47"/>
      <c r="XB40" s="47"/>
      <c r="XC40" s="47"/>
      <c r="XD40" s="47"/>
      <c r="XE40" s="47"/>
      <c r="XF40" s="47"/>
      <c r="XG40" s="47"/>
      <c r="XH40" s="47"/>
      <c r="XI40" s="47"/>
      <c r="XJ40" s="47"/>
      <c r="XK40" s="47"/>
      <c r="XL40" s="47"/>
      <c r="XM40" s="47"/>
      <c r="XN40" s="47"/>
      <c r="XO40" s="47"/>
      <c r="XP40" s="47"/>
      <c r="XQ40" s="47"/>
      <c r="XR40" s="47"/>
      <c r="XS40" s="47"/>
      <c r="XT40" s="47"/>
      <c r="XU40" s="47"/>
      <c r="XV40" s="47"/>
      <c r="XW40" s="47"/>
      <c r="XX40" s="47"/>
      <c r="XY40" s="47"/>
      <c r="XZ40" s="47"/>
      <c r="YA40" s="47"/>
      <c r="YB40" s="47"/>
      <c r="YC40" s="47"/>
      <c r="YD40" s="47"/>
      <c r="YE40" s="47"/>
      <c r="YF40" s="47"/>
      <c r="YG40" s="47"/>
      <c r="YH40" s="47"/>
      <c r="YI40" s="47"/>
      <c r="YJ40" s="47"/>
      <c r="YK40" s="47"/>
      <c r="YL40" s="47"/>
      <c r="YM40" s="47"/>
      <c r="YN40" s="47"/>
      <c r="YO40" s="47"/>
      <c r="YP40" s="47"/>
      <c r="YQ40" s="47"/>
      <c r="YR40" s="47"/>
      <c r="YS40" s="47"/>
      <c r="YT40" s="47"/>
      <c r="YU40" s="47"/>
      <c r="YV40" s="47"/>
      <c r="YW40" s="47"/>
      <c r="YX40" s="47"/>
      <c r="YY40" s="47"/>
      <c r="YZ40" s="47"/>
      <c r="ZA40" s="47"/>
      <c r="ZB40" s="47"/>
      <c r="ZC40" s="47"/>
      <c r="ZD40" s="47"/>
      <c r="ZE40" s="47"/>
      <c r="ZF40" s="47"/>
      <c r="ZG40" s="47"/>
      <c r="ZH40" s="47"/>
      <c r="ZI40" s="47"/>
      <c r="ZJ40" s="47"/>
      <c r="ZK40" s="47"/>
      <c r="ZL40" s="47"/>
      <c r="ZM40" s="47"/>
      <c r="ZN40" s="47"/>
      <c r="ZO40" s="47"/>
      <c r="ZP40" s="47"/>
      <c r="ZQ40" s="47"/>
      <c r="ZR40" s="47"/>
      <c r="ZS40" s="47"/>
      <c r="ZT40" s="47"/>
      <c r="ZU40" s="47"/>
      <c r="ZV40" s="47"/>
      <c r="ZW40" s="47"/>
      <c r="ZX40" s="47"/>
      <c r="ZY40" s="47"/>
      <c r="ZZ40" s="47"/>
      <c r="AAA40" s="588"/>
      <c r="AAB40"/>
      <c r="AAC40"/>
      <c r="AAD40" s="112"/>
      <c r="AAE40" s="551">
        <f>IF(S.InvolveFee=TRUE,1,0)</f>
        <v>0</v>
      </c>
      <c r="AAF40" s="112" t="s">
        <v>0</v>
      </c>
      <c r="AAG40" s="112" t="s">
        <v>0</v>
      </c>
      <c r="AAH40" s="78">
        <f>WORKDAY(S.EQCMeeting+5,0,S.DDL_DEQClosed)</f>
        <v>41722</v>
      </c>
      <c r="AAI40" s="65"/>
      <c r="AAJ40" s="77"/>
      <c r="AAK40" s="341"/>
      <c r="AAL40" s="83" t="str">
        <f>IF(S.InvolveFee=FALSE,"DAS - fees not involved",IF(AAJ22=1,"DAS - submit Part 2 within ten days after EQC rulemaking action","DAS - email notification within 10 days after EQC rulemaking action"))</f>
        <v>DAS - fees not involved</v>
      </c>
      <c r="AAM40" s="112"/>
      <c r="AAU40" s="44"/>
      <c r="AAV40"/>
      <c r="AAW40"/>
      <c r="AAX40"/>
      <c r="AAY40"/>
      <c r="AAZ40"/>
      <c r="ABA40"/>
      <c r="ABB40"/>
      <c r="ABC40"/>
      <c r="ABD40"/>
    </row>
    <row r="41" spans="1:732" ht="17.100000000000001" customHeight="1">
      <c r="A41" s="558"/>
      <c r="B41" s="767" t="s">
        <v>251</v>
      </c>
      <c r="C41" s="767"/>
      <c r="D41" s="139" t="s">
        <v>0</v>
      </c>
      <c r="E41" s="124"/>
      <c r="F41" s="321">
        <f t="shared" ca="1" si="721"/>
        <v>48</v>
      </c>
      <c r="G41" s="650">
        <f>S.RuleEffective</f>
        <v>41719</v>
      </c>
      <c r="H41" s="322">
        <f>AAH41</f>
        <v>41719</v>
      </c>
      <c r="I41" s="627"/>
      <c r="J41" s="592"/>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c r="IS41" s="50"/>
      <c r="IT41" s="50"/>
      <c r="IU41" s="50"/>
      <c r="IV41" s="50"/>
      <c r="IW41" s="50"/>
      <c r="IX41" s="50"/>
      <c r="IY41" s="50"/>
      <c r="IZ41" s="50"/>
      <c r="JA41" s="50"/>
      <c r="JB41" s="50"/>
      <c r="JC41" s="50"/>
      <c r="JD41" s="50"/>
      <c r="JE41" s="50"/>
      <c r="JF41" s="50"/>
      <c r="JG41" s="50"/>
      <c r="JH41" s="50"/>
      <c r="JI41" s="50"/>
      <c r="JJ41" s="50"/>
      <c r="JK41" s="50"/>
      <c r="JL41" s="50"/>
      <c r="JM41" s="50"/>
      <c r="JN41" s="50"/>
      <c r="JO41" s="50"/>
      <c r="JP41" s="50"/>
      <c r="JQ41" s="50"/>
      <c r="JR41" s="50"/>
      <c r="JS41" s="50"/>
      <c r="JT41" s="50"/>
      <c r="JU41" s="50"/>
      <c r="JV41" s="50"/>
      <c r="JW41" s="50"/>
      <c r="JX41" s="50"/>
      <c r="JY41" s="50"/>
      <c r="JZ41" s="50"/>
      <c r="KA41" s="50"/>
      <c r="KB41" s="50"/>
      <c r="KC41" s="50"/>
      <c r="KD41" s="50"/>
      <c r="KE41" s="50"/>
      <c r="KF41" s="50"/>
      <c r="KG41" s="50"/>
      <c r="KH41" s="50"/>
      <c r="KI41" s="50"/>
      <c r="KJ41" s="50"/>
      <c r="KK41" s="50"/>
      <c r="KL41" s="50"/>
      <c r="KM41" s="50"/>
      <c r="KN41" s="50"/>
      <c r="KO41" s="50"/>
      <c r="KP41" s="50"/>
      <c r="KQ41" s="50"/>
      <c r="KR41" s="50"/>
      <c r="KS41" s="50"/>
      <c r="KT41" s="50"/>
      <c r="KU41" s="50"/>
      <c r="KV41" s="50"/>
      <c r="KW41" s="50"/>
      <c r="KX41" s="50"/>
      <c r="KY41" s="50"/>
      <c r="KZ41" s="50"/>
      <c r="LA41" s="50"/>
      <c r="LB41" s="50"/>
      <c r="LC41" s="50"/>
      <c r="LD41" s="50"/>
      <c r="LE41" s="50"/>
      <c r="LF41" s="50"/>
      <c r="LG41" s="50"/>
      <c r="LH41" s="50"/>
      <c r="LI41" s="50"/>
      <c r="LJ41" s="50"/>
      <c r="LK41" s="50"/>
      <c r="LL41" s="50"/>
      <c r="LM41" s="50"/>
      <c r="LN41" s="50"/>
      <c r="LO41" s="50"/>
      <c r="LP41" s="50"/>
      <c r="LQ41" s="50"/>
      <c r="LR41" s="50"/>
      <c r="LS41" s="50"/>
      <c r="LT41" s="50"/>
      <c r="LU41" s="50"/>
      <c r="LV41" s="50"/>
      <c r="LW41" s="50"/>
      <c r="LX41" s="50"/>
      <c r="LY41" s="50"/>
      <c r="LZ41" s="50"/>
      <c r="MA41" s="50"/>
      <c r="MB41" s="50"/>
      <c r="MC41" s="50"/>
      <c r="MD41" s="50"/>
      <c r="ME41" s="50"/>
      <c r="MF41" s="50"/>
      <c r="MG41" s="50"/>
      <c r="MH41" s="50"/>
      <c r="MI41" s="50"/>
      <c r="MJ41" s="50"/>
      <c r="MK41" s="50"/>
      <c r="ML41" s="50"/>
      <c r="MM41" s="50"/>
      <c r="MN41" s="50"/>
      <c r="MO41" s="50"/>
      <c r="MP41" s="50"/>
      <c r="MQ41" s="50"/>
      <c r="MR41" s="50"/>
      <c r="MS41" s="50"/>
      <c r="MT41" s="50"/>
      <c r="MU41" s="50"/>
      <c r="MV41" s="50"/>
      <c r="MW41" s="50"/>
      <c r="MX41" s="50"/>
      <c r="MY41" s="50"/>
      <c r="MZ41" s="50"/>
      <c r="NA41" s="50"/>
      <c r="NB41" s="50"/>
      <c r="NC41" s="50"/>
      <c r="ND41" s="50"/>
      <c r="NE41" s="50"/>
      <c r="NF41" s="50"/>
      <c r="NG41" s="50"/>
      <c r="NH41" s="50"/>
      <c r="NI41" s="50"/>
      <c r="NJ41" s="50"/>
      <c r="NK41" s="50"/>
      <c r="NL41" s="50"/>
      <c r="NM41" s="50"/>
      <c r="NN41" s="50"/>
      <c r="NO41" s="50"/>
      <c r="NP41" s="50"/>
      <c r="NQ41" s="50"/>
      <c r="NR41" s="50"/>
      <c r="NS41" s="50"/>
      <c r="NT41" s="50"/>
      <c r="NU41" s="50"/>
      <c r="NV41" s="50"/>
      <c r="NW41" s="50"/>
      <c r="NX41" s="50"/>
      <c r="NY41" s="50"/>
      <c r="NZ41" s="50"/>
      <c r="OA41" s="50"/>
      <c r="OB41" s="50"/>
      <c r="OC41" s="50"/>
      <c r="OD41" s="50"/>
      <c r="OE41" s="50"/>
      <c r="OF41" s="50"/>
      <c r="OG41" s="50"/>
      <c r="OH41" s="50"/>
      <c r="OI41" s="50"/>
      <c r="OJ41" s="50"/>
      <c r="OK41" s="50"/>
      <c r="OL41" s="50"/>
      <c r="OM41" s="50"/>
      <c r="ON41" s="50"/>
      <c r="OO41" s="50"/>
      <c r="OP41" s="50"/>
      <c r="OQ41" s="50"/>
      <c r="OR41" s="50"/>
      <c r="OS41" s="50"/>
      <c r="OT41" s="50"/>
      <c r="OU41" s="50"/>
      <c r="OV41" s="50"/>
      <c r="OW41" s="50"/>
      <c r="OX41" s="50"/>
      <c r="OY41" s="50"/>
      <c r="OZ41" s="50"/>
      <c r="PA41" s="50"/>
      <c r="PB41" s="50"/>
      <c r="PC41" s="50"/>
      <c r="PD41" s="50"/>
      <c r="PE41" s="50"/>
      <c r="PF41" s="50"/>
      <c r="PG41" s="50"/>
      <c r="PH41" s="50"/>
      <c r="PI41" s="50"/>
      <c r="PJ41" s="50"/>
      <c r="PK41" s="50"/>
      <c r="PL41" s="50"/>
      <c r="PM41" s="50"/>
      <c r="PN41" s="50"/>
      <c r="PO41" s="50"/>
      <c r="PP41" s="50"/>
      <c r="PQ41" s="50"/>
      <c r="PR41" s="50"/>
      <c r="PS41" s="50"/>
      <c r="PT41" s="50"/>
      <c r="PU41" s="50"/>
      <c r="PV41" s="50"/>
      <c r="PW41" s="50"/>
      <c r="PX41" s="50"/>
      <c r="PY41" s="50"/>
      <c r="PZ41" s="50"/>
      <c r="QA41" s="50"/>
      <c r="QB41" s="50"/>
      <c r="QC41" s="50"/>
      <c r="QD41" s="50"/>
      <c r="QE41" s="50"/>
      <c r="QF41" s="50"/>
      <c r="QG41" s="50"/>
      <c r="QH41" s="50"/>
      <c r="QI41" s="50"/>
      <c r="QJ41" s="50"/>
      <c r="QK41" s="50"/>
      <c r="QL41" s="50"/>
      <c r="QM41" s="50"/>
      <c r="QN41" s="50"/>
      <c r="QO41" s="50"/>
      <c r="QP41" s="50"/>
      <c r="QQ41" s="50"/>
      <c r="QR41" s="50"/>
      <c r="QS41" s="50"/>
      <c r="QT41" s="50"/>
      <c r="QU41" s="50"/>
      <c r="QV41" s="50"/>
      <c r="QW41" s="50"/>
      <c r="QX41" s="50"/>
      <c r="QY41" s="50"/>
      <c r="QZ41" s="50"/>
      <c r="RA41" s="50"/>
      <c r="RB41" s="50"/>
      <c r="RC41" s="50"/>
      <c r="RD41" s="50"/>
      <c r="RE41" s="50"/>
      <c r="RF41" s="50"/>
      <c r="RG41" s="50"/>
      <c r="RH41" s="50"/>
      <c r="RI41" s="50"/>
      <c r="RJ41" s="50"/>
      <c r="RK41" s="50"/>
      <c r="RL41" s="50"/>
      <c r="RM41" s="50"/>
      <c r="RN41" s="50"/>
      <c r="RO41" s="50"/>
      <c r="RP41" s="50"/>
      <c r="RQ41" s="50"/>
      <c r="RR41" s="50"/>
      <c r="RS41" s="50"/>
      <c r="RT41" s="50"/>
      <c r="RU41" s="50"/>
      <c r="RV41" s="50"/>
      <c r="RW41" s="50"/>
      <c r="RX41" s="50"/>
      <c r="RY41" s="50"/>
      <c r="RZ41" s="50"/>
      <c r="SA41" s="50"/>
      <c r="SB41" s="50"/>
      <c r="SC41" s="50"/>
      <c r="SD41" s="50"/>
      <c r="SE41" s="50"/>
      <c r="SF41" s="50"/>
      <c r="SG41" s="50"/>
      <c r="SH41" s="50"/>
      <c r="SI41" s="50"/>
      <c r="SJ41" s="50"/>
      <c r="SK41" s="50"/>
      <c r="SL41" s="50"/>
      <c r="SM41" s="50"/>
      <c r="SN41" s="50"/>
      <c r="SO41" s="50"/>
      <c r="SP41" s="50"/>
      <c r="SQ41" s="50"/>
      <c r="SR41" s="50"/>
      <c r="SS41" s="50"/>
      <c r="ST41" s="50"/>
      <c r="SU41" s="50"/>
      <c r="SV41" s="50"/>
      <c r="SW41" s="50"/>
      <c r="SX41" s="50"/>
      <c r="SY41" s="50"/>
      <c r="SZ41" s="50"/>
      <c r="TA41" s="50"/>
      <c r="TB41" s="50"/>
      <c r="TC41" s="50"/>
      <c r="TD41" s="50"/>
      <c r="TE41" s="50"/>
      <c r="TF41" s="50"/>
      <c r="TG41" s="50"/>
      <c r="TH41" s="50"/>
      <c r="TI41" s="50"/>
      <c r="TJ41" s="50"/>
      <c r="TK41" s="50"/>
      <c r="TL41" s="50"/>
      <c r="TM41" s="50"/>
      <c r="TN41" s="50"/>
      <c r="TO41" s="50"/>
      <c r="TP41" s="50"/>
      <c r="TQ41" s="50"/>
      <c r="TR41" s="50"/>
      <c r="TS41" s="50"/>
      <c r="TT41" s="50"/>
      <c r="TU41" s="50"/>
      <c r="TV41" s="50"/>
      <c r="TW41" s="50"/>
      <c r="TX41" s="50"/>
      <c r="TY41" s="50"/>
      <c r="TZ41" s="50"/>
      <c r="UA41" s="50"/>
      <c r="UB41" s="50"/>
      <c r="UC41" s="50"/>
      <c r="UD41" s="50"/>
      <c r="UE41" s="50"/>
      <c r="UF41" s="50"/>
      <c r="UG41" s="50"/>
      <c r="UH41" s="50"/>
      <c r="UI41" s="50"/>
      <c r="UJ41" s="50"/>
      <c r="UK41" s="50"/>
      <c r="UL41" s="50"/>
      <c r="UM41" s="50"/>
      <c r="UN41" s="50"/>
      <c r="UO41" s="50"/>
      <c r="UP41" s="50"/>
      <c r="UQ41" s="50"/>
      <c r="UR41" s="50"/>
      <c r="US41" s="50"/>
      <c r="UT41" s="50"/>
      <c r="UU41" s="50"/>
      <c r="UV41" s="50"/>
      <c r="UW41" s="50"/>
      <c r="UX41" s="50"/>
      <c r="UY41" s="50"/>
      <c r="UZ41" s="50"/>
      <c r="VA41" s="50"/>
      <c r="VB41" s="50"/>
      <c r="VC41" s="50"/>
      <c r="VD41" s="50"/>
      <c r="VE41" s="50"/>
      <c r="VF41" s="50"/>
      <c r="VG41" s="50"/>
      <c r="VH41" s="50"/>
      <c r="VI41" s="50"/>
      <c r="VJ41" s="50"/>
      <c r="VK41" s="50"/>
      <c r="VL41" s="50"/>
      <c r="VM41" s="50"/>
      <c r="VN41" s="50"/>
      <c r="VO41" s="50"/>
      <c r="VP41" s="50"/>
      <c r="VQ41" s="50"/>
      <c r="VR41" s="50"/>
      <c r="VS41" s="50"/>
      <c r="VT41" s="50"/>
      <c r="VU41" s="50"/>
      <c r="VV41" s="50"/>
      <c r="VW41" s="50"/>
      <c r="VX41" s="50"/>
      <c r="VY41" s="50"/>
      <c r="VZ41" s="50"/>
      <c r="WA41" s="50"/>
      <c r="WB41" s="50"/>
      <c r="WC41" s="50"/>
      <c r="WD41" s="50"/>
      <c r="WE41" s="50"/>
      <c r="WF41" s="50"/>
      <c r="WG41" s="50"/>
      <c r="WH41" s="50"/>
      <c r="WI41" s="50"/>
      <c r="WJ41" s="50"/>
      <c r="WK41" s="50"/>
      <c r="WL41" s="50"/>
      <c r="WM41" s="50"/>
      <c r="WN41" s="50"/>
      <c r="WO41" s="50"/>
      <c r="WP41" s="50"/>
      <c r="WQ41" s="50"/>
      <c r="WR41" s="50"/>
      <c r="WS41" s="50"/>
      <c r="WT41" s="50"/>
      <c r="WU41" s="50"/>
      <c r="WV41" s="50"/>
      <c r="WW41" s="50"/>
      <c r="WX41" s="50"/>
      <c r="WY41" s="50"/>
      <c r="WZ41" s="50"/>
      <c r="XA41" s="50"/>
      <c r="XB41" s="50"/>
      <c r="XC41" s="50"/>
      <c r="XD41" s="50"/>
      <c r="XE41" s="50"/>
      <c r="XF41" s="50"/>
      <c r="XG41" s="50"/>
      <c r="XH41" s="50"/>
      <c r="XI41" s="50"/>
      <c r="XJ41" s="50"/>
      <c r="XK41" s="50"/>
      <c r="XL41" s="50"/>
      <c r="XM41" s="50"/>
      <c r="XN41" s="50"/>
      <c r="XO41" s="50"/>
      <c r="XP41" s="50"/>
      <c r="XQ41" s="50"/>
      <c r="XR41" s="50"/>
      <c r="XS41" s="50"/>
      <c r="XT41" s="50"/>
      <c r="XU41" s="50"/>
      <c r="XV41" s="50"/>
      <c r="XW41" s="50"/>
      <c r="XX41" s="50"/>
      <c r="XY41" s="50"/>
      <c r="XZ41" s="50"/>
      <c r="YA41" s="50"/>
      <c r="YB41" s="50"/>
      <c r="YC41" s="50"/>
      <c r="YD41" s="50"/>
      <c r="YE41" s="50"/>
      <c r="YF41" s="50"/>
      <c r="YG41" s="50"/>
      <c r="YH41" s="50"/>
      <c r="YI41" s="50"/>
      <c r="YJ41" s="50"/>
      <c r="YK41" s="50"/>
      <c r="YL41" s="50"/>
      <c r="YM41" s="50"/>
      <c r="YN41" s="50"/>
      <c r="YO41" s="50"/>
      <c r="YP41" s="50"/>
      <c r="YQ41" s="50"/>
      <c r="YR41" s="50"/>
      <c r="YS41" s="50"/>
      <c r="YT41" s="50"/>
      <c r="YU41" s="50"/>
      <c r="YV41" s="50"/>
      <c r="YW41" s="50"/>
      <c r="YX41" s="50"/>
      <c r="YY41" s="50"/>
      <c r="YZ41" s="50"/>
      <c r="ZA41" s="50"/>
      <c r="ZB41" s="50"/>
      <c r="ZC41" s="50"/>
      <c r="ZD41" s="50"/>
      <c r="ZE41" s="50"/>
      <c r="ZF41" s="50"/>
      <c r="ZG41" s="50"/>
      <c r="ZH41" s="50"/>
      <c r="ZI41" s="50"/>
      <c r="ZJ41" s="50"/>
      <c r="ZK41" s="50"/>
      <c r="ZL41" s="50"/>
      <c r="ZM41" s="50"/>
      <c r="ZN41" s="50"/>
      <c r="ZO41" s="50"/>
      <c r="ZP41" s="50"/>
      <c r="ZQ41" s="50"/>
      <c r="ZR41" s="50"/>
      <c r="ZS41" s="50"/>
      <c r="ZT41" s="50"/>
      <c r="ZU41" s="50"/>
      <c r="ZV41" s="50"/>
      <c r="ZW41" s="50"/>
      <c r="ZX41" s="50"/>
      <c r="ZY41" s="50"/>
      <c r="ZZ41" s="50"/>
      <c r="AAA41" s="588"/>
      <c r="AAD41" s="112"/>
      <c r="AAE41" s="551">
        <v>1</v>
      </c>
      <c r="AAF41" s="112"/>
      <c r="AAG41" s="112" t="s">
        <v>0</v>
      </c>
      <c r="AAH41" s="78">
        <f>S.FileRuleWithSOS</f>
        <v>41719</v>
      </c>
      <c r="AAI41" s="78">
        <f>S.EQCMeeting+10</f>
        <v>41727</v>
      </c>
      <c r="AAJ41" s="55"/>
      <c r="AAK41" s="55"/>
      <c r="AAL41" s="39"/>
      <c r="AAM41" s="112"/>
      <c r="AAN41"/>
      <c r="AAT41" s="23"/>
      <c r="AAU41" s="44"/>
      <c r="AAW41" s="23" t="s">
        <v>0</v>
      </c>
    </row>
    <row r="42" spans="1:732" ht="6.75" customHeight="1">
      <c r="A42" s="558"/>
      <c r="B42" s="144"/>
      <c r="C42" s="689"/>
      <c r="D42" s="145"/>
      <c r="E42" s="146"/>
      <c r="F42" s="146"/>
      <c r="G42" s="147"/>
      <c r="H42" s="145"/>
      <c r="I42" s="588"/>
      <c r="J42" s="644"/>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47"/>
      <c r="DP42" s="47"/>
      <c r="DQ42" s="47"/>
      <c r="DR42" s="47"/>
      <c r="DS42" s="47"/>
      <c r="DT42" s="47"/>
      <c r="DU42" s="47"/>
      <c r="DV42" s="47"/>
      <c r="DW42" s="47"/>
      <c r="DX42" s="47"/>
      <c r="DY42" s="47"/>
      <c r="DZ42" s="47"/>
      <c r="EA42" s="47"/>
      <c r="EB42" s="47"/>
      <c r="EC42" s="47"/>
      <c r="ED42" s="47"/>
      <c r="EE42" s="47"/>
      <c r="EF42" s="47"/>
      <c r="EG42" s="47"/>
      <c r="EH42" s="47"/>
      <c r="EI42" s="47"/>
      <c r="EJ42" s="47"/>
      <c r="EK42" s="47"/>
      <c r="EL42" s="47"/>
      <c r="EM42" s="47"/>
      <c r="EN42" s="47"/>
      <c r="EO42" s="47"/>
      <c r="EP42" s="47"/>
      <c r="EQ42" s="47"/>
      <c r="ER42" s="47"/>
      <c r="ES42" s="47"/>
      <c r="ET42" s="47"/>
      <c r="EU42" s="47"/>
      <c r="EV42" s="47"/>
      <c r="EW42" s="47"/>
      <c r="EX42" s="47"/>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c r="HI42" s="47"/>
      <c r="HJ42" s="47"/>
      <c r="HK42" s="47"/>
      <c r="HL42" s="47"/>
      <c r="HM42" s="47"/>
      <c r="HN42" s="47"/>
      <c r="HO42" s="47"/>
      <c r="HP42" s="47"/>
      <c r="HQ42" s="47"/>
      <c r="HR42" s="47"/>
      <c r="HS42" s="47"/>
      <c r="HT42" s="47"/>
      <c r="HU42" s="47"/>
      <c r="HV42" s="47"/>
      <c r="HW42" s="47"/>
      <c r="HX42" s="47"/>
      <c r="HY42" s="47"/>
      <c r="HZ42" s="47"/>
      <c r="IA42" s="47"/>
      <c r="IB42" s="47"/>
      <c r="IC42" s="47"/>
      <c r="ID42" s="47"/>
      <c r="IE42" s="47"/>
      <c r="IF42" s="47"/>
      <c r="IG42" s="47"/>
      <c r="IH42" s="47"/>
      <c r="II42" s="47"/>
      <c r="IJ42" s="47"/>
      <c r="IK42" s="47"/>
      <c r="IL42" s="47"/>
      <c r="IM42" s="47"/>
      <c r="IN42" s="47"/>
      <c r="IO42" s="47"/>
      <c r="IP42" s="47"/>
      <c r="IQ42" s="47"/>
      <c r="IR42" s="47"/>
      <c r="IS42" s="47"/>
      <c r="IT42" s="47"/>
      <c r="IU42" s="47"/>
      <c r="IV42" s="47"/>
      <c r="IW42" s="47"/>
      <c r="IX42" s="47"/>
      <c r="IY42" s="47"/>
      <c r="IZ42" s="47"/>
      <c r="JA42" s="47"/>
      <c r="JB42" s="47"/>
      <c r="JC42" s="47"/>
      <c r="JD42" s="47"/>
      <c r="JE42" s="47"/>
      <c r="JF42" s="47"/>
      <c r="JG42" s="47"/>
      <c r="JH42" s="47"/>
      <c r="JI42" s="47"/>
      <c r="JJ42" s="47"/>
      <c r="JK42" s="47"/>
      <c r="JL42" s="47"/>
      <c r="JM42" s="47"/>
      <c r="JN42" s="47"/>
      <c r="JO42" s="47"/>
      <c r="JP42" s="47"/>
      <c r="JQ42" s="47"/>
      <c r="JR42" s="47"/>
      <c r="JS42" s="47"/>
      <c r="JT42" s="47"/>
      <c r="JU42" s="47"/>
      <c r="JV42" s="47"/>
      <c r="JW42" s="47"/>
      <c r="JX42" s="47"/>
      <c r="JY42" s="47"/>
      <c r="JZ42" s="47"/>
      <c r="KA42" s="47"/>
      <c r="KB42" s="47"/>
      <c r="KC42" s="47"/>
      <c r="KD42" s="47"/>
      <c r="KE42" s="47"/>
      <c r="KF42" s="47"/>
      <c r="KG42" s="47"/>
      <c r="KH42" s="47"/>
      <c r="KI42" s="47"/>
      <c r="KJ42" s="47"/>
      <c r="KK42" s="47"/>
      <c r="KL42" s="47"/>
      <c r="KM42" s="47"/>
      <c r="KN42" s="47"/>
      <c r="KO42" s="47"/>
      <c r="KP42" s="47"/>
      <c r="KQ42" s="47"/>
      <c r="KR42" s="47"/>
      <c r="KS42" s="47"/>
      <c r="KT42" s="47"/>
      <c r="KU42" s="47"/>
      <c r="KV42" s="47"/>
      <c r="KW42" s="47"/>
      <c r="KX42" s="47"/>
      <c r="KY42" s="47"/>
      <c r="KZ42" s="47"/>
      <c r="LA42" s="47"/>
      <c r="LB42" s="47"/>
      <c r="LC42" s="47"/>
      <c r="LD42" s="47"/>
      <c r="LE42" s="47"/>
      <c r="LF42" s="47"/>
      <c r="LG42" s="47"/>
      <c r="LH42" s="47"/>
      <c r="LI42" s="47"/>
      <c r="LJ42" s="47"/>
      <c r="LK42" s="47"/>
      <c r="LL42" s="47"/>
      <c r="LM42" s="47"/>
      <c r="LN42" s="47"/>
      <c r="LO42" s="47"/>
      <c r="LP42" s="47"/>
      <c r="LQ42" s="47"/>
      <c r="LR42" s="47"/>
      <c r="LS42" s="47"/>
      <c r="LT42" s="47"/>
      <c r="LU42" s="47"/>
      <c r="LV42" s="47"/>
      <c r="LW42" s="47"/>
      <c r="LX42" s="47"/>
      <c r="LY42" s="47"/>
      <c r="LZ42" s="47"/>
      <c r="MA42" s="47"/>
      <c r="MB42" s="47"/>
      <c r="MC42" s="47"/>
      <c r="MD42" s="47"/>
      <c r="ME42" s="47"/>
      <c r="MF42" s="47"/>
      <c r="MG42" s="47"/>
      <c r="MH42" s="47"/>
      <c r="MI42" s="47"/>
      <c r="MJ42" s="47"/>
      <c r="MK42" s="47"/>
      <c r="ML42" s="47"/>
      <c r="MM42" s="47"/>
      <c r="MN42" s="47"/>
      <c r="MO42" s="47"/>
      <c r="MP42" s="47"/>
      <c r="MQ42" s="47"/>
      <c r="MR42" s="47"/>
      <c r="MS42" s="47"/>
      <c r="MT42" s="47"/>
      <c r="MU42" s="47"/>
      <c r="MV42" s="47"/>
      <c r="MW42" s="47"/>
      <c r="MX42" s="47"/>
      <c r="MY42" s="47"/>
      <c r="MZ42" s="47"/>
      <c r="NA42" s="47"/>
      <c r="NB42" s="47"/>
      <c r="NC42" s="47"/>
      <c r="ND42" s="47"/>
      <c r="NE42" s="47"/>
      <c r="NF42" s="47"/>
      <c r="NG42" s="47"/>
      <c r="NH42" s="47"/>
      <c r="NI42" s="47"/>
      <c r="NJ42" s="47"/>
      <c r="NK42" s="47"/>
      <c r="NL42" s="47"/>
      <c r="NM42" s="47"/>
      <c r="NN42" s="47"/>
      <c r="NO42" s="47"/>
      <c r="NP42" s="47"/>
      <c r="NQ42" s="47"/>
      <c r="NR42" s="47"/>
      <c r="NS42" s="47"/>
      <c r="NT42" s="47"/>
      <c r="NU42" s="47"/>
      <c r="NV42" s="47"/>
      <c r="NW42" s="47"/>
      <c r="NX42" s="47"/>
      <c r="NY42" s="47"/>
      <c r="NZ42" s="47"/>
      <c r="OA42" s="47"/>
      <c r="OB42" s="47"/>
      <c r="OC42" s="47"/>
      <c r="OD42" s="47"/>
      <c r="OE42" s="47"/>
      <c r="OF42" s="47"/>
      <c r="OG42" s="47"/>
      <c r="OH42" s="47"/>
      <c r="OI42" s="47"/>
      <c r="OJ42" s="47"/>
      <c r="OK42" s="47"/>
      <c r="OL42" s="47"/>
      <c r="OM42" s="47"/>
      <c r="ON42" s="47"/>
      <c r="OO42" s="47"/>
      <c r="OP42" s="47"/>
      <c r="OQ42" s="47"/>
      <c r="OR42" s="47"/>
      <c r="OS42" s="47"/>
      <c r="OT42" s="47"/>
      <c r="OU42" s="47"/>
      <c r="OV42" s="47"/>
      <c r="OW42" s="47"/>
      <c r="OX42" s="47"/>
      <c r="OY42" s="47"/>
      <c r="OZ42" s="47"/>
      <c r="PA42" s="47"/>
      <c r="PB42" s="47"/>
      <c r="PC42" s="47"/>
      <c r="PD42" s="47"/>
      <c r="PE42" s="47"/>
      <c r="PF42" s="47"/>
      <c r="PG42" s="47"/>
      <c r="PH42" s="47"/>
      <c r="PI42" s="47"/>
      <c r="PJ42" s="47"/>
      <c r="PK42" s="47"/>
      <c r="PL42" s="47"/>
      <c r="PM42" s="47"/>
      <c r="PN42" s="47"/>
      <c r="PO42" s="47"/>
      <c r="PP42" s="47"/>
      <c r="PQ42" s="47"/>
      <c r="PR42" s="47"/>
      <c r="PS42" s="47"/>
      <c r="PT42" s="47"/>
      <c r="PU42" s="47"/>
      <c r="PV42" s="47"/>
      <c r="PW42" s="47"/>
      <c r="PX42" s="47"/>
      <c r="PY42" s="47"/>
      <c r="PZ42" s="47"/>
      <c r="QA42" s="47"/>
      <c r="QB42" s="47"/>
      <c r="QC42" s="47"/>
      <c r="QD42" s="47"/>
      <c r="QE42" s="47"/>
      <c r="QF42" s="47"/>
      <c r="QG42" s="47"/>
      <c r="QH42" s="47"/>
      <c r="QI42" s="47"/>
      <c r="QJ42" s="47"/>
      <c r="QK42" s="47"/>
      <c r="QL42" s="47"/>
      <c r="QM42" s="47"/>
      <c r="QN42" s="47"/>
      <c r="QO42" s="47"/>
      <c r="QP42" s="47"/>
      <c r="QQ42" s="47"/>
      <c r="QR42" s="47"/>
      <c r="QS42" s="47"/>
      <c r="QT42" s="47"/>
      <c r="QU42" s="47"/>
      <c r="QV42" s="47"/>
      <c r="QW42" s="47"/>
      <c r="QX42" s="47"/>
      <c r="QY42" s="47"/>
      <c r="QZ42" s="47"/>
      <c r="RA42" s="47"/>
      <c r="RB42" s="47"/>
      <c r="RC42" s="47"/>
      <c r="RD42" s="47"/>
      <c r="RE42" s="47"/>
      <c r="RF42" s="47"/>
      <c r="RG42" s="47"/>
      <c r="RH42" s="47"/>
      <c r="RI42" s="47"/>
      <c r="RJ42" s="47"/>
      <c r="RK42" s="47"/>
      <c r="RL42" s="47"/>
      <c r="RM42" s="47"/>
      <c r="RN42" s="47"/>
      <c r="RO42" s="47"/>
      <c r="RP42" s="47"/>
      <c r="RQ42" s="47"/>
      <c r="RR42" s="47"/>
      <c r="RS42" s="47"/>
      <c r="RT42" s="47"/>
      <c r="RU42" s="47"/>
      <c r="RV42" s="47"/>
      <c r="RW42" s="47"/>
      <c r="RX42" s="47"/>
      <c r="RY42" s="47"/>
      <c r="RZ42" s="47"/>
      <c r="SA42" s="47"/>
      <c r="SB42" s="47"/>
      <c r="SC42" s="47"/>
      <c r="SD42" s="47"/>
      <c r="SE42" s="47"/>
      <c r="SF42" s="47"/>
      <c r="SG42" s="47"/>
      <c r="SH42" s="47"/>
      <c r="SI42" s="47"/>
      <c r="SJ42" s="47"/>
      <c r="SK42" s="47"/>
      <c r="SL42" s="47"/>
      <c r="SM42" s="47"/>
      <c r="SN42" s="47"/>
      <c r="SO42" s="47"/>
      <c r="SP42" s="47"/>
      <c r="SQ42" s="47"/>
      <c r="SR42" s="47"/>
      <c r="SS42" s="47"/>
      <c r="ST42" s="47"/>
      <c r="SU42" s="47"/>
      <c r="SV42" s="47"/>
      <c r="SW42" s="47"/>
      <c r="SX42" s="47"/>
      <c r="SY42" s="47"/>
      <c r="SZ42" s="47"/>
      <c r="TA42" s="47"/>
      <c r="TB42" s="47"/>
      <c r="TC42" s="47"/>
      <c r="TD42" s="47"/>
      <c r="TE42" s="47"/>
      <c r="TF42" s="47"/>
      <c r="TG42" s="47"/>
      <c r="TH42" s="47"/>
      <c r="TI42" s="47"/>
      <c r="TJ42" s="47"/>
      <c r="TK42" s="47"/>
      <c r="TL42" s="47"/>
      <c r="TM42" s="47"/>
      <c r="TN42" s="47"/>
      <c r="TO42" s="47"/>
      <c r="TP42" s="47"/>
      <c r="TQ42" s="47"/>
      <c r="TR42" s="47"/>
      <c r="TS42" s="47"/>
      <c r="TT42" s="47"/>
      <c r="TU42" s="47"/>
      <c r="TV42" s="47"/>
      <c r="TW42" s="47"/>
      <c r="TX42" s="47"/>
      <c r="TY42" s="47"/>
      <c r="TZ42" s="47"/>
      <c r="UA42" s="47"/>
      <c r="UB42" s="47"/>
      <c r="UC42" s="47"/>
      <c r="UD42" s="47"/>
      <c r="UE42" s="47"/>
      <c r="UF42" s="47"/>
      <c r="UG42" s="47"/>
      <c r="UH42" s="47"/>
      <c r="UI42" s="47"/>
      <c r="UJ42" s="47"/>
      <c r="UK42" s="47"/>
      <c r="UL42" s="47"/>
      <c r="UM42" s="47"/>
      <c r="UN42" s="47"/>
      <c r="UO42" s="47"/>
      <c r="UP42" s="47"/>
      <c r="UQ42" s="47"/>
      <c r="UR42" s="47"/>
      <c r="US42" s="47"/>
      <c r="UT42" s="47"/>
      <c r="UU42" s="47"/>
      <c r="UV42" s="47"/>
      <c r="UW42" s="47"/>
      <c r="UX42" s="47"/>
      <c r="UY42" s="47"/>
      <c r="UZ42" s="47"/>
      <c r="VA42" s="47"/>
      <c r="VB42" s="47"/>
      <c r="VC42" s="47"/>
      <c r="VD42" s="47"/>
      <c r="VE42" s="47"/>
      <c r="VF42" s="47"/>
      <c r="VG42" s="47"/>
      <c r="VH42" s="47"/>
      <c r="VI42" s="47"/>
      <c r="VJ42" s="47"/>
      <c r="VK42" s="47"/>
      <c r="VL42" s="47"/>
      <c r="VM42" s="47"/>
      <c r="VN42" s="47"/>
      <c r="VO42" s="47"/>
      <c r="VP42" s="47"/>
      <c r="VQ42" s="47"/>
      <c r="VR42" s="47"/>
      <c r="VS42" s="47"/>
      <c r="VT42" s="47"/>
      <c r="VU42" s="47"/>
      <c r="VV42" s="47"/>
      <c r="VW42" s="47"/>
      <c r="VX42" s="47"/>
      <c r="VY42" s="47"/>
      <c r="VZ42" s="47"/>
      <c r="WA42" s="47"/>
      <c r="WB42" s="47"/>
      <c r="WC42" s="47"/>
      <c r="WD42" s="47"/>
      <c r="WE42" s="47"/>
      <c r="WF42" s="47"/>
      <c r="WG42" s="47"/>
      <c r="WH42" s="47"/>
      <c r="WI42" s="47"/>
      <c r="WJ42" s="47"/>
      <c r="WK42" s="47"/>
      <c r="WL42" s="47"/>
      <c r="WM42" s="47"/>
      <c r="WN42" s="47"/>
      <c r="WO42" s="47"/>
      <c r="WP42" s="47"/>
      <c r="WQ42" s="47"/>
      <c r="WR42" s="47"/>
      <c r="WS42" s="47"/>
      <c r="WT42" s="47"/>
      <c r="WU42" s="47"/>
      <c r="WV42" s="47"/>
      <c r="WW42" s="47"/>
      <c r="WX42" s="47"/>
      <c r="WY42" s="47"/>
      <c r="WZ42" s="47"/>
      <c r="XA42" s="47"/>
      <c r="XB42" s="47"/>
      <c r="XC42" s="47"/>
      <c r="XD42" s="47"/>
      <c r="XE42" s="47"/>
      <c r="XF42" s="47"/>
      <c r="XG42" s="47"/>
      <c r="XH42" s="47"/>
      <c r="XI42" s="47"/>
      <c r="XJ42" s="47"/>
      <c r="XK42" s="47"/>
      <c r="XL42" s="47"/>
      <c r="XM42" s="47"/>
      <c r="XN42" s="47"/>
      <c r="XO42" s="47"/>
      <c r="XP42" s="47"/>
      <c r="XQ42" s="47"/>
      <c r="XR42" s="47"/>
      <c r="XS42" s="47"/>
      <c r="XT42" s="47"/>
      <c r="XU42" s="47"/>
      <c r="XV42" s="47"/>
      <c r="XW42" s="47"/>
      <c r="XX42" s="47"/>
      <c r="XY42" s="47"/>
      <c r="XZ42" s="47"/>
      <c r="YA42" s="47"/>
      <c r="YB42" s="47"/>
      <c r="YC42" s="47"/>
      <c r="YD42" s="47"/>
      <c r="YE42" s="47"/>
      <c r="YF42" s="47"/>
      <c r="YG42" s="47"/>
      <c r="YH42" s="47"/>
      <c r="YI42" s="47"/>
      <c r="YJ42" s="47"/>
      <c r="YK42" s="47"/>
      <c r="YL42" s="47"/>
      <c r="YM42" s="47"/>
      <c r="YN42" s="47"/>
      <c r="YO42" s="47"/>
      <c r="YP42" s="47"/>
      <c r="YQ42" s="47"/>
      <c r="YR42" s="47"/>
      <c r="YS42" s="47"/>
      <c r="YT42" s="47"/>
      <c r="YU42" s="47"/>
      <c r="YV42" s="47"/>
      <c r="YW42" s="47"/>
      <c r="YX42" s="47"/>
      <c r="YY42" s="47"/>
      <c r="YZ42" s="47"/>
      <c r="ZA42" s="47"/>
      <c r="ZB42" s="47"/>
      <c r="ZC42" s="47"/>
      <c r="ZD42" s="47"/>
      <c r="ZE42" s="47"/>
      <c r="ZF42" s="47"/>
      <c r="ZG42" s="47"/>
      <c r="ZH42" s="47"/>
      <c r="ZI42" s="47"/>
      <c r="ZJ42" s="47"/>
      <c r="ZK42" s="47"/>
      <c r="ZL42" s="47"/>
      <c r="ZM42" s="47"/>
      <c r="ZN42" s="47"/>
      <c r="ZO42" s="47"/>
      <c r="ZP42" s="47"/>
      <c r="ZQ42" s="47"/>
      <c r="ZR42" s="47"/>
      <c r="ZS42" s="47"/>
      <c r="ZT42" s="47"/>
      <c r="ZU42" s="47"/>
      <c r="ZV42" s="47"/>
      <c r="ZW42" s="47"/>
      <c r="ZX42" s="47"/>
      <c r="ZY42" s="639"/>
      <c r="ZZ42" s="622"/>
      <c r="AAA42" s="588"/>
      <c r="AAD42" s="112"/>
      <c r="AAE42" s="551">
        <v>0</v>
      </c>
      <c r="AAF42" s="583" t="s">
        <v>174</v>
      </c>
      <c r="AAG42" s="76"/>
      <c r="AAH42" s="76"/>
      <c r="AAI42" s="65"/>
      <c r="AAJ42" s="55"/>
      <c r="AAK42" s="55"/>
      <c r="AAL42" s="39"/>
      <c r="AAM42" s="112"/>
      <c r="AAN42"/>
      <c r="AAT42" s="23"/>
      <c r="AAU42" s="44"/>
    </row>
    <row r="43" spans="1:732" s="23" customFormat="1" ht="18" customHeight="1">
      <c r="A43" s="558"/>
      <c r="B43" s="202" t="s">
        <v>242</v>
      </c>
      <c r="C43" s="698" t="s">
        <v>246</v>
      </c>
      <c r="D43" s="148"/>
      <c r="E43" s="774"/>
      <c r="F43" s="774"/>
      <c r="G43" s="149" t="s">
        <v>0</v>
      </c>
      <c r="H43" s="149" t="s">
        <v>0</v>
      </c>
      <c r="I43" s="588"/>
      <c r="J43" s="632"/>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19"/>
      <c r="ZZ43" s="119"/>
      <c r="AAA43" s="588"/>
      <c r="AAB43"/>
      <c r="AAC43"/>
      <c r="AAD43" s="112"/>
      <c r="AAE43" s="551" t="s">
        <v>27</v>
      </c>
      <c r="AAF43" s="583" t="s">
        <v>174</v>
      </c>
      <c r="AAG43" s="112"/>
      <c r="AAH43" s="112"/>
      <c r="AAI43" s="77"/>
      <c r="AAJ43" s="90"/>
      <c r="AAK43" s="90"/>
      <c r="AAL43" s="76"/>
      <c r="AAM43" s="112"/>
      <c r="AAU43" s="44"/>
    </row>
    <row r="44" spans="1:732" s="23" customFormat="1" ht="18" customHeight="1">
      <c r="A44" s="558"/>
      <c r="B44" s="222" t="s">
        <v>15</v>
      </c>
      <c r="C44" s="698"/>
      <c r="D44" s="150" t="s">
        <v>247</v>
      </c>
      <c r="E44" s="784" t="s">
        <v>180</v>
      </c>
      <c r="F44" s="207" t="s">
        <v>2</v>
      </c>
      <c r="G44" s="152" t="s">
        <v>248</v>
      </c>
      <c r="H44" s="152" t="s">
        <v>86</v>
      </c>
      <c r="I44" s="627"/>
      <c r="J44" s="593"/>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48"/>
      <c r="HC44" s="48"/>
      <c r="HD44" s="48"/>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c r="KH44" s="48"/>
      <c r="KI44" s="48"/>
      <c r="KJ44" s="48"/>
      <c r="KK44" s="48"/>
      <c r="KL44" s="48"/>
      <c r="KM44" s="48"/>
      <c r="KN44" s="48"/>
      <c r="KO44" s="48"/>
      <c r="KP44" s="48"/>
      <c r="KQ44" s="48"/>
      <c r="KR44" s="48"/>
      <c r="KS44" s="48"/>
      <c r="KT44" s="48"/>
      <c r="KU44" s="48"/>
      <c r="KV44" s="48"/>
      <c r="KW44" s="48"/>
      <c r="KX44" s="48"/>
      <c r="KY44" s="48"/>
      <c r="KZ44" s="48"/>
      <c r="LA44" s="48"/>
      <c r="LB44" s="48"/>
      <c r="LC44" s="48"/>
      <c r="LD44" s="48"/>
      <c r="LE44" s="48"/>
      <c r="LF44" s="48"/>
      <c r="LG44" s="48"/>
      <c r="LH44" s="48"/>
      <c r="LI44" s="48"/>
      <c r="LJ44" s="48"/>
      <c r="LK44" s="48"/>
      <c r="LL44" s="48"/>
      <c r="LM44" s="48"/>
      <c r="LN44" s="48"/>
      <c r="LO44" s="48"/>
      <c r="LP44" s="48"/>
      <c r="LQ44" s="48"/>
      <c r="LR44" s="48"/>
      <c r="LS44" s="48"/>
      <c r="LT44" s="48"/>
      <c r="LU44" s="48"/>
      <c r="LV44" s="48"/>
      <c r="LW44" s="48"/>
      <c r="LX44" s="48"/>
      <c r="LY44" s="48"/>
      <c r="LZ44" s="48"/>
      <c r="MA44" s="48"/>
      <c r="MB44" s="48"/>
      <c r="MC44" s="48"/>
      <c r="MD44" s="48"/>
      <c r="ME44" s="48"/>
      <c r="MF44" s="48"/>
      <c r="MG44" s="48"/>
      <c r="MH44" s="48"/>
      <c r="MI44" s="48"/>
      <c r="MJ44" s="48"/>
      <c r="MK44" s="48"/>
      <c r="ML44" s="48"/>
      <c r="MM44" s="48"/>
      <c r="MN44" s="48"/>
      <c r="MO44" s="48"/>
      <c r="MP44" s="48"/>
      <c r="MQ44" s="48"/>
      <c r="MR44" s="48"/>
      <c r="MS44" s="48"/>
      <c r="MT44" s="48"/>
      <c r="MU44" s="48"/>
      <c r="MV44" s="48"/>
      <c r="MW44" s="48"/>
      <c r="MX44" s="48"/>
      <c r="MY44" s="48"/>
      <c r="MZ44" s="48"/>
      <c r="NA44" s="48"/>
      <c r="NB44" s="48"/>
      <c r="NC44" s="48"/>
      <c r="ND44" s="48"/>
      <c r="NE44" s="48"/>
      <c r="NF44" s="48"/>
      <c r="NG44" s="48"/>
      <c r="NH44" s="48"/>
      <c r="NI44" s="48"/>
      <c r="NJ44" s="48"/>
      <c r="NK44" s="48"/>
      <c r="NL44" s="48"/>
      <c r="NM44" s="48"/>
      <c r="NN44" s="48"/>
      <c r="NO44" s="48"/>
      <c r="NP44" s="48"/>
      <c r="NQ44" s="48"/>
      <c r="NR44" s="48"/>
      <c r="NS44" s="48"/>
      <c r="NT44" s="48"/>
      <c r="NU44" s="48"/>
      <c r="NV44" s="48"/>
      <c r="NW44" s="48"/>
      <c r="NX44" s="48"/>
      <c r="NY44" s="48"/>
      <c r="NZ44" s="48"/>
      <c r="OA44" s="48"/>
      <c r="OB44" s="48"/>
      <c r="OC44" s="48"/>
      <c r="OD44" s="48"/>
      <c r="OE44" s="48"/>
      <c r="OF44" s="48"/>
      <c r="OG44" s="48"/>
      <c r="OH44" s="48"/>
      <c r="OI44" s="48"/>
      <c r="OJ44" s="48"/>
      <c r="OK44" s="48"/>
      <c r="OL44" s="48"/>
      <c r="OM44" s="48"/>
      <c r="ON44" s="48"/>
      <c r="OO44" s="48"/>
      <c r="OP44" s="48"/>
      <c r="OQ44" s="48"/>
      <c r="OR44" s="48"/>
      <c r="OS44" s="48"/>
      <c r="OT44" s="48"/>
      <c r="OU44" s="48"/>
      <c r="OV44" s="48"/>
      <c r="OW44" s="48"/>
      <c r="OX44" s="48"/>
      <c r="OY44" s="48"/>
      <c r="OZ44" s="48"/>
      <c r="PA44" s="48"/>
      <c r="PB44" s="48"/>
      <c r="PC44" s="48"/>
      <c r="PD44" s="48"/>
      <c r="PE44" s="48"/>
      <c r="PF44" s="48"/>
      <c r="PG44" s="48"/>
      <c r="PH44" s="48"/>
      <c r="PI44" s="48"/>
      <c r="PJ44" s="48"/>
      <c r="PK44" s="48"/>
      <c r="PL44" s="48"/>
      <c r="PM44" s="48"/>
      <c r="PN44" s="48"/>
      <c r="PO44" s="48"/>
      <c r="PP44" s="48"/>
      <c r="PQ44" s="48"/>
      <c r="PR44" s="48"/>
      <c r="PS44" s="48"/>
      <c r="PT44" s="48"/>
      <c r="PU44" s="48"/>
      <c r="PV44" s="48"/>
      <c r="PW44" s="48"/>
      <c r="PX44" s="48"/>
      <c r="PY44" s="48"/>
      <c r="PZ44" s="48"/>
      <c r="QA44" s="48"/>
      <c r="QB44" s="48"/>
      <c r="QC44" s="48"/>
      <c r="QD44" s="48"/>
      <c r="QE44" s="48"/>
      <c r="QF44" s="48"/>
      <c r="QG44" s="48"/>
      <c r="QH44" s="48"/>
      <c r="QI44" s="48"/>
      <c r="QJ44" s="48"/>
      <c r="QK44" s="48"/>
      <c r="QL44" s="48"/>
      <c r="QM44" s="48"/>
      <c r="QN44" s="48"/>
      <c r="QO44" s="48"/>
      <c r="QP44" s="48"/>
      <c r="QQ44" s="48"/>
      <c r="QR44" s="48"/>
      <c r="QS44" s="48"/>
      <c r="QT44" s="48"/>
      <c r="QU44" s="48"/>
      <c r="QV44" s="48"/>
      <c r="QW44" s="48"/>
      <c r="QX44" s="48"/>
      <c r="QY44" s="48"/>
      <c r="QZ44" s="48"/>
      <c r="RA44" s="48"/>
      <c r="RB44" s="48"/>
      <c r="RC44" s="48"/>
      <c r="RD44" s="48"/>
      <c r="RE44" s="48"/>
      <c r="RF44" s="48"/>
      <c r="RG44" s="48"/>
      <c r="RH44" s="48"/>
      <c r="RI44" s="48"/>
      <c r="RJ44" s="48"/>
      <c r="RK44" s="48"/>
      <c r="RL44" s="48"/>
      <c r="RM44" s="48"/>
      <c r="RN44" s="48"/>
      <c r="RO44" s="48"/>
      <c r="RP44" s="48"/>
      <c r="RQ44" s="48"/>
      <c r="RR44" s="48"/>
      <c r="RS44" s="48"/>
      <c r="RT44" s="48"/>
      <c r="RU44" s="48"/>
      <c r="RV44" s="48"/>
      <c r="RW44" s="48"/>
      <c r="RX44" s="48"/>
      <c r="RY44" s="48"/>
      <c r="RZ44" s="48"/>
      <c r="SA44" s="48"/>
      <c r="SB44" s="48"/>
      <c r="SC44" s="48"/>
      <c r="SD44" s="48"/>
      <c r="SE44" s="48"/>
      <c r="SF44" s="48"/>
      <c r="SG44" s="48"/>
      <c r="SH44" s="48"/>
      <c r="SI44" s="48"/>
      <c r="SJ44" s="48"/>
      <c r="SK44" s="48"/>
      <c r="SL44" s="48"/>
      <c r="SM44" s="48"/>
      <c r="SN44" s="48"/>
      <c r="SO44" s="48"/>
      <c r="SP44" s="48"/>
      <c r="SQ44" s="48"/>
      <c r="SR44" s="48"/>
      <c r="SS44" s="48"/>
      <c r="ST44" s="48"/>
      <c r="SU44" s="48"/>
      <c r="SV44" s="48"/>
      <c r="SW44" s="48"/>
      <c r="SX44" s="48"/>
      <c r="SY44" s="48"/>
      <c r="SZ44" s="48"/>
      <c r="TA44" s="48"/>
      <c r="TB44" s="48"/>
      <c r="TC44" s="48"/>
      <c r="TD44" s="48"/>
      <c r="TE44" s="48"/>
      <c r="TF44" s="48"/>
      <c r="TG44" s="48"/>
      <c r="TH44" s="48"/>
      <c r="TI44" s="48"/>
      <c r="TJ44" s="48"/>
      <c r="TK44" s="48"/>
      <c r="TL44" s="48"/>
      <c r="TM44" s="48"/>
      <c r="TN44" s="48"/>
      <c r="TO44" s="48"/>
      <c r="TP44" s="48"/>
      <c r="TQ44" s="48"/>
      <c r="TR44" s="48"/>
      <c r="TS44" s="48"/>
      <c r="TT44" s="48"/>
      <c r="TU44" s="48"/>
      <c r="TV44" s="48"/>
      <c r="TW44" s="48"/>
      <c r="TX44" s="48"/>
      <c r="TY44" s="48"/>
      <c r="TZ44" s="48"/>
      <c r="UA44" s="48"/>
      <c r="UB44" s="48"/>
      <c r="UC44" s="48"/>
      <c r="UD44" s="48"/>
      <c r="UE44" s="48"/>
      <c r="UF44" s="48"/>
      <c r="UG44" s="48"/>
      <c r="UH44" s="48"/>
      <c r="UI44" s="48"/>
      <c r="UJ44" s="48"/>
      <c r="UK44" s="48"/>
      <c r="UL44" s="48"/>
      <c r="UM44" s="48"/>
      <c r="UN44" s="48"/>
      <c r="UO44" s="48"/>
      <c r="UP44" s="48"/>
      <c r="UQ44" s="48"/>
      <c r="UR44" s="48"/>
      <c r="US44" s="48"/>
      <c r="UT44" s="48"/>
      <c r="UU44" s="48"/>
      <c r="UV44" s="48"/>
      <c r="UW44" s="48"/>
      <c r="UX44" s="48"/>
      <c r="UY44" s="48"/>
      <c r="UZ44" s="48"/>
      <c r="VA44" s="48"/>
      <c r="VB44" s="48"/>
      <c r="VC44" s="48"/>
      <c r="VD44" s="48"/>
      <c r="VE44" s="48"/>
      <c r="VF44" s="48"/>
      <c r="VG44" s="48"/>
      <c r="VH44" s="48"/>
      <c r="VI44" s="48"/>
      <c r="VJ44" s="48"/>
      <c r="VK44" s="48"/>
      <c r="VL44" s="48"/>
      <c r="VM44" s="48"/>
      <c r="VN44" s="48"/>
      <c r="VO44" s="48"/>
      <c r="VP44" s="48"/>
      <c r="VQ44" s="48"/>
      <c r="VR44" s="48"/>
      <c r="VS44" s="48"/>
      <c r="VT44" s="48"/>
      <c r="VU44" s="48"/>
      <c r="VV44" s="48"/>
      <c r="VW44" s="48"/>
      <c r="VX44" s="48"/>
      <c r="VY44" s="48"/>
      <c r="VZ44" s="48"/>
      <c r="WA44" s="48"/>
      <c r="WB44" s="48"/>
      <c r="WC44" s="48"/>
      <c r="WD44" s="48"/>
      <c r="WE44" s="48"/>
      <c r="WF44" s="48"/>
      <c r="WG44" s="48"/>
      <c r="WH44" s="48"/>
      <c r="WI44" s="48"/>
      <c r="WJ44" s="48"/>
      <c r="WK44" s="48"/>
      <c r="WL44" s="48"/>
      <c r="WM44" s="48"/>
      <c r="WN44" s="48"/>
      <c r="WO44" s="48"/>
      <c r="WP44" s="48"/>
      <c r="WQ44" s="48"/>
      <c r="WR44" s="48"/>
      <c r="WS44" s="48"/>
      <c r="WT44" s="48"/>
      <c r="WU44" s="48"/>
      <c r="WV44" s="48"/>
      <c r="WW44" s="48"/>
      <c r="WX44" s="48"/>
      <c r="WY44" s="48"/>
      <c r="WZ44" s="48"/>
      <c r="XA44" s="48"/>
      <c r="XB44" s="48"/>
      <c r="XC44" s="48"/>
      <c r="XD44" s="48"/>
      <c r="XE44" s="48"/>
      <c r="XF44" s="48"/>
      <c r="XG44" s="48"/>
      <c r="XH44" s="48"/>
      <c r="XI44" s="48"/>
      <c r="XJ44" s="48"/>
      <c r="XK44" s="48"/>
      <c r="XL44" s="48"/>
      <c r="XM44" s="48"/>
      <c r="XN44" s="48"/>
      <c r="XO44" s="48"/>
      <c r="XP44" s="48"/>
      <c r="XQ44" s="48"/>
      <c r="XR44" s="48"/>
      <c r="XS44" s="48"/>
      <c r="XT44" s="48"/>
      <c r="XU44" s="48"/>
      <c r="XV44" s="48"/>
      <c r="XW44" s="48"/>
      <c r="XX44" s="48"/>
      <c r="XY44" s="48"/>
      <c r="XZ44" s="48"/>
      <c r="YA44" s="48"/>
      <c r="YB44" s="48"/>
      <c r="YC44" s="48"/>
      <c r="YD44" s="48"/>
      <c r="YE44" s="48"/>
      <c r="YF44" s="48"/>
      <c r="YG44" s="48"/>
      <c r="YH44" s="48"/>
      <c r="YI44" s="48"/>
      <c r="YJ44" s="48"/>
      <c r="YK44" s="48"/>
      <c r="YL44" s="48"/>
      <c r="YM44" s="48"/>
      <c r="YN44" s="48"/>
      <c r="YO44" s="48"/>
      <c r="YP44" s="48"/>
      <c r="YQ44" s="48"/>
      <c r="YR44" s="48"/>
      <c r="YS44" s="48"/>
      <c r="YT44" s="48"/>
      <c r="YU44" s="48"/>
      <c r="YV44" s="48"/>
      <c r="YW44" s="48"/>
      <c r="YX44" s="48"/>
      <c r="YY44" s="48"/>
      <c r="YZ44" s="48"/>
      <c r="ZA44" s="48"/>
      <c r="ZB44" s="48"/>
      <c r="ZC44" s="48"/>
      <c r="ZD44" s="48"/>
      <c r="ZE44" s="48"/>
      <c r="ZF44" s="48"/>
      <c r="ZG44" s="48"/>
      <c r="ZH44" s="48"/>
      <c r="ZI44" s="48"/>
      <c r="ZJ44" s="48"/>
      <c r="ZK44" s="48"/>
      <c r="ZL44" s="48"/>
      <c r="ZM44" s="48"/>
      <c r="ZN44" s="48"/>
      <c r="ZO44" s="48"/>
      <c r="ZP44" s="48"/>
      <c r="ZQ44" s="48"/>
      <c r="ZR44" s="48"/>
      <c r="ZS44" s="48"/>
      <c r="ZT44" s="48"/>
      <c r="ZU44" s="48"/>
      <c r="ZV44" s="48"/>
      <c r="ZW44" s="48"/>
      <c r="ZX44" s="48"/>
      <c r="ZY44" s="619"/>
      <c r="ZZ44" s="119"/>
      <c r="AAA44" s="588"/>
      <c r="AAB44"/>
      <c r="AAC44"/>
      <c r="AAD44" s="112"/>
      <c r="AAE44" s="551" t="s">
        <v>245</v>
      </c>
      <c r="AAF44" s="583" t="s">
        <v>174</v>
      </c>
      <c r="AAG44" s="112"/>
      <c r="AAH44" s="112"/>
      <c r="AAI44" s="77"/>
      <c r="AAJ44" s="90"/>
      <c r="AAK44" s="90"/>
      <c r="AAL44" s="76"/>
      <c r="AAM44" s="112"/>
      <c r="AAU44" s="44"/>
    </row>
    <row r="45" spans="1:732" ht="18" customHeight="1">
      <c r="A45" s="558"/>
      <c r="B45" s="223"/>
      <c r="C45" s="224"/>
      <c r="D45" s="225"/>
      <c r="E45" s="784"/>
      <c r="F45" s="373">
        <f>NETWORKDAYS(S.BANNER.PlanningStart,S.BANNER.PlanningEnd,S.DDL_DEQClosed)</f>
        <v>125</v>
      </c>
      <c r="G45" s="616">
        <f>S.BANNER.OverviewStart</f>
        <v>41369</v>
      </c>
      <c r="H45" s="226">
        <f>AAH45</f>
        <v>41550</v>
      </c>
      <c r="I45" s="627"/>
      <c r="J45" s="629"/>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5"/>
      <c r="CD45" s="635"/>
      <c r="CE45" s="635"/>
      <c r="CF45" s="635"/>
      <c r="CG45" s="635"/>
      <c r="CH45" s="635"/>
      <c r="CI45" s="635"/>
      <c r="CJ45" s="635"/>
      <c r="CK45" s="635"/>
      <c r="CL45" s="635"/>
      <c r="CM45" s="635"/>
      <c r="CN45" s="635"/>
      <c r="CO45" s="635"/>
      <c r="CP45" s="635"/>
      <c r="CQ45" s="635"/>
      <c r="CR45" s="635"/>
      <c r="CS45" s="635"/>
      <c r="CT45" s="635"/>
      <c r="CU45" s="635"/>
      <c r="CV45" s="635"/>
      <c r="CW45" s="635"/>
      <c r="CX45" s="635"/>
      <c r="CY45" s="635"/>
      <c r="CZ45" s="635"/>
      <c r="DA45" s="635"/>
      <c r="DB45" s="635"/>
      <c r="DC45" s="635"/>
      <c r="DD45" s="635"/>
      <c r="DE45" s="635"/>
      <c r="DF45" s="635"/>
      <c r="DG45" s="635"/>
      <c r="DH45" s="635"/>
      <c r="DI45" s="635"/>
      <c r="DJ45" s="635"/>
      <c r="DK45" s="635"/>
      <c r="DL45" s="635"/>
      <c r="DM45" s="635"/>
      <c r="DN45" s="635"/>
      <c r="DO45" s="635"/>
      <c r="DP45" s="635"/>
      <c r="DQ45" s="635"/>
      <c r="DR45" s="635"/>
      <c r="DS45" s="635"/>
      <c r="DT45" s="635"/>
      <c r="DU45" s="635"/>
      <c r="DV45" s="635"/>
      <c r="DW45" s="635"/>
      <c r="DX45" s="635"/>
      <c r="DY45" s="635"/>
      <c r="DZ45" s="635"/>
      <c r="EA45" s="635"/>
      <c r="EB45" s="635"/>
      <c r="EC45" s="635"/>
      <c r="ED45" s="635"/>
      <c r="EE45" s="635"/>
      <c r="EF45" s="635"/>
      <c r="EG45" s="635"/>
      <c r="EH45" s="635"/>
      <c r="EI45" s="635"/>
      <c r="EJ45" s="635"/>
      <c r="EK45" s="635"/>
      <c r="EL45" s="635"/>
      <c r="EM45" s="635"/>
      <c r="EN45" s="635"/>
      <c r="EO45" s="635"/>
      <c r="EP45" s="635"/>
      <c r="EQ45" s="635"/>
      <c r="ER45" s="635"/>
      <c r="ES45" s="635"/>
      <c r="ET45" s="635"/>
      <c r="EU45" s="635"/>
      <c r="EV45" s="635"/>
      <c r="EW45" s="635"/>
      <c r="EX45" s="635"/>
      <c r="EY45" s="635"/>
      <c r="EZ45" s="635"/>
      <c r="FA45" s="635"/>
      <c r="FB45" s="635"/>
      <c r="FC45" s="635"/>
      <c r="FD45" s="635"/>
      <c r="FE45" s="635"/>
      <c r="FF45" s="635"/>
      <c r="FG45" s="635"/>
      <c r="FH45" s="635"/>
      <c r="FI45" s="635"/>
      <c r="FJ45" s="635"/>
      <c r="FK45" s="635"/>
      <c r="FL45" s="635"/>
      <c r="FM45" s="635"/>
      <c r="FN45" s="635"/>
      <c r="FO45" s="635"/>
      <c r="FP45" s="635"/>
      <c r="FQ45" s="635"/>
      <c r="FR45" s="635"/>
      <c r="FS45" s="635"/>
      <c r="FT45" s="635"/>
      <c r="FU45" s="635"/>
      <c r="FV45" s="635"/>
      <c r="FW45" s="635"/>
      <c r="FX45" s="635"/>
      <c r="FY45" s="635"/>
      <c r="FZ45" s="635"/>
      <c r="GA45" s="635"/>
      <c r="GB45" s="635"/>
      <c r="GC45" s="635"/>
      <c r="GD45" s="635"/>
      <c r="GE45" s="635"/>
      <c r="GF45" s="635"/>
      <c r="GG45" s="635"/>
      <c r="GH45" s="635"/>
      <c r="GI45" s="635"/>
      <c r="GJ45" s="635"/>
      <c r="GK45" s="635"/>
      <c r="GL45" s="635"/>
      <c r="GM45" s="635"/>
      <c r="GN45" s="635"/>
      <c r="GO45" s="635"/>
      <c r="GP45" s="635"/>
      <c r="GQ45" s="635"/>
      <c r="GR45" s="635"/>
      <c r="GS45" s="635"/>
      <c r="GT45" s="635"/>
      <c r="GU45" s="635"/>
      <c r="GV45" s="635"/>
      <c r="GW45" s="635"/>
      <c r="GX45" s="635"/>
      <c r="GY45" s="635"/>
      <c r="GZ45" s="635"/>
      <c r="HA45" s="635"/>
      <c r="HB45" s="635"/>
      <c r="HC45" s="635"/>
      <c r="HD45" s="635"/>
      <c r="HE45" s="635"/>
      <c r="HF45" s="635"/>
      <c r="HG45" s="635"/>
      <c r="HH45" s="635"/>
      <c r="HI45" s="635"/>
      <c r="HJ45" s="635"/>
      <c r="HK45" s="635"/>
      <c r="HL45" s="635"/>
      <c r="HM45" s="635"/>
      <c r="HN45" s="635"/>
      <c r="HO45" s="635"/>
      <c r="HP45" s="635"/>
      <c r="HQ45" s="635"/>
      <c r="HR45" s="635"/>
      <c r="HS45" s="635"/>
      <c r="HT45" s="635"/>
      <c r="HU45" s="635"/>
      <c r="HV45" s="635"/>
      <c r="HW45" s="635"/>
      <c r="HX45" s="635"/>
      <c r="HY45" s="635"/>
      <c r="HZ45" s="635"/>
      <c r="IA45" s="635"/>
      <c r="IB45" s="635"/>
      <c r="IC45" s="635"/>
      <c r="ID45" s="635"/>
      <c r="IE45" s="635"/>
      <c r="IF45" s="635"/>
      <c r="IG45" s="635"/>
      <c r="IH45" s="635"/>
      <c r="II45" s="635"/>
      <c r="IJ45" s="635"/>
      <c r="IK45" s="635"/>
      <c r="IL45" s="635"/>
      <c r="IM45" s="635"/>
      <c r="IN45" s="635"/>
      <c r="IO45" s="635"/>
      <c r="IP45" s="635"/>
      <c r="IQ45" s="635"/>
      <c r="IR45" s="635"/>
      <c r="IS45" s="635"/>
      <c r="IT45" s="635"/>
      <c r="IU45" s="635"/>
      <c r="IV45" s="635"/>
      <c r="IW45" s="635"/>
      <c r="IX45" s="635"/>
      <c r="IY45" s="635"/>
      <c r="IZ45" s="635"/>
      <c r="JA45" s="635"/>
      <c r="JB45" s="635"/>
      <c r="JC45" s="635"/>
      <c r="JD45" s="635"/>
      <c r="JE45" s="635"/>
      <c r="JF45" s="635"/>
      <c r="JG45" s="635"/>
      <c r="JH45" s="635"/>
      <c r="JI45" s="635"/>
      <c r="JJ45" s="635"/>
      <c r="JK45" s="635"/>
      <c r="JL45" s="635"/>
      <c r="JM45" s="635"/>
      <c r="JN45" s="635"/>
      <c r="JO45" s="635"/>
      <c r="JP45" s="635"/>
      <c r="JQ45" s="635"/>
      <c r="JR45" s="635"/>
      <c r="JS45" s="635"/>
      <c r="JT45" s="635"/>
      <c r="JU45" s="635"/>
      <c r="JV45" s="635"/>
      <c r="JW45" s="635"/>
      <c r="JX45" s="635"/>
      <c r="JY45" s="635"/>
      <c r="JZ45" s="635"/>
      <c r="KA45" s="635"/>
      <c r="KB45" s="635"/>
      <c r="KC45" s="635"/>
      <c r="KD45" s="635"/>
      <c r="KE45" s="635"/>
      <c r="KF45" s="635"/>
      <c r="KG45" s="635"/>
      <c r="KH45" s="635"/>
      <c r="KI45" s="635"/>
      <c r="KJ45" s="635"/>
      <c r="KK45" s="635"/>
      <c r="KL45" s="635"/>
      <c r="KM45" s="635"/>
      <c r="KN45" s="635"/>
      <c r="KO45" s="635"/>
      <c r="KP45" s="635"/>
      <c r="KQ45" s="635"/>
      <c r="KR45" s="635"/>
      <c r="KS45" s="635"/>
      <c r="KT45" s="635"/>
      <c r="KU45" s="635"/>
      <c r="KV45" s="635"/>
      <c r="KW45" s="635"/>
      <c r="KX45" s="635"/>
      <c r="KY45" s="635"/>
      <c r="KZ45" s="635"/>
      <c r="LA45" s="635"/>
      <c r="LB45" s="635"/>
      <c r="LC45" s="635"/>
      <c r="LD45" s="635"/>
      <c r="LE45" s="635"/>
      <c r="LF45" s="635"/>
      <c r="LG45" s="635"/>
      <c r="LH45" s="635"/>
      <c r="LI45" s="635"/>
      <c r="LJ45" s="635"/>
      <c r="LK45" s="635"/>
      <c r="LL45" s="635"/>
      <c r="LM45" s="635"/>
      <c r="LN45" s="635"/>
      <c r="LO45" s="635"/>
      <c r="LP45" s="635"/>
      <c r="LQ45" s="635"/>
      <c r="LR45" s="635"/>
      <c r="LS45" s="635"/>
      <c r="LT45" s="635"/>
      <c r="LU45" s="635"/>
      <c r="LV45" s="635"/>
      <c r="LW45" s="635"/>
      <c r="LX45" s="635"/>
      <c r="LY45" s="635"/>
      <c r="LZ45" s="635"/>
      <c r="MA45" s="635"/>
      <c r="MB45" s="635"/>
      <c r="MC45" s="635"/>
      <c r="MD45" s="635"/>
      <c r="ME45" s="635"/>
      <c r="MF45" s="635"/>
      <c r="MG45" s="635"/>
      <c r="MH45" s="635"/>
      <c r="MI45" s="635"/>
      <c r="MJ45" s="635"/>
      <c r="MK45" s="635"/>
      <c r="ML45" s="635"/>
      <c r="MM45" s="635"/>
      <c r="MN45" s="635"/>
      <c r="MO45" s="635"/>
      <c r="MP45" s="635"/>
      <c r="MQ45" s="635"/>
      <c r="MR45" s="635"/>
      <c r="MS45" s="635"/>
      <c r="MT45" s="635"/>
      <c r="MU45" s="635"/>
      <c r="MV45" s="635"/>
      <c r="MW45" s="635"/>
      <c r="MX45" s="635"/>
      <c r="MY45" s="635"/>
      <c r="MZ45" s="635"/>
      <c r="NA45" s="635"/>
      <c r="NB45" s="635"/>
      <c r="NC45" s="635"/>
      <c r="ND45" s="635"/>
      <c r="NE45" s="635"/>
      <c r="NF45" s="635"/>
      <c r="NG45" s="635"/>
      <c r="NH45" s="635"/>
      <c r="NI45" s="635"/>
      <c r="NJ45" s="635"/>
      <c r="NK45" s="635"/>
      <c r="NL45" s="635"/>
      <c r="NM45" s="635"/>
      <c r="NN45" s="635"/>
      <c r="NO45" s="635"/>
      <c r="NP45" s="635"/>
      <c r="NQ45" s="635"/>
      <c r="NR45" s="635"/>
      <c r="NS45" s="635"/>
      <c r="NT45" s="635"/>
      <c r="NU45" s="635"/>
      <c r="NV45" s="635"/>
      <c r="NW45" s="635"/>
      <c r="NX45" s="635"/>
      <c r="NY45" s="635"/>
      <c r="NZ45" s="635"/>
      <c r="OA45" s="635"/>
      <c r="OB45" s="635"/>
      <c r="OC45" s="635"/>
      <c r="OD45" s="635"/>
      <c r="OE45" s="635"/>
      <c r="OF45" s="635"/>
      <c r="OG45" s="635"/>
      <c r="OH45" s="635"/>
      <c r="OI45" s="635"/>
      <c r="OJ45" s="635"/>
      <c r="OK45" s="635"/>
      <c r="OL45" s="635"/>
      <c r="OM45" s="635"/>
      <c r="ON45" s="635"/>
      <c r="OO45" s="635"/>
      <c r="OP45" s="635"/>
      <c r="OQ45" s="635"/>
      <c r="OR45" s="635"/>
      <c r="OS45" s="635"/>
      <c r="OT45" s="635"/>
      <c r="OU45" s="635"/>
      <c r="OV45" s="635"/>
      <c r="OW45" s="635"/>
      <c r="OX45" s="635"/>
      <c r="OY45" s="635"/>
      <c r="OZ45" s="635"/>
      <c r="PA45" s="635"/>
      <c r="PB45" s="635"/>
      <c r="PC45" s="635"/>
      <c r="PD45" s="635"/>
      <c r="PE45" s="635"/>
      <c r="PF45" s="635"/>
      <c r="PG45" s="635"/>
      <c r="PH45" s="635"/>
      <c r="PI45" s="635"/>
      <c r="PJ45" s="635"/>
      <c r="PK45" s="635"/>
      <c r="PL45" s="635"/>
      <c r="PM45" s="635"/>
      <c r="PN45" s="635"/>
      <c r="PO45" s="635"/>
      <c r="PP45" s="635"/>
      <c r="PQ45" s="635"/>
      <c r="PR45" s="635"/>
      <c r="PS45" s="635"/>
      <c r="PT45" s="635"/>
      <c r="PU45" s="635"/>
      <c r="PV45" s="635"/>
      <c r="PW45" s="635"/>
      <c r="PX45" s="635"/>
      <c r="PY45" s="635"/>
      <c r="PZ45" s="635"/>
      <c r="QA45" s="635"/>
      <c r="QB45" s="635"/>
      <c r="QC45" s="635"/>
      <c r="QD45" s="635"/>
      <c r="QE45" s="635"/>
      <c r="QF45" s="635"/>
      <c r="QG45" s="635"/>
      <c r="QH45" s="635"/>
      <c r="QI45" s="635"/>
      <c r="QJ45" s="635"/>
      <c r="QK45" s="635"/>
      <c r="QL45" s="635"/>
      <c r="QM45" s="635"/>
      <c r="QN45" s="635"/>
      <c r="QO45" s="635"/>
      <c r="QP45" s="635"/>
      <c r="QQ45" s="635"/>
      <c r="QR45" s="635"/>
      <c r="QS45" s="635"/>
      <c r="QT45" s="635"/>
      <c r="QU45" s="635"/>
      <c r="QV45" s="635"/>
      <c r="QW45" s="635"/>
      <c r="QX45" s="635"/>
      <c r="QY45" s="635"/>
      <c r="QZ45" s="635"/>
      <c r="RA45" s="635"/>
      <c r="RB45" s="635"/>
      <c r="RC45" s="635"/>
      <c r="RD45" s="635"/>
      <c r="RE45" s="635"/>
      <c r="RF45" s="635"/>
      <c r="RG45" s="635"/>
      <c r="RH45" s="635"/>
      <c r="RI45" s="635"/>
      <c r="RJ45" s="635"/>
      <c r="RK45" s="635"/>
      <c r="RL45" s="635"/>
      <c r="RM45" s="635"/>
      <c r="RN45" s="635"/>
      <c r="RO45" s="635"/>
      <c r="RP45" s="635"/>
      <c r="RQ45" s="635"/>
      <c r="RR45" s="635"/>
      <c r="RS45" s="635"/>
      <c r="RT45" s="635"/>
      <c r="RU45" s="635"/>
      <c r="RV45" s="635"/>
      <c r="RW45" s="635"/>
      <c r="RX45" s="635"/>
      <c r="RY45" s="635"/>
      <c r="RZ45" s="635"/>
      <c r="SA45" s="635"/>
      <c r="SB45" s="635"/>
      <c r="SC45" s="635"/>
      <c r="SD45" s="635"/>
      <c r="SE45" s="635"/>
      <c r="SF45" s="635"/>
      <c r="SG45" s="635"/>
      <c r="SH45" s="635"/>
      <c r="SI45" s="635"/>
      <c r="SJ45" s="635"/>
      <c r="SK45" s="635"/>
      <c r="SL45" s="635"/>
      <c r="SM45" s="635"/>
      <c r="SN45" s="635"/>
      <c r="SO45" s="635"/>
      <c r="SP45" s="635"/>
      <c r="SQ45" s="635"/>
      <c r="SR45" s="635"/>
      <c r="SS45" s="635"/>
      <c r="ST45" s="635"/>
      <c r="SU45" s="635"/>
      <c r="SV45" s="635"/>
      <c r="SW45" s="635"/>
      <c r="SX45" s="635"/>
      <c r="SY45" s="635"/>
      <c r="SZ45" s="635"/>
      <c r="TA45" s="635"/>
      <c r="TB45" s="635"/>
      <c r="TC45" s="635"/>
      <c r="TD45" s="635"/>
      <c r="TE45" s="635"/>
      <c r="TF45" s="635"/>
      <c r="TG45" s="635"/>
      <c r="TH45" s="635"/>
      <c r="TI45" s="635"/>
      <c r="TJ45" s="635"/>
      <c r="TK45" s="635"/>
      <c r="TL45" s="635"/>
      <c r="TM45" s="635"/>
      <c r="TN45" s="635"/>
      <c r="TO45" s="635"/>
      <c r="TP45" s="635"/>
      <c r="TQ45" s="635"/>
      <c r="TR45" s="635"/>
      <c r="TS45" s="635"/>
      <c r="TT45" s="635"/>
      <c r="TU45" s="635"/>
      <c r="TV45" s="635"/>
      <c r="TW45" s="635"/>
      <c r="TX45" s="635"/>
      <c r="TY45" s="635"/>
      <c r="TZ45" s="635"/>
      <c r="UA45" s="635"/>
      <c r="UB45" s="635"/>
      <c r="UC45" s="635"/>
      <c r="UD45" s="635"/>
      <c r="UE45" s="635"/>
      <c r="UF45" s="635"/>
      <c r="UG45" s="635"/>
      <c r="UH45" s="635"/>
      <c r="UI45" s="635"/>
      <c r="UJ45" s="635"/>
      <c r="UK45" s="635"/>
      <c r="UL45" s="635"/>
      <c r="UM45" s="635"/>
      <c r="UN45" s="635"/>
      <c r="UO45" s="635"/>
      <c r="UP45" s="635"/>
      <c r="UQ45" s="635"/>
      <c r="UR45" s="635"/>
      <c r="US45" s="635"/>
      <c r="UT45" s="635"/>
      <c r="UU45" s="635"/>
      <c r="UV45" s="635"/>
      <c r="UW45" s="635"/>
      <c r="UX45" s="635"/>
      <c r="UY45" s="635"/>
      <c r="UZ45" s="635"/>
      <c r="VA45" s="635"/>
      <c r="VB45" s="635"/>
      <c r="VC45" s="635"/>
      <c r="VD45" s="635"/>
      <c r="VE45" s="635"/>
      <c r="VF45" s="635"/>
      <c r="VG45" s="635"/>
      <c r="VH45" s="635"/>
      <c r="VI45" s="635"/>
      <c r="VJ45" s="635"/>
      <c r="VK45" s="635"/>
      <c r="VL45" s="635"/>
      <c r="VM45" s="635"/>
      <c r="VN45" s="635"/>
      <c r="VO45" s="635"/>
      <c r="VP45" s="635"/>
      <c r="VQ45" s="635"/>
      <c r="VR45" s="635"/>
      <c r="VS45" s="635"/>
      <c r="VT45" s="635"/>
      <c r="VU45" s="635"/>
      <c r="VV45" s="635"/>
      <c r="VW45" s="635"/>
      <c r="VX45" s="635"/>
      <c r="VY45" s="635"/>
      <c r="VZ45" s="635"/>
      <c r="WA45" s="635"/>
      <c r="WB45" s="635"/>
      <c r="WC45" s="635"/>
      <c r="WD45" s="635"/>
      <c r="WE45" s="635"/>
      <c r="WF45" s="635"/>
      <c r="WG45" s="635"/>
      <c r="WH45" s="635"/>
      <c r="WI45" s="635"/>
      <c r="WJ45" s="635"/>
      <c r="WK45" s="635"/>
      <c r="WL45" s="635"/>
      <c r="WM45" s="635"/>
      <c r="WN45" s="635"/>
      <c r="WO45" s="635"/>
      <c r="WP45" s="635"/>
      <c r="WQ45" s="635"/>
      <c r="WR45" s="635"/>
      <c r="WS45" s="635"/>
      <c r="WT45" s="635"/>
      <c r="WU45" s="635"/>
      <c r="WV45" s="635"/>
      <c r="WW45" s="635"/>
      <c r="WX45" s="635"/>
      <c r="WY45" s="635"/>
      <c r="WZ45" s="635"/>
      <c r="XA45" s="635"/>
      <c r="XB45" s="635"/>
      <c r="XC45" s="635"/>
      <c r="XD45" s="635"/>
      <c r="XE45" s="635"/>
      <c r="XF45" s="635"/>
      <c r="XG45" s="635"/>
      <c r="XH45" s="635"/>
      <c r="XI45" s="635"/>
      <c r="XJ45" s="635"/>
      <c r="XK45" s="635"/>
      <c r="XL45" s="635"/>
      <c r="XM45" s="635"/>
      <c r="XN45" s="635"/>
      <c r="XO45" s="635"/>
      <c r="XP45" s="635"/>
      <c r="XQ45" s="635"/>
      <c r="XR45" s="635"/>
      <c r="XS45" s="635"/>
      <c r="XT45" s="635"/>
      <c r="XU45" s="635"/>
      <c r="XV45" s="635"/>
      <c r="XW45" s="635"/>
      <c r="XX45" s="635"/>
      <c r="XY45" s="635"/>
      <c r="XZ45" s="635"/>
      <c r="YA45" s="635"/>
      <c r="YB45" s="635"/>
      <c r="YC45" s="635"/>
      <c r="YD45" s="635"/>
      <c r="YE45" s="635"/>
      <c r="YF45" s="635"/>
      <c r="YG45" s="635"/>
      <c r="YH45" s="635"/>
      <c r="YI45" s="635"/>
      <c r="YJ45" s="635"/>
      <c r="YK45" s="635"/>
      <c r="YL45" s="635"/>
      <c r="YM45" s="635"/>
      <c r="YN45" s="635"/>
      <c r="YO45" s="635"/>
      <c r="YP45" s="635"/>
      <c r="YQ45" s="635"/>
      <c r="YR45" s="635"/>
      <c r="YS45" s="635"/>
      <c r="YT45" s="635"/>
      <c r="YU45" s="635"/>
      <c r="YV45" s="635"/>
      <c r="YW45" s="635"/>
      <c r="YX45" s="635"/>
      <c r="YY45" s="635"/>
      <c r="YZ45" s="635"/>
      <c r="ZA45" s="635"/>
      <c r="ZB45" s="635"/>
      <c r="ZC45" s="635"/>
      <c r="ZD45" s="635"/>
      <c r="ZE45" s="635"/>
      <c r="ZF45" s="635"/>
      <c r="ZG45" s="635"/>
      <c r="ZH45" s="635"/>
      <c r="ZI45" s="635"/>
      <c r="ZJ45" s="635"/>
      <c r="ZK45" s="635"/>
      <c r="ZL45" s="635"/>
      <c r="ZM45" s="635"/>
      <c r="ZN45" s="635"/>
      <c r="ZO45" s="635"/>
      <c r="ZP45" s="635"/>
      <c r="ZQ45" s="635"/>
      <c r="ZR45" s="635"/>
      <c r="ZS45" s="635"/>
      <c r="ZT45" s="635"/>
      <c r="ZU45" s="635"/>
      <c r="ZV45" s="635"/>
      <c r="ZW45" s="635"/>
      <c r="ZX45" s="635"/>
      <c r="ZY45" s="638"/>
      <c r="ZZ45" s="119"/>
      <c r="AAA45" s="588"/>
      <c r="AAD45" s="112"/>
      <c r="AAE45" s="551" t="s">
        <v>245</v>
      </c>
      <c r="AAF45" s="583" t="s">
        <v>174</v>
      </c>
      <c r="AAG45" s="78">
        <f>S.BANNER.OverviewStart</f>
        <v>41369</v>
      </c>
      <c r="AAH45" s="78">
        <f>WORKDAY(S.PublicNoticeInBulletin+1,1,S.DDL_DEQClosed)</f>
        <v>41550</v>
      </c>
      <c r="AAI45" s="77"/>
      <c r="AAJ45" s="90"/>
      <c r="AAK45" s="90"/>
      <c r="AAL45" s="76"/>
      <c r="AAM45" s="112"/>
      <c r="AAN45"/>
      <c r="AAT45" s="23"/>
      <c r="AAU45" s="44"/>
    </row>
    <row r="46" spans="1:732" ht="6" customHeight="1">
      <c r="A46" s="558"/>
      <c r="B46" s="206"/>
      <c r="C46" s="688"/>
      <c r="D46" s="180"/>
      <c r="E46" s="181"/>
      <c r="F46" s="181"/>
      <c r="G46" s="180"/>
      <c r="H46" s="180"/>
      <c r="I46" s="588"/>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c r="HA46" s="32"/>
      <c r="HB46" s="32"/>
      <c r="HC46" s="32"/>
      <c r="HD46" s="32"/>
      <c r="HE46" s="32"/>
      <c r="HF46" s="32"/>
      <c r="HG46" s="32"/>
      <c r="HH46" s="32"/>
      <c r="HI46" s="32"/>
      <c r="HJ46" s="32"/>
      <c r="HK46" s="32"/>
      <c r="HL46" s="32"/>
      <c r="HM46" s="32"/>
      <c r="HN46" s="32"/>
      <c r="HO46" s="32"/>
      <c r="HP46" s="32"/>
      <c r="HQ46" s="32"/>
      <c r="HR46" s="32"/>
      <c r="HS46" s="32"/>
      <c r="HT46" s="32"/>
      <c r="HU46" s="32"/>
      <c r="HV46" s="32"/>
      <c r="HW46" s="32"/>
      <c r="HX46" s="32"/>
      <c r="HY46" s="32"/>
      <c r="HZ46" s="32"/>
      <c r="IA46" s="32"/>
      <c r="IB46" s="32"/>
      <c r="IC46" s="32"/>
      <c r="ID46" s="32"/>
      <c r="IE46" s="32"/>
      <c r="IF46" s="32"/>
      <c r="IG46" s="32"/>
      <c r="IH46" s="32"/>
      <c r="II46" s="32"/>
      <c r="IJ46" s="32"/>
      <c r="IK46" s="32"/>
      <c r="IL46" s="32"/>
      <c r="IM46" s="32"/>
      <c r="IN46" s="32"/>
      <c r="IO46" s="32"/>
      <c r="IP46" s="32"/>
      <c r="IQ46" s="32"/>
      <c r="IR46" s="32"/>
      <c r="IS46" s="32"/>
      <c r="IT46" s="32"/>
      <c r="IU46" s="32"/>
      <c r="IV46" s="32"/>
      <c r="IW46" s="32"/>
      <c r="IX46" s="32"/>
      <c r="IY46" s="32"/>
      <c r="IZ46" s="32"/>
      <c r="JA46" s="32"/>
      <c r="JB46" s="32"/>
      <c r="JC46" s="32"/>
      <c r="JD46" s="32"/>
      <c r="JE46" s="32"/>
      <c r="JF46" s="32"/>
      <c r="JG46" s="32"/>
      <c r="JH46" s="32"/>
      <c r="JI46" s="32"/>
      <c r="JJ46" s="32"/>
      <c r="JK46" s="32"/>
      <c r="JL46" s="32"/>
      <c r="JM46" s="32"/>
      <c r="JN46" s="32"/>
      <c r="JO46" s="32"/>
      <c r="JP46" s="32"/>
      <c r="JQ46" s="32"/>
      <c r="JR46" s="32"/>
      <c r="JS46" s="32"/>
      <c r="JT46" s="32"/>
      <c r="JU46" s="32"/>
      <c r="JV46" s="32"/>
      <c r="JW46" s="32"/>
      <c r="JX46" s="32"/>
      <c r="JY46" s="32"/>
      <c r="JZ46" s="32"/>
      <c r="KA46" s="32"/>
      <c r="KB46" s="32"/>
      <c r="KC46" s="32"/>
      <c r="KD46" s="32"/>
      <c r="KE46" s="32"/>
      <c r="KF46" s="32"/>
      <c r="KG46" s="32"/>
      <c r="KH46" s="32"/>
      <c r="KI46" s="32"/>
      <c r="KJ46" s="32"/>
      <c r="KK46" s="32"/>
      <c r="KL46" s="32"/>
      <c r="KM46" s="32"/>
      <c r="KN46" s="32"/>
      <c r="KO46" s="32"/>
      <c r="KP46" s="32"/>
      <c r="KQ46" s="32"/>
      <c r="KR46" s="32"/>
      <c r="KS46" s="32"/>
      <c r="KT46" s="32"/>
      <c r="KU46" s="32"/>
      <c r="KV46" s="32"/>
      <c r="KW46" s="32"/>
      <c r="KX46" s="32"/>
      <c r="KY46" s="32"/>
      <c r="KZ46" s="32"/>
      <c r="LA46" s="32"/>
      <c r="LB46" s="32"/>
      <c r="LC46" s="32"/>
      <c r="LD46" s="32"/>
      <c r="LE46" s="32"/>
      <c r="LF46" s="32"/>
      <c r="LG46" s="32"/>
      <c r="LH46" s="32"/>
      <c r="LI46" s="32"/>
      <c r="LJ46" s="32"/>
      <c r="LK46" s="32"/>
      <c r="LL46" s="32"/>
      <c r="LM46" s="32"/>
      <c r="LN46" s="32"/>
      <c r="LO46" s="32"/>
      <c r="LP46" s="32"/>
      <c r="LQ46" s="32"/>
      <c r="LR46" s="32"/>
      <c r="LS46" s="32"/>
      <c r="LT46" s="32"/>
      <c r="LU46" s="32"/>
      <c r="LV46" s="32"/>
      <c r="LW46" s="32"/>
      <c r="LX46" s="32"/>
      <c r="LY46" s="32"/>
      <c r="LZ46" s="32"/>
      <c r="MA46" s="32"/>
      <c r="MB46" s="32"/>
      <c r="MC46" s="32"/>
      <c r="MD46" s="32"/>
      <c r="ME46" s="32"/>
      <c r="MF46" s="32"/>
      <c r="MG46" s="32"/>
      <c r="MH46" s="32"/>
      <c r="MI46" s="32"/>
      <c r="MJ46" s="32"/>
      <c r="MK46" s="32"/>
      <c r="ML46" s="32"/>
      <c r="MM46" s="32"/>
      <c r="MN46" s="32"/>
      <c r="MO46" s="32"/>
      <c r="MP46" s="32"/>
      <c r="MQ46" s="32"/>
      <c r="MR46" s="32"/>
      <c r="MS46" s="32"/>
      <c r="MT46" s="32"/>
      <c r="MU46" s="32"/>
      <c r="MV46" s="32"/>
      <c r="MW46" s="32"/>
      <c r="MX46" s="32"/>
      <c r="MY46" s="32"/>
      <c r="MZ46" s="32"/>
      <c r="NA46" s="32"/>
      <c r="NB46" s="32"/>
      <c r="NC46" s="32"/>
      <c r="ND46" s="32"/>
      <c r="NE46" s="32"/>
      <c r="NF46" s="32"/>
      <c r="NG46" s="32"/>
      <c r="NH46" s="32"/>
      <c r="NI46" s="32"/>
      <c r="NJ46" s="32"/>
      <c r="NK46" s="32"/>
      <c r="NL46" s="32"/>
      <c r="NM46" s="32"/>
      <c r="NN46" s="32"/>
      <c r="NO46" s="32"/>
      <c r="NP46" s="32"/>
      <c r="NQ46" s="32"/>
      <c r="NR46" s="32"/>
      <c r="NS46" s="32"/>
      <c r="NT46" s="32"/>
      <c r="NU46" s="32"/>
      <c r="NV46" s="32"/>
      <c r="NW46" s="32"/>
      <c r="NX46" s="32"/>
      <c r="NY46" s="32"/>
      <c r="NZ46" s="32"/>
      <c r="OA46" s="32"/>
      <c r="OB46" s="32"/>
      <c r="OC46" s="32"/>
      <c r="OD46" s="32"/>
      <c r="OE46" s="32"/>
      <c r="OF46" s="32"/>
      <c r="OG46" s="32"/>
      <c r="OH46" s="32"/>
      <c r="OI46" s="32"/>
      <c r="OJ46" s="32"/>
      <c r="OK46" s="32"/>
      <c r="OL46" s="32"/>
      <c r="OM46" s="32"/>
      <c r="ON46" s="32"/>
      <c r="OO46" s="32"/>
      <c r="OP46" s="32"/>
      <c r="OQ46" s="32"/>
      <c r="OR46" s="32"/>
      <c r="OS46" s="32"/>
      <c r="OT46" s="32"/>
      <c r="OU46" s="32"/>
      <c r="OV46" s="32"/>
      <c r="OW46" s="32"/>
      <c r="OX46" s="32"/>
      <c r="OY46" s="32"/>
      <c r="OZ46" s="32"/>
      <c r="PA46" s="32"/>
      <c r="PB46" s="32"/>
      <c r="PC46" s="32"/>
      <c r="PD46" s="32"/>
      <c r="PE46" s="32"/>
      <c r="PF46" s="32"/>
      <c r="PG46" s="32"/>
      <c r="PH46" s="32"/>
      <c r="PI46" s="32"/>
      <c r="PJ46" s="32"/>
      <c r="PK46" s="32"/>
      <c r="PL46" s="32"/>
      <c r="PM46" s="32"/>
      <c r="PN46" s="32"/>
      <c r="PO46" s="32"/>
      <c r="PP46" s="32"/>
      <c r="PQ46" s="32"/>
      <c r="PR46" s="32"/>
      <c r="PS46" s="32"/>
      <c r="PT46" s="32"/>
      <c r="PU46" s="32"/>
      <c r="PV46" s="32"/>
      <c r="PW46" s="32"/>
      <c r="PX46" s="32"/>
      <c r="PY46" s="32"/>
      <c r="PZ46" s="32"/>
      <c r="QA46" s="32"/>
      <c r="QB46" s="32"/>
      <c r="QC46" s="32"/>
      <c r="QD46" s="32"/>
      <c r="QE46" s="32"/>
      <c r="QF46" s="32"/>
      <c r="QG46" s="32"/>
      <c r="QH46" s="32"/>
      <c r="QI46" s="32"/>
      <c r="QJ46" s="32"/>
      <c r="QK46" s="32"/>
      <c r="QL46" s="32"/>
      <c r="QM46" s="32"/>
      <c r="QN46" s="32"/>
      <c r="QO46" s="32"/>
      <c r="QP46" s="32"/>
      <c r="QQ46" s="32"/>
      <c r="QR46" s="32"/>
      <c r="QS46" s="32"/>
      <c r="QT46" s="32"/>
      <c r="QU46" s="32"/>
      <c r="QV46" s="32"/>
      <c r="QW46" s="32"/>
      <c r="QX46" s="32"/>
      <c r="QY46" s="32"/>
      <c r="QZ46" s="32"/>
      <c r="RA46" s="32"/>
      <c r="RB46" s="32"/>
      <c r="RC46" s="32"/>
      <c r="RD46" s="32"/>
      <c r="RE46" s="32"/>
      <c r="RF46" s="32"/>
      <c r="RG46" s="32"/>
      <c r="RH46" s="32"/>
      <c r="RI46" s="32"/>
      <c r="RJ46" s="32"/>
      <c r="RK46" s="32"/>
      <c r="RL46" s="32"/>
      <c r="RM46" s="32"/>
      <c r="RN46" s="32"/>
      <c r="RO46" s="32"/>
      <c r="RP46" s="32"/>
      <c r="RQ46" s="32"/>
      <c r="RR46" s="32"/>
      <c r="RS46" s="32"/>
      <c r="RT46" s="32"/>
      <c r="RU46" s="32"/>
      <c r="RV46" s="32"/>
      <c r="RW46" s="32"/>
      <c r="RX46" s="32"/>
      <c r="RY46" s="32"/>
      <c r="RZ46" s="32"/>
      <c r="SA46" s="32"/>
      <c r="SB46" s="32"/>
      <c r="SC46" s="32"/>
      <c r="SD46" s="32"/>
      <c r="SE46" s="32"/>
      <c r="SF46" s="32"/>
      <c r="SG46" s="32"/>
      <c r="SH46" s="32"/>
      <c r="SI46" s="32"/>
      <c r="SJ46" s="32"/>
      <c r="SK46" s="32"/>
      <c r="SL46" s="32"/>
      <c r="SM46" s="32"/>
      <c r="SN46" s="32"/>
      <c r="SO46" s="32"/>
      <c r="SP46" s="32"/>
      <c r="SQ46" s="32"/>
      <c r="SR46" s="32"/>
      <c r="SS46" s="32"/>
      <c r="ST46" s="32"/>
      <c r="SU46" s="32"/>
      <c r="SV46" s="32"/>
      <c r="SW46" s="32"/>
      <c r="SX46" s="32"/>
      <c r="SY46" s="32"/>
      <c r="SZ46" s="32"/>
      <c r="TA46" s="32"/>
      <c r="TB46" s="32"/>
      <c r="TC46" s="32"/>
      <c r="TD46" s="32"/>
      <c r="TE46" s="32"/>
      <c r="TF46" s="32"/>
      <c r="TG46" s="32"/>
      <c r="TH46" s="32"/>
      <c r="TI46" s="32"/>
      <c r="TJ46" s="32"/>
      <c r="TK46" s="32"/>
      <c r="TL46" s="32"/>
      <c r="TM46" s="32"/>
      <c r="TN46" s="32"/>
      <c r="TO46" s="32"/>
      <c r="TP46" s="32"/>
      <c r="TQ46" s="32"/>
      <c r="TR46" s="32"/>
      <c r="TS46" s="32"/>
      <c r="TT46" s="32"/>
      <c r="TU46" s="32"/>
      <c r="TV46" s="32"/>
      <c r="TW46" s="32"/>
      <c r="TX46" s="32"/>
      <c r="TY46" s="32"/>
      <c r="TZ46" s="32"/>
      <c r="UA46" s="32"/>
      <c r="UB46" s="32"/>
      <c r="UC46" s="32"/>
      <c r="UD46" s="32"/>
      <c r="UE46" s="32"/>
      <c r="UF46" s="32"/>
      <c r="UG46" s="32"/>
      <c r="UH46" s="32"/>
      <c r="UI46" s="32"/>
      <c r="UJ46" s="32"/>
      <c r="UK46" s="32"/>
      <c r="UL46" s="32"/>
      <c r="UM46" s="32"/>
      <c r="UN46" s="32"/>
      <c r="UO46" s="32"/>
      <c r="UP46" s="32"/>
      <c r="UQ46" s="32"/>
      <c r="UR46" s="32"/>
      <c r="US46" s="32"/>
      <c r="UT46" s="32"/>
      <c r="UU46" s="32"/>
      <c r="UV46" s="32"/>
      <c r="UW46" s="32"/>
      <c r="UX46" s="32"/>
      <c r="UY46" s="32"/>
      <c r="UZ46" s="32"/>
      <c r="VA46" s="32"/>
      <c r="VB46" s="32"/>
      <c r="VC46" s="32"/>
      <c r="VD46" s="32"/>
      <c r="VE46" s="32"/>
      <c r="VF46" s="32"/>
      <c r="VG46" s="32"/>
      <c r="VH46" s="32"/>
      <c r="VI46" s="32"/>
      <c r="VJ46" s="32"/>
      <c r="VK46" s="32"/>
      <c r="VL46" s="32"/>
      <c r="VM46" s="32"/>
      <c r="VN46" s="32"/>
      <c r="VO46" s="32"/>
      <c r="VP46" s="32"/>
      <c r="VQ46" s="32"/>
      <c r="VR46" s="32"/>
      <c r="VS46" s="32"/>
      <c r="VT46" s="32"/>
      <c r="VU46" s="32"/>
      <c r="VV46" s="32"/>
      <c r="VW46" s="32"/>
      <c r="VX46" s="32"/>
      <c r="VY46" s="32"/>
      <c r="VZ46" s="32"/>
      <c r="WA46" s="32"/>
      <c r="WB46" s="32"/>
      <c r="WC46" s="32"/>
      <c r="WD46" s="32"/>
      <c r="WE46" s="32"/>
      <c r="WF46" s="32"/>
      <c r="WG46" s="32"/>
      <c r="WH46" s="32"/>
      <c r="WI46" s="32"/>
      <c r="WJ46" s="32"/>
      <c r="WK46" s="32"/>
      <c r="WL46" s="32"/>
      <c r="WM46" s="32"/>
      <c r="WN46" s="32"/>
      <c r="WO46" s="32"/>
      <c r="WP46" s="32"/>
      <c r="WQ46" s="32"/>
      <c r="WR46" s="32"/>
      <c r="WS46" s="32"/>
      <c r="WT46" s="32"/>
      <c r="WU46" s="32"/>
      <c r="WV46" s="32"/>
      <c r="WW46" s="32"/>
      <c r="WX46" s="32"/>
      <c r="WY46" s="32"/>
      <c r="WZ46" s="32"/>
      <c r="XA46" s="32"/>
      <c r="XB46" s="32"/>
      <c r="XC46" s="32"/>
      <c r="XD46" s="32"/>
      <c r="XE46" s="32"/>
      <c r="XF46" s="32"/>
      <c r="XG46" s="32"/>
      <c r="XH46" s="32"/>
      <c r="XI46" s="32"/>
      <c r="XJ46" s="32"/>
      <c r="XK46" s="32"/>
      <c r="XL46" s="32"/>
      <c r="XM46" s="32"/>
      <c r="XN46" s="32"/>
      <c r="XO46" s="32"/>
      <c r="XP46" s="32"/>
      <c r="XQ46" s="32"/>
      <c r="XR46" s="32"/>
      <c r="XS46" s="32"/>
      <c r="XT46" s="32"/>
      <c r="XU46" s="32"/>
      <c r="XV46" s="32"/>
      <c r="XW46" s="32"/>
      <c r="XX46" s="32"/>
      <c r="XY46" s="32"/>
      <c r="XZ46" s="32"/>
      <c r="YA46" s="32"/>
      <c r="YB46" s="32"/>
      <c r="YC46" s="32"/>
      <c r="YD46" s="32"/>
      <c r="YE46" s="32"/>
      <c r="YF46" s="32"/>
      <c r="YG46" s="32"/>
      <c r="YH46" s="32"/>
      <c r="YI46" s="32"/>
      <c r="YJ46" s="32"/>
      <c r="YK46" s="32"/>
      <c r="YL46" s="32"/>
      <c r="YM46" s="32"/>
      <c r="YN46" s="32"/>
      <c r="YO46" s="32"/>
      <c r="YP46" s="32"/>
      <c r="YQ46" s="32"/>
      <c r="YR46" s="32"/>
      <c r="YS46" s="32"/>
      <c r="YT46" s="32"/>
      <c r="YU46" s="32"/>
      <c r="YV46" s="32"/>
      <c r="YW46" s="32"/>
      <c r="YX46" s="32"/>
      <c r="YY46" s="32"/>
      <c r="YZ46" s="32"/>
      <c r="ZA46" s="32"/>
      <c r="ZB46" s="32"/>
      <c r="ZC46" s="32"/>
      <c r="ZD46" s="32"/>
      <c r="ZE46" s="32"/>
      <c r="ZF46" s="32"/>
      <c r="ZG46" s="32"/>
      <c r="ZH46" s="32"/>
      <c r="ZI46" s="32"/>
      <c r="ZJ46" s="32"/>
      <c r="ZK46" s="32"/>
      <c r="ZL46" s="32"/>
      <c r="ZM46" s="32"/>
      <c r="ZN46" s="32"/>
      <c r="ZO46" s="32"/>
      <c r="ZP46" s="32"/>
      <c r="ZQ46" s="32"/>
      <c r="ZR46" s="32"/>
      <c r="ZS46" s="32"/>
      <c r="ZT46" s="32"/>
      <c r="ZU46" s="32"/>
      <c r="ZV46" s="32"/>
      <c r="ZW46" s="32"/>
      <c r="ZX46" s="32"/>
      <c r="ZY46" s="32"/>
      <c r="ZZ46" s="32"/>
      <c r="AAA46" s="588"/>
      <c r="AAD46" s="112"/>
      <c r="AAE46" s="552" t="s">
        <v>20</v>
      </c>
      <c r="AAF46" s="583" t="s">
        <v>174</v>
      </c>
      <c r="AAG46" s="63"/>
      <c r="AAH46" s="63"/>
      <c r="AAI46" s="77"/>
      <c r="AAJ46" s="91" t="s">
        <v>70</v>
      </c>
      <c r="AAK46" s="91"/>
      <c r="AAL46" s="40"/>
      <c r="AAM46" s="112"/>
      <c r="AAN46"/>
      <c r="AAT46" s="23"/>
      <c r="AAU46" s="44"/>
    </row>
    <row r="47" spans="1:732" ht="15.75" customHeight="1" outlineLevel="1">
      <c r="A47" s="558"/>
      <c r="B47" s="671" t="s">
        <v>318</v>
      </c>
      <c r="C47" s="287" t="s">
        <v>88</v>
      </c>
      <c r="D47" s="344" t="s">
        <v>0</v>
      </c>
      <c r="E47" s="345" t="s">
        <v>0</v>
      </c>
      <c r="F47" s="345" t="s">
        <v>0</v>
      </c>
      <c r="G47" s="344"/>
      <c r="H47" s="344"/>
      <c r="I47" s="588"/>
      <c r="J47" s="637"/>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c r="DJ47" s="636"/>
      <c r="DK47" s="636"/>
      <c r="DL47" s="636"/>
      <c r="DM47" s="636"/>
      <c r="DN47" s="636"/>
      <c r="DO47" s="636"/>
      <c r="DP47" s="636"/>
      <c r="DQ47" s="636"/>
      <c r="DR47" s="636"/>
      <c r="DS47" s="636"/>
      <c r="DT47" s="636"/>
      <c r="DU47" s="636"/>
      <c r="DV47" s="636"/>
      <c r="DW47" s="636"/>
      <c r="DX47" s="636"/>
      <c r="DY47" s="636"/>
      <c r="DZ47" s="636"/>
      <c r="EA47" s="636"/>
      <c r="EB47" s="636"/>
      <c r="EC47" s="636"/>
      <c r="ED47" s="636"/>
      <c r="EE47" s="636"/>
      <c r="EF47" s="636"/>
      <c r="EG47" s="636"/>
      <c r="EH47" s="636"/>
      <c r="EI47" s="636"/>
      <c r="EJ47" s="636"/>
      <c r="EK47" s="636"/>
      <c r="EL47" s="636"/>
      <c r="EM47" s="636"/>
      <c r="EN47" s="636"/>
      <c r="EO47" s="636"/>
      <c r="EP47" s="636"/>
      <c r="EQ47" s="636"/>
      <c r="ER47" s="636"/>
      <c r="ES47" s="636"/>
      <c r="ET47" s="636"/>
      <c r="EU47" s="636"/>
      <c r="EV47" s="636"/>
      <c r="EW47" s="636"/>
      <c r="EX47" s="636"/>
      <c r="EY47" s="636"/>
      <c r="EZ47" s="636"/>
      <c r="FA47" s="636"/>
      <c r="FB47" s="636"/>
      <c r="FC47" s="636"/>
      <c r="FD47" s="636"/>
      <c r="FE47" s="636"/>
      <c r="FF47" s="636"/>
      <c r="FG47" s="636"/>
      <c r="FH47" s="636"/>
      <c r="FI47" s="636"/>
      <c r="FJ47" s="636"/>
      <c r="FK47" s="636"/>
      <c r="FL47" s="636"/>
      <c r="FM47" s="636"/>
      <c r="FN47" s="636"/>
      <c r="FO47" s="636"/>
      <c r="FP47" s="636"/>
      <c r="FQ47" s="636"/>
      <c r="FR47" s="636"/>
      <c r="FS47" s="636"/>
      <c r="FT47" s="636"/>
      <c r="FU47" s="636"/>
      <c r="FV47" s="636"/>
      <c r="FW47" s="636"/>
      <c r="FX47" s="636"/>
      <c r="FY47" s="636"/>
      <c r="FZ47" s="636"/>
      <c r="GA47" s="636"/>
      <c r="GB47" s="636"/>
      <c r="GC47" s="636"/>
      <c r="GD47" s="636"/>
      <c r="GE47" s="636"/>
      <c r="GF47" s="636"/>
      <c r="GG47" s="636"/>
      <c r="GH47" s="636"/>
      <c r="GI47" s="636"/>
      <c r="GJ47" s="636"/>
      <c r="GK47" s="636"/>
      <c r="GL47" s="636"/>
      <c r="GM47" s="636"/>
      <c r="GN47" s="636"/>
      <c r="GO47" s="636"/>
      <c r="GP47" s="636"/>
      <c r="GQ47" s="636"/>
      <c r="GR47" s="636"/>
      <c r="GS47" s="636"/>
      <c r="GT47" s="636"/>
      <c r="GU47" s="636"/>
      <c r="GV47" s="636"/>
      <c r="GW47" s="636"/>
      <c r="GX47" s="636"/>
      <c r="GY47" s="636"/>
      <c r="GZ47" s="636"/>
      <c r="HA47" s="636"/>
      <c r="HB47" s="636"/>
      <c r="HC47" s="636"/>
      <c r="HD47" s="636"/>
      <c r="HE47" s="636"/>
      <c r="HF47" s="636"/>
      <c r="HG47" s="636"/>
      <c r="HH47" s="636"/>
      <c r="HI47" s="636"/>
      <c r="HJ47" s="636"/>
      <c r="HK47" s="636"/>
      <c r="HL47" s="636"/>
      <c r="HM47" s="636"/>
      <c r="HN47" s="636"/>
      <c r="HO47" s="636"/>
      <c r="HP47" s="636"/>
      <c r="HQ47" s="636"/>
      <c r="HR47" s="636"/>
      <c r="HS47" s="636"/>
      <c r="HT47" s="636"/>
      <c r="HU47" s="636"/>
      <c r="HV47" s="636"/>
      <c r="HW47" s="636"/>
      <c r="HX47" s="636"/>
      <c r="HY47" s="636"/>
      <c r="HZ47" s="636"/>
      <c r="IA47" s="636"/>
      <c r="IB47" s="636"/>
      <c r="IC47" s="636"/>
      <c r="ID47" s="636"/>
      <c r="IE47" s="636"/>
      <c r="IF47" s="636"/>
      <c r="IG47" s="636"/>
      <c r="IH47" s="636"/>
      <c r="II47" s="636"/>
      <c r="IJ47" s="636"/>
      <c r="IK47" s="636"/>
      <c r="IL47" s="636"/>
      <c r="IM47" s="636"/>
      <c r="IN47" s="636"/>
      <c r="IO47" s="636"/>
      <c r="IP47" s="636"/>
      <c r="IQ47" s="636"/>
      <c r="IR47" s="636"/>
      <c r="IS47" s="636"/>
      <c r="IT47" s="636"/>
      <c r="IU47" s="636"/>
      <c r="IV47" s="636"/>
      <c r="IW47" s="636"/>
      <c r="IX47" s="636"/>
      <c r="IY47" s="636"/>
      <c r="IZ47" s="636"/>
      <c r="JA47" s="636"/>
      <c r="JB47" s="636"/>
      <c r="JC47" s="636"/>
      <c r="JD47" s="636"/>
      <c r="JE47" s="636"/>
      <c r="JF47" s="636"/>
      <c r="JG47" s="636"/>
      <c r="JH47" s="636"/>
      <c r="JI47" s="636"/>
      <c r="JJ47" s="636"/>
      <c r="JK47" s="636"/>
      <c r="JL47" s="636"/>
      <c r="JM47" s="636"/>
      <c r="JN47" s="636"/>
      <c r="JO47" s="636"/>
      <c r="JP47" s="636"/>
      <c r="JQ47" s="636"/>
      <c r="JR47" s="636"/>
      <c r="JS47" s="636"/>
      <c r="JT47" s="636"/>
      <c r="JU47" s="636"/>
      <c r="JV47" s="636"/>
      <c r="JW47" s="636"/>
      <c r="JX47" s="636"/>
      <c r="JY47" s="636"/>
      <c r="JZ47" s="636"/>
      <c r="KA47" s="636"/>
      <c r="KB47" s="636"/>
      <c r="KC47" s="636"/>
      <c r="KD47" s="636"/>
      <c r="KE47" s="636"/>
      <c r="KF47" s="636"/>
      <c r="KG47" s="636"/>
      <c r="KH47" s="636"/>
      <c r="KI47" s="636"/>
      <c r="KJ47" s="636"/>
      <c r="KK47" s="636"/>
      <c r="KL47" s="636"/>
      <c r="KM47" s="636"/>
      <c r="KN47" s="636"/>
      <c r="KO47" s="636"/>
      <c r="KP47" s="636"/>
      <c r="KQ47" s="636"/>
      <c r="KR47" s="636"/>
      <c r="KS47" s="636"/>
      <c r="KT47" s="636"/>
      <c r="KU47" s="636"/>
      <c r="KV47" s="636"/>
      <c r="KW47" s="636"/>
      <c r="KX47" s="636"/>
      <c r="KY47" s="636"/>
      <c r="KZ47" s="636"/>
      <c r="LA47" s="636"/>
      <c r="LB47" s="636"/>
      <c r="LC47" s="636"/>
      <c r="LD47" s="636"/>
      <c r="LE47" s="636"/>
      <c r="LF47" s="636"/>
      <c r="LG47" s="636"/>
      <c r="LH47" s="636"/>
      <c r="LI47" s="636"/>
      <c r="LJ47" s="636"/>
      <c r="LK47" s="636"/>
      <c r="LL47" s="636"/>
      <c r="LM47" s="636"/>
      <c r="LN47" s="636"/>
      <c r="LO47" s="636"/>
      <c r="LP47" s="636"/>
      <c r="LQ47" s="636"/>
      <c r="LR47" s="636"/>
      <c r="LS47" s="636"/>
      <c r="LT47" s="636"/>
      <c r="LU47" s="636"/>
      <c r="LV47" s="636"/>
      <c r="LW47" s="636"/>
      <c r="LX47" s="636"/>
      <c r="LY47" s="636"/>
      <c r="LZ47" s="636"/>
      <c r="MA47" s="636"/>
      <c r="MB47" s="636"/>
      <c r="MC47" s="636"/>
      <c r="MD47" s="636"/>
      <c r="ME47" s="636"/>
      <c r="MF47" s="636"/>
      <c r="MG47" s="636"/>
      <c r="MH47" s="636"/>
      <c r="MI47" s="636"/>
      <c r="MJ47" s="636"/>
      <c r="MK47" s="636"/>
      <c r="ML47" s="636"/>
      <c r="MM47" s="636"/>
      <c r="MN47" s="636"/>
      <c r="MO47" s="636"/>
      <c r="MP47" s="636"/>
      <c r="MQ47" s="636"/>
      <c r="MR47" s="636"/>
      <c r="MS47" s="636"/>
      <c r="MT47" s="636"/>
      <c r="MU47" s="636"/>
      <c r="MV47" s="636"/>
      <c r="MW47" s="636"/>
      <c r="MX47" s="636"/>
      <c r="MY47" s="636"/>
      <c r="MZ47" s="636"/>
      <c r="NA47" s="636"/>
      <c r="NB47" s="636"/>
      <c r="NC47" s="636"/>
      <c r="ND47" s="636"/>
      <c r="NE47" s="636"/>
      <c r="NF47" s="636"/>
      <c r="NG47" s="636"/>
      <c r="NH47" s="636"/>
      <c r="NI47" s="636"/>
      <c r="NJ47" s="636"/>
      <c r="NK47" s="636"/>
      <c r="NL47" s="636"/>
      <c r="NM47" s="636"/>
      <c r="NN47" s="636"/>
      <c r="NO47" s="636"/>
      <c r="NP47" s="636"/>
      <c r="NQ47" s="636"/>
      <c r="NR47" s="636"/>
      <c r="NS47" s="636"/>
      <c r="NT47" s="636"/>
      <c r="NU47" s="636"/>
      <c r="NV47" s="636"/>
      <c r="NW47" s="636"/>
      <c r="NX47" s="636"/>
      <c r="NY47" s="636"/>
      <c r="NZ47" s="636"/>
      <c r="OA47" s="636"/>
      <c r="OB47" s="636"/>
      <c r="OC47" s="636"/>
      <c r="OD47" s="636"/>
      <c r="OE47" s="636"/>
      <c r="OF47" s="636"/>
      <c r="OG47" s="636"/>
      <c r="OH47" s="636"/>
      <c r="OI47" s="636"/>
      <c r="OJ47" s="636"/>
      <c r="OK47" s="636"/>
      <c r="OL47" s="636"/>
      <c r="OM47" s="636"/>
      <c r="ON47" s="636"/>
      <c r="OO47" s="636"/>
      <c r="OP47" s="636"/>
      <c r="OQ47" s="636"/>
      <c r="OR47" s="636"/>
      <c r="OS47" s="636"/>
      <c r="OT47" s="636"/>
      <c r="OU47" s="636"/>
      <c r="OV47" s="636"/>
      <c r="OW47" s="636"/>
      <c r="OX47" s="636"/>
      <c r="OY47" s="636"/>
      <c r="OZ47" s="636"/>
      <c r="PA47" s="636"/>
      <c r="PB47" s="636"/>
      <c r="PC47" s="636"/>
      <c r="PD47" s="636"/>
      <c r="PE47" s="636"/>
      <c r="PF47" s="636"/>
      <c r="PG47" s="636"/>
      <c r="PH47" s="636"/>
      <c r="PI47" s="636"/>
      <c r="PJ47" s="636"/>
      <c r="PK47" s="636"/>
      <c r="PL47" s="636"/>
      <c r="PM47" s="636"/>
      <c r="PN47" s="636"/>
      <c r="PO47" s="636"/>
      <c r="PP47" s="636"/>
      <c r="PQ47" s="636"/>
      <c r="PR47" s="636"/>
      <c r="PS47" s="636"/>
      <c r="PT47" s="636"/>
      <c r="PU47" s="636"/>
      <c r="PV47" s="636"/>
      <c r="PW47" s="636"/>
      <c r="PX47" s="636"/>
      <c r="PY47" s="636"/>
      <c r="PZ47" s="636"/>
      <c r="QA47" s="636"/>
      <c r="QB47" s="636"/>
      <c r="QC47" s="636"/>
      <c r="QD47" s="636"/>
      <c r="QE47" s="636"/>
      <c r="QF47" s="636"/>
      <c r="QG47" s="636"/>
      <c r="QH47" s="636"/>
      <c r="QI47" s="636"/>
      <c r="QJ47" s="636"/>
      <c r="QK47" s="636"/>
      <c r="QL47" s="636"/>
      <c r="QM47" s="636"/>
      <c r="QN47" s="636"/>
      <c r="QO47" s="636"/>
      <c r="QP47" s="636"/>
      <c r="QQ47" s="636"/>
      <c r="QR47" s="636"/>
      <c r="QS47" s="636"/>
      <c r="QT47" s="636"/>
      <c r="QU47" s="636"/>
      <c r="QV47" s="636"/>
      <c r="QW47" s="636"/>
      <c r="QX47" s="636"/>
      <c r="QY47" s="636"/>
      <c r="QZ47" s="636"/>
      <c r="RA47" s="636"/>
      <c r="RB47" s="636"/>
      <c r="RC47" s="636"/>
      <c r="RD47" s="636"/>
      <c r="RE47" s="636"/>
      <c r="RF47" s="636"/>
      <c r="RG47" s="636"/>
      <c r="RH47" s="636"/>
      <c r="RI47" s="636"/>
      <c r="RJ47" s="636"/>
      <c r="RK47" s="636"/>
      <c r="RL47" s="636"/>
      <c r="RM47" s="636"/>
      <c r="RN47" s="636"/>
      <c r="RO47" s="636"/>
      <c r="RP47" s="636"/>
      <c r="RQ47" s="636"/>
      <c r="RR47" s="636"/>
      <c r="RS47" s="636"/>
      <c r="RT47" s="636"/>
      <c r="RU47" s="636"/>
      <c r="RV47" s="636"/>
      <c r="RW47" s="636"/>
      <c r="RX47" s="636"/>
      <c r="RY47" s="636"/>
      <c r="RZ47" s="636"/>
      <c r="SA47" s="636"/>
      <c r="SB47" s="636"/>
      <c r="SC47" s="636"/>
      <c r="SD47" s="636"/>
      <c r="SE47" s="636"/>
      <c r="SF47" s="636"/>
      <c r="SG47" s="636"/>
      <c r="SH47" s="636"/>
      <c r="SI47" s="636"/>
      <c r="SJ47" s="636"/>
      <c r="SK47" s="636"/>
      <c r="SL47" s="636"/>
      <c r="SM47" s="636"/>
      <c r="SN47" s="636"/>
      <c r="SO47" s="636"/>
      <c r="SP47" s="636"/>
      <c r="SQ47" s="636"/>
      <c r="SR47" s="636"/>
      <c r="SS47" s="636"/>
      <c r="ST47" s="636"/>
      <c r="SU47" s="636"/>
      <c r="SV47" s="636"/>
      <c r="SW47" s="636"/>
      <c r="SX47" s="636"/>
      <c r="SY47" s="636"/>
      <c r="SZ47" s="636"/>
      <c r="TA47" s="636"/>
      <c r="TB47" s="636"/>
      <c r="TC47" s="636"/>
      <c r="TD47" s="636"/>
      <c r="TE47" s="636"/>
      <c r="TF47" s="636"/>
      <c r="TG47" s="636"/>
      <c r="TH47" s="636"/>
      <c r="TI47" s="636"/>
      <c r="TJ47" s="636"/>
      <c r="TK47" s="636"/>
      <c r="TL47" s="636"/>
      <c r="TM47" s="636"/>
      <c r="TN47" s="636"/>
      <c r="TO47" s="636"/>
      <c r="TP47" s="636"/>
      <c r="TQ47" s="636"/>
      <c r="TR47" s="636"/>
      <c r="TS47" s="636"/>
      <c r="TT47" s="636"/>
      <c r="TU47" s="636"/>
      <c r="TV47" s="636"/>
      <c r="TW47" s="636"/>
      <c r="TX47" s="636"/>
      <c r="TY47" s="636"/>
      <c r="TZ47" s="636"/>
      <c r="UA47" s="636"/>
      <c r="UB47" s="636"/>
      <c r="UC47" s="636"/>
      <c r="UD47" s="636"/>
      <c r="UE47" s="636"/>
      <c r="UF47" s="636"/>
      <c r="UG47" s="636"/>
      <c r="UH47" s="636"/>
      <c r="UI47" s="636"/>
      <c r="UJ47" s="636"/>
      <c r="UK47" s="636"/>
      <c r="UL47" s="636"/>
      <c r="UM47" s="636"/>
      <c r="UN47" s="636"/>
      <c r="UO47" s="636"/>
      <c r="UP47" s="636"/>
      <c r="UQ47" s="636"/>
      <c r="UR47" s="636"/>
      <c r="US47" s="636"/>
      <c r="UT47" s="636"/>
      <c r="UU47" s="636"/>
      <c r="UV47" s="636"/>
      <c r="UW47" s="636"/>
      <c r="UX47" s="636"/>
      <c r="UY47" s="636"/>
      <c r="UZ47" s="636"/>
      <c r="VA47" s="636"/>
      <c r="VB47" s="636"/>
      <c r="VC47" s="636"/>
      <c r="VD47" s="636"/>
      <c r="VE47" s="636"/>
      <c r="VF47" s="636"/>
      <c r="VG47" s="636"/>
      <c r="VH47" s="636"/>
      <c r="VI47" s="636"/>
      <c r="VJ47" s="636"/>
      <c r="VK47" s="636"/>
      <c r="VL47" s="636"/>
      <c r="VM47" s="636"/>
      <c r="VN47" s="636"/>
      <c r="VO47" s="636"/>
      <c r="VP47" s="636"/>
      <c r="VQ47" s="636"/>
      <c r="VR47" s="636"/>
      <c r="VS47" s="636"/>
      <c r="VT47" s="636"/>
      <c r="VU47" s="636"/>
      <c r="VV47" s="636"/>
      <c r="VW47" s="636"/>
      <c r="VX47" s="636"/>
      <c r="VY47" s="636"/>
      <c r="VZ47" s="636"/>
      <c r="WA47" s="636"/>
      <c r="WB47" s="636"/>
      <c r="WC47" s="636"/>
      <c r="WD47" s="636"/>
      <c r="WE47" s="636"/>
      <c r="WF47" s="636"/>
      <c r="WG47" s="636"/>
      <c r="WH47" s="636"/>
      <c r="WI47" s="636"/>
      <c r="WJ47" s="636"/>
      <c r="WK47" s="636"/>
      <c r="WL47" s="636"/>
      <c r="WM47" s="636"/>
      <c r="WN47" s="636"/>
      <c r="WO47" s="636"/>
      <c r="WP47" s="636"/>
      <c r="WQ47" s="636"/>
      <c r="WR47" s="636"/>
      <c r="WS47" s="636"/>
      <c r="WT47" s="636"/>
      <c r="WU47" s="636"/>
      <c r="WV47" s="636"/>
      <c r="WW47" s="636"/>
      <c r="WX47" s="636"/>
      <c r="WY47" s="636"/>
      <c r="WZ47" s="636"/>
      <c r="XA47" s="636"/>
      <c r="XB47" s="636"/>
      <c r="XC47" s="636"/>
      <c r="XD47" s="636"/>
      <c r="XE47" s="636"/>
      <c r="XF47" s="636"/>
      <c r="XG47" s="636"/>
      <c r="XH47" s="636"/>
      <c r="XI47" s="636"/>
      <c r="XJ47" s="636"/>
      <c r="XK47" s="636"/>
      <c r="XL47" s="636"/>
      <c r="XM47" s="636"/>
      <c r="XN47" s="636"/>
      <c r="XO47" s="636"/>
      <c r="XP47" s="636"/>
      <c r="XQ47" s="636"/>
      <c r="XR47" s="636"/>
      <c r="XS47" s="636"/>
      <c r="XT47" s="636"/>
      <c r="XU47" s="636"/>
      <c r="XV47" s="636"/>
      <c r="XW47" s="636"/>
      <c r="XX47" s="636"/>
      <c r="XY47" s="636"/>
      <c r="XZ47" s="636"/>
      <c r="YA47" s="636"/>
      <c r="YB47" s="636"/>
      <c r="YC47" s="636"/>
      <c r="YD47" s="636"/>
      <c r="YE47" s="636"/>
      <c r="YF47" s="636"/>
      <c r="YG47" s="636"/>
      <c r="YH47" s="636"/>
      <c r="YI47" s="636"/>
      <c r="YJ47" s="636"/>
      <c r="YK47" s="636"/>
      <c r="YL47" s="636"/>
      <c r="YM47" s="636"/>
      <c r="YN47" s="636"/>
      <c r="YO47" s="636"/>
      <c r="YP47" s="636"/>
      <c r="YQ47" s="636"/>
      <c r="YR47" s="636"/>
      <c r="YS47" s="636"/>
      <c r="YT47" s="636"/>
      <c r="YU47" s="636"/>
      <c r="YV47" s="636"/>
      <c r="YW47" s="636"/>
      <c r="YX47" s="636"/>
      <c r="YY47" s="636"/>
      <c r="YZ47" s="636"/>
      <c r="ZA47" s="636"/>
      <c r="ZB47" s="636"/>
      <c r="ZC47" s="636"/>
      <c r="ZD47" s="636"/>
      <c r="ZE47" s="636"/>
      <c r="ZF47" s="636"/>
      <c r="ZG47" s="636"/>
      <c r="ZH47" s="636"/>
      <c r="ZI47" s="636"/>
      <c r="ZJ47" s="636"/>
      <c r="ZK47" s="636"/>
      <c r="ZL47" s="636"/>
      <c r="ZM47" s="636"/>
      <c r="ZN47" s="636"/>
      <c r="ZO47" s="636"/>
      <c r="ZP47" s="636"/>
      <c r="ZQ47" s="636"/>
      <c r="ZR47" s="636"/>
      <c r="ZS47" s="636"/>
      <c r="ZT47" s="636"/>
      <c r="ZU47" s="636"/>
      <c r="ZV47" s="636"/>
      <c r="ZW47" s="636"/>
      <c r="ZX47" s="636"/>
      <c r="ZY47" s="639"/>
      <c r="ZZ47" s="622"/>
      <c r="AAA47" s="588"/>
      <c r="AAD47" s="112"/>
      <c r="AAE47" s="551">
        <v>1</v>
      </c>
      <c r="AAF47" s="583" t="s">
        <v>174</v>
      </c>
      <c r="AAG47" s="63"/>
      <c r="AAH47" s="63"/>
      <c r="AAI47" s="77"/>
      <c r="AAJ47" s="56"/>
      <c r="AAK47" s="56"/>
      <c r="AAL47" s="39"/>
      <c r="AAM47" s="112"/>
      <c r="AAN47"/>
      <c r="AAT47" s="23"/>
      <c r="AAU47" s="44"/>
    </row>
    <row r="48" spans="1:732" ht="15.75" customHeight="1" outlineLevel="1">
      <c r="A48" s="558"/>
      <c r="B48" s="670" t="s">
        <v>313</v>
      </c>
      <c r="C48" s="347"/>
      <c r="D48" s="169" t="s">
        <v>386</v>
      </c>
      <c r="E48" s="368">
        <f t="shared" ref="E48:E51" si="725">NETWORKDAYS(G48,H48,S.DDL_DEQClosed)</f>
        <v>1</v>
      </c>
      <c r="F48" s="368">
        <f ca="1">NETWORKDAYS(TODAY(),H48)</f>
        <v>-202</v>
      </c>
      <c r="G48" s="369">
        <f>AAG48</f>
        <v>41369</v>
      </c>
      <c r="H48" s="369">
        <f>AAH48</f>
        <v>41369</v>
      </c>
      <c r="I48" s="627"/>
      <c r="J48" s="594"/>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588"/>
      <c r="AAD48" s="112"/>
      <c r="AAE48" s="551">
        <v>1</v>
      </c>
      <c r="AAF48" s="112" t="s">
        <v>0</v>
      </c>
      <c r="AAG48" s="78">
        <f>S.BANNER.PlanningStart</f>
        <v>41369</v>
      </c>
      <c r="AAH48" s="78">
        <f>G48</f>
        <v>41369</v>
      </c>
      <c r="AAI48" s="77"/>
      <c r="AAJ48" s="56"/>
      <c r="AAK48" s="56"/>
      <c r="AAL48" s="39"/>
      <c r="AAM48" s="112"/>
      <c r="AAN48"/>
      <c r="AAT48" s="23"/>
      <c r="AAU48" s="44"/>
    </row>
    <row r="49" spans="1:732" ht="15.75" customHeight="1" outlineLevel="1">
      <c r="A49" s="558"/>
      <c r="B49" s="346" t="s">
        <v>73</v>
      </c>
      <c r="C49" s="347"/>
      <c r="D49" s="169" t="s">
        <v>375</v>
      </c>
      <c r="E49" s="368">
        <f t="shared" si="725"/>
        <v>1</v>
      </c>
      <c r="F49" s="368">
        <f ca="1">NETWORKDAYS(TODAY(),H49)</f>
        <v>-202</v>
      </c>
      <c r="G49" s="369">
        <f t="shared" ref="G49:G51" si="726">AAG49</f>
        <v>41369</v>
      </c>
      <c r="H49" s="369">
        <f t="shared" ref="H49:H50" si="727">AAH49</f>
        <v>41369</v>
      </c>
      <c r="I49" s="627"/>
      <c r="J49" s="594"/>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49"/>
      <c r="GK49" s="49"/>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49"/>
      <c r="HL49" s="49"/>
      <c r="HM49" s="49"/>
      <c r="HN49" s="49"/>
      <c r="HO49" s="49"/>
      <c r="HP49" s="49"/>
      <c r="HQ49" s="49"/>
      <c r="HR49" s="49"/>
      <c r="HS49" s="49"/>
      <c r="HT49" s="49"/>
      <c r="HU49" s="49"/>
      <c r="HV49" s="49"/>
      <c r="HW49" s="49"/>
      <c r="HX49" s="49"/>
      <c r="HY49" s="49"/>
      <c r="HZ49" s="49"/>
      <c r="IA49" s="49"/>
      <c r="IB49" s="49"/>
      <c r="IC49" s="49"/>
      <c r="ID49" s="49"/>
      <c r="IE49" s="49"/>
      <c r="IF49" s="49"/>
      <c r="IG49" s="49"/>
      <c r="IH49" s="49"/>
      <c r="II49" s="49"/>
      <c r="IJ49" s="49"/>
      <c r="IK49" s="49"/>
      <c r="IL49" s="49"/>
      <c r="IM49" s="49"/>
      <c r="IN49" s="49"/>
      <c r="IO49" s="49"/>
      <c r="IP49" s="49"/>
      <c r="IQ49" s="49"/>
      <c r="IR49" s="49"/>
      <c r="IS49" s="49"/>
      <c r="IT49" s="49"/>
      <c r="IU49" s="49"/>
      <c r="IV49" s="49"/>
      <c r="IW49" s="49"/>
      <c r="IX49" s="49"/>
      <c r="IY49" s="49"/>
      <c r="IZ49" s="49"/>
      <c r="JA49" s="49"/>
      <c r="JB49" s="49"/>
      <c r="JC49" s="49"/>
      <c r="JD49" s="49"/>
      <c r="JE49" s="49"/>
      <c r="JF49" s="49"/>
      <c r="JG49" s="49"/>
      <c r="JH49" s="49"/>
      <c r="JI49" s="49"/>
      <c r="JJ49" s="49"/>
      <c r="JK49" s="49"/>
      <c r="JL49" s="49"/>
      <c r="JM49" s="49"/>
      <c r="JN49" s="49"/>
      <c r="JO49" s="49"/>
      <c r="JP49" s="49"/>
      <c r="JQ49" s="49"/>
      <c r="JR49" s="49"/>
      <c r="JS49" s="49"/>
      <c r="JT49" s="49"/>
      <c r="JU49" s="49"/>
      <c r="JV49" s="49"/>
      <c r="JW49" s="49"/>
      <c r="JX49" s="49"/>
      <c r="JY49" s="49"/>
      <c r="JZ49" s="49"/>
      <c r="KA49" s="49"/>
      <c r="KB49" s="49"/>
      <c r="KC49" s="49"/>
      <c r="KD49" s="49"/>
      <c r="KE49" s="49"/>
      <c r="KF49" s="49"/>
      <c r="KG49" s="49"/>
      <c r="KH49" s="49"/>
      <c r="KI49" s="49"/>
      <c r="KJ49" s="49"/>
      <c r="KK49" s="49"/>
      <c r="KL49" s="49"/>
      <c r="KM49" s="49"/>
      <c r="KN49" s="49"/>
      <c r="KO49" s="49"/>
      <c r="KP49" s="49"/>
      <c r="KQ49" s="49"/>
      <c r="KR49" s="49"/>
      <c r="KS49" s="49"/>
      <c r="KT49" s="49"/>
      <c r="KU49" s="49"/>
      <c r="KV49" s="49"/>
      <c r="KW49" s="49"/>
      <c r="KX49" s="49"/>
      <c r="KY49" s="49"/>
      <c r="KZ49" s="49"/>
      <c r="LA49" s="49"/>
      <c r="LB49" s="49"/>
      <c r="LC49" s="49"/>
      <c r="LD49" s="49"/>
      <c r="LE49" s="49"/>
      <c r="LF49" s="49"/>
      <c r="LG49" s="49"/>
      <c r="LH49" s="49"/>
      <c r="LI49" s="49"/>
      <c r="LJ49" s="49"/>
      <c r="LK49" s="49"/>
      <c r="LL49" s="49"/>
      <c r="LM49" s="49"/>
      <c r="LN49" s="49"/>
      <c r="LO49" s="49"/>
      <c r="LP49" s="49"/>
      <c r="LQ49" s="49"/>
      <c r="LR49" s="49"/>
      <c r="LS49" s="49"/>
      <c r="LT49" s="49"/>
      <c r="LU49" s="49"/>
      <c r="LV49" s="49"/>
      <c r="LW49" s="49"/>
      <c r="LX49" s="49"/>
      <c r="LY49" s="49"/>
      <c r="LZ49" s="49"/>
      <c r="MA49" s="49"/>
      <c r="MB49" s="49"/>
      <c r="MC49" s="49"/>
      <c r="MD49" s="49"/>
      <c r="ME49" s="49"/>
      <c r="MF49" s="49"/>
      <c r="MG49" s="49"/>
      <c r="MH49" s="49"/>
      <c r="MI49" s="49"/>
      <c r="MJ49" s="49"/>
      <c r="MK49" s="49"/>
      <c r="ML49" s="49"/>
      <c r="MM49" s="49"/>
      <c r="MN49" s="49"/>
      <c r="MO49" s="49"/>
      <c r="MP49" s="49"/>
      <c r="MQ49" s="49"/>
      <c r="MR49" s="49"/>
      <c r="MS49" s="49"/>
      <c r="MT49" s="49"/>
      <c r="MU49" s="49"/>
      <c r="MV49" s="49"/>
      <c r="MW49" s="49"/>
      <c r="MX49" s="49"/>
      <c r="MY49" s="49"/>
      <c r="MZ49" s="49"/>
      <c r="NA49" s="49"/>
      <c r="NB49" s="49"/>
      <c r="NC49" s="49"/>
      <c r="ND49" s="49"/>
      <c r="NE49" s="49"/>
      <c r="NF49" s="49"/>
      <c r="NG49" s="49"/>
      <c r="NH49" s="49"/>
      <c r="NI49" s="49"/>
      <c r="NJ49" s="49"/>
      <c r="NK49" s="49"/>
      <c r="NL49" s="49"/>
      <c r="NM49" s="49"/>
      <c r="NN49" s="49"/>
      <c r="NO49" s="49"/>
      <c r="NP49" s="49"/>
      <c r="NQ49" s="49"/>
      <c r="NR49" s="49"/>
      <c r="NS49" s="49"/>
      <c r="NT49" s="49"/>
      <c r="NU49" s="49"/>
      <c r="NV49" s="49"/>
      <c r="NW49" s="49"/>
      <c r="NX49" s="49"/>
      <c r="NY49" s="49"/>
      <c r="NZ49" s="49"/>
      <c r="OA49" s="49"/>
      <c r="OB49" s="49"/>
      <c r="OC49" s="49"/>
      <c r="OD49" s="49"/>
      <c r="OE49" s="49"/>
      <c r="OF49" s="49"/>
      <c r="OG49" s="49"/>
      <c r="OH49" s="49"/>
      <c r="OI49" s="49"/>
      <c r="OJ49" s="49"/>
      <c r="OK49" s="49"/>
      <c r="OL49" s="49"/>
      <c r="OM49" s="49"/>
      <c r="ON49" s="49"/>
      <c r="OO49" s="49"/>
      <c r="OP49" s="49"/>
      <c r="OQ49" s="49"/>
      <c r="OR49" s="49"/>
      <c r="OS49" s="49"/>
      <c r="OT49" s="49"/>
      <c r="OU49" s="49"/>
      <c r="OV49" s="49"/>
      <c r="OW49" s="49"/>
      <c r="OX49" s="49"/>
      <c r="OY49" s="49"/>
      <c r="OZ49" s="49"/>
      <c r="PA49" s="49"/>
      <c r="PB49" s="49"/>
      <c r="PC49" s="49"/>
      <c r="PD49" s="49"/>
      <c r="PE49" s="49"/>
      <c r="PF49" s="49"/>
      <c r="PG49" s="49"/>
      <c r="PH49" s="49"/>
      <c r="PI49" s="49"/>
      <c r="PJ49" s="49"/>
      <c r="PK49" s="49"/>
      <c r="PL49" s="49"/>
      <c r="PM49" s="49"/>
      <c r="PN49" s="49"/>
      <c r="PO49" s="49"/>
      <c r="PP49" s="49"/>
      <c r="PQ49" s="49"/>
      <c r="PR49" s="49"/>
      <c r="PS49" s="49"/>
      <c r="PT49" s="49"/>
      <c r="PU49" s="49"/>
      <c r="PV49" s="49"/>
      <c r="PW49" s="49"/>
      <c r="PX49" s="49"/>
      <c r="PY49" s="49"/>
      <c r="PZ49" s="49"/>
      <c r="QA49" s="49"/>
      <c r="QB49" s="49"/>
      <c r="QC49" s="49"/>
      <c r="QD49" s="49"/>
      <c r="QE49" s="49"/>
      <c r="QF49" s="49"/>
      <c r="QG49" s="49"/>
      <c r="QH49" s="49"/>
      <c r="QI49" s="49"/>
      <c r="QJ49" s="49"/>
      <c r="QK49" s="49"/>
      <c r="QL49" s="49"/>
      <c r="QM49" s="49"/>
      <c r="QN49" s="49"/>
      <c r="QO49" s="49"/>
      <c r="QP49" s="49"/>
      <c r="QQ49" s="49"/>
      <c r="QR49" s="49"/>
      <c r="QS49" s="49"/>
      <c r="QT49" s="49"/>
      <c r="QU49" s="49"/>
      <c r="QV49" s="49"/>
      <c r="QW49" s="49"/>
      <c r="QX49" s="49"/>
      <c r="QY49" s="49"/>
      <c r="QZ49" s="49"/>
      <c r="RA49" s="49"/>
      <c r="RB49" s="49"/>
      <c r="RC49" s="49"/>
      <c r="RD49" s="49"/>
      <c r="RE49" s="49"/>
      <c r="RF49" s="49"/>
      <c r="RG49" s="49"/>
      <c r="RH49" s="49"/>
      <c r="RI49" s="49"/>
      <c r="RJ49" s="49"/>
      <c r="RK49" s="49"/>
      <c r="RL49" s="49"/>
      <c r="RM49" s="49"/>
      <c r="RN49" s="49"/>
      <c r="RO49" s="49"/>
      <c r="RP49" s="49"/>
      <c r="RQ49" s="49"/>
      <c r="RR49" s="49"/>
      <c r="RS49" s="49"/>
      <c r="RT49" s="49"/>
      <c r="RU49" s="49"/>
      <c r="RV49" s="49"/>
      <c r="RW49" s="49"/>
      <c r="RX49" s="49"/>
      <c r="RY49" s="49"/>
      <c r="RZ49" s="49"/>
      <c r="SA49" s="49"/>
      <c r="SB49" s="49"/>
      <c r="SC49" s="49"/>
      <c r="SD49" s="49"/>
      <c r="SE49" s="49"/>
      <c r="SF49" s="49"/>
      <c r="SG49" s="49"/>
      <c r="SH49" s="49"/>
      <c r="SI49" s="49"/>
      <c r="SJ49" s="49"/>
      <c r="SK49" s="49"/>
      <c r="SL49" s="49"/>
      <c r="SM49" s="49"/>
      <c r="SN49" s="49"/>
      <c r="SO49" s="49"/>
      <c r="SP49" s="49"/>
      <c r="SQ49" s="49"/>
      <c r="SR49" s="49"/>
      <c r="SS49" s="49"/>
      <c r="ST49" s="49"/>
      <c r="SU49" s="49"/>
      <c r="SV49" s="49"/>
      <c r="SW49" s="49"/>
      <c r="SX49" s="49"/>
      <c r="SY49" s="49"/>
      <c r="SZ49" s="49"/>
      <c r="TA49" s="49"/>
      <c r="TB49" s="49"/>
      <c r="TC49" s="49"/>
      <c r="TD49" s="49"/>
      <c r="TE49" s="49"/>
      <c r="TF49" s="49"/>
      <c r="TG49" s="49"/>
      <c r="TH49" s="49"/>
      <c r="TI49" s="49"/>
      <c r="TJ49" s="49"/>
      <c r="TK49" s="49"/>
      <c r="TL49" s="49"/>
      <c r="TM49" s="49"/>
      <c r="TN49" s="49"/>
      <c r="TO49" s="49"/>
      <c r="TP49" s="49"/>
      <c r="TQ49" s="49"/>
      <c r="TR49" s="49"/>
      <c r="TS49" s="49"/>
      <c r="TT49" s="49"/>
      <c r="TU49" s="49"/>
      <c r="TV49" s="49"/>
      <c r="TW49" s="49"/>
      <c r="TX49" s="49"/>
      <c r="TY49" s="49"/>
      <c r="TZ49" s="49"/>
      <c r="UA49" s="49"/>
      <c r="UB49" s="49"/>
      <c r="UC49" s="49"/>
      <c r="UD49" s="49"/>
      <c r="UE49" s="49"/>
      <c r="UF49" s="49"/>
      <c r="UG49" s="49"/>
      <c r="UH49" s="49"/>
      <c r="UI49" s="49"/>
      <c r="UJ49" s="49"/>
      <c r="UK49" s="49"/>
      <c r="UL49" s="49"/>
      <c r="UM49" s="49"/>
      <c r="UN49" s="49"/>
      <c r="UO49" s="49"/>
      <c r="UP49" s="49"/>
      <c r="UQ49" s="49"/>
      <c r="UR49" s="49"/>
      <c r="US49" s="49"/>
      <c r="UT49" s="49"/>
      <c r="UU49" s="49"/>
      <c r="UV49" s="49"/>
      <c r="UW49" s="49"/>
      <c r="UX49" s="49"/>
      <c r="UY49" s="49"/>
      <c r="UZ49" s="49"/>
      <c r="VA49" s="49"/>
      <c r="VB49" s="49"/>
      <c r="VC49" s="49"/>
      <c r="VD49" s="49"/>
      <c r="VE49" s="49"/>
      <c r="VF49" s="49"/>
      <c r="VG49" s="49"/>
      <c r="VH49" s="49"/>
      <c r="VI49" s="49"/>
      <c r="VJ49" s="49"/>
      <c r="VK49" s="49"/>
      <c r="VL49" s="49"/>
      <c r="VM49" s="49"/>
      <c r="VN49" s="49"/>
      <c r="VO49" s="49"/>
      <c r="VP49" s="49"/>
      <c r="VQ49" s="49"/>
      <c r="VR49" s="49"/>
      <c r="VS49" s="49"/>
      <c r="VT49" s="49"/>
      <c r="VU49" s="49"/>
      <c r="VV49" s="49"/>
      <c r="VW49" s="49"/>
      <c r="VX49" s="49"/>
      <c r="VY49" s="49"/>
      <c r="VZ49" s="49"/>
      <c r="WA49" s="49"/>
      <c r="WB49" s="49"/>
      <c r="WC49" s="49"/>
      <c r="WD49" s="49"/>
      <c r="WE49" s="49"/>
      <c r="WF49" s="49"/>
      <c r="WG49" s="49"/>
      <c r="WH49" s="49"/>
      <c r="WI49" s="49"/>
      <c r="WJ49" s="49"/>
      <c r="WK49" s="49"/>
      <c r="WL49" s="49"/>
      <c r="WM49" s="49"/>
      <c r="WN49" s="49"/>
      <c r="WO49" s="49"/>
      <c r="WP49" s="49"/>
      <c r="WQ49" s="49"/>
      <c r="WR49" s="49"/>
      <c r="WS49" s="49"/>
      <c r="WT49" s="49"/>
      <c r="WU49" s="49"/>
      <c r="WV49" s="49"/>
      <c r="WW49" s="49"/>
      <c r="WX49" s="49"/>
      <c r="WY49" s="49"/>
      <c r="WZ49" s="49"/>
      <c r="XA49" s="49"/>
      <c r="XB49" s="49"/>
      <c r="XC49" s="49"/>
      <c r="XD49" s="49"/>
      <c r="XE49" s="49"/>
      <c r="XF49" s="49"/>
      <c r="XG49" s="49"/>
      <c r="XH49" s="49"/>
      <c r="XI49" s="49"/>
      <c r="XJ49" s="49"/>
      <c r="XK49" s="49"/>
      <c r="XL49" s="49"/>
      <c r="XM49" s="49"/>
      <c r="XN49" s="49"/>
      <c r="XO49" s="49"/>
      <c r="XP49" s="49"/>
      <c r="XQ49" s="49"/>
      <c r="XR49" s="49"/>
      <c r="XS49" s="49"/>
      <c r="XT49" s="49"/>
      <c r="XU49" s="49"/>
      <c r="XV49" s="49"/>
      <c r="XW49" s="49"/>
      <c r="XX49" s="49"/>
      <c r="XY49" s="49"/>
      <c r="XZ49" s="49"/>
      <c r="YA49" s="49"/>
      <c r="YB49" s="49"/>
      <c r="YC49" s="49"/>
      <c r="YD49" s="49"/>
      <c r="YE49" s="49"/>
      <c r="YF49" s="49"/>
      <c r="YG49" s="49"/>
      <c r="YH49" s="49"/>
      <c r="YI49" s="49"/>
      <c r="YJ49" s="49"/>
      <c r="YK49" s="49"/>
      <c r="YL49" s="49"/>
      <c r="YM49" s="49"/>
      <c r="YN49" s="49"/>
      <c r="YO49" s="49"/>
      <c r="YP49" s="49"/>
      <c r="YQ49" s="49"/>
      <c r="YR49" s="49"/>
      <c r="YS49" s="49"/>
      <c r="YT49" s="49"/>
      <c r="YU49" s="49"/>
      <c r="YV49" s="49"/>
      <c r="YW49" s="49"/>
      <c r="YX49" s="49"/>
      <c r="YY49" s="49"/>
      <c r="YZ49" s="49"/>
      <c r="ZA49" s="49"/>
      <c r="ZB49" s="49"/>
      <c r="ZC49" s="49"/>
      <c r="ZD49" s="49"/>
      <c r="ZE49" s="49"/>
      <c r="ZF49" s="49"/>
      <c r="ZG49" s="49"/>
      <c r="ZH49" s="49"/>
      <c r="ZI49" s="49"/>
      <c r="ZJ49" s="49"/>
      <c r="ZK49" s="49"/>
      <c r="ZL49" s="49"/>
      <c r="ZM49" s="49"/>
      <c r="ZN49" s="49"/>
      <c r="ZO49" s="49"/>
      <c r="ZP49" s="49"/>
      <c r="ZQ49" s="49"/>
      <c r="ZR49" s="49"/>
      <c r="ZS49" s="49"/>
      <c r="ZT49" s="49"/>
      <c r="ZU49" s="49"/>
      <c r="ZV49" s="49"/>
      <c r="ZW49" s="49"/>
      <c r="ZX49" s="49"/>
      <c r="ZY49" s="50"/>
      <c r="ZZ49" s="50"/>
      <c r="AAA49" s="588"/>
      <c r="AAD49" s="112"/>
      <c r="AAE49" s="551">
        <v>1</v>
      </c>
      <c r="AAF49" s="112" t="s">
        <v>0</v>
      </c>
      <c r="AAG49" s="78">
        <f>H48</f>
        <v>41369</v>
      </c>
      <c r="AAH49" s="78">
        <f t="shared" ref="AAH49:AAH51" si="728">G49</f>
        <v>41369</v>
      </c>
      <c r="AAI49" s="77"/>
      <c r="AAJ49" s="56"/>
      <c r="AAK49" s="56"/>
      <c r="AAL49" s="39"/>
      <c r="AAM49" s="112"/>
      <c r="AAN49"/>
      <c r="AAT49" s="23"/>
      <c r="AAU49" s="44"/>
    </row>
    <row r="50" spans="1:732" ht="15.75" customHeight="1" outlineLevel="1">
      <c r="A50" s="558"/>
      <c r="B50" s="348" t="s">
        <v>314</v>
      </c>
      <c r="C50" s="347"/>
      <c r="D50" s="169" t="s">
        <v>375</v>
      </c>
      <c r="E50" s="368">
        <f t="shared" si="725"/>
        <v>1</v>
      </c>
      <c r="F50" s="368">
        <f ca="1">NETWORKDAYS(TODAY(),H50)</f>
        <v>-202</v>
      </c>
      <c r="G50" s="369">
        <f t="shared" si="726"/>
        <v>41369</v>
      </c>
      <c r="H50" s="369">
        <f t="shared" si="727"/>
        <v>41369</v>
      </c>
      <c r="I50" s="627"/>
      <c r="J50" s="591"/>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588"/>
      <c r="AAD50" s="112"/>
      <c r="AAE50" s="551">
        <v>1</v>
      </c>
      <c r="AAF50" s="112" t="s">
        <v>0</v>
      </c>
      <c r="AAG50" s="78">
        <f t="shared" ref="AAG50:AAG51" si="729">H49</f>
        <v>41369</v>
      </c>
      <c r="AAH50" s="78">
        <f t="shared" si="728"/>
        <v>41369</v>
      </c>
      <c r="AAI50" s="77"/>
      <c r="AAJ50" s="56"/>
      <c r="AAK50" s="56"/>
      <c r="AAL50" s="39"/>
      <c r="AAM50" s="112"/>
      <c r="AAN50"/>
      <c r="AAT50" s="23"/>
      <c r="AAU50" s="44"/>
    </row>
    <row r="51" spans="1:732" ht="15.75" customHeight="1" outlineLevel="1">
      <c r="A51" s="558"/>
      <c r="B51" s="349" t="s">
        <v>262</v>
      </c>
      <c r="C51" s="347"/>
      <c r="D51" s="169" t="s">
        <v>379</v>
      </c>
      <c r="E51" s="368">
        <f t="shared" si="725"/>
        <v>1</v>
      </c>
      <c r="F51" s="368">
        <f ca="1">NETWORKDAYS(TODAY(),H51)</f>
        <v>-202</v>
      </c>
      <c r="G51" s="369">
        <f t="shared" si="726"/>
        <v>41369</v>
      </c>
      <c r="H51" s="370">
        <f>AAH51</f>
        <v>41369</v>
      </c>
      <c r="I51" s="627"/>
      <c r="J51" s="591"/>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50"/>
      <c r="ZZ51" s="50"/>
      <c r="AAA51" s="588"/>
      <c r="AAD51" s="112"/>
      <c r="AAE51" s="551">
        <v>1</v>
      </c>
      <c r="AAF51" s="112" t="s">
        <v>0</v>
      </c>
      <c r="AAG51" s="78">
        <f t="shared" si="729"/>
        <v>41369</v>
      </c>
      <c r="AAH51" s="78">
        <f t="shared" si="728"/>
        <v>41369</v>
      </c>
      <c r="AAI51" s="77"/>
      <c r="AAJ51" s="56"/>
      <c r="AAK51" s="56"/>
      <c r="AAL51" s="39"/>
      <c r="AAM51" s="112"/>
      <c r="AAN51"/>
      <c r="AAT51" s="23"/>
      <c r="AAU51" s="44"/>
    </row>
    <row r="52" spans="1:732" ht="15.75" customHeight="1" outlineLevel="1">
      <c r="A52" s="558"/>
      <c r="B52" s="350" t="s">
        <v>72</v>
      </c>
      <c r="C52" s="699" t="s">
        <v>0</v>
      </c>
      <c r="D52" s="351"/>
      <c r="E52" s="352"/>
      <c r="F52" s="352"/>
      <c r="G52" s="351"/>
      <c r="H52" s="351"/>
      <c r="I52" s="588"/>
      <c r="J52" s="591"/>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17"/>
      <c r="ZZ52" s="622"/>
      <c r="AAA52" s="588"/>
      <c r="AAD52" s="112"/>
      <c r="AAE52" s="551">
        <v>1</v>
      </c>
      <c r="AAF52" s="583" t="s">
        <v>174</v>
      </c>
      <c r="AAG52" s="76"/>
      <c r="AAH52" s="76"/>
      <c r="AAI52" s="76"/>
      <c r="AAJ52" s="56"/>
      <c r="AAK52" s="56"/>
      <c r="AAL52" s="39"/>
      <c r="AAM52" s="112"/>
      <c r="AAN52"/>
      <c r="AAT52" s="23"/>
      <c r="AAU52" s="44"/>
    </row>
    <row r="53" spans="1:732" ht="15.75" customHeight="1" outlineLevel="1">
      <c r="A53" s="558"/>
      <c r="B53" s="350" t="s">
        <v>127</v>
      </c>
      <c r="C53" s="699" t="s">
        <v>0</v>
      </c>
      <c r="D53" s="353"/>
      <c r="E53" s="354"/>
      <c r="F53" s="352"/>
      <c r="G53" s="355"/>
      <c r="H53" s="356"/>
      <c r="I53" s="588"/>
      <c r="J53" s="591"/>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17"/>
      <c r="ZZ53" s="622"/>
      <c r="AAA53" s="588"/>
      <c r="AAD53" s="112"/>
      <c r="AAE53" s="551">
        <v>1</v>
      </c>
      <c r="AAF53" s="583" t="s">
        <v>174</v>
      </c>
      <c r="AAG53" s="76"/>
      <c r="AAH53" s="76"/>
      <c r="AAI53" s="76"/>
      <c r="AAJ53" s="56"/>
      <c r="AAK53" s="56"/>
      <c r="AAL53" s="39"/>
      <c r="AAM53" s="112"/>
      <c r="AAN53"/>
      <c r="AAT53" s="23"/>
      <c r="AAU53" s="44"/>
    </row>
    <row r="54" spans="1:732" ht="15.75" customHeight="1" outlineLevel="1">
      <c r="A54" s="558"/>
      <c r="B54" s="350" t="s">
        <v>68</v>
      </c>
      <c r="C54" s="673" t="s">
        <v>87</v>
      </c>
      <c r="D54" s="155"/>
      <c r="E54" s="156"/>
      <c r="F54" s="154"/>
      <c r="G54" s="157"/>
      <c r="H54" s="161"/>
      <c r="I54" s="588"/>
      <c r="J54" s="591"/>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17"/>
      <c r="ZZ54" s="622"/>
      <c r="AAA54" s="588"/>
      <c r="AAD54" s="112"/>
      <c r="AAE54" s="551">
        <v>1</v>
      </c>
      <c r="AAF54" s="583" t="s">
        <v>174</v>
      </c>
      <c r="AAG54" s="76"/>
      <c r="AAH54" s="76"/>
      <c r="AAI54" s="76"/>
      <c r="AAJ54" s="56"/>
      <c r="AAK54" s="56"/>
      <c r="AAL54" s="39"/>
      <c r="AAM54" s="112"/>
      <c r="AAN54"/>
      <c r="AAT54" s="23"/>
      <c r="AAU54" s="44"/>
    </row>
    <row r="55" spans="1:732" ht="15.75" customHeight="1" outlineLevel="1">
      <c r="A55" s="558"/>
      <c r="B55" s="350" t="s">
        <v>67</v>
      </c>
      <c r="C55" s="700"/>
      <c r="D55" s="155"/>
      <c r="E55" s="156"/>
      <c r="F55" s="154"/>
      <c r="G55" s="157"/>
      <c r="H55" s="161"/>
      <c r="I55" s="588"/>
      <c r="J55" s="591"/>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17"/>
      <c r="ZZ55" s="622"/>
      <c r="AAA55" s="588"/>
      <c r="AAD55" s="112"/>
      <c r="AAE55" s="551">
        <v>1</v>
      </c>
      <c r="AAF55" s="583" t="s">
        <v>174</v>
      </c>
      <c r="AAG55" s="76"/>
      <c r="AAH55" s="76"/>
      <c r="AAI55" s="76"/>
      <c r="AAJ55" s="56"/>
      <c r="AAK55" s="56"/>
      <c r="AAL55" s="39"/>
      <c r="AAM55" s="112"/>
      <c r="AAN55"/>
      <c r="AAT55" s="23"/>
      <c r="AAU55" s="44"/>
    </row>
    <row r="56" spans="1:732" ht="15.75" customHeight="1" outlineLevel="1">
      <c r="A56" s="558"/>
      <c r="B56" s="350" t="s">
        <v>263</v>
      </c>
      <c r="C56" s="701"/>
      <c r="D56" s="155"/>
      <c r="E56" s="156"/>
      <c r="F56" s="154"/>
      <c r="G56" s="157"/>
      <c r="H56" s="161"/>
      <c r="I56" s="588"/>
      <c r="J56" s="591"/>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17"/>
      <c r="ZZ56" s="622"/>
      <c r="AAA56" s="588"/>
      <c r="AAD56" s="112"/>
      <c r="AAE56" s="551">
        <v>1</v>
      </c>
      <c r="AAF56" s="583" t="s">
        <v>174</v>
      </c>
      <c r="AAG56" s="76"/>
      <c r="AAH56" s="76"/>
      <c r="AAI56" s="76"/>
      <c r="AAJ56" s="56"/>
      <c r="AAK56" s="56"/>
      <c r="AAL56" s="39"/>
      <c r="AAM56" s="112"/>
      <c r="AAN56"/>
      <c r="AAT56" s="23"/>
      <c r="AAU56" s="44"/>
    </row>
    <row r="57" spans="1:732" ht="15.75" customHeight="1" outlineLevel="1">
      <c r="A57" s="558"/>
      <c r="B57" s="350" t="s">
        <v>315</v>
      </c>
      <c r="C57" s="701"/>
      <c r="D57" s="155"/>
      <c r="E57" s="156"/>
      <c r="F57" s="154"/>
      <c r="G57" s="157"/>
      <c r="H57" s="161"/>
      <c r="I57" s="588"/>
      <c r="J57" s="591"/>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17"/>
      <c r="ZZ57" s="622"/>
      <c r="AAA57" s="588"/>
      <c r="AAD57" s="112"/>
      <c r="AAE57" s="551">
        <v>1</v>
      </c>
      <c r="AAF57" s="583" t="s">
        <v>174</v>
      </c>
      <c r="AAG57" s="76"/>
      <c r="AAH57" s="76"/>
      <c r="AAI57" s="76"/>
      <c r="AAJ57" s="56"/>
      <c r="AAK57" s="56"/>
      <c r="AAL57" s="39"/>
      <c r="AAM57" s="112"/>
      <c r="AAN57"/>
      <c r="AAT57" s="23"/>
      <c r="AAU57" s="44"/>
    </row>
    <row r="58" spans="1:732" ht="15.75" customHeight="1" outlineLevel="1">
      <c r="A58" s="558"/>
      <c r="B58" s="357" t="s">
        <v>348</v>
      </c>
      <c r="C58" s="287" t="s">
        <v>88</v>
      </c>
      <c r="D58" s="155"/>
      <c r="E58" s="156"/>
      <c r="F58" s="154"/>
      <c r="G58" s="157"/>
      <c r="H58" s="161"/>
      <c r="I58" s="588"/>
      <c r="J58" s="591"/>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17"/>
      <c r="ZZ58" s="622"/>
      <c r="AAA58" s="588"/>
      <c r="AAD58" s="112"/>
      <c r="AAE58" s="551">
        <v>1</v>
      </c>
      <c r="AAF58" s="583" t="s">
        <v>174</v>
      </c>
      <c r="AAG58" s="76"/>
      <c r="AAH58" s="76"/>
      <c r="AAI58" s="76"/>
      <c r="AAJ58" s="56"/>
      <c r="AAK58" s="56"/>
      <c r="AAL58" s="39"/>
      <c r="AAM58" s="112"/>
      <c r="AAN58"/>
      <c r="AAT58" s="23"/>
      <c r="AAU58" s="44"/>
    </row>
    <row r="59" spans="1:732" ht="15.75" customHeight="1" outlineLevel="1">
      <c r="A59" s="558"/>
      <c r="B59" s="358" t="s">
        <v>319</v>
      </c>
      <c r="C59"/>
      <c r="D59" s="155" t="s">
        <v>0</v>
      </c>
      <c r="E59" s="156"/>
      <c r="F59" s="154"/>
      <c r="G59" s="157"/>
      <c r="H59" s="161"/>
      <c r="I59" s="588"/>
      <c r="J59" s="591"/>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17"/>
      <c r="ZZ59" s="622"/>
      <c r="AAA59" s="588"/>
      <c r="AAD59" s="112"/>
      <c r="AAE59" s="551">
        <v>1</v>
      </c>
      <c r="AAF59" s="583" t="s">
        <v>174</v>
      </c>
      <c r="AAG59" s="76"/>
      <c r="AAH59" s="76"/>
      <c r="AAI59" s="76"/>
      <c r="AAJ59" s="56"/>
      <c r="AAK59" s="56"/>
      <c r="AAL59" s="39"/>
      <c r="AAM59" s="112"/>
      <c r="AAN59"/>
      <c r="AAT59" s="23"/>
      <c r="AAU59" s="44"/>
    </row>
    <row r="60" spans="1:732" ht="15.75" customHeight="1" outlineLevel="1">
      <c r="A60" s="558"/>
      <c r="B60" s="358" t="s">
        <v>311</v>
      </c>
      <c r="C60"/>
      <c r="D60" s="158"/>
      <c r="E60" s="154"/>
      <c r="F60" s="154"/>
      <c r="G60" s="153"/>
      <c r="H60" s="153"/>
      <c r="I60" s="588"/>
      <c r="J60" s="591"/>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17"/>
      <c r="ZZ60" s="622"/>
      <c r="AAA60" s="588"/>
      <c r="AAD60" s="112"/>
      <c r="AAE60" s="551">
        <v>1</v>
      </c>
      <c r="AAF60" s="583" t="s">
        <v>174</v>
      </c>
      <c r="AAG60" s="76"/>
      <c r="AAH60" s="76"/>
      <c r="AAI60" s="76"/>
      <c r="AAJ60" s="56"/>
      <c r="AAK60" s="56"/>
      <c r="AAL60" s="39"/>
      <c r="AAM60" s="112"/>
      <c r="AAN60"/>
      <c r="AAT60" s="23"/>
      <c r="AAU60" s="44"/>
    </row>
    <row r="61" spans="1:732" ht="15.75" customHeight="1" outlineLevel="1">
      <c r="A61" s="558"/>
      <c r="B61" s="358" t="s">
        <v>320</v>
      </c>
      <c r="C61"/>
      <c r="D61" s="158"/>
      <c r="E61" s="122"/>
      <c r="F61" s="154"/>
      <c r="G61" s="159"/>
      <c r="H61" s="163"/>
      <c r="I61" s="588"/>
      <c r="J61" s="591"/>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17"/>
      <c r="ZZ61" s="622"/>
      <c r="AAA61" s="588"/>
      <c r="AAD61" s="112"/>
      <c r="AAE61" s="551">
        <f>IF(S.InvolveNotice=TRUE,1,0)</f>
        <v>1</v>
      </c>
      <c r="AAF61" s="583" t="s">
        <v>174</v>
      </c>
      <c r="AAG61" s="76"/>
      <c r="AAH61" s="76"/>
      <c r="AAI61" s="76"/>
      <c r="AAJ61" s="56"/>
      <c r="AAK61" s="56"/>
      <c r="AAL61" s="39"/>
      <c r="AAM61" s="112"/>
      <c r="AAN61"/>
      <c r="AAT61" s="23"/>
      <c r="AAU61" s="44"/>
    </row>
    <row r="62" spans="1:732" ht="15.75" customHeight="1" outlineLevel="1">
      <c r="A62" s="558"/>
      <c r="B62" s="358" t="s">
        <v>321</v>
      </c>
      <c r="C62"/>
      <c r="D62" s="153"/>
      <c r="E62" s="122"/>
      <c r="F62" s="160"/>
      <c r="G62" s="161"/>
      <c r="H62" s="161"/>
      <c r="I62" s="588"/>
      <c r="J62" s="591"/>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17"/>
      <c r="ZZ62" s="622"/>
      <c r="AAA62" s="588"/>
      <c r="AAD62" s="112"/>
      <c r="AAE62" s="551">
        <f>IF(S.InvolveFee=TRUE,1,0)</f>
        <v>0</v>
      </c>
      <c r="AAF62" s="583" t="s">
        <v>174</v>
      </c>
      <c r="AAG62" s="76" t="s">
        <v>0</v>
      </c>
      <c r="AAH62" s="76"/>
      <c r="AAI62" s="76"/>
      <c r="AAJ62" s="56"/>
      <c r="AAK62" s="56"/>
      <c r="AAL62" s="39"/>
      <c r="AAM62" s="112"/>
      <c r="AAN62"/>
      <c r="AAT62" s="23"/>
      <c r="AAU62" s="44"/>
      <c r="AAV62" s="23"/>
      <c r="AAW62" s="23"/>
      <c r="AAX62" s="23"/>
      <c r="AAY62" s="23"/>
      <c r="AAZ62" s="23"/>
      <c r="ABA62" s="23"/>
      <c r="ABB62" s="23"/>
      <c r="ABC62" s="23"/>
      <c r="ABD62" s="23"/>
    </row>
    <row r="63" spans="1:732" s="23" customFormat="1" ht="15.75" customHeight="1" outlineLevel="1">
      <c r="A63" s="558"/>
      <c r="B63" s="358" t="s">
        <v>322</v>
      </c>
      <c r="C63"/>
      <c r="D63" s="153"/>
      <c r="E63" s="122"/>
      <c r="F63" s="160"/>
      <c r="G63" s="161"/>
      <c r="H63" s="161"/>
      <c r="I63" s="588"/>
      <c r="J63" s="591"/>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17"/>
      <c r="ZZ63" s="622"/>
      <c r="AAA63" s="588"/>
      <c r="AAB63"/>
      <c r="AAC63"/>
      <c r="AAD63" s="112"/>
      <c r="AAE63" s="551">
        <f>IF(S.InvolveNotice=TRUE,1,0)</f>
        <v>1</v>
      </c>
      <c r="AAF63" s="583" t="s">
        <v>174</v>
      </c>
      <c r="AAG63" s="76"/>
      <c r="AAH63" s="76"/>
      <c r="AAI63" s="76"/>
      <c r="AAJ63" s="56"/>
      <c r="AAK63" s="56"/>
      <c r="AAL63" s="39"/>
      <c r="AAM63" s="112"/>
      <c r="AAU63" s="44"/>
      <c r="AAV63"/>
      <c r="AAW63"/>
      <c r="AAX63"/>
      <c r="AAY63"/>
      <c r="AAZ63"/>
      <c r="ABA63"/>
      <c r="ABB63"/>
      <c r="ABC63"/>
      <c r="ABD63"/>
    </row>
    <row r="64" spans="1:732" ht="15.75" customHeight="1" outlineLevel="1">
      <c r="A64" s="558"/>
      <c r="B64" s="358" t="s">
        <v>323</v>
      </c>
      <c r="C64"/>
      <c r="D64" s="158"/>
      <c r="E64" s="122"/>
      <c r="F64" s="160"/>
      <c r="G64" s="162"/>
      <c r="H64" s="161"/>
      <c r="I64" s="588"/>
      <c r="J64" s="591"/>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17"/>
      <c r="ZZ64" s="622"/>
      <c r="AAA64" s="588"/>
      <c r="AAD64" s="112"/>
      <c r="AAE64" s="551">
        <v>1</v>
      </c>
      <c r="AAF64" s="583" t="s">
        <v>174</v>
      </c>
      <c r="AAG64" s="76"/>
      <c r="AAH64" s="76"/>
      <c r="AAI64" s="76"/>
      <c r="AAJ64" s="56"/>
      <c r="AAK64" s="56"/>
      <c r="AAL64" s="39"/>
      <c r="AAM64" s="112"/>
      <c r="AAN64"/>
      <c r="AAT64" s="23"/>
      <c r="AAU64" s="44"/>
    </row>
    <row r="65" spans="1:732" ht="15.75" customHeight="1" outlineLevel="1">
      <c r="A65" s="558"/>
      <c r="B65" s="350" t="str">
        <f>AAL65</f>
        <v>Review/refine RESOURCES</v>
      </c>
      <c r="C65"/>
      <c r="D65" s="158" t="s">
        <v>0</v>
      </c>
      <c r="E65" s="122"/>
      <c r="F65" s="154"/>
      <c r="G65" s="153"/>
      <c r="H65" s="153"/>
      <c r="I65" s="588"/>
      <c r="J65" s="591"/>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17"/>
      <c r="ZZ65" s="622"/>
      <c r="AAA65" s="588"/>
      <c r="AAD65" s="112"/>
      <c r="AAE65" s="551">
        <v>1</v>
      </c>
      <c r="AAF65" s="583" t="s">
        <v>174</v>
      </c>
      <c r="AAG65" s="76"/>
      <c r="AAH65" s="76"/>
      <c r="AAI65" s="77"/>
      <c r="AAJ65" s="56"/>
      <c r="AAK65" s="56"/>
      <c r="AAL65" s="92" t="str">
        <f>"Review/refine "&amp;S.CodeName&amp;"RESOURCES"</f>
        <v>Review/refine RESOURCES</v>
      </c>
      <c r="AAM65" s="112"/>
      <c r="AAN65"/>
      <c r="AAT65" s="23"/>
      <c r="AAU65" s="44"/>
    </row>
    <row r="66" spans="1:732" ht="15.75" customHeight="1" outlineLevel="1">
      <c r="A66" s="558"/>
      <c r="B66" s="350" t="str">
        <f>AAL66</f>
        <v>Review/refine CONSIDERATIONS</v>
      </c>
      <c r="C66"/>
      <c r="D66" s="158"/>
      <c r="E66" s="122"/>
      <c r="F66" s="154"/>
      <c r="G66" s="163"/>
      <c r="H66" s="153"/>
      <c r="I66" s="588"/>
      <c r="J66" s="591"/>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17"/>
      <c r="ZZ66" s="622"/>
      <c r="AAA66" s="588"/>
      <c r="AAD66" s="112"/>
      <c r="AAE66" s="551">
        <v>1</v>
      </c>
      <c r="AAF66" s="583" t="s">
        <v>174</v>
      </c>
      <c r="AAG66" s="76"/>
      <c r="AAH66" s="76"/>
      <c r="AAI66" s="77"/>
      <c r="AAJ66" s="56"/>
      <c r="AAK66" s="56"/>
      <c r="AAL66" s="92" t="str">
        <f>"Review/refine "&amp;S.CodeName&amp;"CONSIDERATIONS"</f>
        <v>Review/refine CONSIDERATIONS</v>
      </c>
      <c r="AAM66" s="112"/>
      <c r="AAN66"/>
      <c r="AAT66" s="23"/>
      <c r="AAU66" s="44"/>
      <c r="AAV66" s="23"/>
      <c r="AAW66" s="23"/>
      <c r="AAX66" s="23"/>
      <c r="AAY66" s="23"/>
      <c r="AAZ66" s="23"/>
      <c r="ABA66" s="23"/>
      <c r="ABB66" s="23"/>
      <c r="ABC66" s="23"/>
      <c r="ABD66" s="23"/>
    </row>
    <row r="67" spans="1:732" ht="15.75" customHeight="1" outlineLevel="1">
      <c r="A67" s="558"/>
      <c r="B67" s="359" t="s">
        <v>61</v>
      </c>
      <c r="C67" s="360"/>
      <c r="D67" s="161"/>
      <c r="E67" s="160"/>
      <c r="F67" s="160"/>
      <c r="G67" s="161" t="s">
        <v>0</v>
      </c>
      <c r="H67" s="161"/>
      <c r="I67" s="588"/>
      <c r="J67" s="591"/>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617"/>
      <c r="ZZ67" s="622"/>
      <c r="AAA67" s="588"/>
      <c r="AAD67" s="112"/>
      <c r="AAE67" s="551">
        <v>1</v>
      </c>
      <c r="AAF67" s="583" t="s">
        <v>174</v>
      </c>
      <c r="AAG67" s="76"/>
      <c r="AAH67" s="76"/>
      <c r="AAI67" s="77"/>
      <c r="AAJ67" s="56"/>
      <c r="AAK67" s="56"/>
      <c r="AAL67" s="76"/>
      <c r="AAM67" s="112"/>
      <c r="AAN67"/>
      <c r="AAT67" s="23"/>
      <c r="AAU67" s="44"/>
    </row>
    <row r="68" spans="1:732" s="23" customFormat="1" ht="15.75" customHeight="1" outlineLevel="1">
      <c r="A68" s="558"/>
      <c r="B68" s="730" t="s">
        <v>184</v>
      </c>
      <c r="C68" s="347"/>
      <c r="D68" s="229" t="s">
        <v>387</v>
      </c>
      <c r="E68" s="368">
        <f>NETWORKDAYS(G68,H68,S.DDL_DEQClosed)</f>
        <v>1</v>
      </c>
      <c r="F68" s="368">
        <f ca="1">NETWORKDAYS(TODAY(),H68)</f>
        <v>-202</v>
      </c>
      <c r="G68" s="369">
        <f t="shared" ref="G68:H71" si="730">AAG68</f>
        <v>41369</v>
      </c>
      <c r="H68" s="369">
        <f t="shared" si="730"/>
        <v>41369</v>
      </c>
      <c r="I68" s="627"/>
      <c r="J68" s="591"/>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588"/>
      <c r="AAB68"/>
      <c r="AAC68"/>
      <c r="AAD68" s="112"/>
      <c r="AAE68" s="551">
        <v>1</v>
      </c>
      <c r="AAF68" s="112"/>
      <c r="AAG68" s="78">
        <f>H51</f>
        <v>41369</v>
      </c>
      <c r="AAH68" s="78">
        <f>G68</f>
        <v>41369</v>
      </c>
      <c r="AAI68" s="77"/>
      <c r="AAJ68" s="80"/>
      <c r="AAK68" s="80"/>
      <c r="AAL68" s="63"/>
      <c r="AAM68" s="112"/>
      <c r="AAU68" s="44"/>
      <c r="AAV68"/>
      <c r="AAW68"/>
      <c r="AAX68"/>
      <c r="AAY68"/>
      <c r="AAZ68"/>
      <c r="ABA68"/>
      <c r="ABB68"/>
      <c r="ABC68"/>
      <c r="ABD68"/>
    </row>
    <row r="69" spans="1:732" ht="15.75" customHeight="1" outlineLevel="1">
      <c r="A69" s="558"/>
      <c r="B69" s="132" t="s">
        <v>355</v>
      </c>
      <c r="C69" s="347"/>
      <c r="D69" s="229" t="s">
        <v>151</v>
      </c>
      <c r="E69" s="368">
        <f>NETWORKDAYS(G69,H69,S.DDL_DEQClosed)</f>
        <v>1</v>
      </c>
      <c r="F69" s="368">
        <f ca="1">NETWORKDAYS(TODAY(),H69)</f>
        <v>-202</v>
      </c>
      <c r="G69" s="369">
        <f t="shared" si="730"/>
        <v>41369</v>
      </c>
      <c r="H69" s="369">
        <f t="shared" si="730"/>
        <v>41369</v>
      </c>
      <c r="I69" s="627"/>
      <c r="J69" s="591"/>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588"/>
      <c r="AAD69" s="112"/>
      <c r="AAE69" s="551">
        <v>1</v>
      </c>
      <c r="AAF69" s="112"/>
      <c r="AAG69" s="78">
        <f>H68</f>
        <v>41369</v>
      </c>
      <c r="AAH69" s="78">
        <f>G69</f>
        <v>41369</v>
      </c>
      <c r="AAI69" s="77"/>
      <c r="AAJ69" s="66" t="s">
        <v>0</v>
      </c>
      <c r="AAK69" s="66"/>
      <c r="AAL69" s="65"/>
      <c r="AAM69" s="112"/>
      <c r="AAN69"/>
      <c r="AAT69" s="23"/>
      <c r="AAU69" s="44"/>
    </row>
    <row r="70" spans="1:732" ht="15.75" customHeight="1" outlineLevel="1">
      <c r="A70" s="558"/>
      <c r="B70" s="346" t="s">
        <v>185</v>
      </c>
      <c r="C70" s="347"/>
      <c r="D70" s="169" t="s">
        <v>186</v>
      </c>
      <c r="E70" s="368">
        <f>NETWORKDAYS(G70,H70,S.DDL_DEQClosed)</f>
        <v>1</v>
      </c>
      <c r="F70" s="368">
        <f ca="1">NETWORKDAYS(TODAY(),H70)</f>
        <v>-202</v>
      </c>
      <c r="G70" s="369">
        <f t="shared" si="730"/>
        <v>41369</v>
      </c>
      <c r="H70" s="369">
        <f t="shared" si="730"/>
        <v>41369</v>
      </c>
      <c r="I70" s="627"/>
      <c r="J70" s="591"/>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588"/>
      <c r="AAD70" s="112"/>
      <c r="AAE70" s="551">
        <v>1</v>
      </c>
      <c r="AAF70" s="112"/>
      <c r="AAG70" s="78">
        <f t="shared" ref="AAG70:AAG71" si="731">H69</f>
        <v>41369</v>
      </c>
      <c r="AAH70" s="78">
        <f>G70</f>
        <v>41369</v>
      </c>
      <c r="AAI70" s="77"/>
      <c r="AAJ70" s="56"/>
      <c r="AAK70" s="56"/>
      <c r="AAL70" s="65"/>
      <c r="AAM70" s="112"/>
      <c r="AAN70"/>
      <c r="AAT70" s="23"/>
      <c r="AAU70" s="44"/>
    </row>
    <row r="71" spans="1:732" ht="15.75" customHeight="1" outlineLevel="1">
      <c r="A71" s="558"/>
      <c r="B71" s="547" t="s">
        <v>296</v>
      </c>
      <c r="C71" s="672" t="s">
        <v>69</v>
      </c>
      <c r="D71" s="169" t="s">
        <v>388</v>
      </c>
      <c r="E71" s="368">
        <f>NETWORKDAYS(G71,H71,S.DDL_DEQClosed)</f>
        <v>1</v>
      </c>
      <c r="F71" s="368">
        <f ca="1">NETWORKDAYS(TODAY(),H71)</f>
        <v>-202</v>
      </c>
      <c r="G71" s="369">
        <f t="shared" si="730"/>
        <v>41369</v>
      </c>
      <c r="H71" s="369">
        <f t="shared" si="730"/>
        <v>41369</v>
      </c>
      <c r="I71" s="627"/>
      <c r="J71" s="591"/>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c r="MS71" s="47"/>
      <c r="MT71" s="47"/>
      <c r="MU71" s="47"/>
      <c r="MV71" s="47"/>
      <c r="MW71" s="47"/>
      <c r="MX71" s="47"/>
      <c r="MY71" s="47"/>
      <c r="MZ71" s="47"/>
      <c r="NA71" s="47"/>
      <c r="NB71" s="47"/>
      <c r="NC71" s="47"/>
      <c r="ND71" s="47"/>
      <c r="NE71" s="47"/>
      <c r="NF71" s="47"/>
      <c r="NG71" s="47"/>
      <c r="NH71" s="47"/>
      <c r="NI71" s="47"/>
      <c r="NJ71" s="47"/>
      <c r="NK71" s="47"/>
      <c r="NL71" s="47"/>
      <c r="NM71" s="47"/>
      <c r="NN71" s="47"/>
      <c r="NO71" s="47"/>
      <c r="NP71" s="47"/>
      <c r="NQ71" s="47"/>
      <c r="NR71" s="47"/>
      <c r="NS71" s="47"/>
      <c r="NT71" s="47"/>
      <c r="NU71" s="47"/>
      <c r="NV71" s="47"/>
      <c r="NW71" s="47"/>
      <c r="NX71" s="47"/>
      <c r="NY71" s="47"/>
      <c r="NZ71" s="47"/>
      <c r="OA71" s="47"/>
      <c r="OB71" s="47"/>
      <c r="OC71" s="47"/>
      <c r="OD71" s="47"/>
      <c r="OE71" s="47"/>
      <c r="OF71" s="47"/>
      <c r="OG71" s="47"/>
      <c r="OH71" s="47"/>
      <c r="OI71" s="47"/>
      <c r="OJ71" s="47"/>
      <c r="OK71" s="47"/>
      <c r="OL71" s="47"/>
      <c r="OM71" s="47"/>
      <c r="ON71" s="47"/>
      <c r="OO71" s="47"/>
      <c r="OP71" s="47"/>
      <c r="OQ71" s="47"/>
      <c r="OR71" s="47"/>
      <c r="OS71" s="47"/>
      <c r="OT71" s="47"/>
      <c r="OU71" s="47"/>
      <c r="OV71" s="47"/>
      <c r="OW71" s="47"/>
      <c r="OX71" s="47"/>
      <c r="OY71" s="47"/>
      <c r="OZ71" s="47"/>
      <c r="PA71" s="47"/>
      <c r="PB71" s="47"/>
      <c r="PC71" s="47"/>
      <c r="PD71" s="47"/>
      <c r="PE71" s="47"/>
      <c r="PF71" s="47"/>
      <c r="PG71" s="47"/>
      <c r="PH71" s="47"/>
      <c r="PI71" s="47"/>
      <c r="PJ71" s="47"/>
      <c r="PK71" s="47"/>
      <c r="PL71" s="47"/>
      <c r="PM71" s="47"/>
      <c r="PN71" s="47"/>
      <c r="PO71" s="47"/>
      <c r="PP71" s="47"/>
      <c r="PQ71" s="47"/>
      <c r="PR71" s="47"/>
      <c r="PS71" s="47"/>
      <c r="PT71" s="47"/>
      <c r="PU71" s="47"/>
      <c r="PV71" s="47"/>
      <c r="PW71" s="47"/>
      <c r="PX71" s="47"/>
      <c r="PY71" s="47"/>
      <c r="PZ71" s="47"/>
      <c r="QA71" s="47"/>
      <c r="QB71" s="47"/>
      <c r="QC71" s="47"/>
      <c r="QD71" s="47"/>
      <c r="QE71" s="47"/>
      <c r="QF71" s="47"/>
      <c r="QG71" s="47"/>
      <c r="QH71" s="47"/>
      <c r="QI71" s="47"/>
      <c r="QJ71" s="47"/>
      <c r="QK71" s="47"/>
      <c r="QL71" s="47"/>
      <c r="QM71" s="47"/>
      <c r="QN71" s="47"/>
      <c r="QO71" s="47"/>
      <c r="QP71" s="47"/>
      <c r="QQ71" s="47"/>
      <c r="QR71" s="47"/>
      <c r="QS71" s="47"/>
      <c r="QT71" s="47"/>
      <c r="QU71" s="47"/>
      <c r="QV71" s="47"/>
      <c r="QW71" s="47"/>
      <c r="QX71" s="47"/>
      <c r="QY71" s="47"/>
      <c r="QZ71" s="47"/>
      <c r="RA71" s="47"/>
      <c r="RB71" s="47"/>
      <c r="RC71" s="47"/>
      <c r="RD71" s="47"/>
      <c r="RE71" s="47"/>
      <c r="RF71" s="47"/>
      <c r="RG71" s="47"/>
      <c r="RH71" s="47"/>
      <c r="RI71" s="47"/>
      <c r="RJ71" s="47"/>
      <c r="RK71" s="47"/>
      <c r="RL71" s="47"/>
      <c r="RM71" s="47"/>
      <c r="RN71" s="47"/>
      <c r="RO71" s="47"/>
      <c r="RP71" s="47"/>
      <c r="RQ71" s="47"/>
      <c r="RR71" s="47"/>
      <c r="RS71" s="47"/>
      <c r="RT71" s="47"/>
      <c r="RU71" s="47"/>
      <c r="RV71" s="47"/>
      <c r="RW71" s="47"/>
      <c r="RX71" s="47"/>
      <c r="RY71" s="47"/>
      <c r="RZ71" s="47"/>
      <c r="SA71" s="47"/>
      <c r="SB71" s="47"/>
      <c r="SC71" s="47"/>
      <c r="SD71" s="47"/>
      <c r="SE71" s="47"/>
      <c r="SF71" s="47"/>
      <c r="SG71" s="47"/>
      <c r="SH71" s="47"/>
      <c r="SI71" s="47"/>
      <c r="SJ71" s="47"/>
      <c r="SK71" s="47"/>
      <c r="SL71" s="47"/>
      <c r="SM71" s="47"/>
      <c r="SN71" s="47"/>
      <c r="SO71" s="47"/>
      <c r="SP71" s="47"/>
      <c r="SQ71" s="47"/>
      <c r="SR71" s="47"/>
      <c r="SS71" s="47"/>
      <c r="ST71" s="47"/>
      <c r="SU71" s="47"/>
      <c r="SV71" s="47"/>
      <c r="SW71" s="47"/>
      <c r="SX71" s="47"/>
      <c r="SY71" s="47"/>
      <c r="SZ71" s="47"/>
      <c r="TA71" s="47"/>
      <c r="TB71" s="47"/>
      <c r="TC71" s="47"/>
      <c r="TD71" s="47"/>
      <c r="TE71" s="47"/>
      <c r="TF71" s="47"/>
      <c r="TG71" s="47"/>
      <c r="TH71" s="47"/>
      <c r="TI71" s="47"/>
      <c r="TJ71" s="47"/>
      <c r="TK71" s="47"/>
      <c r="TL71" s="47"/>
      <c r="TM71" s="47"/>
      <c r="TN71" s="47"/>
      <c r="TO71" s="47"/>
      <c r="TP71" s="47"/>
      <c r="TQ71" s="47"/>
      <c r="TR71" s="47"/>
      <c r="TS71" s="47"/>
      <c r="TT71" s="47"/>
      <c r="TU71" s="47"/>
      <c r="TV71" s="47"/>
      <c r="TW71" s="47"/>
      <c r="TX71" s="47"/>
      <c r="TY71" s="47"/>
      <c r="TZ71" s="47"/>
      <c r="UA71" s="47"/>
      <c r="UB71" s="47"/>
      <c r="UC71" s="47"/>
      <c r="UD71" s="47"/>
      <c r="UE71" s="47"/>
      <c r="UF71" s="47"/>
      <c r="UG71" s="47"/>
      <c r="UH71" s="47"/>
      <c r="UI71" s="47"/>
      <c r="UJ71" s="47"/>
      <c r="UK71" s="47"/>
      <c r="UL71" s="47"/>
      <c r="UM71" s="47"/>
      <c r="UN71" s="47"/>
      <c r="UO71" s="47"/>
      <c r="UP71" s="47"/>
      <c r="UQ71" s="47"/>
      <c r="UR71" s="47"/>
      <c r="US71" s="47"/>
      <c r="UT71" s="47"/>
      <c r="UU71" s="47"/>
      <c r="UV71" s="47"/>
      <c r="UW71" s="47"/>
      <c r="UX71" s="47"/>
      <c r="UY71" s="47"/>
      <c r="UZ71" s="47"/>
      <c r="VA71" s="47"/>
      <c r="VB71" s="47"/>
      <c r="VC71" s="47"/>
      <c r="VD71" s="47"/>
      <c r="VE71" s="47"/>
      <c r="VF71" s="47"/>
      <c r="VG71" s="47"/>
      <c r="VH71" s="47"/>
      <c r="VI71" s="47"/>
      <c r="VJ71" s="47"/>
      <c r="VK71" s="47"/>
      <c r="VL71" s="47"/>
      <c r="VM71" s="47"/>
      <c r="VN71" s="47"/>
      <c r="VO71" s="47"/>
      <c r="VP71" s="47"/>
      <c r="VQ71" s="47"/>
      <c r="VR71" s="47"/>
      <c r="VS71" s="47"/>
      <c r="VT71" s="47"/>
      <c r="VU71" s="47"/>
      <c r="VV71" s="47"/>
      <c r="VW71" s="47"/>
      <c r="VX71" s="47"/>
      <c r="VY71" s="47"/>
      <c r="VZ71" s="47"/>
      <c r="WA71" s="47"/>
      <c r="WB71" s="47"/>
      <c r="WC71" s="47"/>
      <c r="WD71" s="47"/>
      <c r="WE71" s="47"/>
      <c r="WF71" s="47"/>
      <c r="WG71" s="47"/>
      <c r="WH71" s="47"/>
      <c r="WI71" s="47"/>
      <c r="WJ71" s="47"/>
      <c r="WK71" s="47"/>
      <c r="WL71" s="47"/>
      <c r="WM71" s="47"/>
      <c r="WN71" s="47"/>
      <c r="WO71" s="47"/>
      <c r="WP71" s="47"/>
      <c r="WQ71" s="47"/>
      <c r="WR71" s="47"/>
      <c r="WS71" s="47"/>
      <c r="WT71" s="47"/>
      <c r="WU71" s="47"/>
      <c r="WV71" s="47"/>
      <c r="WW71" s="47"/>
      <c r="WX71" s="47"/>
      <c r="WY71" s="47"/>
      <c r="WZ71" s="47"/>
      <c r="XA71" s="47"/>
      <c r="XB71" s="47"/>
      <c r="XC71" s="47"/>
      <c r="XD71" s="47"/>
      <c r="XE71" s="47"/>
      <c r="XF71" s="47"/>
      <c r="XG71" s="47"/>
      <c r="XH71" s="47"/>
      <c r="XI71" s="47"/>
      <c r="XJ71" s="47"/>
      <c r="XK71" s="47"/>
      <c r="XL71" s="47"/>
      <c r="XM71" s="47"/>
      <c r="XN71" s="47"/>
      <c r="XO71" s="47"/>
      <c r="XP71" s="47"/>
      <c r="XQ71" s="47"/>
      <c r="XR71" s="47"/>
      <c r="XS71" s="47"/>
      <c r="XT71" s="47"/>
      <c r="XU71" s="47"/>
      <c r="XV71" s="47"/>
      <c r="XW71" s="47"/>
      <c r="XX71" s="47"/>
      <c r="XY71" s="47"/>
      <c r="XZ71" s="47"/>
      <c r="YA71" s="47"/>
      <c r="YB71" s="47"/>
      <c r="YC71" s="47"/>
      <c r="YD71" s="47"/>
      <c r="YE71" s="47"/>
      <c r="YF71" s="47"/>
      <c r="YG71" s="47"/>
      <c r="YH71" s="47"/>
      <c r="YI71" s="47"/>
      <c r="YJ71" s="47"/>
      <c r="YK71" s="47"/>
      <c r="YL71" s="47"/>
      <c r="YM71" s="47"/>
      <c r="YN71" s="47"/>
      <c r="YO71" s="47"/>
      <c r="YP71" s="47"/>
      <c r="YQ71" s="47"/>
      <c r="YR71" s="47"/>
      <c r="YS71" s="47"/>
      <c r="YT71" s="47"/>
      <c r="YU71" s="47"/>
      <c r="YV71" s="47"/>
      <c r="YW71" s="47"/>
      <c r="YX71" s="47"/>
      <c r="YY71" s="47"/>
      <c r="YZ71" s="47"/>
      <c r="ZA71" s="47"/>
      <c r="ZB71" s="47"/>
      <c r="ZC71" s="47"/>
      <c r="ZD71" s="47"/>
      <c r="ZE71" s="47"/>
      <c r="ZF71" s="47"/>
      <c r="ZG71" s="47"/>
      <c r="ZH71" s="47"/>
      <c r="ZI71" s="47"/>
      <c r="ZJ71" s="47"/>
      <c r="ZK71" s="47"/>
      <c r="ZL71" s="47"/>
      <c r="ZM71" s="47"/>
      <c r="ZN71" s="47"/>
      <c r="ZO71" s="47"/>
      <c r="ZP71" s="47"/>
      <c r="ZQ71" s="47"/>
      <c r="ZR71" s="47"/>
      <c r="ZS71" s="47"/>
      <c r="ZT71" s="47"/>
      <c r="ZU71" s="47"/>
      <c r="ZV71" s="47"/>
      <c r="ZW71" s="47"/>
      <c r="ZX71" s="47"/>
      <c r="ZY71" s="50"/>
      <c r="ZZ71" s="50"/>
      <c r="AAA71" s="588"/>
      <c r="AAD71" s="112"/>
      <c r="AAE71" s="551">
        <v>1</v>
      </c>
      <c r="AAF71" s="112"/>
      <c r="AAG71" s="78">
        <f t="shared" si="731"/>
        <v>41369</v>
      </c>
      <c r="AAH71" s="78">
        <f>G71</f>
        <v>41369</v>
      </c>
      <c r="AAI71" s="77"/>
      <c r="AAJ71" s="56"/>
      <c r="AAK71" s="56"/>
      <c r="AAL71" s="65"/>
      <c r="AAM71" s="112"/>
      <c r="AAN71"/>
      <c r="AAT71" s="23"/>
      <c r="AAU71" s="44"/>
      <c r="AAV71" s="23"/>
      <c r="AAW71" s="23"/>
      <c r="AAX71" s="23"/>
      <c r="AAY71" s="23"/>
      <c r="AAZ71" s="23"/>
      <c r="ABA71" s="23"/>
      <c r="ABB71" s="23"/>
      <c r="ABC71" s="23"/>
      <c r="ABD71" s="23"/>
    </row>
    <row r="72" spans="1:732" s="23" customFormat="1" ht="15.75" customHeight="1" outlineLevel="1">
      <c r="A72" s="558"/>
      <c r="B72" s="361" t="s">
        <v>217</v>
      </c>
      <c r="C72" s="168"/>
      <c r="D72" s="371" t="s">
        <v>391</v>
      </c>
      <c r="E72" s="368">
        <f t="shared" ref="E72" si="732">NETWORKDAYS(G72,H72,S.DDL_DEQClosed)</f>
        <v>117</v>
      </c>
      <c r="F72" s="372">
        <f t="shared" ref="F72" ca="1" si="733">NETWORKDAYS(TODAY(),H72)</f>
        <v>-75</v>
      </c>
      <c r="G72" s="537">
        <f>S.SIPStart</f>
        <v>41379</v>
      </c>
      <c r="H72" s="536">
        <f>AAH72</f>
        <v>41548</v>
      </c>
      <c r="I72" s="627"/>
      <c r="J72" s="592"/>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88"/>
      <c r="AAB72"/>
      <c r="AAC72"/>
      <c r="AAD72" s="112"/>
      <c r="AAE72" s="552">
        <f t="shared" ref="AAE72:AAE79" si="734">IF(S.InvolveSIP=TRUE,1,0)</f>
        <v>1</v>
      </c>
      <c r="AAF72" s="112"/>
      <c r="AAG72" s="78">
        <f>S.SIPStart</f>
        <v>41379</v>
      </c>
      <c r="AAH72" s="78">
        <f>S.SubmitNoticeToEPA</f>
        <v>41548</v>
      </c>
      <c r="AAI72" s="77"/>
      <c r="AAJ72" s="77"/>
      <c r="AAK72" s="77"/>
      <c r="AAL72" s="65"/>
      <c r="AAM72" s="112"/>
      <c r="AAU72" s="44"/>
      <c r="AAV72"/>
      <c r="AAW72"/>
      <c r="AAX72"/>
      <c r="AAY72"/>
      <c r="AAZ72"/>
      <c r="ABA72"/>
      <c r="ABB72"/>
      <c r="ABC72"/>
      <c r="ABD72"/>
    </row>
    <row r="73" spans="1:732" ht="15.75" customHeight="1" outlineLevel="2">
      <c r="A73" s="558"/>
      <c r="B73" s="362" t="s">
        <v>297</v>
      </c>
      <c r="C73" s="168"/>
      <c r="D73" s="371" t="s">
        <v>391</v>
      </c>
      <c r="E73" s="368">
        <f t="shared" ref="E73:E79" si="735">NETWORKDAYS(G73,H73,S.DDL_DEQClosed)</f>
        <v>1</v>
      </c>
      <c r="F73" s="372">
        <f t="shared" ref="F73:F79" ca="1" si="736">NETWORKDAYS(TODAY(),H73)</f>
        <v>-196</v>
      </c>
      <c r="G73" s="587">
        <f>AAG73</f>
        <v>41379</v>
      </c>
      <c r="H73" s="369">
        <f t="shared" ref="H73:H78" si="737">AAH73</f>
        <v>41379</v>
      </c>
      <c r="I73" s="627"/>
      <c r="J73" s="592"/>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88"/>
      <c r="AAD73" s="112"/>
      <c r="AAE73" s="552">
        <f t="shared" si="734"/>
        <v>1</v>
      </c>
      <c r="AAF73" s="583"/>
      <c r="AAG73" s="78">
        <f>S.SIPStart</f>
        <v>41379</v>
      </c>
      <c r="AAH73" s="78">
        <f>G73</f>
        <v>41379</v>
      </c>
      <c r="AAI73" s="77"/>
      <c r="AAJ73" s="56"/>
      <c r="AAK73" s="56"/>
      <c r="AAL73" s="65"/>
      <c r="AAM73" s="112"/>
      <c r="AAN73"/>
      <c r="AAT73" s="23"/>
      <c r="AAU73" s="44"/>
    </row>
    <row r="74" spans="1:732" ht="15.75" customHeight="1" outlineLevel="2">
      <c r="A74" s="558"/>
      <c r="B74" s="363" t="s">
        <v>74</v>
      </c>
      <c r="C74" s="168"/>
      <c r="D74" s="371" t="s">
        <v>391</v>
      </c>
      <c r="E74" s="368">
        <f t="shared" si="735"/>
        <v>1</v>
      </c>
      <c r="F74" s="372">
        <f t="shared" ca="1" si="736"/>
        <v>-196</v>
      </c>
      <c r="G74" s="587">
        <f>AAG74</f>
        <v>41379</v>
      </c>
      <c r="H74" s="369">
        <f t="shared" si="737"/>
        <v>41379</v>
      </c>
      <c r="I74" s="627"/>
      <c r="J74" s="592"/>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88"/>
      <c r="AAD74" s="112"/>
      <c r="AAE74" s="552">
        <f t="shared" si="734"/>
        <v>1</v>
      </c>
      <c r="AAF74" s="583"/>
      <c r="AAG74" s="78">
        <f>G73</f>
        <v>41379</v>
      </c>
      <c r="AAH74" s="78">
        <f t="shared" ref="AAH74:AAH78" si="738">G74</f>
        <v>41379</v>
      </c>
      <c r="AAI74" s="77"/>
      <c r="AAJ74" s="56"/>
      <c r="AAK74" s="56"/>
      <c r="AAL74" s="65"/>
      <c r="AAM74" s="112"/>
      <c r="AAN74"/>
      <c r="AAT74" s="23"/>
      <c r="AAU74" s="44"/>
    </row>
    <row r="75" spans="1:732" ht="15.75" customHeight="1" outlineLevel="2">
      <c r="A75" s="558"/>
      <c r="B75" s="364" t="s">
        <v>74</v>
      </c>
      <c r="C75" s="168"/>
      <c r="D75" s="371" t="s">
        <v>391</v>
      </c>
      <c r="E75" s="368">
        <f t="shared" si="735"/>
        <v>1</v>
      </c>
      <c r="F75" s="372">
        <f t="shared" ca="1" si="736"/>
        <v>-196</v>
      </c>
      <c r="G75" s="587">
        <f t="shared" ref="G75:G78" si="739">AAG75</f>
        <v>41379</v>
      </c>
      <c r="H75" s="369">
        <f t="shared" si="737"/>
        <v>41379</v>
      </c>
      <c r="I75" s="627"/>
      <c r="J75" s="592"/>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88"/>
      <c r="AAD75" s="112"/>
      <c r="AAE75" s="552">
        <f t="shared" si="734"/>
        <v>1</v>
      </c>
      <c r="AAF75" s="583"/>
      <c r="AAG75" s="78">
        <f>G74</f>
        <v>41379</v>
      </c>
      <c r="AAH75" s="78">
        <f t="shared" si="738"/>
        <v>41379</v>
      </c>
      <c r="AAI75" s="77"/>
      <c r="AAJ75" s="56"/>
      <c r="AAK75" s="56"/>
      <c r="AAL75" s="65"/>
      <c r="AAM75" s="112"/>
      <c r="AAN75"/>
      <c r="AAT75" s="23"/>
      <c r="AAU75" s="44"/>
    </row>
    <row r="76" spans="1:732" ht="15.75" customHeight="1" outlineLevel="2">
      <c r="A76" s="558"/>
      <c r="B76" s="364" t="s">
        <v>74</v>
      </c>
      <c r="C76" s="168"/>
      <c r="D76" s="371" t="s">
        <v>391</v>
      </c>
      <c r="E76" s="368">
        <f t="shared" si="735"/>
        <v>1</v>
      </c>
      <c r="F76" s="372">
        <f t="shared" ca="1" si="736"/>
        <v>-196</v>
      </c>
      <c r="G76" s="587">
        <f t="shared" si="739"/>
        <v>41379</v>
      </c>
      <c r="H76" s="369">
        <f t="shared" si="737"/>
        <v>41379</v>
      </c>
      <c r="I76" s="627"/>
      <c r="J76" s="592"/>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88"/>
      <c r="AAD76" s="112"/>
      <c r="AAE76" s="552">
        <f t="shared" si="734"/>
        <v>1</v>
      </c>
      <c r="AAF76" s="583"/>
      <c r="AAG76" s="78">
        <f t="shared" ref="AAG76:AAG78" si="740">G75</f>
        <v>41379</v>
      </c>
      <c r="AAH76" s="78">
        <f t="shared" si="738"/>
        <v>41379</v>
      </c>
      <c r="AAI76" s="77"/>
      <c r="AAJ76" s="56"/>
      <c r="AAK76" s="56"/>
      <c r="AAL76" s="65"/>
      <c r="AAM76" s="112"/>
      <c r="AAN76"/>
      <c r="AAT76" s="23"/>
      <c r="AAU76" s="44"/>
    </row>
    <row r="77" spans="1:732" ht="15.75" customHeight="1" outlineLevel="2">
      <c r="A77" s="558"/>
      <c r="B77" s="364" t="s">
        <v>74</v>
      </c>
      <c r="C77" s="168"/>
      <c r="D77" s="371" t="s">
        <v>391</v>
      </c>
      <c r="E77" s="368">
        <f t="shared" si="735"/>
        <v>1</v>
      </c>
      <c r="F77" s="372">
        <f t="shared" ca="1" si="736"/>
        <v>-196</v>
      </c>
      <c r="G77" s="587">
        <f t="shared" si="739"/>
        <v>41379</v>
      </c>
      <c r="H77" s="369">
        <f t="shared" si="737"/>
        <v>41379</v>
      </c>
      <c r="I77" s="627"/>
      <c r="J77" s="592"/>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88"/>
      <c r="AAD77" s="112"/>
      <c r="AAE77" s="552">
        <f t="shared" si="734"/>
        <v>1</v>
      </c>
      <c r="AAF77" s="583"/>
      <c r="AAG77" s="78">
        <f t="shared" si="740"/>
        <v>41379</v>
      </c>
      <c r="AAH77" s="78">
        <f t="shared" si="738"/>
        <v>41379</v>
      </c>
      <c r="AAI77" s="77"/>
      <c r="AAJ77" s="56"/>
      <c r="AAK77" s="56"/>
      <c r="AAL77" s="65"/>
      <c r="AAM77" s="112"/>
      <c r="AAN77"/>
      <c r="AAT77" s="23"/>
      <c r="AAU77" s="44"/>
    </row>
    <row r="78" spans="1:732" ht="15.75" customHeight="1" outlineLevel="2">
      <c r="A78" s="558"/>
      <c r="B78" s="362" t="s">
        <v>15</v>
      </c>
      <c r="C78" s="168"/>
      <c r="D78" s="371" t="s">
        <v>391</v>
      </c>
      <c r="E78" s="368">
        <f t="shared" si="735"/>
        <v>1</v>
      </c>
      <c r="F78" s="372">
        <f t="shared" ca="1" si="736"/>
        <v>-196</v>
      </c>
      <c r="G78" s="587">
        <f t="shared" si="739"/>
        <v>41379</v>
      </c>
      <c r="H78" s="369">
        <f t="shared" si="737"/>
        <v>41379</v>
      </c>
      <c r="I78" s="627"/>
      <c r="J78" s="592"/>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88"/>
      <c r="AAD78" s="112"/>
      <c r="AAE78" s="552">
        <f t="shared" si="734"/>
        <v>1</v>
      </c>
      <c r="AAF78" s="583"/>
      <c r="AAG78" s="78">
        <f t="shared" si="740"/>
        <v>41379</v>
      </c>
      <c r="AAH78" s="78">
        <f t="shared" si="738"/>
        <v>41379</v>
      </c>
      <c r="AAI78" s="77"/>
      <c r="AAJ78" s="56"/>
      <c r="AAK78" s="56"/>
      <c r="AAL78" s="65"/>
      <c r="AAM78" s="112"/>
      <c r="AAN78"/>
      <c r="AAT78" s="23"/>
      <c r="AAU78" s="44"/>
    </row>
    <row r="79" spans="1:732" ht="15.75" customHeight="1" outlineLevel="1">
      <c r="A79" s="558"/>
      <c r="B79" s="362" t="s">
        <v>264</v>
      </c>
      <c r="C79" s="168"/>
      <c r="D79" s="371" t="s">
        <v>391</v>
      </c>
      <c r="E79" s="368">
        <f t="shared" si="735"/>
        <v>1</v>
      </c>
      <c r="F79" s="372">
        <f t="shared" ca="1" si="736"/>
        <v>-75</v>
      </c>
      <c r="G79" s="536">
        <f>AAG79</f>
        <v>41548</v>
      </c>
      <c r="H79" s="537">
        <f>AAH79</f>
        <v>41548</v>
      </c>
      <c r="I79" s="627"/>
      <c r="J79" s="592"/>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50"/>
      <c r="ZZ79" s="50"/>
      <c r="AAA79" s="588"/>
      <c r="AAD79" s="112"/>
      <c r="AAE79" s="552">
        <f t="shared" si="734"/>
        <v>1</v>
      </c>
      <c r="AAF79" s="583"/>
      <c r="AAG79" s="78">
        <f>S.SubmitNoticeToEPA</f>
        <v>41548</v>
      </c>
      <c r="AAH79" s="78">
        <f>S.SubmitNoticeToEPA</f>
        <v>41548</v>
      </c>
      <c r="AAI79" s="77"/>
      <c r="AAJ79" s="56"/>
      <c r="AAK79" s="56"/>
      <c r="AAL79" s="65"/>
      <c r="AAM79" s="112"/>
      <c r="AAN79"/>
      <c r="AAT79" s="23"/>
      <c r="AAU79" s="44"/>
    </row>
    <row r="80" spans="1:732" ht="6" customHeight="1">
      <c r="A80" s="558"/>
      <c r="B80" s="365"/>
      <c r="C80" s="702"/>
      <c r="D80" s="164"/>
      <c r="E80" s="165"/>
      <c r="F80" s="165"/>
      <c r="G80" s="164"/>
      <c r="H80" s="164"/>
      <c r="I80" s="588"/>
      <c r="J80" s="633"/>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c r="DE80" s="50"/>
      <c r="DF80" s="50"/>
      <c r="DG80" s="50"/>
      <c r="DH80" s="50"/>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G80" s="50"/>
      <c r="EH80" s="50"/>
      <c r="EI80" s="50"/>
      <c r="EJ80" s="5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c r="IK80" s="50"/>
      <c r="IL80" s="50"/>
      <c r="IM80" s="50"/>
      <c r="IN80" s="50"/>
      <c r="IO80" s="50"/>
      <c r="IP80" s="50"/>
      <c r="IQ80" s="50"/>
      <c r="IR80" s="50"/>
      <c r="IS80" s="50"/>
      <c r="IT80" s="50"/>
      <c r="IU80" s="50"/>
      <c r="IV80" s="50"/>
      <c r="IW80" s="50"/>
      <c r="IX80" s="50"/>
      <c r="IY80" s="50"/>
      <c r="IZ80" s="50"/>
      <c r="JA80" s="50"/>
      <c r="JB80" s="50"/>
      <c r="JC80" s="50"/>
      <c r="JD80" s="50"/>
      <c r="JE80" s="50"/>
      <c r="JF80" s="50"/>
      <c r="JG80" s="50"/>
      <c r="JH80" s="50"/>
      <c r="JI80" s="50"/>
      <c r="JJ80" s="50"/>
      <c r="JK80" s="50"/>
      <c r="JL80" s="50"/>
      <c r="JM80" s="50"/>
      <c r="JN80" s="50"/>
      <c r="JO80" s="50"/>
      <c r="JP80" s="50"/>
      <c r="JQ80" s="50"/>
      <c r="JR80" s="50"/>
      <c r="JS80" s="50"/>
      <c r="JT80" s="50"/>
      <c r="JU80" s="50"/>
      <c r="JV80" s="50"/>
      <c r="JW80" s="50"/>
      <c r="JX80" s="50"/>
      <c r="JY80" s="50"/>
      <c r="JZ80" s="50"/>
      <c r="KA80" s="50"/>
      <c r="KB80" s="50"/>
      <c r="KC80" s="50"/>
      <c r="KD80" s="50"/>
      <c r="KE80" s="50"/>
      <c r="KF80" s="50"/>
      <c r="KG80" s="50"/>
      <c r="KH80" s="50"/>
      <c r="KI80" s="50"/>
      <c r="KJ80" s="50"/>
      <c r="KK80" s="50"/>
      <c r="KL80" s="50"/>
      <c r="KM80" s="50"/>
      <c r="KN80" s="50"/>
      <c r="KO80" s="50"/>
      <c r="KP80" s="50"/>
      <c r="KQ80" s="50"/>
      <c r="KR80" s="50"/>
      <c r="KS80" s="50"/>
      <c r="KT80" s="50"/>
      <c r="KU80" s="50"/>
      <c r="KV80" s="50"/>
      <c r="KW80" s="50"/>
      <c r="KX80" s="50"/>
      <c r="KY80" s="50"/>
      <c r="KZ80" s="50"/>
      <c r="LA80" s="50"/>
      <c r="LB80" s="50"/>
      <c r="LC80" s="50"/>
      <c r="LD80" s="50"/>
      <c r="LE80" s="50"/>
      <c r="LF80" s="50"/>
      <c r="LG80" s="50"/>
      <c r="LH80" s="50"/>
      <c r="LI80" s="50"/>
      <c r="LJ80" s="50"/>
      <c r="LK80" s="50"/>
      <c r="LL80" s="50"/>
      <c r="LM80" s="50"/>
      <c r="LN80" s="50"/>
      <c r="LO80" s="50"/>
      <c r="LP80" s="50"/>
      <c r="LQ80" s="50"/>
      <c r="LR80" s="50"/>
      <c r="LS80" s="50"/>
      <c r="LT80" s="50"/>
      <c r="LU80" s="50"/>
      <c r="LV80" s="50"/>
      <c r="LW80" s="50"/>
      <c r="LX80" s="50"/>
      <c r="LY80" s="50"/>
      <c r="LZ80" s="50"/>
      <c r="MA80" s="50"/>
      <c r="MB80" s="50"/>
      <c r="MC80" s="50"/>
      <c r="MD80" s="50"/>
      <c r="ME80" s="50"/>
      <c r="MF80" s="50"/>
      <c r="MG80" s="50"/>
      <c r="MH80" s="50"/>
      <c r="MI80" s="50"/>
      <c r="MJ80" s="50"/>
      <c r="MK80" s="50"/>
      <c r="ML80" s="50"/>
      <c r="MM80" s="50"/>
      <c r="MN80" s="50"/>
      <c r="MO80" s="50"/>
      <c r="MP80" s="50"/>
      <c r="MQ80" s="50"/>
      <c r="MR80" s="50"/>
      <c r="MS80" s="50"/>
      <c r="MT80" s="50"/>
      <c r="MU80" s="50"/>
      <c r="MV80" s="50"/>
      <c r="MW80" s="50"/>
      <c r="MX80" s="50"/>
      <c r="MY80" s="50"/>
      <c r="MZ80" s="50"/>
      <c r="NA80" s="50"/>
      <c r="NB80" s="50"/>
      <c r="NC80" s="50"/>
      <c r="ND80" s="50"/>
      <c r="NE80" s="50"/>
      <c r="NF80" s="50"/>
      <c r="NG80" s="50"/>
      <c r="NH80" s="50"/>
      <c r="NI80" s="50"/>
      <c r="NJ80" s="50"/>
      <c r="NK80" s="50"/>
      <c r="NL80" s="50"/>
      <c r="NM80" s="50"/>
      <c r="NN80" s="50"/>
      <c r="NO80" s="50"/>
      <c r="NP80" s="50"/>
      <c r="NQ80" s="50"/>
      <c r="NR80" s="50"/>
      <c r="NS80" s="50"/>
      <c r="NT80" s="50"/>
      <c r="NU80" s="50"/>
      <c r="NV80" s="50"/>
      <c r="NW80" s="50"/>
      <c r="NX80" s="50"/>
      <c r="NY80" s="50"/>
      <c r="NZ80" s="50"/>
      <c r="OA80" s="50"/>
      <c r="OB80" s="50"/>
      <c r="OC80" s="50"/>
      <c r="OD80" s="50"/>
      <c r="OE80" s="50"/>
      <c r="OF80" s="50"/>
      <c r="OG80" s="50"/>
      <c r="OH80" s="50"/>
      <c r="OI80" s="50"/>
      <c r="OJ80" s="50"/>
      <c r="OK80" s="50"/>
      <c r="OL80" s="50"/>
      <c r="OM80" s="50"/>
      <c r="ON80" s="50"/>
      <c r="OO80" s="50"/>
      <c r="OP80" s="50"/>
      <c r="OQ80" s="50"/>
      <c r="OR80" s="50"/>
      <c r="OS80" s="50"/>
      <c r="OT80" s="50"/>
      <c r="OU80" s="50"/>
      <c r="OV80" s="50"/>
      <c r="OW80" s="50"/>
      <c r="OX80" s="50"/>
      <c r="OY80" s="50"/>
      <c r="OZ80" s="50"/>
      <c r="PA80" s="50"/>
      <c r="PB80" s="50"/>
      <c r="PC80" s="50"/>
      <c r="PD80" s="50"/>
      <c r="PE80" s="50"/>
      <c r="PF80" s="50"/>
      <c r="PG80" s="50"/>
      <c r="PH80" s="50"/>
      <c r="PI80" s="50"/>
      <c r="PJ80" s="50"/>
      <c r="PK80" s="50"/>
      <c r="PL80" s="50"/>
      <c r="PM80" s="50"/>
      <c r="PN80" s="50"/>
      <c r="PO80" s="50"/>
      <c r="PP80" s="50"/>
      <c r="PQ80" s="50"/>
      <c r="PR80" s="50"/>
      <c r="PS80" s="50"/>
      <c r="PT80" s="50"/>
      <c r="PU80" s="50"/>
      <c r="PV80" s="50"/>
      <c r="PW80" s="50"/>
      <c r="PX80" s="50"/>
      <c r="PY80" s="50"/>
      <c r="PZ80" s="50"/>
      <c r="QA80" s="50"/>
      <c r="QB80" s="50"/>
      <c r="QC80" s="50"/>
      <c r="QD80" s="50"/>
      <c r="QE80" s="50"/>
      <c r="QF80" s="50"/>
      <c r="QG80" s="50"/>
      <c r="QH80" s="50"/>
      <c r="QI80" s="50"/>
      <c r="QJ80" s="50"/>
      <c r="QK80" s="50"/>
      <c r="QL80" s="50"/>
      <c r="QM80" s="50"/>
      <c r="QN80" s="50"/>
      <c r="QO80" s="50"/>
      <c r="QP80" s="50"/>
      <c r="QQ80" s="50"/>
      <c r="QR80" s="50"/>
      <c r="QS80" s="50"/>
      <c r="QT80" s="50"/>
      <c r="QU80" s="50"/>
      <c r="QV80" s="50"/>
      <c r="QW80" s="50"/>
      <c r="QX80" s="50"/>
      <c r="QY80" s="50"/>
      <c r="QZ80" s="50"/>
      <c r="RA80" s="50"/>
      <c r="RB80" s="50"/>
      <c r="RC80" s="50"/>
      <c r="RD80" s="50"/>
      <c r="RE80" s="50"/>
      <c r="RF80" s="50"/>
      <c r="RG80" s="50"/>
      <c r="RH80" s="50"/>
      <c r="RI80" s="50"/>
      <c r="RJ80" s="50"/>
      <c r="RK80" s="50"/>
      <c r="RL80" s="50"/>
      <c r="RM80" s="50"/>
      <c r="RN80" s="50"/>
      <c r="RO80" s="50"/>
      <c r="RP80" s="50"/>
      <c r="RQ80" s="50"/>
      <c r="RR80" s="50"/>
      <c r="RS80" s="50"/>
      <c r="RT80" s="50"/>
      <c r="RU80" s="50"/>
      <c r="RV80" s="50"/>
      <c r="RW80" s="50"/>
      <c r="RX80" s="50"/>
      <c r="RY80" s="50"/>
      <c r="RZ80" s="50"/>
      <c r="SA80" s="50"/>
      <c r="SB80" s="50"/>
      <c r="SC80" s="50"/>
      <c r="SD80" s="50"/>
      <c r="SE80" s="50"/>
      <c r="SF80" s="50"/>
      <c r="SG80" s="50"/>
      <c r="SH80" s="50"/>
      <c r="SI80" s="50"/>
      <c r="SJ80" s="50"/>
      <c r="SK80" s="50"/>
      <c r="SL80" s="50"/>
      <c r="SM80" s="50"/>
      <c r="SN80" s="50"/>
      <c r="SO80" s="50"/>
      <c r="SP80" s="50"/>
      <c r="SQ80" s="50"/>
      <c r="SR80" s="50"/>
      <c r="SS80" s="50"/>
      <c r="ST80" s="50"/>
      <c r="SU80" s="50"/>
      <c r="SV80" s="50"/>
      <c r="SW80" s="50"/>
      <c r="SX80" s="50"/>
      <c r="SY80" s="50"/>
      <c r="SZ80" s="50"/>
      <c r="TA80" s="50"/>
      <c r="TB80" s="50"/>
      <c r="TC80" s="50"/>
      <c r="TD80" s="50"/>
      <c r="TE80" s="50"/>
      <c r="TF80" s="50"/>
      <c r="TG80" s="50"/>
      <c r="TH80" s="50"/>
      <c r="TI80" s="50"/>
      <c r="TJ80" s="50"/>
      <c r="TK80" s="50"/>
      <c r="TL80" s="50"/>
      <c r="TM80" s="50"/>
      <c r="TN80" s="50"/>
      <c r="TO80" s="50"/>
      <c r="TP80" s="50"/>
      <c r="TQ80" s="50"/>
      <c r="TR80" s="50"/>
      <c r="TS80" s="50"/>
      <c r="TT80" s="50"/>
      <c r="TU80" s="50"/>
      <c r="TV80" s="50"/>
      <c r="TW80" s="50"/>
      <c r="TX80" s="50"/>
      <c r="TY80" s="50"/>
      <c r="TZ80" s="50"/>
      <c r="UA80" s="50"/>
      <c r="UB80" s="50"/>
      <c r="UC80" s="50"/>
      <c r="UD80" s="50"/>
      <c r="UE80" s="50"/>
      <c r="UF80" s="50"/>
      <c r="UG80" s="50"/>
      <c r="UH80" s="50"/>
      <c r="UI80" s="50"/>
      <c r="UJ80" s="50"/>
      <c r="UK80" s="50"/>
      <c r="UL80" s="50"/>
      <c r="UM80" s="50"/>
      <c r="UN80" s="50"/>
      <c r="UO80" s="50"/>
      <c r="UP80" s="50"/>
      <c r="UQ80" s="50"/>
      <c r="UR80" s="50"/>
      <c r="US80" s="50"/>
      <c r="UT80" s="50"/>
      <c r="UU80" s="50"/>
      <c r="UV80" s="50"/>
      <c r="UW80" s="50"/>
      <c r="UX80" s="50"/>
      <c r="UY80" s="50"/>
      <c r="UZ80" s="50"/>
      <c r="VA80" s="50"/>
      <c r="VB80" s="50"/>
      <c r="VC80" s="50"/>
      <c r="VD80" s="50"/>
      <c r="VE80" s="50"/>
      <c r="VF80" s="50"/>
      <c r="VG80" s="50"/>
      <c r="VH80" s="50"/>
      <c r="VI80" s="50"/>
      <c r="VJ80" s="50"/>
      <c r="VK80" s="50"/>
      <c r="VL80" s="50"/>
      <c r="VM80" s="50"/>
      <c r="VN80" s="50"/>
      <c r="VO80" s="50"/>
      <c r="VP80" s="50"/>
      <c r="VQ80" s="50"/>
      <c r="VR80" s="50"/>
      <c r="VS80" s="50"/>
      <c r="VT80" s="50"/>
      <c r="VU80" s="50"/>
      <c r="VV80" s="50"/>
      <c r="VW80" s="50"/>
      <c r="VX80" s="50"/>
      <c r="VY80" s="50"/>
      <c r="VZ80" s="50"/>
      <c r="WA80" s="50"/>
      <c r="WB80" s="50"/>
      <c r="WC80" s="50"/>
      <c r="WD80" s="50"/>
      <c r="WE80" s="50"/>
      <c r="WF80" s="50"/>
      <c r="WG80" s="50"/>
      <c r="WH80" s="50"/>
      <c r="WI80" s="50"/>
      <c r="WJ80" s="50"/>
      <c r="WK80" s="50"/>
      <c r="WL80" s="50"/>
      <c r="WM80" s="50"/>
      <c r="WN80" s="50"/>
      <c r="WO80" s="50"/>
      <c r="WP80" s="50"/>
      <c r="WQ80" s="50"/>
      <c r="WR80" s="50"/>
      <c r="WS80" s="50"/>
      <c r="WT80" s="50"/>
      <c r="WU80" s="50"/>
      <c r="WV80" s="50"/>
      <c r="WW80" s="50"/>
      <c r="WX80" s="50"/>
      <c r="WY80" s="50"/>
      <c r="WZ80" s="50"/>
      <c r="XA80" s="50"/>
      <c r="XB80" s="50"/>
      <c r="XC80" s="50"/>
      <c r="XD80" s="50"/>
      <c r="XE80" s="50"/>
      <c r="XF80" s="50"/>
      <c r="XG80" s="50"/>
      <c r="XH80" s="50"/>
      <c r="XI80" s="50"/>
      <c r="XJ80" s="50"/>
      <c r="XK80" s="50"/>
      <c r="XL80" s="50"/>
      <c r="XM80" s="50"/>
      <c r="XN80" s="50"/>
      <c r="XO80" s="50"/>
      <c r="XP80" s="50"/>
      <c r="XQ80" s="50"/>
      <c r="XR80" s="50"/>
      <c r="XS80" s="50"/>
      <c r="XT80" s="50"/>
      <c r="XU80" s="50"/>
      <c r="XV80" s="50"/>
      <c r="XW80" s="50"/>
      <c r="XX80" s="50"/>
      <c r="XY80" s="50"/>
      <c r="XZ80" s="50"/>
      <c r="YA80" s="50"/>
      <c r="YB80" s="50"/>
      <c r="YC80" s="50"/>
      <c r="YD80" s="50"/>
      <c r="YE80" s="50"/>
      <c r="YF80" s="50"/>
      <c r="YG80" s="50"/>
      <c r="YH80" s="50"/>
      <c r="YI80" s="50"/>
      <c r="YJ80" s="50"/>
      <c r="YK80" s="50"/>
      <c r="YL80" s="50"/>
      <c r="YM80" s="50"/>
      <c r="YN80" s="50"/>
      <c r="YO80" s="50"/>
      <c r="YP80" s="50"/>
      <c r="YQ80" s="50"/>
      <c r="YR80" s="50"/>
      <c r="YS80" s="50"/>
      <c r="YT80" s="50"/>
      <c r="YU80" s="50"/>
      <c r="YV80" s="50"/>
      <c r="YW80" s="50"/>
      <c r="YX80" s="50"/>
      <c r="YY80" s="50"/>
      <c r="YZ80" s="50"/>
      <c r="ZA80" s="50"/>
      <c r="ZB80" s="50"/>
      <c r="ZC80" s="50"/>
      <c r="ZD80" s="50"/>
      <c r="ZE80" s="50"/>
      <c r="ZF80" s="50"/>
      <c r="ZG80" s="50"/>
      <c r="ZH80" s="50"/>
      <c r="ZI80" s="50"/>
      <c r="ZJ80" s="50"/>
      <c r="ZK80" s="50"/>
      <c r="ZL80" s="50"/>
      <c r="ZM80" s="50"/>
      <c r="ZN80" s="50"/>
      <c r="ZO80" s="50"/>
      <c r="ZP80" s="50"/>
      <c r="ZQ80" s="50"/>
      <c r="ZR80" s="50"/>
      <c r="ZS80" s="50"/>
      <c r="ZT80" s="50"/>
      <c r="ZU80" s="50"/>
      <c r="ZV80" s="50"/>
      <c r="ZW80" s="50"/>
      <c r="ZX80" s="50"/>
      <c r="ZY80" s="618"/>
      <c r="ZZ80" s="36"/>
      <c r="AAA80" s="588"/>
      <c r="AAD80" s="112"/>
      <c r="AAE80" s="551" t="s">
        <v>26</v>
      </c>
      <c r="AAF80" s="583" t="s">
        <v>174</v>
      </c>
      <c r="AAG80" s="76"/>
      <c r="AAH80" s="76"/>
      <c r="AAI80" s="77"/>
      <c r="AAJ80" s="56"/>
      <c r="AAK80" s="56"/>
      <c r="AAL80" s="65"/>
      <c r="AAM80" s="112"/>
      <c r="AAN80"/>
      <c r="AAT80" s="23"/>
      <c r="AAU80" s="44"/>
    </row>
    <row r="81" spans="1:732" s="23" customFormat="1" ht="18" customHeight="1">
      <c r="A81" s="558"/>
      <c r="B81" s="783" t="str">
        <f>AAL19</f>
        <v>2-Advisory Committee</v>
      </c>
      <c r="C81" s="783"/>
      <c r="D81" s="783"/>
      <c r="E81" s="783"/>
      <c r="F81" s="783"/>
      <c r="G81" s="783"/>
      <c r="H81" s="149" t="s">
        <v>0</v>
      </c>
      <c r="I81" s="627"/>
      <c r="J81" s="632"/>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19"/>
      <c r="ZZ81" s="119"/>
      <c r="AAA81" s="588"/>
      <c r="AAB81"/>
      <c r="AAC81"/>
      <c r="AAD81" s="112"/>
      <c r="AAE81" s="551" t="s">
        <v>27</v>
      </c>
      <c r="AAF81" s="583" t="s">
        <v>174</v>
      </c>
      <c r="AAG81" s="112"/>
      <c r="AAH81" s="112"/>
      <c r="AAI81" s="77"/>
      <c r="AAJ81" s="90"/>
      <c r="AAK81" s="90"/>
      <c r="AAL81" s="65"/>
      <c r="AAM81" s="112"/>
      <c r="AAU81" s="44"/>
    </row>
    <row r="82" spans="1:732" s="23" customFormat="1" ht="18" customHeight="1">
      <c r="A82" s="558"/>
      <c r="B82" s="234" t="s">
        <v>15</v>
      </c>
      <c r="C82" s="703"/>
      <c r="D82" s="150" t="s">
        <v>241</v>
      </c>
      <c r="E82" s="151" t="s">
        <v>15</v>
      </c>
      <c r="F82" s="235" t="s">
        <v>2</v>
      </c>
      <c r="G82" s="152" t="s">
        <v>248</v>
      </c>
      <c r="H82" s="152" t="s">
        <v>86</v>
      </c>
      <c r="I82" s="627"/>
      <c r="J82" s="593"/>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c r="KH82" s="48"/>
      <c r="KI82" s="48"/>
      <c r="KJ82" s="48"/>
      <c r="KK82" s="48"/>
      <c r="KL82" s="48"/>
      <c r="KM82" s="48"/>
      <c r="KN82" s="48"/>
      <c r="KO82" s="48"/>
      <c r="KP82" s="48"/>
      <c r="KQ82" s="48"/>
      <c r="KR82" s="48"/>
      <c r="KS82" s="48"/>
      <c r="KT82" s="48"/>
      <c r="KU82" s="48"/>
      <c r="KV82" s="48"/>
      <c r="KW82" s="48"/>
      <c r="KX82" s="48"/>
      <c r="KY82" s="48"/>
      <c r="KZ82" s="48"/>
      <c r="LA82" s="48"/>
      <c r="LB82" s="48"/>
      <c r="LC82" s="48"/>
      <c r="LD82" s="48"/>
      <c r="LE82" s="48"/>
      <c r="LF82" s="48"/>
      <c r="LG82" s="48"/>
      <c r="LH82" s="48"/>
      <c r="LI82" s="48"/>
      <c r="LJ82" s="48"/>
      <c r="LK82" s="48"/>
      <c r="LL82" s="48"/>
      <c r="LM82" s="48"/>
      <c r="LN82" s="48"/>
      <c r="LO82" s="48"/>
      <c r="LP82" s="48"/>
      <c r="LQ82" s="48"/>
      <c r="LR82" s="48"/>
      <c r="LS82" s="48"/>
      <c r="LT82" s="48"/>
      <c r="LU82" s="48"/>
      <c r="LV82" s="48"/>
      <c r="LW82" s="48"/>
      <c r="LX82" s="48"/>
      <c r="LY82" s="48"/>
      <c r="LZ82" s="48"/>
      <c r="MA82" s="48"/>
      <c r="MB82" s="48"/>
      <c r="MC82" s="48"/>
      <c r="MD82" s="48"/>
      <c r="ME82" s="48"/>
      <c r="MF82" s="48"/>
      <c r="MG82" s="48"/>
      <c r="MH82" s="48"/>
      <c r="MI82" s="48"/>
      <c r="MJ82" s="48"/>
      <c r="MK82" s="48"/>
      <c r="ML82" s="48"/>
      <c r="MM82" s="48"/>
      <c r="MN82" s="48"/>
      <c r="MO82" s="48"/>
      <c r="MP82" s="48"/>
      <c r="MQ82" s="48"/>
      <c r="MR82" s="48"/>
      <c r="MS82" s="48"/>
      <c r="MT82" s="48"/>
      <c r="MU82" s="48"/>
      <c r="MV82" s="48"/>
      <c r="MW82" s="48"/>
      <c r="MX82" s="48"/>
      <c r="MY82" s="48"/>
      <c r="MZ82" s="48"/>
      <c r="NA82" s="48"/>
      <c r="NB82" s="48"/>
      <c r="NC82" s="48"/>
      <c r="ND82" s="48"/>
      <c r="NE82" s="48"/>
      <c r="NF82" s="48"/>
      <c r="NG82" s="48"/>
      <c r="NH82" s="48"/>
      <c r="NI82" s="48"/>
      <c r="NJ82" s="48"/>
      <c r="NK82" s="48"/>
      <c r="NL82" s="48"/>
      <c r="NM82" s="48"/>
      <c r="NN82" s="48"/>
      <c r="NO82" s="48"/>
      <c r="NP82" s="48"/>
      <c r="NQ82" s="48"/>
      <c r="NR82" s="48"/>
      <c r="NS82" s="48"/>
      <c r="NT82" s="48"/>
      <c r="NU82" s="48"/>
      <c r="NV82" s="48"/>
      <c r="NW82" s="48"/>
      <c r="NX82" s="48"/>
      <c r="NY82" s="48"/>
      <c r="NZ82" s="48"/>
      <c r="OA82" s="48"/>
      <c r="OB82" s="48"/>
      <c r="OC82" s="48"/>
      <c r="OD82" s="48"/>
      <c r="OE82" s="48"/>
      <c r="OF82" s="48"/>
      <c r="OG82" s="48"/>
      <c r="OH82" s="48"/>
      <c r="OI82" s="48"/>
      <c r="OJ82" s="48"/>
      <c r="OK82" s="48"/>
      <c r="OL82" s="48"/>
      <c r="OM82" s="48"/>
      <c r="ON82" s="48"/>
      <c r="OO82" s="48"/>
      <c r="OP82" s="48"/>
      <c r="OQ82" s="48"/>
      <c r="OR82" s="48"/>
      <c r="OS82" s="48"/>
      <c r="OT82" s="48"/>
      <c r="OU82" s="48"/>
      <c r="OV82" s="48"/>
      <c r="OW82" s="48"/>
      <c r="OX82" s="48"/>
      <c r="OY82" s="48"/>
      <c r="OZ82" s="48"/>
      <c r="PA82" s="48"/>
      <c r="PB82" s="48"/>
      <c r="PC82" s="48"/>
      <c r="PD82" s="48"/>
      <c r="PE82" s="48"/>
      <c r="PF82" s="48"/>
      <c r="PG82" s="48"/>
      <c r="PH82" s="48"/>
      <c r="PI82" s="48"/>
      <c r="PJ82" s="48"/>
      <c r="PK82" s="48"/>
      <c r="PL82" s="48"/>
      <c r="PM82" s="48"/>
      <c r="PN82" s="48"/>
      <c r="PO82" s="48"/>
      <c r="PP82" s="48"/>
      <c r="PQ82" s="48"/>
      <c r="PR82" s="48"/>
      <c r="PS82" s="48"/>
      <c r="PT82" s="48"/>
      <c r="PU82" s="48"/>
      <c r="PV82" s="48"/>
      <c r="PW82" s="48"/>
      <c r="PX82" s="48"/>
      <c r="PY82" s="48"/>
      <c r="PZ82" s="48"/>
      <c r="QA82" s="48"/>
      <c r="QB82" s="48"/>
      <c r="QC82" s="48"/>
      <c r="QD82" s="48"/>
      <c r="QE82" s="48"/>
      <c r="QF82" s="48"/>
      <c r="QG82" s="48"/>
      <c r="QH82" s="48"/>
      <c r="QI82" s="48"/>
      <c r="QJ82" s="48"/>
      <c r="QK82" s="48"/>
      <c r="QL82" s="48"/>
      <c r="QM82" s="48"/>
      <c r="QN82" s="48"/>
      <c r="QO82" s="48"/>
      <c r="QP82" s="48"/>
      <c r="QQ82" s="48"/>
      <c r="QR82" s="48"/>
      <c r="QS82" s="48"/>
      <c r="QT82" s="48"/>
      <c r="QU82" s="48"/>
      <c r="QV82" s="48"/>
      <c r="QW82" s="48"/>
      <c r="QX82" s="48"/>
      <c r="QY82" s="48"/>
      <c r="QZ82" s="48"/>
      <c r="RA82" s="48"/>
      <c r="RB82" s="48"/>
      <c r="RC82" s="48"/>
      <c r="RD82" s="48"/>
      <c r="RE82" s="48"/>
      <c r="RF82" s="48"/>
      <c r="RG82" s="48"/>
      <c r="RH82" s="48"/>
      <c r="RI82" s="48"/>
      <c r="RJ82" s="48"/>
      <c r="RK82" s="48"/>
      <c r="RL82" s="48"/>
      <c r="RM82" s="48"/>
      <c r="RN82" s="48"/>
      <c r="RO82" s="48"/>
      <c r="RP82" s="48"/>
      <c r="RQ82" s="48"/>
      <c r="RR82" s="48"/>
      <c r="RS82" s="48"/>
      <c r="RT82" s="48"/>
      <c r="RU82" s="48"/>
      <c r="RV82" s="48"/>
      <c r="RW82" s="48"/>
      <c r="RX82" s="48"/>
      <c r="RY82" s="48"/>
      <c r="RZ82" s="48"/>
      <c r="SA82" s="48"/>
      <c r="SB82" s="48"/>
      <c r="SC82" s="48"/>
      <c r="SD82" s="48"/>
      <c r="SE82" s="48"/>
      <c r="SF82" s="48"/>
      <c r="SG82" s="48"/>
      <c r="SH82" s="48"/>
      <c r="SI82" s="48"/>
      <c r="SJ82" s="48"/>
      <c r="SK82" s="48"/>
      <c r="SL82" s="48"/>
      <c r="SM82" s="48"/>
      <c r="SN82" s="48"/>
      <c r="SO82" s="48"/>
      <c r="SP82" s="48"/>
      <c r="SQ82" s="48"/>
      <c r="SR82" s="48"/>
      <c r="SS82" s="48"/>
      <c r="ST82" s="48"/>
      <c r="SU82" s="48"/>
      <c r="SV82" s="48"/>
      <c r="SW82" s="48"/>
      <c r="SX82" s="48"/>
      <c r="SY82" s="48"/>
      <c r="SZ82" s="48"/>
      <c r="TA82" s="48"/>
      <c r="TB82" s="48"/>
      <c r="TC82" s="48"/>
      <c r="TD82" s="48"/>
      <c r="TE82" s="48"/>
      <c r="TF82" s="48"/>
      <c r="TG82" s="48"/>
      <c r="TH82" s="48"/>
      <c r="TI82" s="48"/>
      <c r="TJ82" s="48"/>
      <c r="TK82" s="48"/>
      <c r="TL82" s="48"/>
      <c r="TM82" s="48"/>
      <c r="TN82" s="48"/>
      <c r="TO82" s="48"/>
      <c r="TP82" s="48"/>
      <c r="TQ82" s="48"/>
      <c r="TR82" s="48"/>
      <c r="TS82" s="48"/>
      <c r="TT82" s="48"/>
      <c r="TU82" s="48"/>
      <c r="TV82" s="48"/>
      <c r="TW82" s="48"/>
      <c r="TX82" s="48"/>
      <c r="TY82" s="48"/>
      <c r="TZ82" s="48"/>
      <c r="UA82" s="48"/>
      <c r="UB82" s="48"/>
      <c r="UC82" s="48"/>
      <c r="UD82" s="48"/>
      <c r="UE82" s="48"/>
      <c r="UF82" s="48"/>
      <c r="UG82" s="48"/>
      <c r="UH82" s="48"/>
      <c r="UI82" s="48"/>
      <c r="UJ82" s="48"/>
      <c r="UK82" s="48"/>
      <c r="UL82" s="48"/>
      <c r="UM82" s="48"/>
      <c r="UN82" s="48"/>
      <c r="UO82" s="48"/>
      <c r="UP82" s="48"/>
      <c r="UQ82" s="48"/>
      <c r="UR82" s="48"/>
      <c r="US82" s="48"/>
      <c r="UT82" s="48"/>
      <c r="UU82" s="48"/>
      <c r="UV82" s="48"/>
      <c r="UW82" s="48"/>
      <c r="UX82" s="48"/>
      <c r="UY82" s="48"/>
      <c r="UZ82" s="48"/>
      <c r="VA82" s="48"/>
      <c r="VB82" s="48"/>
      <c r="VC82" s="48"/>
      <c r="VD82" s="48"/>
      <c r="VE82" s="48"/>
      <c r="VF82" s="48"/>
      <c r="VG82" s="48"/>
      <c r="VH82" s="48"/>
      <c r="VI82" s="48"/>
      <c r="VJ82" s="48"/>
      <c r="VK82" s="48"/>
      <c r="VL82" s="48"/>
      <c r="VM82" s="48"/>
      <c r="VN82" s="48"/>
      <c r="VO82" s="48"/>
      <c r="VP82" s="48"/>
      <c r="VQ82" s="48"/>
      <c r="VR82" s="48"/>
      <c r="VS82" s="48"/>
      <c r="VT82" s="48"/>
      <c r="VU82" s="48"/>
      <c r="VV82" s="48"/>
      <c r="VW82" s="48"/>
      <c r="VX82" s="48"/>
      <c r="VY82" s="48"/>
      <c r="VZ82" s="48"/>
      <c r="WA82" s="48"/>
      <c r="WB82" s="48"/>
      <c r="WC82" s="48"/>
      <c r="WD82" s="48"/>
      <c r="WE82" s="48"/>
      <c r="WF82" s="48"/>
      <c r="WG82" s="48"/>
      <c r="WH82" s="48"/>
      <c r="WI82" s="48"/>
      <c r="WJ82" s="48"/>
      <c r="WK82" s="48"/>
      <c r="WL82" s="48"/>
      <c r="WM82" s="48"/>
      <c r="WN82" s="48"/>
      <c r="WO82" s="48"/>
      <c r="WP82" s="48"/>
      <c r="WQ82" s="48"/>
      <c r="WR82" s="48"/>
      <c r="WS82" s="48"/>
      <c r="WT82" s="48"/>
      <c r="WU82" s="48"/>
      <c r="WV82" s="48"/>
      <c r="WW82" s="48"/>
      <c r="WX82" s="48"/>
      <c r="WY82" s="48"/>
      <c r="WZ82" s="48"/>
      <c r="XA82" s="48"/>
      <c r="XB82" s="48"/>
      <c r="XC82" s="48"/>
      <c r="XD82" s="48"/>
      <c r="XE82" s="48"/>
      <c r="XF82" s="48"/>
      <c r="XG82" s="48"/>
      <c r="XH82" s="48"/>
      <c r="XI82" s="48"/>
      <c r="XJ82" s="48"/>
      <c r="XK82" s="48"/>
      <c r="XL82" s="48"/>
      <c r="XM82" s="48"/>
      <c r="XN82" s="48"/>
      <c r="XO82" s="48"/>
      <c r="XP82" s="48"/>
      <c r="XQ82" s="48"/>
      <c r="XR82" s="48"/>
      <c r="XS82" s="48"/>
      <c r="XT82" s="48"/>
      <c r="XU82" s="48"/>
      <c r="XV82" s="48"/>
      <c r="XW82" s="48"/>
      <c r="XX82" s="48"/>
      <c r="XY82" s="48"/>
      <c r="XZ82" s="48"/>
      <c r="YA82" s="48"/>
      <c r="YB82" s="48"/>
      <c r="YC82" s="48"/>
      <c r="YD82" s="48"/>
      <c r="YE82" s="48"/>
      <c r="YF82" s="48"/>
      <c r="YG82" s="48"/>
      <c r="YH82" s="48"/>
      <c r="YI82" s="48"/>
      <c r="YJ82" s="48"/>
      <c r="YK82" s="48"/>
      <c r="YL82" s="48"/>
      <c r="YM82" s="48"/>
      <c r="YN82" s="48"/>
      <c r="YO82" s="48"/>
      <c r="YP82" s="48"/>
      <c r="YQ82" s="48"/>
      <c r="YR82" s="48"/>
      <c r="YS82" s="48"/>
      <c r="YT82" s="48"/>
      <c r="YU82" s="48"/>
      <c r="YV82" s="48"/>
      <c r="YW82" s="48"/>
      <c r="YX82" s="48"/>
      <c r="YY82" s="48"/>
      <c r="YZ82" s="48"/>
      <c r="ZA82" s="48"/>
      <c r="ZB82" s="48"/>
      <c r="ZC82" s="48"/>
      <c r="ZD82" s="48"/>
      <c r="ZE82" s="48"/>
      <c r="ZF82" s="48"/>
      <c r="ZG82" s="48"/>
      <c r="ZH82" s="48"/>
      <c r="ZI82" s="48"/>
      <c r="ZJ82" s="48"/>
      <c r="ZK82" s="48"/>
      <c r="ZL82" s="48"/>
      <c r="ZM82" s="48"/>
      <c r="ZN82" s="48"/>
      <c r="ZO82" s="48"/>
      <c r="ZP82" s="48"/>
      <c r="ZQ82" s="48"/>
      <c r="ZR82" s="48"/>
      <c r="ZS82" s="48"/>
      <c r="ZT82" s="48"/>
      <c r="ZU82" s="48"/>
      <c r="ZV82" s="48"/>
      <c r="ZW82" s="48"/>
      <c r="ZX82" s="48"/>
      <c r="ZY82" s="619"/>
      <c r="ZZ82" s="119"/>
      <c r="AAA82" s="588"/>
      <c r="AAB82"/>
      <c r="AAC82"/>
      <c r="AAD82" s="112"/>
      <c r="AAE82" s="551" t="s">
        <v>245</v>
      </c>
      <c r="AAF82" s="583" t="s">
        <v>174</v>
      </c>
      <c r="AAG82" s="112"/>
      <c r="AAH82" s="112"/>
      <c r="AAI82" s="77"/>
      <c r="AAJ82" s="90"/>
      <c r="AAK82" s="90"/>
      <c r="AAL82" s="65"/>
      <c r="AAM82" s="112"/>
      <c r="AAU82" s="44"/>
    </row>
    <row r="83" spans="1:732" ht="18" customHeight="1">
      <c r="A83" s="558"/>
      <c r="B83" s="23" t="s">
        <v>0</v>
      </c>
      <c r="C83" s="704"/>
      <c r="D83" s="236" t="s">
        <v>0</v>
      </c>
      <c r="E83" s="236"/>
      <c r="F83" s="373">
        <f>NETWORKDAYS(G83,S.BANNER.AdvisoryCommitteeEnd,S.DDL_DEQClosed)</f>
        <v>220</v>
      </c>
      <c r="G83" s="237">
        <f>S.BANNER.AdvisoryCommitteeStart</f>
        <v>41414</v>
      </c>
      <c r="H83" s="237">
        <f>S.BANNER.AdvisoryCommitteeEnd</f>
        <v>41733</v>
      </c>
      <c r="I83" s="627"/>
      <c r="J83" s="629"/>
      <c r="K83" s="635"/>
      <c r="L83" s="635"/>
      <c r="M83" s="635"/>
      <c r="N83" s="635"/>
      <c r="O83" s="635"/>
      <c r="P83" s="635"/>
      <c r="Q83" s="635"/>
      <c r="R83" s="635"/>
      <c r="S83" s="635"/>
      <c r="T83" s="635"/>
      <c r="U83" s="635"/>
      <c r="V83" s="635"/>
      <c r="W83" s="635"/>
      <c r="X83" s="635"/>
      <c r="Y83" s="635"/>
      <c r="Z83" s="635"/>
      <c r="AA83" s="635"/>
      <c r="AB83" s="635"/>
      <c r="AC83" s="635"/>
      <c r="AD83" s="635"/>
      <c r="AE83" s="635"/>
      <c r="AF83" s="635"/>
      <c r="AG83" s="635"/>
      <c r="AH83" s="635"/>
      <c r="AI83" s="635"/>
      <c r="AJ83" s="635"/>
      <c r="AK83" s="635"/>
      <c r="AL83" s="635"/>
      <c r="AM83" s="635"/>
      <c r="AN83" s="635"/>
      <c r="AO83" s="635"/>
      <c r="AP83" s="635"/>
      <c r="AQ83" s="635"/>
      <c r="AR83" s="635"/>
      <c r="AS83" s="635"/>
      <c r="AT83" s="635"/>
      <c r="AU83" s="635"/>
      <c r="AV83" s="635"/>
      <c r="AW83" s="635"/>
      <c r="AX83" s="635"/>
      <c r="AY83" s="635"/>
      <c r="AZ83" s="635"/>
      <c r="BA83" s="635"/>
      <c r="BB83" s="635"/>
      <c r="BC83" s="635"/>
      <c r="BD83" s="635"/>
      <c r="BE83" s="635"/>
      <c r="BF83" s="635"/>
      <c r="BG83" s="635"/>
      <c r="BH83" s="635"/>
      <c r="BI83" s="635"/>
      <c r="BJ83" s="635"/>
      <c r="BK83" s="635"/>
      <c r="BL83" s="635"/>
      <c r="BM83" s="635"/>
      <c r="BN83" s="635"/>
      <c r="BO83" s="635"/>
      <c r="BP83" s="635"/>
      <c r="BQ83" s="635"/>
      <c r="BR83" s="635"/>
      <c r="BS83" s="635"/>
      <c r="BT83" s="635"/>
      <c r="BU83" s="635"/>
      <c r="BV83" s="635"/>
      <c r="BW83" s="635"/>
      <c r="BX83" s="635"/>
      <c r="BY83" s="635"/>
      <c r="BZ83" s="635"/>
      <c r="CA83" s="635"/>
      <c r="CB83" s="635"/>
      <c r="CC83" s="635"/>
      <c r="CD83" s="635"/>
      <c r="CE83" s="635"/>
      <c r="CF83" s="635"/>
      <c r="CG83" s="635"/>
      <c r="CH83" s="635"/>
      <c r="CI83" s="635"/>
      <c r="CJ83" s="635"/>
      <c r="CK83" s="635"/>
      <c r="CL83" s="635"/>
      <c r="CM83" s="635"/>
      <c r="CN83" s="635"/>
      <c r="CO83" s="635"/>
      <c r="CP83" s="635"/>
      <c r="CQ83" s="635"/>
      <c r="CR83" s="635"/>
      <c r="CS83" s="635"/>
      <c r="CT83" s="635"/>
      <c r="CU83" s="635"/>
      <c r="CV83" s="635"/>
      <c r="CW83" s="635"/>
      <c r="CX83" s="635"/>
      <c r="CY83" s="635"/>
      <c r="CZ83" s="635"/>
      <c r="DA83" s="635"/>
      <c r="DB83" s="635"/>
      <c r="DC83" s="635"/>
      <c r="DD83" s="635"/>
      <c r="DE83" s="635"/>
      <c r="DF83" s="635"/>
      <c r="DG83" s="635"/>
      <c r="DH83" s="635"/>
      <c r="DI83" s="635"/>
      <c r="DJ83" s="635"/>
      <c r="DK83" s="635"/>
      <c r="DL83" s="635"/>
      <c r="DM83" s="635"/>
      <c r="DN83" s="635"/>
      <c r="DO83" s="635"/>
      <c r="DP83" s="635"/>
      <c r="DQ83" s="635"/>
      <c r="DR83" s="635"/>
      <c r="DS83" s="635"/>
      <c r="DT83" s="635"/>
      <c r="DU83" s="635"/>
      <c r="DV83" s="635"/>
      <c r="DW83" s="635"/>
      <c r="DX83" s="635"/>
      <c r="DY83" s="635"/>
      <c r="DZ83" s="635"/>
      <c r="EA83" s="635"/>
      <c r="EB83" s="635"/>
      <c r="EC83" s="635"/>
      <c r="ED83" s="635"/>
      <c r="EE83" s="635"/>
      <c r="EF83" s="635"/>
      <c r="EG83" s="635"/>
      <c r="EH83" s="635"/>
      <c r="EI83" s="635"/>
      <c r="EJ83" s="635"/>
      <c r="EK83" s="635"/>
      <c r="EL83" s="635"/>
      <c r="EM83" s="635"/>
      <c r="EN83" s="635"/>
      <c r="EO83" s="635"/>
      <c r="EP83" s="635"/>
      <c r="EQ83" s="635"/>
      <c r="ER83" s="635"/>
      <c r="ES83" s="635"/>
      <c r="ET83" s="635"/>
      <c r="EU83" s="635"/>
      <c r="EV83" s="635"/>
      <c r="EW83" s="635"/>
      <c r="EX83" s="635"/>
      <c r="EY83" s="635"/>
      <c r="EZ83" s="635"/>
      <c r="FA83" s="635"/>
      <c r="FB83" s="635"/>
      <c r="FC83" s="635"/>
      <c r="FD83" s="635"/>
      <c r="FE83" s="635"/>
      <c r="FF83" s="635"/>
      <c r="FG83" s="635"/>
      <c r="FH83" s="635"/>
      <c r="FI83" s="635"/>
      <c r="FJ83" s="635"/>
      <c r="FK83" s="635"/>
      <c r="FL83" s="635"/>
      <c r="FM83" s="635"/>
      <c r="FN83" s="635"/>
      <c r="FO83" s="635"/>
      <c r="FP83" s="635"/>
      <c r="FQ83" s="635"/>
      <c r="FR83" s="635"/>
      <c r="FS83" s="635"/>
      <c r="FT83" s="635"/>
      <c r="FU83" s="635"/>
      <c r="FV83" s="635"/>
      <c r="FW83" s="635"/>
      <c r="FX83" s="635"/>
      <c r="FY83" s="635"/>
      <c r="FZ83" s="635"/>
      <c r="GA83" s="635"/>
      <c r="GB83" s="635"/>
      <c r="GC83" s="635"/>
      <c r="GD83" s="635"/>
      <c r="GE83" s="635"/>
      <c r="GF83" s="635"/>
      <c r="GG83" s="635"/>
      <c r="GH83" s="635"/>
      <c r="GI83" s="635"/>
      <c r="GJ83" s="635"/>
      <c r="GK83" s="635"/>
      <c r="GL83" s="635"/>
      <c r="GM83" s="635"/>
      <c r="GN83" s="635"/>
      <c r="GO83" s="635"/>
      <c r="GP83" s="635"/>
      <c r="GQ83" s="635"/>
      <c r="GR83" s="635"/>
      <c r="GS83" s="635"/>
      <c r="GT83" s="635"/>
      <c r="GU83" s="635"/>
      <c r="GV83" s="635"/>
      <c r="GW83" s="635"/>
      <c r="GX83" s="635"/>
      <c r="GY83" s="635"/>
      <c r="GZ83" s="635"/>
      <c r="HA83" s="635"/>
      <c r="HB83" s="635"/>
      <c r="HC83" s="635"/>
      <c r="HD83" s="635"/>
      <c r="HE83" s="635"/>
      <c r="HF83" s="635"/>
      <c r="HG83" s="635"/>
      <c r="HH83" s="635"/>
      <c r="HI83" s="635"/>
      <c r="HJ83" s="635"/>
      <c r="HK83" s="635"/>
      <c r="HL83" s="635"/>
      <c r="HM83" s="635"/>
      <c r="HN83" s="635"/>
      <c r="HO83" s="635"/>
      <c r="HP83" s="635"/>
      <c r="HQ83" s="635"/>
      <c r="HR83" s="635"/>
      <c r="HS83" s="635"/>
      <c r="HT83" s="635"/>
      <c r="HU83" s="635"/>
      <c r="HV83" s="635"/>
      <c r="HW83" s="635"/>
      <c r="HX83" s="635"/>
      <c r="HY83" s="635"/>
      <c r="HZ83" s="635"/>
      <c r="IA83" s="635"/>
      <c r="IB83" s="635"/>
      <c r="IC83" s="635"/>
      <c r="ID83" s="635"/>
      <c r="IE83" s="635"/>
      <c r="IF83" s="635"/>
      <c r="IG83" s="635"/>
      <c r="IH83" s="635"/>
      <c r="II83" s="635"/>
      <c r="IJ83" s="635"/>
      <c r="IK83" s="635"/>
      <c r="IL83" s="635"/>
      <c r="IM83" s="635"/>
      <c r="IN83" s="635"/>
      <c r="IO83" s="635"/>
      <c r="IP83" s="635"/>
      <c r="IQ83" s="635"/>
      <c r="IR83" s="635"/>
      <c r="IS83" s="635"/>
      <c r="IT83" s="635"/>
      <c r="IU83" s="635"/>
      <c r="IV83" s="635"/>
      <c r="IW83" s="635"/>
      <c r="IX83" s="635"/>
      <c r="IY83" s="635"/>
      <c r="IZ83" s="635"/>
      <c r="JA83" s="635"/>
      <c r="JB83" s="635"/>
      <c r="JC83" s="635"/>
      <c r="JD83" s="635"/>
      <c r="JE83" s="635"/>
      <c r="JF83" s="635"/>
      <c r="JG83" s="635"/>
      <c r="JH83" s="635"/>
      <c r="JI83" s="635"/>
      <c r="JJ83" s="635"/>
      <c r="JK83" s="635"/>
      <c r="JL83" s="635"/>
      <c r="JM83" s="635"/>
      <c r="JN83" s="635"/>
      <c r="JO83" s="635"/>
      <c r="JP83" s="635"/>
      <c r="JQ83" s="635"/>
      <c r="JR83" s="635"/>
      <c r="JS83" s="635"/>
      <c r="JT83" s="635"/>
      <c r="JU83" s="635"/>
      <c r="JV83" s="635"/>
      <c r="JW83" s="635"/>
      <c r="JX83" s="635"/>
      <c r="JY83" s="635"/>
      <c r="JZ83" s="635"/>
      <c r="KA83" s="635"/>
      <c r="KB83" s="635"/>
      <c r="KC83" s="635"/>
      <c r="KD83" s="635"/>
      <c r="KE83" s="635"/>
      <c r="KF83" s="635"/>
      <c r="KG83" s="635"/>
      <c r="KH83" s="635"/>
      <c r="KI83" s="635"/>
      <c r="KJ83" s="635"/>
      <c r="KK83" s="635"/>
      <c r="KL83" s="635"/>
      <c r="KM83" s="635"/>
      <c r="KN83" s="635"/>
      <c r="KO83" s="635"/>
      <c r="KP83" s="635"/>
      <c r="KQ83" s="635"/>
      <c r="KR83" s="635"/>
      <c r="KS83" s="635"/>
      <c r="KT83" s="635"/>
      <c r="KU83" s="635"/>
      <c r="KV83" s="635"/>
      <c r="KW83" s="635"/>
      <c r="KX83" s="635"/>
      <c r="KY83" s="635"/>
      <c r="KZ83" s="635"/>
      <c r="LA83" s="635"/>
      <c r="LB83" s="635"/>
      <c r="LC83" s="635"/>
      <c r="LD83" s="635"/>
      <c r="LE83" s="635"/>
      <c r="LF83" s="635"/>
      <c r="LG83" s="635"/>
      <c r="LH83" s="635"/>
      <c r="LI83" s="635"/>
      <c r="LJ83" s="635"/>
      <c r="LK83" s="635"/>
      <c r="LL83" s="635"/>
      <c r="LM83" s="635"/>
      <c r="LN83" s="635"/>
      <c r="LO83" s="635"/>
      <c r="LP83" s="635"/>
      <c r="LQ83" s="635"/>
      <c r="LR83" s="635"/>
      <c r="LS83" s="635"/>
      <c r="LT83" s="635"/>
      <c r="LU83" s="635"/>
      <c r="LV83" s="635"/>
      <c r="LW83" s="635"/>
      <c r="LX83" s="635"/>
      <c r="LY83" s="635"/>
      <c r="LZ83" s="635"/>
      <c r="MA83" s="635"/>
      <c r="MB83" s="635"/>
      <c r="MC83" s="635"/>
      <c r="MD83" s="635"/>
      <c r="ME83" s="635"/>
      <c r="MF83" s="635"/>
      <c r="MG83" s="635"/>
      <c r="MH83" s="635"/>
      <c r="MI83" s="635"/>
      <c r="MJ83" s="635"/>
      <c r="MK83" s="635"/>
      <c r="ML83" s="635"/>
      <c r="MM83" s="635"/>
      <c r="MN83" s="635"/>
      <c r="MO83" s="635"/>
      <c r="MP83" s="635"/>
      <c r="MQ83" s="635"/>
      <c r="MR83" s="635"/>
      <c r="MS83" s="635"/>
      <c r="MT83" s="635"/>
      <c r="MU83" s="635"/>
      <c r="MV83" s="635"/>
      <c r="MW83" s="635"/>
      <c r="MX83" s="635"/>
      <c r="MY83" s="635"/>
      <c r="MZ83" s="635"/>
      <c r="NA83" s="635"/>
      <c r="NB83" s="635"/>
      <c r="NC83" s="635"/>
      <c r="ND83" s="635"/>
      <c r="NE83" s="635"/>
      <c r="NF83" s="635"/>
      <c r="NG83" s="635"/>
      <c r="NH83" s="635"/>
      <c r="NI83" s="635"/>
      <c r="NJ83" s="635"/>
      <c r="NK83" s="635"/>
      <c r="NL83" s="635"/>
      <c r="NM83" s="635"/>
      <c r="NN83" s="635"/>
      <c r="NO83" s="635"/>
      <c r="NP83" s="635"/>
      <c r="NQ83" s="635"/>
      <c r="NR83" s="635"/>
      <c r="NS83" s="635"/>
      <c r="NT83" s="635"/>
      <c r="NU83" s="635"/>
      <c r="NV83" s="635"/>
      <c r="NW83" s="635"/>
      <c r="NX83" s="635"/>
      <c r="NY83" s="635"/>
      <c r="NZ83" s="635"/>
      <c r="OA83" s="635"/>
      <c r="OB83" s="635"/>
      <c r="OC83" s="635"/>
      <c r="OD83" s="635"/>
      <c r="OE83" s="635"/>
      <c r="OF83" s="635"/>
      <c r="OG83" s="635"/>
      <c r="OH83" s="635"/>
      <c r="OI83" s="635"/>
      <c r="OJ83" s="635"/>
      <c r="OK83" s="635"/>
      <c r="OL83" s="635"/>
      <c r="OM83" s="635"/>
      <c r="ON83" s="635"/>
      <c r="OO83" s="635"/>
      <c r="OP83" s="635"/>
      <c r="OQ83" s="635"/>
      <c r="OR83" s="635"/>
      <c r="OS83" s="635"/>
      <c r="OT83" s="635"/>
      <c r="OU83" s="635"/>
      <c r="OV83" s="635"/>
      <c r="OW83" s="635"/>
      <c r="OX83" s="635"/>
      <c r="OY83" s="635"/>
      <c r="OZ83" s="635"/>
      <c r="PA83" s="635"/>
      <c r="PB83" s="635"/>
      <c r="PC83" s="635"/>
      <c r="PD83" s="635"/>
      <c r="PE83" s="635"/>
      <c r="PF83" s="635"/>
      <c r="PG83" s="635"/>
      <c r="PH83" s="635"/>
      <c r="PI83" s="635"/>
      <c r="PJ83" s="635"/>
      <c r="PK83" s="635"/>
      <c r="PL83" s="635"/>
      <c r="PM83" s="635"/>
      <c r="PN83" s="635"/>
      <c r="PO83" s="635"/>
      <c r="PP83" s="635"/>
      <c r="PQ83" s="635"/>
      <c r="PR83" s="635"/>
      <c r="PS83" s="635"/>
      <c r="PT83" s="635"/>
      <c r="PU83" s="635"/>
      <c r="PV83" s="635"/>
      <c r="PW83" s="635"/>
      <c r="PX83" s="635"/>
      <c r="PY83" s="635"/>
      <c r="PZ83" s="635"/>
      <c r="QA83" s="635"/>
      <c r="QB83" s="635"/>
      <c r="QC83" s="635"/>
      <c r="QD83" s="635"/>
      <c r="QE83" s="635"/>
      <c r="QF83" s="635"/>
      <c r="QG83" s="635"/>
      <c r="QH83" s="635"/>
      <c r="QI83" s="635"/>
      <c r="QJ83" s="635"/>
      <c r="QK83" s="635"/>
      <c r="QL83" s="635"/>
      <c r="QM83" s="635"/>
      <c r="QN83" s="635"/>
      <c r="QO83" s="635"/>
      <c r="QP83" s="635"/>
      <c r="QQ83" s="635"/>
      <c r="QR83" s="635"/>
      <c r="QS83" s="635"/>
      <c r="QT83" s="635"/>
      <c r="QU83" s="635"/>
      <c r="QV83" s="635"/>
      <c r="QW83" s="635"/>
      <c r="QX83" s="635"/>
      <c r="QY83" s="635"/>
      <c r="QZ83" s="635"/>
      <c r="RA83" s="635"/>
      <c r="RB83" s="635"/>
      <c r="RC83" s="635"/>
      <c r="RD83" s="635"/>
      <c r="RE83" s="635"/>
      <c r="RF83" s="635"/>
      <c r="RG83" s="635"/>
      <c r="RH83" s="635"/>
      <c r="RI83" s="635"/>
      <c r="RJ83" s="635"/>
      <c r="RK83" s="635"/>
      <c r="RL83" s="635"/>
      <c r="RM83" s="635"/>
      <c r="RN83" s="635"/>
      <c r="RO83" s="635"/>
      <c r="RP83" s="635"/>
      <c r="RQ83" s="635"/>
      <c r="RR83" s="635"/>
      <c r="RS83" s="635"/>
      <c r="RT83" s="635"/>
      <c r="RU83" s="635"/>
      <c r="RV83" s="635"/>
      <c r="RW83" s="635"/>
      <c r="RX83" s="635"/>
      <c r="RY83" s="635"/>
      <c r="RZ83" s="635"/>
      <c r="SA83" s="635"/>
      <c r="SB83" s="635"/>
      <c r="SC83" s="635"/>
      <c r="SD83" s="635"/>
      <c r="SE83" s="635"/>
      <c r="SF83" s="635"/>
      <c r="SG83" s="635"/>
      <c r="SH83" s="635"/>
      <c r="SI83" s="635"/>
      <c r="SJ83" s="635"/>
      <c r="SK83" s="635"/>
      <c r="SL83" s="635"/>
      <c r="SM83" s="635"/>
      <c r="SN83" s="635"/>
      <c r="SO83" s="635"/>
      <c r="SP83" s="635"/>
      <c r="SQ83" s="635"/>
      <c r="SR83" s="635"/>
      <c r="SS83" s="635"/>
      <c r="ST83" s="635"/>
      <c r="SU83" s="635"/>
      <c r="SV83" s="635"/>
      <c r="SW83" s="635"/>
      <c r="SX83" s="635"/>
      <c r="SY83" s="635"/>
      <c r="SZ83" s="635"/>
      <c r="TA83" s="635"/>
      <c r="TB83" s="635"/>
      <c r="TC83" s="635"/>
      <c r="TD83" s="635"/>
      <c r="TE83" s="635"/>
      <c r="TF83" s="635"/>
      <c r="TG83" s="635"/>
      <c r="TH83" s="635"/>
      <c r="TI83" s="635"/>
      <c r="TJ83" s="635"/>
      <c r="TK83" s="635"/>
      <c r="TL83" s="635"/>
      <c r="TM83" s="635"/>
      <c r="TN83" s="635"/>
      <c r="TO83" s="635"/>
      <c r="TP83" s="635"/>
      <c r="TQ83" s="635"/>
      <c r="TR83" s="635"/>
      <c r="TS83" s="635"/>
      <c r="TT83" s="635"/>
      <c r="TU83" s="635"/>
      <c r="TV83" s="635"/>
      <c r="TW83" s="635"/>
      <c r="TX83" s="635"/>
      <c r="TY83" s="635"/>
      <c r="TZ83" s="635"/>
      <c r="UA83" s="635"/>
      <c r="UB83" s="635"/>
      <c r="UC83" s="635"/>
      <c r="UD83" s="635"/>
      <c r="UE83" s="635"/>
      <c r="UF83" s="635"/>
      <c r="UG83" s="635"/>
      <c r="UH83" s="635"/>
      <c r="UI83" s="635"/>
      <c r="UJ83" s="635"/>
      <c r="UK83" s="635"/>
      <c r="UL83" s="635"/>
      <c r="UM83" s="635"/>
      <c r="UN83" s="635"/>
      <c r="UO83" s="635"/>
      <c r="UP83" s="635"/>
      <c r="UQ83" s="635"/>
      <c r="UR83" s="635"/>
      <c r="US83" s="635"/>
      <c r="UT83" s="635"/>
      <c r="UU83" s="635"/>
      <c r="UV83" s="635"/>
      <c r="UW83" s="635"/>
      <c r="UX83" s="635"/>
      <c r="UY83" s="635"/>
      <c r="UZ83" s="635"/>
      <c r="VA83" s="635"/>
      <c r="VB83" s="635"/>
      <c r="VC83" s="635"/>
      <c r="VD83" s="635"/>
      <c r="VE83" s="635"/>
      <c r="VF83" s="635"/>
      <c r="VG83" s="635"/>
      <c r="VH83" s="635"/>
      <c r="VI83" s="635"/>
      <c r="VJ83" s="635"/>
      <c r="VK83" s="635"/>
      <c r="VL83" s="635"/>
      <c r="VM83" s="635"/>
      <c r="VN83" s="635"/>
      <c r="VO83" s="635"/>
      <c r="VP83" s="635"/>
      <c r="VQ83" s="635"/>
      <c r="VR83" s="635"/>
      <c r="VS83" s="635"/>
      <c r="VT83" s="635"/>
      <c r="VU83" s="635"/>
      <c r="VV83" s="635"/>
      <c r="VW83" s="635"/>
      <c r="VX83" s="635"/>
      <c r="VY83" s="635"/>
      <c r="VZ83" s="635"/>
      <c r="WA83" s="635"/>
      <c r="WB83" s="635"/>
      <c r="WC83" s="635"/>
      <c r="WD83" s="635"/>
      <c r="WE83" s="635"/>
      <c r="WF83" s="635"/>
      <c r="WG83" s="635"/>
      <c r="WH83" s="635"/>
      <c r="WI83" s="635"/>
      <c r="WJ83" s="635"/>
      <c r="WK83" s="635"/>
      <c r="WL83" s="635"/>
      <c r="WM83" s="635"/>
      <c r="WN83" s="635"/>
      <c r="WO83" s="635"/>
      <c r="WP83" s="635"/>
      <c r="WQ83" s="635"/>
      <c r="WR83" s="635"/>
      <c r="WS83" s="635"/>
      <c r="WT83" s="635"/>
      <c r="WU83" s="635"/>
      <c r="WV83" s="635"/>
      <c r="WW83" s="635"/>
      <c r="WX83" s="635"/>
      <c r="WY83" s="635"/>
      <c r="WZ83" s="635"/>
      <c r="XA83" s="635"/>
      <c r="XB83" s="635"/>
      <c r="XC83" s="635"/>
      <c r="XD83" s="635"/>
      <c r="XE83" s="635"/>
      <c r="XF83" s="635"/>
      <c r="XG83" s="635"/>
      <c r="XH83" s="635"/>
      <c r="XI83" s="635"/>
      <c r="XJ83" s="635"/>
      <c r="XK83" s="635"/>
      <c r="XL83" s="635"/>
      <c r="XM83" s="635"/>
      <c r="XN83" s="635"/>
      <c r="XO83" s="635"/>
      <c r="XP83" s="635"/>
      <c r="XQ83" s="635"/>
      <c r="XR83" s="635"/>
      <c r="XS83" s="635"/>
      <c r="XT83" s="635"/>
      <c r="XU83" s="635"/>
      <c r="XV83" s="635"/>
      <c r="XW83" s="635"/>
      <c r="XX83" s="635"/>
      <c r="XY83" s="635"/>
      <c r="XZ83" s="635"/>
      <c r="YA83" s="635"/>
      <c r="YB83" s="635"/>
      <c r="YC83" s="635"/>
      <c r="YD83" s="635"/>
      <c r="YE83" s="635"/>
      <c r="YF83" s="635"/>
      <c r="YG83" s="635"/>
      <c r="YH83" s="635"/>
      <c r="YI83" s="635"/>
      <c r="YJ83" s="635"/>
      <c r="YK83" s="635"/>
      <c r="YL83" s="635"/>
      <c r="YM83" s="635"/>
      <c r="YN83" s="635"/>
      <c r="YO83" s="635"/>
      <c r="YP83" s="635"/>
      <c r="YQ83" s="635"/>
      <c r="YR83" s="635"/>
      <c r="YS83" s="635"/>
      <c r="YT83" s="635"/>
      <c r="YU83" s="635"/>
      <c r="YV83" s="635"/>
      <c r="YW83" s="635"/>
      <c r="YX83" s="635"/>
      <c r="YY83" s="635"/>
      <c r="YZ83" s="635"/>
      <c r="ZA83" s="635"/>
      <c r="ZB83" s="635"/>
      <c r="ZC83" s="635"/>
      <c r="ZD83" s="635"/>
      <c r="ZE83" s="635"/>
      <c r="ZF83" s="635"/>
      <c r="ZG83" s="635"/>
      <c r="ZH83" s="635"/>
      <c r="ZI83" s="635"/>
      <c r="ZJ83" s="635"/>
      <c r="ZK83" s="635"/>
      <c r="ZL83" s="635"/>
      <c r="ZM83" s="635"/>
      <c r="ZN83" s="635"/>
      <c r="ZO83" s="635"/>
      <c r="ZP83" s="635"/>
      <c r="ZQ83" s="635"/>
      <c r="ZR83" s="635"/>
      <c r="ZS83" s="635"/>
      <c r="ZT83" s="635"/>
      <c r="ZU83" s="635"/>
      <c r="ZV83" s="635"/>
      <c r="ZW83" s="635"/>
      <c r="ZX83" s="635"/>
      <c r="ZY83" s="638"/>
      <c r="ZZ83" s="119"/>
      <c r="AAA83" s="588"/>
      <c r="AAD83" s="112"/>
      <c r="AAE83" s="551" t="s">
        <v>245</v>
      </c>
      <c r="AAF83" s="583" t="s">
        <v>174</v>
      </c>
      <c r="AAG83" s="78">
        <f>S.BANNER.AdvisoryCommitteeStart</f>
        <v>41414</v>
      </c>
      <c r="AAH83" s="78">
        <f>S.BANNER.AdvisoryCommitteeEnd</f>
        <v>41733</v>
      </c>
      <c r="AAI83" s="63"/>
      <c r="AAJ83" s="79"/>
      <c r="AAK83" s="79"/>
      <c r="AAL83" s="65"/>
      <c r="AAM83" s="112"/>
      <c r="AAN83"/>
      <c r="AAT83" s="23"/>
      <c r="AAU83" s="44"/>
    </row>
    <row r="84" spans="1:732" ht="6" customHeight="1">
      <c r="A84" s="558"/>
      <c r="B84" s="206"/>
      <c r="C84" s="688"/>
      <c r="D84" s="180"/>
      <c r="E84" s="181"/>
      <c r="F84" s="181"/>
      <c r="G84" s="180"/>
      <c r="H84" s="180"/>
      <c r="I84" s="588"/>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588"/>
      <c r="AAD84" s="112"/>
      <c r="AAE84" s="552" t="s">
        <v>20</v>
      </c>
      <c r="AAF84" s="583" t="s">
        <v>174</v>
      </c>
      <c r="AAG84" s="63"/>
      <c r="AAH84" s="63"/>
      <c r="AAI84" s="63"/>
      <c r="AAJ84" s="56"/>
      <c r="AAK84" s="56"/>
      <c r="AAL84" s="65"/>
      <c r="AAM84" s="112"/>
      <c r="AAN84"/>
      <c r="AAT84" s="23"/>
      <c r="AAU84" s="44"/>
    </row>
    <row r="85" spans="1:732" s="23" customFormat="1" ht="15.75" customHeight="1" outlineLevel="1">
      <c r="A85" s="558"/>
      <c r="B85" s="375" t="s">
        <v>349</v>
      </c>
      <c r="C85" s="231" t="s">
        <v>69</v>
      </c>
      <c r="D85" s="386"/>
      <c r="E85" s="681"/>
      <c r="F85" s="682"/>
      <c r="G85" s="681"/>
      <c r="H85" s="681"/>
      <c r="I85" s="588"/>
      <c r="J85" s="47"/>
      <c r="K85" s="591"/>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c r="VT85" s="47"/>
      <c r="VU85" s="47"/>
      <c r="VV85" s="47"/>
      <c r="VW85" s="47"/>
      <c r="VX85" s="47"/>
      <c r="VY85" s="47"/>
      <c r="VZ85" s="47"/>
      <c r="WA85" s="47"/>
      <c r="WB85" s="47"/>
      <c r="WC85" s="47"/>
      <c r="WD85" s="47"/>
      <c r="WE85" s="47"/>
      <c r="WF85" s="47"/>
      <c r="WG85" s="47"/>
      <c r="WH85" s="47"/>
      <c r="WI85" s="47"/>
      <c r="WJ85" s="47"/>
      <c r="WK85" s="47"/>
      <c r="WL85" s="47"/>
      <c r="WM85" s="47"/>
      <c r="WN85" s="47"/>
      <c r="WO85" s="47"/>
      <c r="WP85" s="47"/>
      <c r="WQ85" s="47"/>
      <c r="WR85" s="47"/>
      <c r="WS85" s="47"/>
      <c r="WT85" s="47"/>
      <c r="WU85" s="47"/>
      <c r="WV85" s="47"/>
      <c r="WW85" s="47"/>
      <c r="WX85" s="47"/>
      <c r="WY85" s="47"/>
      <c r="WZ85" s="47"/>
      <c r="XA85" s="47"/>
      <c r="XB85" s="47"/>
      <c r="XC85" s="47"/>
      <c r="XD85" s="47"/>
      <c r="XE85" s="47"/>
      <c r="XF85" s="47"/>
      <c r="XG85" s="47"/>
      <c r="XH85" s="47"/>
      <c r="XI85" s="47"/>
      <c r="XJ85" s="47"/>
      <c r="XK85" s="47"/>
      <c r="XL85" s="47"/>
      <c r="XM85" s="47"/>
      <c r="XN85" s="47"/>
      <c r="XO85" s="47"/>
      <c r="XP85" s="47"/>
      <c r="XQ85" s="47"/>
      <c r="XR85" s="47"/>
      <c r="XS85" s="47"/>
      <c r="XT85" s="47"/>
      <c r="XU85" s="47"/>
      <c r="XV85" s="47"/>
      <c r="XW85" s="47"/>
      <c r="XX85" s="47"/>
      <c r="XY85" s="47"/>
      <c r="XZ85" s="47"/>
      <c r="YA85" s="47"/>
      <c r="YB85" s="47"/>
      <c r="YC85" s="47"/>
      <c r="YD85" s="47"/>
      <c r="YE85" s="47"/>
      <c r="YF85" s="47"/>
      <c r="YG85" s="47"/>
      <c r="YH85" s="47"/>
      <c r="YI85" s="47"/>
      <c r="YJ85" s="47"/>
      <c r="YK85" s="47"/>
      <c r="YL85" s="47"/>
      <c r="YM85" s="47"/>
      <c r="YN85" s="47"/>
      <c r="YO85" s="47"/>
      <c r="YP85" s="47"/>
      <c r="YQ85" s="47"/>
      <c r="YR85" s="47"/>
      <c r="YS85" s="47"/>
      <c r="YT85" s="47"/>
      <c r="YU85" s="47"/>
      <c r="YV85" s="47"/>
      <c r="YW85" s="47"/>
      <c r="YX85" s="47"/>
      <c r="YY85" s="47"/>
      <c r="YZ85" s="47"/>
      <c r="ZA85" s="47"/>
      <c r="ZB85" s="47"/>
      <c r="ZC85" s="47"/>
      <c r="ZD85" s="47"/>
      <c r="ZE85" s="47"/>
      <c r="ZF85" s="47"/>
      <c r="ZG85" s="47"/>
      <c r="ZH85" s="47"/>
      <c r="ZI85" s="47"/>
      <c r="ZJ85" s="47"/>
      <c r="ZK85" s="47"/>
      <c r="ZL85" s="47"/>
      <c r="ZM85" s="47"/>
      <c r="ZN85" s="47"/>
      <c r="ZO85" s="47"/>
      <c r="ZP85" s="47"/>
      <c r="ZQ85" s="47"/>
      <c r="ZR85" s="47"/>
      <c r="ZS85" s="47"/>
      <c r="ZT85" s="47"/>
      <c r="ZU85" s="47"/>
      <c r="ZV85" s="47"/>
      <c r="ZW85" s="47"/>
      <c r="ZX85" s="47"/>
      <c r="ZY85" s="617"/>
      <c r="ZZ85" s="622"/>
      <c r="AAA85" s="588"/>
      <c r="AAD85" s="112"/>
      <c r="AAE85" s="552">
        <f t="shared" ref="AAE85:AAE117" si="741">IF(S.InvolveCommittee=TRUE,1,0)</f>
        <v>1</v>
      </c>
      <c r="AAF85" s="583" t="s">
        <v>174</v>
      </c>
      <c r="AAG85" s="39"/>
      <c r="AAH85" s="39" t="s">
        <v>0</v>
      </c>
      <c r="AAI85" s="77"/>
      <c r="AAJ85" s="77"/>
      <c r="AAK85" s="77"/>
      <c r="AAL85" s="65"/>
      <c r="AAM85" s="112"/>
      <c r="AAU85" s="44"/>
    </row>
    <row r="86" spans="1:732" ht="15.75" customHeight="1" outlineLevel="1">
      <c r="A86" s="558"/>
      <c r="B86" s="375" t="s">
        <v>316</v>
      </c>
      <c r="C86" s="672" t="s">
        <v>69</v>
      </c>
      <c r="D86" s="308" t="s">
        <v>359</v>
      </c>
      <c r="E86" s="653">
        <f t="shared" ref="E86:E98" si="742">NETWORKDAYS(G86,H86,S.DDL_DEQClosed)</f>
        <v>1</v>
      </c>
      <c r="F86" s="654">
        <f t="shared" ref="F86:F98" ca="1" si="743">NETWORKDAYS(TODAY(),H86)</f>
        <v>-171</v>
      </c>
      <c r="G86" s="655">
        <f t="shared" ref="G86:H127" si="744">AAG86</f>
        <v>41414</v>
      </c>
      <c r="H86" s="526">
        <f t="shared" si="744"/>
        <v>41414</v>
      </c>
      <c r="I86" s="588"/>
      <c r="J86" s="47"/>
      <c r="K86" s="591"/>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588"/>
      <c r="AAD86" s="112"/>
      <c r="AAE86" s="552">
        <f t="shared" si="741"/>
        <v>1</v>
      </c>
      <c r="AAF86" s="112" t="s">
        <v>0</v>
      </c>
      <c r="AAG86" s="78">
        <f>AAG83</f>
        <v>41414</v>
      </c>
      <c r="AAH86" s="78">
        <f>G86</f>
        <v>41414</v>
      </c>
      <c r="AAI86" s="77"/>
      <c r="AAJ86" s="77"/>
      <c r="AAK86" s="77"/>
      <c r="AAL86" s="65"/>
      <c r="AAM86" s="112"/>
      <c r="AAN86"/>
      <c r="AAT86" s="23"/>
      <c r="AAU86" s="44"/>
    </row>
    <row r="87" spans="1:732" s="23" customFormat="1" ht="15.75" customHeight="1" outlineLevel="1">
      <c r="A87" s="558"/>
      <c r="B87" s="387" t="s">
        <v>358</v>
      </c>
      <c r="C87" s="168"/>
      <c r="D87" s="384"/>
      <c r="E87" s="368"/>
      <c r="F87" s="492"/>
      <c r="G87" s="383"/>
      <c r="H87" s="369"/>
      <c r="I87" s="588"/>
      <c r="J87" s="47"/>
      <c r="K87" s="59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588"/>
      <c r="AAD87" s="112"/>
      <c r="AAE87" s="552">
        <v>1</v>
      </c>
      <c r="AAF87" s="112"/>
      <c r="AAG87" s="78"/>
      <c r="AAH87" s="78"/>
      <c r="AAI87" s="63"/>
      <c r="AAJ87" s="56"/>
      <c r="AAK87" s="56"/>
      <c r="AAL87" s="65"/>
      <c r="AAM87" s="112"/>
      <c r="AAU87" s="44"/>
    </row>
    <row r="88" spans="1:732" ht="15.75" customHeight="1" outlineLevel="1">
      <c r="A88" s="558"/>
      <c r="B88" s="348" t="s">
        <v>367</v>
      </c>
      <c r="C88" s="674" t="s">
        <v>120</v>
      </c>
      <c r="D88" s="385" t="s">
        <v>359</v>
      </c>
      <c r="E88" s="368"/>
      <c r="F88" s="492">
        <f ca="1">NETWORKDAYS(TODAY(),H88)</f>
        <v>-171</v>
      </c>
      <c r="G88" s="383">
        <f>AAG88</f>
        <v>41414</v>
      </c>
      <c r="H88" s="369">
        <f>AAH88</f>
        <v>41414</v>
      </c>
      <c r="I88" s="588"/>
      <c r="J88" s="47"/>
      <c r="K88" s="59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588"/>
      <c r="AAD88" s="112"/>
      <c r="AAE88" s="552">
        <f t="shared" si="741"/>
        <v>1</v>
      </c>
      <c r="AAF88" s="112" t="s">
        <v>0</v>
      </c>
      <c r="AAG88" s="78">
        <f>H104</f>
        <v>41414</v>
      </c>
      <c r="AAH88" s="78">
        <f>G88</f>
        <v>41414</v>
      </c>
      <c r="AAI88" s="63"/>
      <c r="AAJ88" s="56"/>
      <c r="AAK88" s="56"/>
      <c r="AAL88" s="39"/>
      <c r="AAM88" s="112"/>
      <c r="AAN88"/>
      <c r="AAT88" s="23"/>
      <c r="AAU88" s="44"/>
    </row>
    <row r="89" spans="1:732" ht="15.75" customHeight="1" outlineLevel="1">
      <c r="A89" s="558"/>
      <c r="B89" s="348" t="s">
        <v>368</v>
      </c>
      <c r="C89" s="706" t="s">
        <v>175</v>
      </c>
      <c r="D89" s="385" t="s">
        <v>359</v>
      </c>
      <c r="E89" s="368">
        <f t="shared" ref="E89" si="745">NETWORKDAYS(G89,H89,S.DDL_DEQClosed)</f>
        <v>1</v>
      </c>
      <c r="F89" s="492">
        <f ca="1">NETWORKDAYS(TODAY(),H89)</f>
        <v>-171</v>
      </c>
      <c r="G89" s="383">
        <f t="shared" ref="G89:H89" si="746">AAG89</f>
        <v>41414</v>
      </c>
      <c r="H89" s="369">
        <f t="shared" si="746"/>
        <v>41414</v>
      </c>
      <c r="I89" s="588"/>
      <c r="J89" s="47"/>
      <c r="K89" s="591"/>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588"/>
      <c r="AAD89" s="112"/>
      <c r="AAE89" s="552">
        <f t="shared" si="741"/>
        <v>1</v>
      </c>
      <c r="AAF89" s="112" t="s">
        <v>0</v>
      </c>
      <c r="AAG89" s="78">
        <f>H88</f>
        <v>41414</v>
      </c>
      <c r="AAH89" s="78">
        <f>G89</f>
        <v>41414</v>
      </c>
      <c r="AAI89" s="63"/>
      <c r="AAJ89" s="56"/>
      <c r="AAK89" s="56"/>
      <c r="AAL89" s="39"/>
      <c r="AAM89" s="112"/>
      <c r="AAN89"/>
      <c r="AAT89" s="23"/>
      <c r="AAU89" s="44"/>
    </row>
    <row r="90" spans="1:732" s="23" customFormat="1" ht="15" customHeight="1" outlineLevel="1">
      <c r="A90" s="558"/>
      <c r="B90" s="731" t="s">
        <v>357</v>
      </c>
      <c r="C90" s="706" t="s">
        <v>175</v>
      </c>
      <c r="D90" s="308" t="s">
        <v>359</v>
      </c>
      <c r="E90" s="368">
        <f t="shared" ref="E90" si="747">NETWORKDAYS(G90,H90,S.DDL_DEQClosed)</f>
        <v>1</v>
      </c>
      <c r="F90" s="492">
        <f t="shared" ref="F90" ca="1" si="748">NETWORKDAYS(TODAY(),H90)</f>
        <v>-171</v>
      </c>
      <c r="G90" s="383">
        <f t="shared" ref="G90" si="749">AAG90</f>
        <v>41414</v>
      </c>
      <c r="H90" s="369">
        <f t="shared" ref="H90" si="750">AAH90</f>
        <v>41414</v>
      </c>
      <c r="I90" s="588"/>
      <c r="J90" s="47"/>
      <c r="K90" s="59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50"/>
      <c r="ZZ90" s="50"/>
      <c r="AAA90" s="588"/>
      <c r="AAB90"/>
      <c r="AAC90"/>
      <c r="AAD90" s="112"/>
      <c r="AAE90" s="552">
        <f t="shared" si="741"/>
        <v>1</v>
      </c>
      <c r="AAF90" s="112" t="s">
        <v>0</v>
      </c>
      <c r="AAG90" s="78">
        <f>H105</f>
        <v>41414</v>
      </c>
      <c r="AAH90" s="78">
        <f>G90</f>
        <v>41414</v>
      </c>
      <c r="AAI90" s="63"/>
      <c r="AAJ90" s="56"/>
      <c r="AAK90" s="56"/>
      <c r="AAL90" s="39"/>
      <c r="AAM90" s="112"/>
      <c r="AAU90" s="44"/>
      <c r="AAV90"/>
      <c r="AAW90"/>
      <c r="AAX90"/>
      <c r="AAY90"/>
      <c r="AAZ90"/>
      <c r="ABA90"/>
      <c r="ABB90"/>
      <c r="ABC90"/>
      <c r="ABD90"/>
    </row>
    <row r="91" spans="1:732" ht="15.75" customHeight="1" outlineLevel="1">
      <c r="A91" s="558"/>
      <c r="B91" s="374" t="s">
        <v>350</v>
      </c>
      <c r="C91"/>
      <c r="D91" s="308" t="s">
        <v>359</v>
      </c>
      <c r="E91" s="368">
        <f t="shared" si="742"/>
        <v>1</v>
      </c>
      <c r="F91" s="492">
        <f t="shared" ca="1" si="743"/>
        <v>-171</v>
      </c>
      <c r="G91" s="383">
        <f t="shared" si="744"/>
        <v>41414</v>
      </c>
      <c r="H91" s="369">
        <f t="shared" si="744"/>
        <v>41414</v>
      </c>
      <c r="I91" s="588"/>
      <c r="J91" s="47"/>
      <c r="K91" s="59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588"/>
      <c r="AAD91" s="112"/>
      <c r="AAE91" s="552">
        <f t="shared" si="741"/>
        <v>1</v>
      </c>
      <c r="AAF91" s="112" t="s">
        <v>0</v>
      </c>
      <c r="AAG91" s="78">
        <f>H86</f>
        <v>41414</v>
      </c>
      <c r="AAH91" s="78">
        <f t="shared" ref="AAH91:AAH98" si="751">G91</f>
        <v>41414</v>
      </c>
      <c r="AAI91" s="77"/>
      <c r="AAJ91" s="77"/>
      <c r="AAK91" s="77"/>
      <c r="AAL91" s="65"/>
      <c r="AAM91" s="112"/>
      <c r="AAN91"/>
      <c r="AAT91" s="23"/>
      <c r="AAU91" s="44"/>
    </row>
    <row r="92" spans="1:732" ht="15.75" customHeight="1" outlineLevel="1">
      <c r="A92" s="558"/>
      <c r="B92" s="375" t="s">
        <v>66</v>
      </c>
      <c r="C92" s="168"/>
      <c r="D92" s="308" t="s">
        <v>157</v>
      </c>
      <c r="E92" s="368">
        <f t="shared" si="742"/>
        <v>1</v>
      </c>
      <c r="F92" s="492">
        <f t="shared" ca="1" si="743"/>
        <v>-171</v>
      </c>
      <c r="G92" s="383">
        <f t="shared" si="744"/>
        <v>41414</v>
      </c>
      <c r="H92" s="369">
        <f t="shared" si="744"/>
        <v>41414</v>
      </c>
      <c r="I92" s="588"/>
      <c r="J92" s="47"/>
      <c r="K92" s="59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588"/>
      <c r="AAD92" s="112"/>
      <c r="AAE92" s="552">
        <f t="shared" si="741"/>
        <v>1</v>
      </c>
      <c r="AAF92" s="112" t="s">
        <v>0</v>
      </c>
      <c r="AAG92" s="78">
        <f t="shared" ref="AAG92:AAG98" si="752">H91</f>
        <v>41414</v>
      </c>
      <c r="AAH92" s="78">
        <f t="shared" si="751"/>
        <v>41414</v>
      </c>
      <c r="AAI92" s="77"/>
      <c r="AAJ92" s="77"/>
      <c r="AAK92" s="77"/>
      <c r="AAL92" s="65"/>
      <c r="AAM92" s="112"/>
      <c r="AAN92"/>
      <c r="AAT92" s="23"/>
      <c r="AAU92" s="44"/>
    </row>
    <row r="93" spans="1:732" ht="15.75" customHeight="1" outlineLevel="1">
      <c r="A93" s="558"/>
      <c r="B93" s="680" t="s">
        <v>351</v>
      </c>
      <c r="C93" s="239"/>
      <c r="D93" s="308" t="s">
        <v>359</v>
      </c>
      <c r="E93" s="368">
        <f>NETWORKDAYS(G93,H93,S.DDL_DEQClosed)</f>
        <v>1</v>
      </c>
      <c r="F93" s="492">
        <f ca="1">NETWORKDAYS(TODAY(),H93)</f>
        <v>-171</v>
      </c>
      <c r="G93" s="383">
        <f>AAG93</f>
        <v>41414</v>
      </c>
      <c r="H93" s="369">
        <f>AAH93</f>
        <v>41414</v>
      </c>
      <c r="I93" s="588"/>
      <c r="J93" s="47"/>
      <c r="K93" s="59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50"/>
      <c r="ZZ93" s="50"/>
      <c r="AAA93" s="588"/>
      <c r="AAD93" s="112"/>
      <c r="AAE93" s="552">
        <f t="shared" si="741"/>
        <v>1</v>
      </c>
      <c r="AAF93" s="112" t="s">
        <v>0</v>
      </c>
      <c r="AAG93" s="78">
        <f>H92</f>
        <v>41414</v>
      </c>
      <c r="AAH93" s="78">
        <f>G93</f>
        <v>41414</v>
      </c>
      <c r="AAI93" s="77"/>
      <c r="AAJ93" s="77"/>
      <c r="AAK93" s="77"/>
      <c r="AAL93" s="65"/>
      <c r="AAM93" s="112"/>
      <c r="AAN93"/>
      <c r="AAT93" s="23"/>
      <c r="AAU93" s="44"/>
    </row>
    <row r="94" spans="1:732" ht="15.75" customHeight="1" outlineLevel="1">
      <c r="A94" s="558"/>
      <c r="B94" s="376" t="s">
        <v>60</v>
      </c>
      <c r="C94" s="166"/>
      <c r="D94" s="386"/>
      <c r="E94" s="122"/>
      <c r="F94" s="505"/>
      <c r="G94" s="122"/>
      <c r="H94" s="122"/>
      <c r="I94" s="588"/>
      <c r="J94" s="47"/>
      <c r="K94" s="591"/>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617"/>
      <c r="ZZ94" s="622"/>
      <c r="AAA94" s="588"/>
      <c r="AAD94" s="112"/>
      <c r="AAE94" s="552">
        <f t="shared" si="741"/>
        <v>1</v>
      </c>
      <c r="AAF94" s="583" t="s">
        <v>174</v>
      </c>
      <c r="AAG94" s="39"/>
      <c r="AAH94" s="39" t="s">
        <v>0</v>
      </c>
      <c r="AAI94" s="77"/>
      <c r="AAJ94" s="77"/>
      <c r="AAK94" s="77"/>
      <c r="AAL94" s="65"/>
      <c r="AAM94" s="112"/>
      <c r="AAN94"/>
      <c r="AAT94" s="23"/>
      <c r="AAU94" s="44"/>
    </row>
    <row r="95" spans="1:732" ht="15.75" customHeight="1" outlineLevel="1">
      <c r="A95" s="558"/>
      <c r="B95" s="377" t="s">
        <v>352</v>
      </c>
      <c r="C95" s="672" t="s">
        <v>69</v>
      </c>
      <c r="D95" s="308" t="s">
        <v>151</v>
      </c>
      <c r="E95" s="368">
        <f t="shared" si="742"/>
        <v>1</v>
      </c>
      <c r="F95" s="492">
        <f t="shared" ca="1" si="743"/>
        <v>-171</v>
      </c>
      <c r="G95" s="383">
        <f t="shared" si="744"/>
        <v>41414</v>
      </c>
      <c r="H95" s="369">
        <f t="shared" si="744"/>
        <v>41414</v>
      </c>
      <c r="I95" s="588"/>
      <c r="J95" s="47"/>
      <c r="K95" s="591"/>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c r="SX95" s="47"/>
      <c r="SY95" s="47"/>
      <c r="SZ95" s="47"/>
      <c r="TA95" s="47"/>
      <c r="TB95" s="47"/>
      <c r="TC95" s="47"/>
      <c r="TD95" s="47"/>
      <c r="TE95" s="47"/>
      <c r="TF95" s="47"/>
      <c r="TG95" s="47"/>
      <c r="TH95" s="47"/>
      <c r="TI95" s="47"/>
      <c r="TJ95" s="47"/>
      <c r="TK95" s="47"/>
      <c r="TL95" s="47"/>
      <c r="TM95" s="47"/>
      <c r="TN95" s="47"/>
      <c r="TO95" s="47"/>
      <c r="TP95" s="47"/>
      <c r="TQ95" s="47"/>
      <c r="TR95" s="47"/>
      <c r="TS95" s="47"/>
      <c r="TT95" s="47"/>
      <c r="TU95" s="47"/>
      <c r="TV95" s="47"/>
      <c r="TW95" s="47"/>
      <c r="TX95" s="47"/>
      <c r="TY95" s="47"/>
      <c r="TZ95" s="47"/>
      <c r="UA95" s="47"/>
      <c r="UB95" s="47"/>
      <c r="UC95" s="47"/>
      <c r="UD95" s="47"/>
      <c r="UE95" s="47"/>
      <c r="UF95" s="47"/>
      <c r="UG95" s="47"/>
      <c r="UH95" s="47"/>
      <c r="UI95" s="47"/>
      <c r="UJ95" s="47"/>
      <c r="UK95" s="47"/>
      <c r="UL95" s="47"/>
      <c r="UM95" s="47"/>
      <c r="UN95" s="47"/>
      <c r="UO95" s="47"/>
      <c r="UP95" s="47"/>
      <c r="UQ95" s="47"/>
      <c r="UR95" s="47"/>
      <c r="US95" s="47"/>
      <c r="UT95" s="47"/>
      <c r="UU95" s="47"/>
      <c r="UV95" s="47"/>
      <c r="UW95" s="47"/>
      <c r="UX95" s="47"/>
      <c r="UY95" s="47"/>
      <c r="UZ95" s="47"/>
      <c r="VA95" s="47"/>
      <c r="VB95" s="47"/>
      <c r="VC95" s="47"/>
      <c r="VD95" s="47"/>
      <c r="VE95" s="47"/>
      <c r="VF95" s="47"/>
      <c r="VG95" s="47"/>
      <c r="VH95" s="47"/>
      <c r="VI95" s="47"/>
      <c r="VJ95" s="47"/>
      <c r="VK95" s="47"/>
      <c r="VL95" s="47"/>
      <c r="VM95" s="47"/>
      <c r="VN95" s="47"/>
      <c r="VO95" s="47"/>
      <c r="VP95" s="47"/>
      <c r="VQ95" s="47"/>
      <c r="VR95" s="47"/>
      <c r="VS95" s="47"/>
      <c r="VT95" s="47"/>
      <c r="VU95" s="47"/>
      <c r="VV95" s="47"/>
      <c r="VW95" s="47"/>
      <c r="VX95" s="47"/>
      <c r="VY95" s="47"/>
      <c r="VZ95" s="47"/>
      <c r="WA95" s="47"/>
      <c r="WB95" s="47"/>
      <c r="WC95" s="47"/>
      <c r="WD95" s="47"/>
      <c r="WE95" s="47"/>
      <c r="WF95" s="47"/>
      <c r="WG95" s="47"/>
      <c r="WH95" s="47"/>
      <c r="WI95" s="47"/>
      <c r="WJ95" s="47"/>
      <c r="WK95" s="47"/>
      <c r="WL95" s="47"/>
      <c r="WM95" s="47"/>
      <c r="WN95" s="47"/>
      <c r="WO95" s="47"/>
      <c r="WP95" s="47"/>
      <c r="WQ95" s="47"/>
      <c r="WR95" s="47"/>
      <c r="WS95" s="47"/>
      <c r="WT95" s="47"/>
      <c r="WU95" s="47"/>
      <c r="WV95" s="47"/>
      <c r="WW95" s="47"/>
      <c r="WX95" s="47"/>
      <c r="WY95" s="47"/>
      <c r="WZ95" s="47"/>
      <c r="XA95" s="47"/>
      <c r="XB95" s="47"/>
      <c r="XC95" s="47"/>
      <c r="XD95" s="47"/>
      <c r="XE95" s="47"/>
      <c r="XF95" s="47"/>
      <c r="XG95" s="47"/>
      <c r="XH95" s="47"/>
      <c r="XI95" s="47"/>
      <c r="XJ95" s="47"/>
      <c r="XK95" s="47"/>
      <c r="XL95" s="47"/>
      <c r="XM95" s="47"/>
      <c r="XN95" s="47"/>
      <c r="XO95" s="47"/>
      <c r="XP95" s="47"/>
      <c r="XQ95" s="47"/>
      <c r="XR95" s="47"/>
      <c r="XS95" s="47"/>
      <c r="XT95" s="47"/>
      <c r="XU95" s="47"/>
      <c r="XV95" s="47"/>
      <c r="XW95" s="47"/>
      <c r="XX95" s="47"/>
      <c r="XY95" s="47"/>
      <c r="XZ95" s="47"/>
      <c r="YA95" s="47"/>
      <c r="YB95" s="47"/>
      <c r="YC95" s="47"/>
      <c r="YD95" s="47"/>
      <c r="YE95" s="47"/>
      <c r="YF95" s="47"/>
      <c r="YG95" s="47"/>
      <c r="YH95" s="47"/>
      <c r="YI95" s="47"/>
      <c r="YJ95" s="47"/>
      <c r="YK95" s="47"/>
      <c r="YL95" s="47"/>
      <c r="YM95" s="47"/>
      <c r="YN95" s="47"/>
      <c r="YO95" s="47"/>
      <c r="YP95" s="47"/>
      <c r="YQ95" s="47"/>
      <c r="YR95" s="47"/>
      <c r="YS95" s="47"/>
      <c r="YT95" s="47"/>
      <c r="YU95" s="47"/>
      <c r="YV95" s="47"/>
      <c r="YW95" s="47"/>
      <c r="YX95" s="47"/>
      <c r="YY95" s="47"/>
      <c r="YZ95" s="47"/>
      <c r="ZA95" s="47"/>
      <c r="ZB95" s="47"/>
      <c r="ZC95" s="47"/>
      <c r="ZD95" s="47"/>
      <c r="ZE95" s="47"/>
      <c r="ZF95" s="47"/>
      <c r="ZG95" s="47"/>
      <c r="ZH95" s="47"/>
      <c r="ZI95" s="47"/>
      <c r="ZJ95" s="47"/>
      <c r="ZK95" s="47"/>
      <c r="ZL95" s="47"/>
      <c r="ZM95" s="47"/>
      <c r="ZN95" s="47"/>
      <c r="ZO95" s="47"/>
      <c r="ZP95" s="47"/>
      <c r="ZQ95" s="47"/>
      <c r="ZR95" s="47"/>
      <c r="ZS95" s="47"/>
      <c r="ZT95" s="47"/>
      <c r="ZU95" s="47"/>
      <c r="ZV95" s="47"/>
      <c r="ZW95" s="47"/>
      <c r="ZX95" s="47"/>
      <c r="ZY95" s="50"/>
      <c r="ZZ95" s="50"/>
      <c r="AAA95" s="588"/>
      <c r="AAD95" s="112"/>
      <c r="AAE95" s="552">
        <f t="shared" si="741"/>
        <v>1</v>
      </c>
      <c r="AAF95" s="112" t="s">
        <v>0</v>
      </c>
      <c r="AAG95" s="78">
        <f>H93</f>
        <v>41414</v>
      </c>
      <c r="AAH95" s="78">
        <f>G95</f>
        <v>41414</v>
      </c>
      <c r="AAI95" s="77"/>
      <c r="AAJ95" s="77"/>
      <c r="AAK95" s="77"/>
      <c r="AAL95" s="65"/>
      <c r="AAM95" s="112"/>
      <c r="AAN95"/>
      <c r="AAT95" s="23"/>
      <c r="AAU95" s="44"/>
    </row>
    <row r="96" spans="1:732" ht="15.75" customHeight="1" outlineLevel="1">
      <c r="A96" s="558"/>
      <c r="B96" s="377" t="s">
        <v>353</v>
      </c>
      <c r="C96" s="239"/>
      <c r="D96" s="308" t="s">
        <v>364</v>
      </c>
      <c r="E96" s="368">
        <f t="shared" si="742"/>
        <v>1</v>
      </c>
      <c r="F96" s="492">
        <f t="shared" ca="1" si="743"/>
        <v>-171</v>
      </c>
      <c r="G96" s="383">
        <f t="shared" si="744"/>
        <v>41414</v>
      </c>
      <c r="H96" s="369">
        <f t="shared" si="744"/>
        <v>41414</v>
      </c>
      <c r="I96" s="588"/>
      <c r="J96" s="47"/>
      <c r="K96" s="591"/>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50"/>
      <c r="ZZ96" s="50"/>
      <c r="AAA96" s="588"/>
      <c r="AAD96" s="112"/>
      <c r="AAE96" s="552">
        <f t="shared" si="741"/>
        <v>1</v>
      </c>
      <c r="AAF96" s="112" t="s">
        <v>0</v>
      </c>
      <c r="AAG96" s="78">
        <f t="shared" si="752"/>
        <v>41414</v>
      </c>
      <c r="AAH96" s="78">
        <f t="shared" si="751"/>
        <v>41414</v>
      </c>
      <c r="AAI96" s="77"/>
      <c r="AAJ96" s="77"/>
      <c r="AAK96" s="77"/>
      <c r="AAL96" s="65"/>
      <c r="AAM96" s="112"/>
      <c r="AAN96"/>
      <c r="AAT96" s="23"/>
      <c r="AAU96" s="44"/>
    </row>
    <row r="97" spans="1:732" ht="15.75" customHeight="1" outlineLevel="1">
      <c r="A97" s="558"/>
      <c r="B97" s="377" t="s">
        <v>354</v>
      </c>
      <c r="C97" s="239"/>
      <c r="D97" s="308" t="s">
        <v>151</v>
      </c>
      <c r="E97" s="368">
        <f t="shared" si="742"/>
        <v>1</v>
      </c>
      <c r="F97" s="492">
        <f t="shared" ca="1" si="743"/>
        <v>-171</v>
      </c>
      <c r="G97" s="383">
        <f t="shared" si="744"/>
        <v>41414</v>
      </c>
      <c r="H97" s="369">
        <f t="shared" si="744"/>
        <v>41414</v>
      </c>
      <c r="I97" s="588"/>
      <c r="J97" s="47"/>
      <c r="K97" s="591"/>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588"/>
      <c r="AAD97" s="112"/>
      <c r="AAE97" s="552">
        <f t="shared" si="741"/>
        <v>1</v>
      </c>
      <c r="AAF97" s="112" t="s">
        <v>0</v>
      </c>
      <c r="AAG97" s="78">
        <f t="shared" si="752"/>
        <v>41414</v>
      </c>
      <c r="AAH97" s="78">
        <f t="shared" si="751"/>
        <v>41414</v>
      </c>
      <c r="AAI97" s="77"/>
      <c r="AAJ97" s="77"/>
      <c r="AAK97" s="77"/>
      <c r="AAL97" s="65"/>
      <c r="AAM97" s="112"/>
      <c r="AAN97"/>
      <c r="AAT97" s="23"/>
      <c r="AAU97" s="44"/>
    </row>
    <row r="98" spans="1:732" ht="15.75" customHeight="1" outlineLevel="1">
      <c r="A98" s="558"/>
      <c r="B98" s="378" t="s">
        <v>197</v>
      </c>
      <c r="C98" s="239"/>
      <c r="D98" s="308" t="s">
        <v>359</v>
      </c>
      <c r="E98" s="368">
        <f t="shared" si="742"/>
        <v>1</v>
      </c>
      <c r="F98" s="492">
        <f t="shared" ca="1" si="743"/>
        <v>-171</v>
      </c>
      <c r="G98" s="383">
        <f t="shared" si="744"/>
        <v>41414</v>
      </c>
      <c r="H98" s="369">
        <f t="shared" si="744"/>
        <v>41414</v>
      </c>
      <c r="I98" s="588"/>
      <c r="J98" s="47"/>
      <c r="K98" s="591"/>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c r="GI98" s="47"/>
      <c r="GJ98" s="47"/>
      <c r="GK98" s="47"/>
      <c r="GL98" s="47"/>
      <c r="GM98" s="47"/>
      <c r="GN98" s="47"/>
      <c r="GO98" s="47"/>
      <c r="GP98" s="47"/>
      <c r="GQ98" s="47"/>
      <c r="GR98" s="47"/>
      <c r="GS98" s="47"/>
      <c r="GT98" s="47"/>
      <c r="GU98" s="47"/>
      <c r="GV98" s="47"/>
      <c r="GW98" s="47"/>
      <c r="GX98" s="47"/>
      <c r="GY98" s="47"/>
      <c r="GZ98" s="47"/>
      <c r="HA98" s="47"/>
      <c r="HB98" s="47"/>
      <c r="HC98" s="47"/>
      <c r="HD98" s="47"/>
      <c r="HE98" s="47"/>
      <c r="HF98" s="47"/>
      <c r="HG98" s="47"/>
      <c r="HH98" s="47"/>
      <c r="HI98" s="47"/>
      <c r="HJ98" s="47"/>
      <c r="HK98" s="47"/>
      <c r="HL98" s="47"/>
      <c r="HM98" s="47"/>
      <c r="HN98" s="47"/>
      <c r="HO98" s="47"/>
      <c r="HP98" s="47"/>
      <c r="HQ98" s="47"/>
      <c r="HR98" s="47"/>
      <c r="HS98" s="47"/>
      <c r="HT98" s="47"/>
      <c r="HU98" s="47"/>
      <c r="HV98" s="47"/>
      <c r="HW98" s="47"/>
      <c r="HX98" s="47"/>
      <c r="HY98" s="47"/>
      <c r="HZ98" s="47"/>
      <c r="IA98" s="47"/>
      <c r="IB98" s="47"/>
      <c r="IC98" s="47"/>
      <c r="ID98" s="47"/>
      <c r="IE98" s="47"/>
      <c r="IF98" s="47"/>
      <c r="IG98" s="47"/>
      <c r="IH98" s="47"/>
      <c r="II98" s="47"/>
      <c r="IJ98" s="47"/>
      <c r="IK98" s="47"/>
      <c r="IL98" s="47"/>
      <c r="IM98" s="47"/>
      <c r="IN98" s="47"/>
      <c r="IO98" s="47"/>
      <c r="IP98" s="47"/>
      <c r="IQ98" s="47"/>
      <c r="IR98" s="47"/>
      <c r="IS98" s="47"/>
      <c r="IT98" s="47"/>
      <c r="IU98" s="47"/>
      <c r="IV98" s="47"/>
      <c r="IW98" s="47"/>
      <c r="IX98" s="47"/>
      <c r="IY98" s="47"/>
      <c r="IZ98" s="47"/>
      <c r="JA98" s="47"/>
      <c r="JB98" s="47"/>
      <c r="JC98" s="47"/>
      <c r="JD98" s="47"/>
      <c r="JE98" s="47"/>
      <c r="JF98" s="47"/>
      <c r="JG98" s="47"/>
      <c r="JH98" s="47"/>
      <c r="JI98" s="47"/>
      <c r="JJ98" s="47"/>
      <c r="JK98" s="47"/>
      <c r="JL98" s="47"/>
      <c r="JM98" s="47"/>
      <c r="JN98" s="47"/>
      <c r="JO98" s="47"/>
      <c r="JP98" s="47"/>
      <c r="JQ98" s="47"/>
      <c r="JR98" s="47"/>
      <c r="JS98" s="47"/>
      <c r="JT98" s="47"/>
      <c r="JU98" s="47"/>
      <c r="JV98" s="47"/>
      <c r="JW98" s="47"/>
      <c r="JX98" s="47"/>
      <c r="JY98" s="47"/>
      <c r="JZ98" s="47"/>
      <c r="KA98" s="47"/>
      <c r="KB98" s="47"/>
      <c r="KC98" s="47"/>
      <c r="KD98" s="47"/>
      <c r="KE98" s="47"/>
      <c r="KF98" s="47"/>
      <c r="KG98" s="47"/>
      <c r="KH98" s="47"/>
      <c r="KI98" s="47"/>
      <c r="KJ98" s="47"/>
      <c r="KK98" s="47"/>
      <c r="KL98" s="47"/>
      <c r="KM98" s="47"/>
      <c r="KN98" s="47"/>
      <c r="KO98" s="47"/>
      <c r="KP98" s="47"/>
      <c r="KQ98" s="47"/>
      <c r="KR98" s="47"/>
      <c r="KS98" s="47"/>
      <c r="KT98" s="47"/>
      <c r="KU98" s="47"/>
      <c r="KV98" s="47"/>
      <c r="KW98" s="47"/>
      <c r="KX98" s="47"/>
      <c r="KY98" s="47"/>
      <c r="KZ98" s="47"/>
      <c r="LA98" s="47"/>
      <c r="LB98" s="47"/>
      <c r="LC98" s="47"/>
      <c r="LD98" s="47"/>
      <c r="LE98" s="47"/>
      <c r="LF98" s="47"/>
      <c r="LG98" s="47"/>
      <c r="LH98" s="47"/>
      <c r="LI98" s="47"/>
      <c r="LJ98" s="47"/>
      <c r="LK98" s="47"/>
      <c r="LL98" s="47"/>
      <c r="LM98" s="47"/>
      <c r="LN98" s="47"/>
      <c r="LO98" s="47"/>
      <c r="LP98" s="47"/>
      <c r="LQ98" s="47"/>
      <c r="LR98" s="47"/>
      <c r="LS98" s="47"/>
      <c r="LT98" s="47"/>
      <c r="LU98" s="47"/>
      <c r="LV98" s="47"/>
      <c r="LW98" s="47"/>
      <c r="LX98" s="47"/>
      <c r="LY98" s="47"/>
      <c r="LZ98" s="47"/>
      <c r="MA98" s="47"/>
      <c r="MB98" s="47"/>
      <c r="MC98" s="47"/>
      <c r="MD98" s="47"/>
      <c r="ME98" s="47"/>
      <c r="MF98" s="47"/>
      <c r="MG98" s="47"/>
      <c r="MH98" s="47"/>
      <c r="MI98" s="47"/>
      <c r="MJ98" s="47"/>
      <c r="MK98" s="47"/>
      <c r="ML98" s="47"/>
      <c r="MM98" s="47"/>
      <c r="MN98" s="47"/>
      <c r="MO98" s="47"/>
      <c r="MP98" s="47"/>
      <c r="MQ98" s="47"/>
      <c r="MR98" s="47"/>
      <c r="MS98" s="47"/>
      <c r="MT98" s="47"/>
      <c r="MU98" s="47"/>
      <c r="MV98" s="47"/>
      <c r="MW98" s="47"/>
      <c r="MX98" s="47"/>
      <c r="MY98" s="47"/>
      <c r="MZ98" s="47"/>
      <c r="NA98" s="47"/>
      <c r="NB98" s="47"/>
      <c r="NC98" s="47"/>
      <c r="ND98" s="47"/>
      <c r="NE98" s="47"/>
      <c r="NF98" s="47"/>
      <c r="NG98" s="47"/>
      <c r="NH98" s="47"/>
      <c r="NI98" s="47"/>
      <c r="NJ98" s="47"/>
      <c r="NK98" s="47"/>
      <c r="NL98" s="47"/>
      <c r="NM98" s="47"/>
      <c r="NN98" s="47"/>
      <c r="NO98" s="47"/>
      <c r="NP98" s="47"/>
      <c r="NQ98" s="47"/>
      <c r="NR98" s="47"/>
      <c r="NS98" s="47"/>
      <c r="NT98" s="47"/>
      <c r="NU98" s="47"/>
      <c r="NV98" s="47"/>
      <c r="NW98" s="47"/>
      <c r="NX98" s="47"/>
      <c r="NY98" s="47"/>
      <c r="NZ98" s="47"/>
      <c r="OA98" s="47"/>
      <c r="OB98" s="47"/>
      <c r="OC98" s="47"/>
      <c r="OD98" s="47"/>
      <c r="OE98" s="47"/>
      <c r="OF98" s="47"/>
      <c r="OG98" s="47"/>
      <c r="OH98" s="47"/>
      <c r="OI98" s="47"/>
      <c r="OJ98" s="47"/>
      <c r="OK98" s="47"/>
      <c r="OL98" s="47"/>
      <c r="OM98" s="47"/>
      <c r="ON98" s="47"/>
      <c r="OO98" s="47"/>
      <c r="OP98" s="47"/>
      <c r="OQ98" s="47"/>
      <c r="OR98" s="47"/>
      <c r="OS98" s="47"/>
      <c r="OT98" s="47"/>
      <c r="OU98" s="47"/>
      <c r="OV98" s="47"/>
      <c r="OW98" s="47"/>
      <c r="OX98" s="47"/>
      <c r="OY98" s="47"/>
      <c r="OZ98" s="47"/>
      <c r="PA98" s="47"/>
      <c r="PB98" s="47"/>
      <c r="PC98" s="47"/>
      <c r="PD98" s="47"/>
      <c r="PE98" s="47"/>
      <c r="PF98" s="47"/>
      <c r="PG98" s="47"/>
      <c r="PH98" s="47"/>
      <c r="PI98" s="47"/>
      <c r="PJ98" s="47"/>
      <c r="PK98" s="47"/>
      <c r="PL98" s="47"/>
      <c r="PM98" s="47"/>
      <c r="PN98" s="47"/>
      <c r="PO98" s="47"/>
      <c r="PP98" s="47"/>
      <c r="PQ98" s="47"/>
      <c r="PR98" s="47"/>
      <c r="PS98" s="47"/>
      <c r="PT98" s="47"/>
      <c r="PU98" s="47"/>
      <c r="PV98" s="47"/>
      <c r="PW98" s="47"/>
      <c r="PX98" s="47"/>
      <c r="PY98" s="47"/>
      <c r="PZ98" s="47"/>
      <c r="QA98" s="47"/>
      <c r="QB98" s="47"/>
      <c r="QC98" s="47"/>
      <c r="QD98" s="47"/>
      <c r="QE98" s="47"/>
      <c r="QF98" s="47"/>
      <c r="QG98" s="47"/>
      <c r="QH98" s="47"/>
      <c r="QI98" s="47"/>
      <c r="QJ98" s="47"/>
      <c r="QK98" s="47"/>
      <c r="QL98" s="47"/>
      <c r="QM98" s="47"/>
      <c r="QN98" s="47"/>
      <c r="QO98" s="47"/>
      <c r="QP98" s="47"/>
      <c r="QQ98" s="47"/>
      <c r="QR98" s="47"/>
      <c r="QS98" s="47"/>
      <c r="QT98" s="47"/>
      <c r="QU98" s="47"/>
      <c r="QV98" s="47"/>
      <c r="QW98" s="47"/>
      <c r="QX98" s="47"/>
      <c r="QY98" s="47"/>
      <c r="QZ98" s="47"/>
      <c r="RA98" s="47"/>
      <c r="RB98" s="47"/>
      <c r="RC98" s="47"/>
      <c r="RD98" s="47"/>
      <c r="RE98" s="47"/>
      <c r="RF98" s="47"/>
      <c r="RG98" s="47"/>
      <c r="RH98" s="47"/>
      <c r="RI98" s="47"/>
      <c r="RJ98" s="47"/>
      <c r="RK98" s="47"/>
      <c r="RL98" s="47"/>
      <c r="RM98" s="47"/>
      <c r="RN98" s="47"/>
      <c r="RO98" s="47"/>
      <c r="RP98" s="47"/>
      <c r="RQ98" s="47"/>
      <c r="RR98" s="47"/>
      <c r="RS98" s="47"/>
      <c r="RT98" s="47"/>
      <c r="RU98" s="47"/>
      <c r="RV98" s="47"/>
      <c r="RW98" s="47"/>
      <c r="RX98" s="47"/>
      <c r="RY98" s="47"/>
      <c r="RZ98" s="47"/>
      <c r="SA98" s="47"/>
      <c r="SB98" s="47"/>
      <c r="SC98" s="47"/>
      <c r="SD98" s="47"/>
      <c r="SE98" s="47"/>
      <c r="SF98" s="47"/>
      <c r="SG98" s="47"/>
      <c r="SH98" s="47"/>
      <c r="SI98" s="47"/>
      <c r="SJ98" s="47"/>
      <c r="SK98" s="47"/>
      <c r="SL98" s="47"/>
      <c r="SM98" s="47"/>
      <c r="SN98" s="47"/>
      <c r="SO98" s="47"/>
      <c r="SP98" s="47"/>
      <c r="SQ98" s="47"/>
      <c r="SR98" s="47"/>
      <c r="SS98" s="47"/>
      <c r="ST98" s="47"/>
      <c r="SU98" s="47"/>
      <c r="SV98" s="47"/>
      <c r="SW98" s="47"/>
      <c r="SX98" s="47"/>
      <c r="SY98" s="47"/>
      <c r="SZ98" s="47"/>
      <c r="TA98" s="47"/>
      <c r="TB98" s="47"/>
      <c r="TC98" s="47"/>
      <c r="TD98" s="47"/>
      <c r="TE98" s="47"/>
      <c r="TF98" s="47"/>
      <c r="TG98" s="47"/>
      <c r="TH98" s="47"/>
      <c r="TI98" s="47"/>
      <c r="TJ98" s="47"/>
      <c r="TK98" s="47"/>
      <c r="TL98" s="47"/>
      <c r="TM98" s="47"/>
      <c r="TN98" s="47"/>
      <c r="TO98" s="47"/>
      <c r="TP98" s="47"/>
      <c r="TQ98" s="47"/>
      <c r="TR98" s="47"/>
      <c r="TS98" s="47"/>
      <c r="TT98" s="47"/>
      <c r="TU98" s="47"/>
      <c r="TV98" s="47"/>
      <c r="TW98" s="47"/>
      <c r="TX98" s="47"/>
      <c r="TY98" s="47"/>
      <c r="TZ98" s="47"/>
      <c r="UA98" s="47"/>
      <c r="UB98" s="47"/>
      <c r="UC98" s="47"/>
      <c r="UD98" s="47"/>
      <c r="UE98" s="47"/>
      <c r="UF98" s="47"/>
      <c r="UG98" s="47"/>
      <c r="UH98" s="47"/>
      <c r="UI98" s="47"/>
      <c r="UJ98" s="47"/>
      <c r="UK98" s="47"/>
      <c r="UL98" s="47"/>
      <c r="UM98" s="47"/>
      <c r="UN98" s="47"/>
      <c r="UO98" s="47"/>
      <c r="UP98" s="47"/>
      <c r="UQ98" s="47"/>
      <c r="UR98" s="47"/>
      <c r="US98" s="47"/>
      <c r="UT98" s="47"/>
      <c r="UU98" s="47"/>
      <c r="UV98" s="47"/>
      <c r="UW98" s="47"/>
      <c r="UX98" s="47"/>
      <c r="UY98" s="47"/>
      <c r="UZ98" s="47"/>
      <c r="VA98" s="47"/>
      <c r="VB98" s="47"/>
      <c r="VC98" s="47"/>
      <c r="VD98" s="47"/>
      <c r="VE98" s="47"/>
      <c r="VF98" s="47"/>
      <c r="VG98" s="47"/>
      <c r="VH98" s="47"/>
      <c r="VI98" s="47"/>
      <c r="VJ98" s="47"/>
      <c r="VK98" s="47"/>
      <c r="VL98" s="47"/>
      <c r="VM98" s="47"/>
      <c r="VN98" s="47"/>
      <c r="VO98" s="47"/>
      <c r="VP98" s="47"/>
      <c r="VQ98" s="47"/>
      <c r="VR98" s="47"/>
      <c r="VS98" s="47"/>
      <c r="VT98" s="47"/>
      <c r="VU98" s="47"/>
      <c r="VV98" s="47"/>
      <c r="VW98" s="47"/>
      <c r="VX98" s="47"/>
      <c r="VY98" s="47"/>
      <c r="VZ98" s="47"/>
      <c r="WA98" s="47"/>
      <c r="WB98" s="47"/>
      <c r="WC98" s="47"/>
      <c r="WD98" s="47"/>
      <c r="WE98" s="47"/>
      <c r="WF98" s="47"/>
      <c r="WG98" s="47"/>
      <c r="WH98" s="47"/>
      <c r="WI98" s="47"/>
      <c r="WJ98" s="47"/>
      <c r="WK98" s="47"/>
      <c r="WL98" s="47"/>
      <c r="WM98" s="47"/>
      <c r="WN98" s="47"/>
      <c r="WO98" s="47"/>
      <c r="WP98" s="47"/>
      <c r="WQ98" s="47"/>
      <c r="WR98" s="47"/>
      <c r="WS98" s="47"/>
      <c r="WT98" s="47"/>
      <c r="WU98" s="47"/>
      <c r="WV98" s="47"/>
      <c r="WW98" s="47"/>
      <c r="WX98" s="47"/>
      <c r="WY98" s="47"/>
      <c r="WZ98" s="47"/>
      <c r="XA98" s="47"/>
      <c r="XB98" s="47"/>
      <c r="XC98" s="47"/>
      <c r="XD98" s="47"/>
      <c r="XE98" s="47"/>
      <c r="XF98" s="47"/>
      <c r="XG98" s="47"/>
      <c r="XH98" s="47"/>
      <c r="XI98" s="47"/>
      <c r="XJ98" s="47"/>
      <c r="XK98" s="47"/>
      <c r="XL98" s="47"/>
      <c r="XM98" s="47"/>
      <c r="XN98" s="47"/>
      <c r="XO98" s="47"/>
      <c r="XP98" s="47"/>
      <c r="XQ98" s="47"/>
      <c r="XR98" s="47"/>
      <c r="XS98" s="47"/>
      <c r="XT98" s="47"/>
      <c r="XU98" s="47"/>
      <c r="XV98" s="47"/>
      <c r="XW98" s="47"/>
      <c r="XX98" s="47"/>
      <c r="XY98" s="47"/>
      <c r="XZ98" s="47"/>
      <c r="YA98" s="47"/>
      <c r="YB98" s="47"/>
      <c r="YC98" s="47"/>
      <c r="YD98" s="47"/>
      <c r="YE98" s="47"/>
      <c r="YF98" s="47"/>
      <c r="YG98" s="47"/>
      <c r="YH98" s="47"/>
      <c r="YI98" s="47"/>
      <c r="YJ98" s="47"/>
      <c r="YK98" s="47"/>
      <c r="YL98" s="47"/>
      <c r="YM98" s="47"/>
      <c r="YN98" s="47"/>
      <c r="YO98" s="47"/>
      <c r="YP98" s="47"/>
      <c r="YQ98" s="47"/>
      <c r="YR98" s="47"/>
      <c r="YS98" s="47"/>
      <c r="YT98" s="47"/>
      <c r="YU98" s="47"/>
      <c r="YV98" s="47"/>
      <c r="YW98" s="47"/>
      <c r="YX98" s="47"/>
      <c r="YY98" s="47"/>
      <c r="YZ98" s="47"/>
      <c r="ZA98" s="47"/>
      <c r="ZB98" s="47"/>
      <c r="ZC98" s="47"/>
      <c r="ZD98" s="47"/>
      <c r="ZE98" s="47"/>
      <c r="ZF98" s="47"/>
      <c r="ZG98" s="47"/>
      <c r="ZH98" s="47"/>
      <c r="ZI98" s="47"/>
      <c r="ZJ98" s="47"/>
      <c r="ZK98" s="47"/>
      <c r="ZL98" s="47"/>
      <c r="ZM98" s="47"/>
      <c r="ZN98" s="47"/>
      <c r="ZO98" s="47"/>
      <c r="ZP98" s="47"/>
      <c r="ZQ98" s="47"/>
      <c r="ZR98" s="47"/>
      <c r="ZS98" s="47"/>
      <c r="ZT98" s="47"/>
      <c r="ZU98" s="47"/>
      <c r="ZV98" s="47"/>
      <c r="ZW98" s="47"/>
      <c r="ZX98" s="47"/>
      <c r="ZY98" s="50"/>
      <c r="ZZ98" s="50"/>
      <c r="AAA98" s="588"/>
      <c r="AAD98" s="112"/>
      <c r="AAE98" s="552">
        <f t="shared" si="741"/>
        <v>1</v>
      </c>
      <c r="AAF98" s="112" t="s">
        <v>0</v>
      </c>
      <c r="AAG98" s="78">
        <f t="shared" si="752"/>
        <v>41414</v>
      </c>
      <c r="AAH98" s="78">
        <f t="shared" si="751"/>
        <v>41414</v>
      </c>
      <c r="AAI98" s="77"/>
      <c r="AAJ98" s="77"/>
      <c r="AAK98" s="77"/>
      <c r="AAL98" s="65"/>
      <c r="AAM98" s="112"/>
      <c r="AAN98"/>
      <c r="AAT98" s="23"/>
      <c r="AAU98" s="44"/>
    </row>
    <row r="99" spans="1:732" ht="81.75" customHeight="1" outlineLevel="1">
      <c r="A99" s="558"/>
      <c r="B99" s="782" t="s">
        <v>343</v>
      </c>
      <c r="C99" s="782"/>
      <c r="D99" s="782"/>
      <c r="E99" s="782"/>
      <c r="F99" s="782"/>
      <c r="G99" s="782"/>
      <c r="H99" s="782"/>
      <c r="I99" s="588"/>
      <c r="J99" s="50"/>
      <c r="K99" s="592"/>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c r="CR99" s="50"/>
      <c r="CS99" s="50"/>
      <c r="CT99" s="50"/>
      <c r="CU99" s="50"/>
      <c r="CV99" s="50"/>
      <c r="CW99" s="50"/>
      <c r="CX99" s="50"/>
      <c r="CY99" s="50"/>
      <c r="CZ99" s="50"/>
      <c r="DA99" s="50"/>
      <c r="DB99" s="50"/>
      <c r="DC99" s="50"/>
      <c r="DD99" s="50"/>
      <c r="DE99" s="50"/>
      <c r="DF99" s="50"/>
      <c r="DG99" s="50"/>
      <c r="DH99" s="50"/>
      <c r="DI99" s="50"/>
      <c r="DJ99" s="50"/>
      <c r="DK99" s="50"/>
      <c r="DL99" s="50"/>
      <c r="DM99" s="50"/>
      <c r="DN99" s="50"/>
      <c r="DO99" s="50"/>
      <c r="DP99" s="50"/>
      <c r="DQ99" s="50"/>
      <c r="DR99" s="50"/>
      <c r="DS99" s="50"/>
      <c r="DT99" s="50"/>
      <c r="DU99" s="50"/>
      <c r="DV99" s="50"/>
      <c r="DW99" s="50"/>
      <c r="DX99" s="50"/>
      <c r="DY99" s="50"/>
      <c r="DZ99" s="50"/>
      <c r="EA99" s="50"/>
      <c r="EB99" s="50"/>
      <c r="EC99" s="50"/>
      <c r="ED99" s="50"/>
      <c r="EE99" s="50"/>
      <c r="EF99" s="50"/>
      <c r="EG99" s="50"/>
      <c r="EH99" s="50"/>
      <c r="EI99" s="50"/>
      <c r="EJ99" s="50"/>
      <c r="EK99" s="50"/>
      <c r="EL99" s="50"/>
      <c r="EM99" s="50"/>
      <c r="EN99" s="50"/>
      <c r="EO99" s="50"/>
      <c r="EP99" s="50"/>
      <c r="EQ99" s="50"/>
      <c r="ER99" s="50"/>
      <c r="ES99" s="50"/>
      <c r="ET99" s="50"/>
      <c r="EU99" s="50"/>
      <c r="EV99" s="50"/>
      <c r="EW99" s="50"/>
      <c r="EX99" s="50"/>
      <c r="EY99" s="50"/>
      <c r="EZ99" s="50"/>
      <c r="FA99" s="50"/>
      <c r="FB99" s="50"/>
      <c r="FC99" s="50"/>
      <c r="FD99" s="50"/>
      <c r="FE99" s="50"/>
      <c r="FF99" s="50"/>
      <c r="FG99" s="50"/>
      <c r="FH99" s="50"/>
      <c r="FI99" s="50"/>
      <c r="FJ99" s="50"/>
      <c r="FK99" s="50"/>
      <c r="FL99" s="50"/>
      <c r="FM99" s="50"/>
      <c r="FN99" s="50"/>
      <c r="FO99" s="50"/>
      <c r="FP99" s="50"/>
      <c r="FQ99" s="50"/>
      <c r="FR99" s="50"/>
      <c r="FS99" s="50"/>
      <c r="FT99" s="50"/>
      <c r="FU99" s="50"/>
      <c r="FV99" s="50"/>
      <c r="FW99" s="50"/>
      <c r="FX99" s="50"/>
      <c r="FY99" s="50"/>
      <c r="FZ99" s="50"/>
      <c r="GA99" s="50"/>
      <c r="GB99" s="50"/>
      <c r="GC99" s="50"/>
      <c r="GD99" s="50"/>
      <c r="GE99" s="50"/>
      <c r="GF99" s="50"/>
      <c r="GG99" s="50"/>
      <c r="GH99" s="50"/>
      <c r="GI99" s="50"/>
      <c r="GJ99" s="50"/>
      <c r="GK99" s="50"/>
      <c r="GL99" s="50"/>
      <c r="GM99" s="50"/>
      <c r="GN99" s="50"/>
      <c r="GO99" s="50"/>
      <c r="GP99" s="50"/>
      <c r="GQ99" s="50"/>
      <c r="GR99" s="50"/>
      <c r="GS99" s="50"/>
      <c r="GT99" s="50"/>
      <c r="GU99" s="50"/>
      <c r="GV99" s="50"/>
      <c r="GW99" s="50"/>
      <c r="GX99" s="50"/>
      <c r="GY99" s="50"/>
      <c r="GZ99" s="50"/>
      <c r="HA99" s="50"/>
      <c r="HB99" s="50"/>
      <c r="HC99" s="50"/>
      <c r="HD99" s="50"/>
      <c r="HE99" s="50"/>
      <c r="HF99" s="50"/>
      <c r="HG99" s="50"/>
      <c r="HH99" s="50"/>
      <c r="HI99" s="50"/>
      <c r="HJ99" s="50"/>
      <c r="HK99" s="50"/>
      <c r="HL99" s="50"/>
      <c r="HM99" s="50"/>
      <c r="HN99" s="50"/>
      <c r="HO99" s="50"/>
      <c r="HP99" s="50"/>
      <c r="HQ99" s="50"/>
      <c r="HR99" s="50"/>
      <c r="HS99" s="50"/>
      <c r="HT99" s="50"/>
      <c r="HU99" s="50"/>
      <c r="HV99" s="50"/>
      <c r="HW99" s="50"/>
      <c r="HX99" s="50"/>
      <c r="HY99" s="50"/>
      <c r="HZ99" s="50"/>
      <c r="IA99" s="50"/>
      <c r="IB99" s="50"/>
      <c r="IC99" s="50"/>
      <c r="ID99" s="50"/>
      <c r="IE99" s="50"/>
      <c r="IF99" s="50"/>
      <c r="IG99" s="50"/>
      <c r="IH99" s="50"/>
      <c r="II99" s="50"/>
      <c r="IJ99" s="50"/>
      <c r="IK99" s="50"/>
      <c r="IL99" s="50"/>
      <c r="IM99" s="50"/>
      <c r="IN99" s="50"/>
      <c r="IO99" s="50"/>
      <c r="IP99" s="50"/>
      <c r="IQ99" s="50"/>
      <c r="IR99" s="50"/>
      <c r="IS99" s="50"/>
      <c r="IT99" s="50"/>
      <c r="IU99" s="50"/>
      <c r="IV99" s="50"/>
      <c r="IW99" s="50"/>
      <c r="IX99" s="50"/>
      <c r="IY99" s="50"/>
      <c r="IZ99" s="50"/>
      <c r="JA99" s="50"/>
      <c r="JB99" s="50"/>
      <c r="JC99" s="50"/>
      <c r="JD99" s="50"/>
      <c r="JE99" s="50"/>
      <c r="JF99" s="50"/>
      <c r="JG99" s="50"/>
      <c r="JH99" s="50"/>
      <c r="JI99" s="50"/>
      <c r="JJ99" s="50"/>
      <c r="JK99" s="50"/>
      <c r="JL99" s="50"/>
      <c r="JM99" s="50"/>
      <c r="JN99" s="50"/>
      <c r="JO99" s="50"/>
      <c r="JP99" s="50"/>
      <c r="JQ99" s="50"/>
      <c r="JR99" s="50"/>
      <c r="JS99" s="50"/>
      <c r="JT99" s="50"/>
      <c r="JU99" s="50"/>
      <c r="JV99" s="50"/>
      <c r="JW99" s="50"/>
      <c r="JX99" s="50"/>
      <c r="JY99" s="50"/>
      <c r="JZ99" s="50"/>
      <c r="KA99" s="50"/>
      <c r="KB99" s="50"/>
      <c r="KC99" s="50"/>
      <c r="KD99" s="50"/>
      <c r="KE99" s="50"/>
      <c r="KF99" s="50"/>
      <c r="KG99" s="50"/>
      <c r="KH99" s="50"/>
      <c r="KI99" s="50"/>
      <c r="KJ99" s="50"/>
      <c r="KK99" s="50"/>
      <c r="KL99" s="50"/>
      <c r="KM99" s="50"/>
      <c r="KN99" s="50"/>
      <c r="KO99" s="50"/>
      <c r="KP99" s="50"/>
      <c r="KQ99" s="50"/>
      <c r="KR99" s="50"/>
      <c r="KS99" s="50"/>
      <c r="KT99" s="50"/>
      <c r="KU99" s="50"/>
      <c r="KV99" s="50"/>
      <c r="KW99" s="50"/>
      <c r="KX99" s="50"/>
      <c r="KY99" s="50"/>
      <c r="KZ99" s="50"/>
      <c r="LA99" s="50"/>
      <c r="LB99" s="50"/>
      <c r="LC99" s="50"/>
      <c r="LD99" s="50"/>
      <c r="LE99" s="50"/>
      <c r="LF99" s="50"/>
      <c r="LG99" s="50"/>
      <c r="LH99" s="50"/>
      <c r="LI99" s="50"/>
      <c r="LJ99" s="50"/>
      <c r="LK99" s="50"/>
      <c r="LL99" s="50"/>
      <c r="LM99" s="50"/>
      <c r="LN99" s="50"/>
      <c r="LO99" s="50"/>
      <c r="LP99" s="50"/>
      <c r="LQ99" s="50"/>
      <c r="LR99" s="50"/>
      <c r="LS99" s="50"/>
      <c r="LT99" s="50"/>
      <c r="LU99" s="50"/>
      <c r="LV99" s="50"/>
      <c r="LW99" s="50"/>
      <c r="LX99" s="50"/>
      <c r="LY99" s="50"/>
      <c r="LZ99" s="50"/>
      <c r="MA99" s="50"/>
      <c r="MB99" s="50"/>
      <c r="MC99" s="50"/>
      <c r="MD99" s="50"/>
      <c r="ME99" s="50"/>
      <c r="MF99" s="50"/>
      <c r="MG99" s="50"/>
      <c r="MH99" s="50"/>
      <c r="MI99" s="50"/>
      <c r="MJ99" s="50"/>
      <c r="MK99" s="50"/>
      <c r="ML99" s="50"/>
      <c r="MM99" s="50"/>
      <c r="MN99" s="50"/>
      <c r="MO99" s="50"/>
      <c r="MP99" s="50"/>
      <c r="MQ99" s="50"/>
      <c r="MR99" s="50"/>
      <c r="MS99" s="50"/>
      <c r="MT99" s="50"/>
      <c r="MU99" s="50"/>
      <c r="MV99" s="50"/>
      <c r="MW99" s="50"/>
      <c r="MX99" s="50"/>
      <c r="MY99" s="50"/>
      <c r="MZ99" s="50"/>
      <c r="NA99" s="50"/>
      <c r="NB99" s="50"/>
      <c r="NC99" s="50"/>
      <c r="ND99" s="50"/>
      <c r="NE99" s="50"/>
      <c r="NF99" s="50"/>
      <c r="NG99" s="50"/>
      <c r="NH99" s="50"/>
      <c r="NI99" s="50"/>
      <c r="NJ99" s="50"/>
      <c r="NK99" s="50"/>
      <c r="NL99" s="50"/>
      <c r="NM99" s="50"/>
      <c r="NN99" s="50"/>
      <c r="NO99" s="50"/>
      <c r="NP99" s="50"/>
      <c r="NQ99" s="50"/>
      <c r="NR99" s="50"/>
      <c r="NS99" s="50"/>
      <c r="NT99" s="50"/>
      <c r="NU99" s="50"/>
      <c r="NV99" s="50"/>
      <c r="NW99" s="50"/>
      <c r="NX99" s="50"/>
      <c r="NY99" s="50"/>
      <c r="NZ99" s="50"/>
      <c r="OA99" s="50"/>
      <c r="OB99" s="50"/>
      <c r="OC99" s="50"/>
      <c r="OD99" s="50"/>
      <c r="OE99" s="50"/>
      <c r="OF99" s="50"/>
      <c r="OG99" s="50"/>
      <c r="OH99" s="50"/>
      <c r="OI99" s="50"/>
      <c r="OJ99" s="50"/>
      <c r="OK99" s="50"/>
      <c r="OL99" s="50"/>
      <c r="OM99" s="50"/>
      <c r="ON99" s="50"/>
      <c r="OO99" s="50"/>
      <c r="OP99" s="50"/>
      <c r="OQ99" s="50"/>
      <c r="OR99" s="50"/>
      <c r="OS99" s="50"/>
      <c r="OT99" s="50"/>
      <c r="OU99" s="50"/>
      <c r="OV99" s="50"/>
      <c r="OW99" s="50"/>
      <c r="OX99" s="50"/>
      <c r="OY99" s="50"/>
      <c r="OZ99" s="50"/>
      <c r="PA99" s="50"/>
      <c r="PB99" s="50"/>
      <c r="PC99" s="50"/>
      <c r="PD99" s="50"/>
      <c r="PE99" s="50"/>
      <c r="PF99" s="50"/>
      <c r="PG99" s="50"/>
      <c r="PH99" s="50"/>
      <c r="PI99" s="50"/>
      <c r="PJ99" s="50"/>
      <c r="PK99" s="50"/>
      <c r="PL99" s="50"/>
      <c r="PM99" s="50"/>
      <c r="PN99" s="50"/>
      <c r="PO99" s="50"/>
      <c r="PP99" s="50"/>
      <c r="PQ99" s="50"/>
      <c r="PR99" s="50"/>
      <c r="PS99" s="50"/>
      <c r="PT99" s="50"/>
      <c r="PU99" s="50"/>
      <c r="PV99" s="50"/>
      <c r="PW99" s="50"/>
      <c r="PX99" s="50"/>
      <c r="PY99" s="50"/>
      <c r="PZ99" s="50"/>
      <c r="QA99" s="50"/>
      <c r="QB99" s="50"/>
      <c r="QC99" s="50"/>
      <c r="QD99" s="50"/>
      <c r="QE99" s="50"/>
      <c r="QF99" s="50"/>
      <c r="QG99" s="50"/>
      <c r="QH99" s="50"/>
      <c r="QI99" s="50"/>
      <c r="QJ99" s="50"/>
      <c r="QK99" s="50"/>
      <c r="QL99" s="50"/>
      <c r="QM99" s="50"/>
      <c r="QN99" s="50"/>
      <c r="QO99" s="50"/>
      <c r="QP99" s="50"/>
      <c r="QQ99" s="50"/>
      <c r="QR99" s="50"/>
      <c r="QS99" s="50"/>
      <c r="QT99" s="50"/>
      <c r="QU99" s="50"/>
      <c r="QV99" s="50"/>
      <c r="QW99" s="50"/>
      <c r="QX99" s="50"/>
      <c r="QY99" s="50"/>
      <c r="QZ99" s="50"/>
      <c r="RA99" s="50"/>
      <c r="RB99" s="50"/>
      <c r="RC99" s="50"/>
      <c r="RD99" s="50"/>
      <c r="RE99" s="50"/>
      <c r="RF99" s="50"/>
      <c r="RG99" s="50"/>
      <c r="RH99" s="50"/>
      <c r="RI99" s="50"/>
      <c r="RJ99" s="50"/>
      <c r="RK99" s="50"/>
      <c r="RL99" s="50"/>
      <c r="RM99" s="50"/>
      <c r="RN99" s="50"/>
      <c r="RO99" s="50"/>
      <c r="RP99" s="50"/>
      <c r="RQ99" s="50"/>
      <c r="RR99" s="50"/>
      <c r="RS99" s="50"/>
      <c r="RT99" s="50"/>
      <c r="RU99" s="50"/>
      <c r="RV99" s="50"/>
      <c r="RW99" s="50"/>
      <c r="RX99" s="50"/>
      <c r="RY99" s="50"/>
      <c r="RZ99" s="50"/>
      <c r="SA99" s="50"/>
      <c r="SB99" s="50"/>
      <c r="SC99" s="50"/>
      <c r="SD99" s="50"/>
      <c r="SE99" s="50"/>
      <c r="SF99" s="50"/>
      <c r="SG99" s="50"/>
      <c r="SH99" s="50"/>
      <c r="SI99" s="50"/>
      <c r="SJ99" s="50"/>
      <c r="SK99" s="50"/>
      <c r="SL99" s="50"/>
      <c r="SM99" s="50"/>
      <c r="SN99" s="50"/>
      <c r="SO99" s="50"/>
      <c r="SP99" s="50"/>
      <c r="SQ99" s="50"/>
      <c r="SR99" s="50"/>
      <c r="SS99" s="50"/>
      <c r="ST99" s="50"/>
      <c r="SU99" s="50"/>
      <c r="SV99" s="50"/>
      <c r="SW99" s="50"/>
      <c r="SX99" s="50"/>
      <c r="SY99" s="50"/>
      <c r="SZ99" s="50"/>
      <c r="TA99" s="50"/>
      <c r="TB99" s="50"/>
      <c r="TC99" s="50"/>
      <c r="TD99" s="50"/>
      <c r="TE99" s="50"/>
      <c r="TF99" s="50"/>
      <c r="TG99" s="50"/>
      <c r="TH99" s="50"/>
      <c r="TI99" s="50"/>
      <c r="TJ99" s="50"/>
      <c r="TK99" s="50"/>
      <c r="TL99" s="50"/>
      <c r="TM99" s="50"/>
      <c r="TN99" s="50"/>
      <c r="TO99" s="50"/>
      <c r="TP99" s="50"/>
      <c r="TQ99" s="50"/>
      <c r="TR99" s="50"/>
      <c r="TS99" s="50"/>
      <c r="TT99" s="50"/>
      <c r="TU99" s="50"/>
      <c r="TV99" s="50"/>
      <c r="TW99" s="50"/>
      <c r="TX99" s="50"/>
      <c r="TY99" s="50"/>
      <c r="TZ99" s="50"/>
      <c r="UA99" s="50"/>
      <c r="UB99" s="50"/>
      <c r="UC99" s="50"/>
      <c r="UD99" s="50"/>
      <c r="UE99" s="50"/>
      <c r="UF99" s="50"/>
      <c r="UG99" s="50"/>
      <c r="UH99" s="50"/>
      <c r="UI99" s="50"/>
      <c r="UJ99" s="50"/>
      <c r="UK99" s="50"/>
      <c r="UL99" s="50"/>
      <c r="UM99" s="50"/>
      <c r="UN99" s="50"/>
      <c r="UO99" s="50"/>
      <c r="UP99" s="50"/>
      <c r="UQ99" s="50"/>
      <c r="UR99" s="50"/>
      <c r="US99" s="50"/>
      <c r="UT99" s="50"/>
      <c r="UU99" s="50"/>
      <c r="UV99" s="50"/>
      <c r="UW99" s="50"/>
      <c r="UX99" s="50"/>
      <c r="UY99" s="50"/>
      <c r="UZ99" s="50"/>
      <c r="VA99" s="50"/>
      <c r="VB99" s="50"/>
      <c r="VC99" s="50"/>
      <c r="VD99" s="50"/>
      <c r="VE99" s="50"/>
      <c r="VF99" s="50"/>
      <c r="VG99" s="50"/>
      <c r="VH99" s="50"/>
      <c r="VI99" s="50"/>
      <c r="VJ99" s="50"/>
      <c r="VK99" s="50"/>
      <c r="VL99" s="50"/>
      <c r="VM99" s="50"/>
      <c r="VN99" s="50"/>
      <c r="VO99" s="50"/>
      <c r="VP99" s="50"/>
      <c r="VQ99" s="50"/>
      <c r="VR99" s="50"/>
      <c r="VS99" s="50"/>
      <c r="VT99" s="50"/>
      <c r="VU99" s="50"/>
      <c r="VV99" s="50"/>
      <c r="VW99" s="50"/>
      <c r="VX99" s="50"/>
      <c r="VY99" s="50"/>
      <c r="VZ99" s="50"/>
      <c r="WA99" s="50"/>
      <c r="WB99" s="50"/>
      <c r="WC99" s="50"/>
      <c r="WD99" s="50"/>
      <c r="WE99" s="50"/>
      <c r="WF99" s="50"/>
      <c r="WG99" s="50"/>
      <c r="WH99" s="50"/>
      <c r="WI99" s="50"/>
      <c r="WJ99" s="50"/>
      <c r="WK99" s="50"/>
      <c r="WL99" s="50"/>
      <c r="WM99" s="50"/>
      <c r="WN99" s="50"/>
      <c r="WO99" s="50"/>
      <c r="WP99" s="50"/>
      <c r="WQ99" s="50"/>
      <c r="WR99" s="50"/>
      <c r="WS99" s="50"/>
      <c r="WT99" s="50"/>
      <c r="WU99" s="50"/>
      <c r="WV99" s="50"/>
      <c r="WW99" s="50"/>
      <c r="WX99" s="50"/>
      <c r="WY99" s="50"/>
      <c r="WZ99" s="50"/>
      <c r="XA99" s="50"/>
      <c r="XB99" s="50"/>
      <c r="XC99" s="50"/>
      <c r="XD99" s="50"/>
      <c r="XE99" s="50"/>
      <c r="XF99" s="50"/>
      <c r="XG99" s="50"/>
      <c r="XH99" s="50"/>
      <c r="XI99" s="50"/>
      <c r="XJ99" s="50"/>
      <c r="XK99" s="50"/>
      <c r="XL99" s="50"/>
      <c r="XM99" s="50"/>
      <c r="XN99" s="50"/>
      <c r="XO99" s="50"/>
      <c r="XP99" s="50"/>
      <c r="XQ99" s="50"/>
      <c r="XR99" s="50"/>
      <c r="XS99" s="50"/>
      <c r="XT99" s="50"/>
      <c r="XU99" s="50"/>
      <c r="XV99" s="50"/>
      <c r="XW99" s="50"/>
      <c r="XX99" s="50"/>
      <c r="XY99" s="50"/>
      <c r="XZ99" s="50"/>
      <c r="YA99" s="50"/>
      <c r="YB99" s="50"/>
      <c r="YC99" s="50"/>
      <c r="YD99" s="50"/>
      <c r="YE99" s="50"/>
      <c r="YF99" s="50"/>
      <c r="YG99" s="50"/>
      <c r="YH99" s="50"/>
      <c r="YI99" s="50"/>
      <c r="YJ99" s="50"/>
      <c r="YK99" s="50"/>
      <c r="YL99" s="50"/>
      <c r="YM99" s="50"/>
      <c r="YN99" s="50"/>
      <c r="YO99" s="50"/>
      <c r="YP99" s="50"/>
      <c r="YQ99" s="50"/>
      <c r="YR99" s="50"/>
      <c r="YS99" s="50"/>
      <c r="YT99" s="50"/>
      <c r="YU99" s="50"/>
      <c r="YV99" s="50"/>
      <c r="YW99" s="50"/>
      <c r="YX99" s="50"/>
      <c r="YY99" s="50"/>
      <c r="YZ99" s="50"/>
      <c r="ZA99" s="50"/>
      <c r="ZB99" s="50"/>
      <c r="ZC99" s="50"/>
      <c r="ZD99" s="50"/>
      <c r="ZE99" s="50"/>
      <c r="ZF99" s="50"/>
      <c r="ZG99" s="50"/>
      <c r="ZH99" s="50"/>
      <c r="ZI99" s="50"/>
      <c r="ZJ99" s="50"/>
      <c r="ZK99" s="50"/>
      <c r="ZL99" s="50"/>
      <c r="ZM99" s="50"/>
      <c r="ZN99" s="50"/>
      <c r="ZO99" s="50"/>
      <c r="ZP99" s="50"/>
      <c r="ZQ99" s="50"/>
      <c r="ZR99" s="50"/>
      <c r="ZS99" s="50"/>
      <c r="ZT99" s="50"/>
      <c r="ZU99" s="50"/>
      <c r="ZV99" s="50"/>
      <c r="ZW99" s="50"/>
      <c r="ZX99" s="50"/>
      <c r="ZY99" s="618"/>
      <c r="ZZ99" s="36"/>
      <c r="AAA99" s="588"/>
      <c r="AAD99" s="112"/>
      <c r="AAE99" s="552">
        <f t="shared" si="741"/>
        <v>1</v>
      </c>
      <c r="AAF99" s="583" t="s">
        <v>174</v>
      </c>
      <c r="AAG99" s="76"/>
      <c r="AAH99" s="76"/>
      <c r="AAI99" s="76"/>
      <c r="AAJ99" s="57"/>
      <c r="AAK99" s="57"/>
      <c r="AAL99" s="40"/>
      <c r="AAM99" s="112"/>
      <c r="AAN99"/>
      <c r="AAT99" s="23"/>
      <c r="AAU99" s="44"/>
    </row>
    <row r="100" spans="1:732" ht="15.75" customHeight="1" outlineLevel="1">
      <c r="A100" s="558"/>
      <c r="B100" s="240" t="s">
        <v>21</v>
      </c>
      <c r="C100" s="705"/>
      <c r="D100" s="241"/>
      <c r="E100" s="242"/>
      <c r="F100" s="242"/>
      <c r="G100" s="241"/>
      <c r="H100" s="241"/>
      <c r="I100" s="588"/>
      <c r="J100" s="47"/>
      <c r="K100" s="591"/>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617"/>
      <c r="ZZ100" s="622"/>
      <c r="AAA100" s="588"/>
      <c r="AAD100" s="112"/>
      <c r="AAE100" s="552">
        <f t="shared" si="741"/>
        <v>1</v>
      </c>
      <c r="AAF100" s="583" t="s">
        <v>174</v>
      </c>
      <c r="AAG100" s="63"/>
      <c r="AAH100" s="63"/>
      <c r="AAI100" s="63"/>
      <c r="AAJ100" s="56"/>
      <c r="AAK100" s="56"/>
      <c r="AAL100" s="39"/>
      <c r="AAM100" s="112"/>
      <c r="AAN100"/>
      <c r="AAT100" s="23"/>
      <c r="AAU100" s="44"/>
    </row>
    <row r="101" spans="1:732" ht="15.75" customHeight="1" outlineLevel="1">
      <c r="A101" s="558"/>
      <c r="B101" s="387" t="s">
        <v>337</v>
      </c>
      <c r="C101" s="168"/>
      <c r="D101" s="308" t="s">
        <v>380</v>
      </c>
      <c r="E101" s="368">
        <f t="shared" ref="E101:E109" si="753">NETWORKDAYS(G101,H101,S.DDL_DEQClosed)</f>
        <v>1</v>
      </c>
      <c r="F101" s="492">
        <f t="shared" ref="F101:F109" ca="1" si="754">NETWORKDAYS(TODAY(),H101)</f>
        <v>-171</v>
      </c>
      <c r="G101" s="383">
        <f t="shared" si="744"/>
        <v>41414</v>
      </c>
      <c r="H101" s="369">
        <f t="shared" si="744"/>
        <v>41414</v>
      </c>
      <c r="I101" s="588"/>
      <c r="J101" s="47"/>
      <c r="K101" s="591"/>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588"/>
      <c r="AAD101" s="112"/>
      <c r="AAE101" s="552">
        <f t="shared" si="741"/>
        <v>1</v>
      </c>
      <c r="AAF101" s="112" t="s">
        <v>0</v>
      </c>
      <c r="AAG101" s="78">
        <f>H98</f>
        <v>41414</v>
      </c>
      <c r="AAH101" s="78">
        <f>G101</f>
        <v>41414</v>
      </c>
      <c r="AAI101" s="63"/>
      <c r="AAJ101" s="56"/>
      <c r="AAK101" s="56"/>
      <c r="AAL101" s="39"/>
      <c r="AAM101" s="112"/>
      <c r="AAN101"/>
      <c r="AAT101" s="23"/>
      <c r="AAU101" s="44"/>
      <c r="AAV101" s="23"/>
      <c r="AAW101" s="23"/>
      <c r="AAX101" s="23"/>
      <c r="AAY101" s="23"/>
      <c r="AAZ101" s="23"/>
      <c r="ABA101" s="23"/>
      <c r="ABB101" s="23"/>
      <c r="ABC101" s="23"/>
      <c r="ABD101" s="23"/>
    </row>
    <row r="102" spans="1:732" ht="15.75" customHeight="1" outlineLevel="1">
      <c r="A102" s="558"/>
      <c r="B102" s="387" t="s">
        <v>317</v>
      </c>
      <c r="C102" s="168"/>
      <c r="D102" s="384" t="s">
        <v>381</v>
      </c>
      <c r="E102" s="368">
        <f t="shared" si="753"/>
        <v>1</v>
      </c>
      <c r="F102" s="492">
        <f t="shared" ca="1" si="754"/>
        <v>-171</v>
      </c>
      <c r="G102" s="383">
        <f t="shared" si="744"/>
        <v>41414</v>
      </c>
      <c r="H102" s="369">
        <f t="shared" si="744"/>
        <v>41414</v>
      </c>
      <c r="I102" s="588"/>
      <c r="J102" s="47"/>
      <c r="K102" s="591"/>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588"/>
      <c r="AAD102" s="112"/>
      <c r="AAE102" s="552">
        <f t="shared" si="741"/>
        <v>1</v>
      </c>
      <c r="AAF102" s="112" t="s">
        <v>0</v>
      </c>
      <c r="AAG102" s="78">
        <f>H101</f>
        <v>41414</v>
      </c>
      <c r="AAH102" s="78">
        <f>G102</f>
        <v>41414</v>
      </c>
      <c r="AAI102" s="63"/>
      <c r="AAJ102" s="56"/>
      <c r="AAK102" s="56"/>
      <c r="AAL102" s="39"/>
      <c r="AAM102" s="112"/>
      <c r="AAN102"/>
      <c r="AAT102" s="23"/>
      <c r="AAU102" s="44"/>
    </row>
    <row r="103" spans="1:732" s="23" customFormat="1" ht="15.75" customHeight="1" outlineLevel="1">
      <c r="A103" s="558"/>
      <c r="B103" s="387" t="s">
        <v>192</v>
      </c>
      <c r="C103" s="672" t="s">
        <v>69</v>
      </c>
      <c r="D103" s="308" t="s">
        <v>157</v>
      </c>
      <c r="E103" s="368"/>
      <c r="F103" s="492">
        <f t="shared" ref="F103" ca="1" si="755">NETWORKDAYS(TODAY(),H103)</f>
        <v>-171</v>
      </c>
      <c r="G103" s="383">
        <f>AAG103</f>
        <v>41414</v>
      </c>
      <c r="H103" s="369">
        <f>AAH103</f>
        <v>41414</v>
      </c>
      <c r="I103" s="588"/>
      <c r="J103" s="47"/>
      <c r="K103" s="591"/>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588"/>
      <c r="AAB103"/>
      <c r="AAC103"/>
      <c r="AAD103" s="112"/>
      <c r="AAE103" s="552">
        <f t="shared" si="741"/>
        <v>1</v>
      </c>
      <c r="AAF103" s="112" t="s">
        <v>0</v>
      </c>
      <c r="AAG103" s="78">
        <f>H102</f>
        <v>41414</v>
      </c>
      <c r="AAH103" s="78">
        <f t="shared" ref="AAH103:AAH107" si="756">G103</f>
        <v>41414</v>
      </c>
      <c r="AAI103" s="63"/>
      <c r="AAJ103" s="56"/>
      <c r="AAK103" s="56"/>
      <c r="AAL103" s="39"/>
      <c r="AAM103" s="112"/>
      <c r="AAU103" s="44"/>
      <c r="AAV103"/>
      <c r="AAW103"/>
      <c r="AAX103"/>
      <c r="AAY103"/>
      <c r="AAZ103"/>
      <c r="ABA103"/>
      <c r="ABB103"/>
      <c r="ABC103"/>
      <c r="ABD103"/>
    </row>
    <row r="104" spans="1:732" ht="15.75" customHeight="1" outlineLevel="1">
      <c r="A104" s="558"/>
      <c r="B104" s="387" t="s">
        <v>198</v>
      </c>
      <c r="C104" s="168"/>
      <c r="D104" s="384" t="s">
        <v>381</v>
      </c>
      <c r="E104" s="368">
        <f t="shared" si="753"/>
        <v>1</v>
      </c>
      <c r="F104" s="492">
        <f t="shared" ca="1" si="754"/>
        <v>-171</v>
      </c>
      <c r="G104" s="383">
        <f t="shared" si="744"/>
        <v>41414</v>
      </c>
      <c r="H104" s="369">
        <f t="shared" si="744"/>
        <v>41414</v>
      </c>
      <c r="I104" s="588"/>
      <c r="J104" s="47"/>
      <c r="K104" s="591"/>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588"/>
      <c r="AAD104" s="112"/>
      <c r="AAE104" s="552">
        <f t="shared" si="741"/>
        <v>1</v>
      </c>
      <c r="AAF104" s="112" t="s">
        <v>0</v>
      </c>
      <c r="AAG104" s="78">
        <f>H103</f>
        <v>41414</v>
      </c>
      <c r="AAH104" s="78">
        <f t="shared" si="756"/>
        <v>41414</v>
      </c>
      <c r="AAI104" s="63"/>
      <c r="AAJ104" s="56"/>
      <c r="AAK104" s="56"/>
      <c r="AAL104" s="65" t="s">
        <v>0</v>
      </c>
      <c r="AAM104" s="112"/>
      <c r="AAN104"/>
      <c r="AAT104" s="23"/>
      <c r="AAU104" s="44"/>
    </row>
    <row r="105" spans="1:732" ht="15" customHeight="1" outlineLevel="1">
      <c r="A105" s="558"/>
      <c r="B105" s="375" t="s">
        <v>123</v>
      </c>
      <c r="C105" s="675" t="s">
        <v>88</v>
      </c>
      <c r="D105" s="308" t="s">
        <v>359</v>
      </c>
      <c r="E105" s="368">
        <f>NETWORKDAYS(G105,H105,S.DDL_DEQClosed)</f>
        <v>1</v>
      </c>
      <c r="F105" s="492">
        <f ca="1">NETWORKDAYS(TODAY(),H105)</f>
        <v>-171</v>
      </c>
      <c r="G105" s="383">
        <f>AAG105</f>
        <v>41414</v>
      </c>
      <c r="H105" s="369">
        <f>AAH105</f>
        <v>41414</v>
      </c>
      <c r="I105" s="588"/>
      <c r="J105" s="47"/>
      <c r="K105" s="591"/>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588"/>
      <c r="AAD105" s="112"/>
      <c r="AAE105" s="552">
        <f t="shared" si="741"/>
        <v>1</v>
      </c>
      <c r="AAF105" s="112" t="s">
        <v>0</v>
      </c>
      <c r="AAG105" s="78">
        <f>H107</f>
        <v>41414</v>
      </c>
      <c r="AAH105" s="78">
        <f>G105</f>
        <v>41414</v>
      </c>
      <c r="AAI105" s="63"/>
      <c r="AAJ105" s="56"/>
      <c r="AAK105" s="56"/>
      <c r="AAL105" s="39"/>
      <c r="AAM105" s="112"/>
      <c r="AAN105"/>
      <c r="AAT105" s="23"/>
      <c r="AAU105" s="44"/>
    </row>
    <row r="106" spans="1:732" ht="15.75" customHeight="1" outlineLevel="1">
      <c r="A106" s="558"/>
      <c r="B106" s="375" t="s">
        <v>356</v>
      </c>
      <c r="C106" s="168"/>
      <c r="D106" s="308" t="s">
        <v>158</v>
      </c>
      <c r="E106" s="368">
        <f t="shared" si="753"/>
        <v>1</v>
      </c>
      <c r="F106" s="492">
        <f t="shared" ca="1" si="754"/>
        <v>-171</v>
      </c>
      <c r="G106" s="383">
        <f t="shared" si="744"/>
        <v>41414</v>
      </c>
      <c r="H106" s="369">
        <f t="shared" si="744"/>
        <v>41414</v>
      </c>
      <c r="I106" s="588"/>
      <c r="J106" s="47"/>
      <c r="K106" s="591"/>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588"/>
      <c r="AAD106" s="112"/>
      <c r="AAE106" s="552">
        <f t="shared" si="741"/>
        <v>1</v>
      </c>
      <c r="AAF106" s="112" t="s">
        <v>0</v>
      </c>
      <c r="AAG106" s="78">
        <f>H89</f>
        <v>41414</v>
      </c>
      <c r="AAH106" s="78">
        <f t="shared" si="756"/>
        <v>41414</v>
      </c>
      <c r="AAI106" s="63"/>
      <c r="AAJ106" s="56"/>
      <c r="AAK106" s="56"/>
      <c r="AAL106" s="39"/>
      <c r="AAM106" s="112"/>
      <c r="AAN106"/>
      <c r="AAT106" s="23"/>
      <c r="AAU106" s="44"/>
    </row>
    <row r="107" spans="1:732" ht="15" customHeight="1" outlineLevel="1">
      <c r="A107" s="558"/>
      <c r="B107" s="343" t="s">
        <v>193</v>
      </c>
      <c r="C107" s="168"/>
      <c r="D107" s="308" t="s">
        <v>157</v>
      </c>
      <c r="E107" s="368">
        <f t="shared" si="753"/>
        <v>1</v>
      </c>
      <c r="F107" s="492">
        <f t="shared" ca="1" si="754"/>
        <v>-171</v>
      </c>
      <c r="G107" s="383">
        <f t="shared" si="744"/>
        <v>41414</v>
      </c>
      <c r="H107" s="369">
        <f t="shared" si="744"/>
        <v>41414</v>
      </c>
      <c r="I107" s="588"/>
      <c r="J107" s="47"/>
      <c r="K107" s="591"/>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50"/>
      <c r="ZZ107" s="50"/>
      <c r="AAA107" s="588"/>
      <c r="AAD107" s="112"/>
      <c r="AAE107" s="552">
        <f t="shared" si="741"/>
        <v>1</v>
      </c>
      <c r="AAF107" s="112" t="s">
        <v>0</v>
      </c>
      <c r="AAG107" s="78">
        <f t="shared" ref="AAG107" si="757">H106</f>
        <v>41414</v>
      </c>
      <c r="AAH107" s="78">
        <f t="shared" si="756"/>
        <v>41414</v>
      </c>
      <c r="AAI107" s="63"/>
      <c r="AAJ107" s="56"/>
      <c r="AAK107" s="56"/>
      <c r="AAL107" s="39"/>
      <c r="AAM107" s="112"/>
      <c r="AAN107"/>
      <c r="AAT107" s="23"/>
      <c r="AAU107" s="44"/>
      <c r="AAV107" s="23"/>
      <c r="AAW107" s="23"/>
      <c r="AAX107" s="23"/>
      <c r="AAY107" s="23"/>
      <c r="AAZ107" s="23"/>
      <c r="ABA107" s="23"/>
      <c r="ABB107" s="23"/>
      <c r="ABC107" s="23"/>
      <c r="ABD107" s="23"/>
    </row>
    <row r="108" spans="1:732" ht="18" customHeight="1" outlineLevel="1">
      <c r="A108" s="558"/>
      <c r="B108" s="244" t="s">
        <v>59</v>
      </c>
      <c r="C108" s="168"/>
      <c r="D108" s="766"/>
      <c r="E108" s="766"/>
      <c r="F108" s="766"/>
      <c r="G108" s="399">
        <f ca="1">TODAY()</f>
        <v>41652</v>
      </c>
      <c r="H108" s="399" t="s">
        <v>191</v>
      </c>
      <c r="I108" s="588"/>
      <c r="J108" s="47"/>
      <c r="K108" s="591"/>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617"/>
      <c r="ZZ108" s="622"/>
      <c r="AAA108" s="588"/>
      <c r="AAD108" s="112"/>
      <c r="AAE108" s="552">
        <f t="shared" si="741"/>
        <v>1</v>
      </c>
      <c r="AAF108" s="583" t="s">
        <v>174</v>
      </c>
      <c r="AAG108" s="39" t="s">
        <v>0</v>
      </c>
      <c r="AAH108" s="39" t="s">
        <v>0</v>
      </c>
      <c r="AAI108" s="39"/>
      <c r="AAJ108" s="56"/>
      <c r="AAK108" s="56"/>
      <c r="AAL108" s="39"/>
      <c r="AAM108" s="112"/>
      <c r="AAN108"/>
      <c r="AAT108" s="23"/>
      <c r="AAU108" s="44"/>
    </row>
    <row r="109" spans="1:732" ht="15" customHeight="1" outlineLevel="2">
      <c r="A109" s="558"/>
      <c r="B109" s="375" t="s">
        <v>56</v>
      </c>
      <c r="C109" s="347"/>
      <c r="D109" s="308" t="s">
        <v>359</v>
      </c>
      <c r="E109" s="368">
        <f t="shared" si="753"/>
        <v>1</v>
      </c>
      <c r="F109" s="492">
        <f t="shared" ca="1" si="754"/>
        <v>-171</v>
      </c>
      <c r="G109" s="383">
        <f t="shared" si="744"/>
        <v>41414</v>
      </c>
      <c r="H109" s="369">
        <f t="shared" si="744"/>
        <v>41414</v>
      </c>
      <c r="I109" s="588"/>
      <c r="J109" s="47"/>
      <c r="K109" s="591"/>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50"/>
      <c r="ZZ109" s="50"/>
      <c r="AAA109" s="588"/>
      <c r="AAD109" s="112"/>
      <c r="AAE109" s="552">
        <f t="shared" si="741"/>
        <v>1</v>
      </c>
      <c r="AAF109" s="112"/>
      <c r="AAG109" s="78">
        <f>H105</f>
        <v>41414</v>
      </c>
      <c r="AAH109" s="78">
        <f t="shared" ref="AAH109" si="758">G109</f>
        <v>41414</v>
      </c>
      <c r="AAI109" s="63"/>
      <c r="AAJ109" s="56"/>
      <c r="AAK109" s="56"/>
      <c r="AAL109" s="39"/>
      <c r="AAM109" s="112"/>
      <c r="AAN109"/>
      <c r="AAT109" s="23"/>
      <c r="AAU109" s="44"/>
    </row>
    <row r="110" spans="1:732" ht="15" customHeight="1" outlineLevel="2">
      <c r="A110" s="558"/>
      <c r="B110" s="376" t="s">
        <v>55</v>
      </c>
      <c r="C110" s="389"/>
      <c r="D110" s="397"/>
      <c r="E110" s="400"/>
      <c r="F110" s="400"/>
      <c r="G110" s="356"/>
      <c r="H110" s="401"/>
      <c r="I110" s="588"/>
      <c r="J110" s="47"/>
      <c r="K110" s="591"/>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617"/>
      <c r="ZZ110" s="622"/>
      <c r="AAA110" s="588"/>
      <c r="AAD110" s="112"/>
      <c r="AAE110" s="552">
        <f t="shared" si="741"/>
        <v>1</v>
      </c>
      <c r="AAF110" s="583" t="s">
        <v>174</v>
      </c>
      <c r="AAG110" s="63"/>
      <c r="AAH110" s="76"/>
      <c r="AAI110" s="76"/>
      <c r="AAJ110" s="56"/>
      <c r="AAK110" s="56"/>
      <c r="AAL110" s="39"/>
      <c r="AAM110" s="112"/>
      <c r="AAN110"/>
      <c r="AAT110" s="23"/>
      <c r="AAU110" s="44"/>
    </row>
    <row r="111" spans="1:732" ht="15" customHeight="1" outlineLevel="2">
      <c r="A111" s="558"/>
      <c r="B111" s="377" t="str">
        <f ca="1">"Draft AGENDA."&amp;TEXT($G$108,"mm.dd.yy")&amp;""</f>
        <v>Draft AGENDA.01.13.14</v>
      </c>
      <c r="C111" s="231" t="s">
        <v>69</v>
      </c>
      <c r="D111" s="308" t="s">
        <v>54</v>
      </c>
      <c r="E111" s="368">
        <f t="shared" ref="E111:E122" si="759">NETWORKDAYS(G111,H111,S.DDL_DEQClosed)</f>
        <v>1</v>
      </c>
      <c r="F111" s="492">
        <f t="shared" ref="F111:F122" ca="1" si="760">NETWORKDAYS(TODAY(),H111)</f>
        <v>-171</v>
      </c>
      <c r="G111" s="383">
        <f t="shared" si="744"/>
        <v>41414</v>
      </c>
      <c r="H111" s="369">
        <f t="shared" si="744"/>
        <v>41414</v>
      </c>
      <c r="I111" s="588"/>
      <c r="J111" s="47"/>
      <c r="K111" s="591"/>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588"/>
      <c r="AAD111" s="112"/>
      <c r="AAE111" s="552">
        <f t="shared" si="741"/>
        <v>1</v>
      </c>
      <c r="AAF111" s="112" t="s">
        <v>0</v>
      </c>
      <c r="AAG111" s="78">
        <f>H109</f>
        <v>41414</v>
      </c>
      <c r="AAH111" s="78">
        <f>G111</f>
        <v>41414</v>
      </c>
      <c r="AAI111" s="77"/>
      <c r="AAJ111" s="79"/>
      <c r="AAK111" s="79"/>
      <c r="AAL111" s="89" t="str">
        <f>"Draft "&amp;S.CodeName&amp;"AGENDA.mm.dd.yyyy.2.00"</f>
        <v>Draft AGENDA.mm.dd.yyyy.2.00</v>
      </c>
      <c r="AAM111" s="112"/>
      <c r="AAN111"/>
      <c r="AAT111" s="23"/>
      <c r="AAU111" s="44"/>
    </row>
    <row r="112" spans="1:732" ht="15" customHeight="1" outlineLevel="2">
      <c r="A112" s="558"/>
      <c r="B112" s="391" t="s">
        <v>196</v>
      </c>
      <c r="C112" s="390"/>
      <c r="D112" s="308" t="s">
        <v>54</v>
      </c>
      <c r="E112" s="368">
        <f t="shared" si="759"/>
        <v>1</v>
      </c>
      <c r="F112" s="492">
        <f t="shared" ca="1" si="760"/>
        <v>-171</v>
      </c>
      <c r="G112" s="383">
        <f t="shared" si="744"/>
        <v>41414</v>
      </c>
      <c r="H112" s="369">
        <f t="shared" si="744"/>
        <v>41414</v>
      </c>
      <c r="I112" s="588"/>
      <c r="J112" s="47"/>
      <c r="K112" s="591"/>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588"/>
      <c r="AAD112" s="112"/>
      <c r="AAE112" s="552">
        <f t="shared" si="741"/>
        <v>1</v>
      </c>
      <c r="AAF112" s="112" t="s">
        <v>0</v>
      </c>
      <c r="AAG112" s="78">
        <f>H111</f>
        <v>41414</v>
      </c>
      <c r="AAH112" s="78">
        <f t="shared" ref="AAH112:AAH122" si="761">G112</f>
        <v>41414</v>
      </c>
      <c r="AAI112" s="63"/>
      <c r="AAJ112" s="56"/>
      <c r="AAK112" s="56"/>
      <c r="AAL112" s="56"/>
      <c r="AAM112" s="112"/>
      <c r="AAN112"/>
      <c r="AAT112" s="23"/>
      <c r="AAU112" s="44"/>
    </row>
    <row r="113" spans="1:732" ht="15" customHeight="1" outlineLevel="2">
      <c r="A113" s="558"/>
      <c r="B113" s="391" t="s">
        <v>196</v>
      </c>
      <c r="C113" s="390"/>
      <c r="D113" s="308" t="s">
        <v>54</v>
      </c>
      <c r="E113" s="368">
        <f t="shared" si="759"/>
        <v>1</v>
      </c>
      <c r="F113" s="492">
        <f t="shared" ca="1" si="760"/>
        <v>-171</v>
      </c>
      <c r="G113" s="383">
        <f t="shared" si="744"/>
        <v>41414</v>
      </c>
      <c r="H113" s="369">
        <f t="shared" si="744"/>
        <v>41414</v>
      </c>
      <c r="I113" s="588"/>
      <c r="J113" s="47"/>
      <c r="K113" s="591"/>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588"/>
      <c r="AAD113" s="112"/>
      <c r="AAE113" s="552">
        <f t="shared" si="741"/>
        <v>1</v>
      </c>
      <c r="AAF113" s="112" t="s">
        <v>0</v>
      </c>
      <c r="AAG113" s="78">
        <f>H112</f>
        <v>41414</v>
      </c>
      <c r="AAH113" s="78">
        <f t="shared" si="761"/>
        <v>41414</v>
      </c>
      <c r="AAI113" s="63"/>
      <c r="AAJ113" s="56"/>
      <c r="AAK113" s="56"/>
      <c r="AAL113" s="56"/>
      <c r="AAM113" s="112"/>
      <c r="AAN113"/>
      <c r="AAT113" s="23"/>
      <c r="AAU113" s="44"/>
    </row>
    <row r="114" spans="1:732" ht="15" customHeight="1" outlineLevel="2">
      <c r="A114" s="558"/>
      <c r="B114" s="391" t="s">
        <v>196</v>
      </c>
      <c r="C114" s="390"/>
      <c r="D114" s="308" t="s">
        <v>54</v>
      </c>
      <c r="E114" s="368">
        <f t="shared" si="759"/>
        <v>1</v>
      </c>
      <c r="F114" s="492">
        <f t="shared" ca="1" si="760"/>
        <v>-171</v>
      </c>
      <c r="G114" s="383">
        <f t="shared" si="744"/>
        <v>41414</v>
      </c>
      <c r="H114" s="369">
        <f t="shared" si="744"/>
        <v>41414</v>
      </c>
      <c r="I114" s="588"/>
      <c r="J114" s="47"/>
      <c r="K114" s="591"/>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588"/>
      <c r="AAD114" s="112"/>
      <c r="AAE114" s="552">
        <f t="shared" si="741"/>
        <v>1</v>
      </c>
      <c r="AAF114" s="112" t="s">
        <v>0</v>
      </c>
      <c r="AAG114" s="78">
        <f>H113</f>
        <v>41414</v>
      </c>
      <c r="AAH114" s="78">
        <f t="shared" si="761"/>
        <v>41414</v>
      </c>
      <c r="AAI114" s="63"/>
      <c r="AAJ114" s="56"/>
      <c r="AAK114" s="56"/>
      <c r="AAL114" s="56"/>
      <c r="AAM114" s="112"/>
      <c r="AAN114"/>
      <c r="AAT114" s="23"/>
      <c r="AAU114" s="44"/>
      <c r="AAV114" s="23"/>
      <c r="AAW114" s="23"/>
      <c r="AAX114" s="23"/>
      <c r="AAY114" s="23"/>
      <c r="AAZ114" s="23"/>
      <c r="ABA114" s="23"/>
      <c r="ABB114" s="23"/>
      <c r="ABC114" s="23"/>
      <c r="ABD114" s="23"/>
    </row>
    <row r="115" spans="1:732" ht="15" customHeight="1" outlineLevel="2">
      <c r="A115" s="558"/>
      <c r="B115" s="391" t="s">
        <v>196</v>
      </c>
      <c r="C115" s="390"/>
      <c r="D115" s="308" t="s">
        <v>54</v>
      </c>
      <c r="E115" s="368">
        <f t="shared" si="759"/>
        <v>1</v>
      </c>
      <c r="F115" s="492">
        <f t="shared" ca="1" si="760"/>
        <v>-171</v>
      </c>
      <c r="G115" s="383">
        <f t="shared" si="744"/>
        <v>41414</v>
      </c>
      <c r="H115" s="369">
        <f t="shared" si="744"/>
        <v>41414</v>
      </c>
      <c r="I115" s="588"/>
      <c r="J115" s="47"/>
      <c r="K115" s="591"/>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50"/>
      <c r="ZZ115" s="50"/>
      <c r="AAA115" s="588"/>
      <c r="AAD115" s="112"/>
      <c r="AAE115" s="552">
        <f t="shared" si="741"/>
        <v>1</v>
      </c>
      <c r="AAF115" s="112" t="s">
        <v>0</v>
      </c>
      <c r="AAG115" s="78">
        <f t="shared" ref="AAG115:AAG120" si="762">H114</f>
        <v>41414</v>
      </c>
      <c r="AAH115" s="78">
        <f t="shared" si="761"/>
        <v>41414</v>
      </c>
      <c r="AAI115" s="63"/>
      <c r="AAJ115" s="56"/>
      <c r="AAK115" s="56"/>
      <c r="AAL115" s="56"/>
      <c r="AAM115" s="112"/>
      <c r="AAN115"/>
      <c r="AAT115" s="23"/>
      <c r="AAU115" s="44"/>
    </row>
    <row r="116" spans="1:732" s="23" customFormat="1" ht="15" customHeight="1" outlineLevel="2">
      <c r="A116" s="558"/>
      <c r="B116" s="392" t="s">
        <v>189</v>
      </c>
      <c r="C116" s="707"/>
      <c r="D116" s="398"/>
      <c r="E116" s="402"/>
      <c r="F116" s="402"/>
      <c r="G116" s="402"/>
      <c r="H116" s="402"/>
      <c r="I116" s="588"/>
      <c r="J116" s="47"/>
      <c r="K116" s="591"/>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617"/>
      <c r="ZZ116" s="622"/>
      <c r="AAA116" s="588"/>
      <c r="AAB116"/>
      <c r="AAC116"/>
      <c r="AAD116" s="112"/>
      <c r="AAE116" s="552">
        <f t="shared" si="741"/>
        <v>1</v>
      </c>
      <c r="AAF116" s="583" t="s">
        <v>174</v>
      </c>
      <c r="AAG116" s="39"/>
      <c r="AAH116" s="39"/>
      <c r="AAI116" s="39"/>
      <c r="AAJ116" s="56"/>
      <c r="AAK116" s="56"/>
      <c r="AAL116" s="56"/>
      <c r="AAM116" s="112"/>
      <c r="AAU116" s="44"/>
    </row>
    <row r="117" spans="1:732" ht="15" customHeight="1" outlineLevel="2">
      <c r="A117" s="558"/>
      <c r="B117" s="393" t="str">
        <f ca="1">"Draft optional PRESENTATION."&amp;TEXT($G$108,"mm.dd.yy")&amp;""</f>
        <v>Draft optional PRESENTATION.01.13.14</v>
      </c>
      <c r="C117" s="231" t="s">
        <v>69</v>
      </c>
      <c r="D117" s="308" t="s">
        <v>54</v>
      </c>
      <c r="E117" s="368">
        <f t="shared" si="759"/>
        <v>1</v>
      </c>
      <c r="F117" s="492">
        <f t="shared" ca="1" si="760"/>
        <v>-171</v>
      </c>
      <c r="G117" s="383">
        <f t="shared" si="744"/>
        <v>41414</v>
      </c>
      <c r="H117" s="369">
        <f t="shared" si="744"/>
        <v>41414</v>
      </c>
      <c r="I117" s="588"/>
      <c r="J117" s="47"/>
      <c r="K117" s="591"/>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588"/>
      <c r="AAD117" s="112"/>
      <c r="AAE117" s="552">
        <f t="shared" si="741"/>
        <v>1</v>
      </c>
      <c r="AAF117" s="112" t="s">
        <v>0</v>
      </c>
      <c r="AAG117" s="78">
        <f>H115</f>
        <v>41414</v>
      </c>
      <c r="AAH117" s="78">
        <f t="shared" si="761"/>
        <v>41414</v>
      </c>
      <c r="AAI117" s="63"/>
      <c r="AAJ117" s="56"/>
      <c r="AAK117" s="56"/>
      <c r="AAL117" s="56"/>
      <c r="AAM117" s="112"/>
      <c r="AAN117"/>
      <c r="AAT117" s="23"/>
      <c r="AAU117" s="44"/>
    </row>
    <row r="118" spans="1:732" s="23" customFormat="1" ht="15" customHeight="1" outlineLevel="2">
      <c r="A118" s="558"/>
      <c r="B118" s="393" t="s">
        <v>200</v>
      </c>
      <c r="C118" s="390"/>
      <c r="D118" s="308" t="s">
        <v>54</v>
      </c>
      <c r="E118" s="368">
        <f t="shared" ref="E118" si="763">NETWORKDAYS(G118,H118,S.DDL_DEQClosed)</f>
        <v>1</v>
      </c>
      <c r="F118" s="492">
        <f t="shared" ref="F118" ca="1" si="764">NETWORKDAYS(TODAY(),H118)</f>
        <v>-171</v>
      </c>
      <c r="G118" s="383">
        <f t="shared" ref="G118" si="765">AAG118</f>
        <v>41414</v>
      </c>
      <c r="H118" s="369">
        <f t="shared" ref="H118" si="766">AAH118</f>
        <v>41414</v>
      </c>
      <c r="I118" s="588"/>
      <c r="J118" s="47"/>
      <c r="K118" s="591"/>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588"/>
      <c r="AAB118"/>
      <c r="AAC118"/>
      <c r="AAD118" s="112"/>
      <c r="AAE118" s="552">
        <f t="shared" ref="AAE118:AAE149" si="767">IF(S.InvolveCommittee=TRUE,1,0)</f>
        <v>1</v>
      </c>
      <c r="AAF118" s="112" t="s">
        <v>0</v>
      </c>
      <c r="AAG118" s="78">
        <f t="shared" ref="AAG118" si="768">H117</f>
        <v>41414</v>
      </c>
      <c r="AAH118" s="78">
        <f t="shared" ref="AAH118" si="769">G118</f>
        <v>41414</v>
      </c>
      <c r="AAI118" s="63"/>
      <c r="AAJ118" s="56"/>
      <c r="AAK118" s="56"/>
      <c r="AAL118" s="56"/>
      <c r="AAM118" s="112"/>
      <c r="AAU118" s="44"/>
      <c r="AAV118"/>
      <c r="AAW118"/>
      <c r="AAX118"/>
      <c r="AAY118"/>
      <c r="AAZ118"/>
      <c r="ABA118"/>
      <c r="ABB118"/>
      <c r="ABC118"/>
      <c r="ABD118"/>
    </row>
    <row r="119" spans="1:732" ht="15" customHeight="1" outlineLevel="2">
      <c r="A119" s="558"/>
      <c r="B119" s="393" t="s">
        <v>194</v>
      </c>
      <c r="C119" s="390"/>
      <c r="D119" s="308" t="s">
        <v>54</v>
      </c>
      <c r="E119" s="368">
        <f t="shared" si="759"/>
        <v>1</v>
      </c>
      <c r="F119" s="492">
        <f t="shared" ca="1" si="760"/>
        <v>-171</v>
      </c>
      <c r="G119" s="383">
        <f t="shared" si="744"/>
        <v>41414</v>
      </c>
      <c r="H119" s="369">
        <f t="shared" si="744"/>
        <v>41414</v>
      </c>
      <c r="I119" s="588"/>
      <c r="J119" s="47"/>
      <c r="K119" s="591"/>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588"/>
      <c r="AAD119" s="112"/>
      <c r="AAE119" s="552">
        <f t="shared" si="767"/>
        <v>1</v>
      </c>
      <c r="AAF119" s="112" t="s">
        <v>0</v>
      </c>
      <c r="AAG119" s="78">
        <f>H118</f>
        <v>41414</v>
      </c>
      <c r="AAH119" s="78">
        <f t="shared" si="761"/>
        <v>41414</v>
      </c>
      <c r="AAI119" s="63"/>
      <c r="AAJ119" s="56"/>
      <c r="AAK119" s="56"/>
      <c r="AAL119" s="56"/>
      <c r="AAM119" s="112"/>
      <c r="AAN119"/>
      <c r="AAT119" s="23"/>
      <c r="AAU119" s="44"/>
    </row>
    <row r="120" spans="1:732" ht="15" customHeight="1" outlineLevel="2">
      <c r="A120" s="558"/>
      <c r="B120" s="393" t="s">
        <v>195</v>
      </c>
      <c r="C120" s="390"/>
      <c r="D120" s="308" t="s">
        <v>54</v>
      </c>
      <c r="E120" s="368">
        <f t="shared" si="759"/>
        <v>1</v>
      </c>
      <c r="F120" s="492">
        <f t="shared" ca="1" si="760"/>
        <v>-171</v>
      </c>
      <c r="G120" s="383">
        <f t="shared" si="744"/>
        <v>41414</v>
      </c>
      <c r="H120" s="369">
        <f t="shared" si="744"/>
        <v>41414</v>
      </c>
      <c r="I120" s="588"/>
      <c r="J120" s="47"/>
      <c r="K120" s="591"/>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50"/>
      <c r="ZZ120" s="50"/>
      <c r="AAA120" s="588"/>
      <c r="AAD120" s="112"/>
      <c r="AAE120" s="552">
        <f t="shared" si="767"/>
        <v>1</v>
      </c>
      <c r="AAF120" s="112" t="s">
        <v>0</v>
      </c>
      <c r="AAG120" s="78">
        <f t="shared" si="762"/>
        <v>41414</v>
      </c>
      <c r="AAH120" s="78">
        <f t="shared" si="761"/>
        <v>41414</v>
      </c>
      <c r="AAI120" s="63"/>
      <c r="AAJ120" s="56"/>
      <c r="AAK120" s="56"/>
      <c r="AAL120" s="56"/>
      <c r="AAM120" s="112"/>
      <c r="AAN120"/>
      <c r="AAT120" s="23"/>
      <c r="AAU120" s="44"/>
    </row>
    <row r="121" spans="1:732" ht="15" customHeight="1" outlineLevel="2">
      <c r="A121" s="558"/>
      <c r="B121" s="394" t="s">
        <v>190</v>
      </c>
      <c r="C121" s="708"/>
      <c r="D121" s="386"/>
      <c r="E121" s="127"/>
      <c r="F121" s="127"/>
      <c r="G121" s="127"/>
      <c r="H121" s="127"/>
      <c r="I121" s="588"/>
      <c r="J121" s="47"/>
      <c r="K121" s="591"/>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617"/>
      <c r="ZZ121" s="622"/>
      <c r="AAA121" s="588"/>
      <c r="AAD121" s="112"/>
      <c r="AAE121" s="552">
        <f t="shared" si="767"/>
        <v>1</v>
      </c>
      <c r="AAF121" s="583" t="s">
        <v>174</v>
      </c>
      <c r="AAG121" s="39"/>
      <c r="AAH121" s="39"/>
      <c r="AAI121" s="39"/>
      <c r="AAJ121" s="56"/>
      <c r="AAK121" s="56"/>
      <c r="AAL121" s="56"/>
      <c r="AAM121" s="112"/>
      <c r="AAN121"/>
      <c r="AAT121" s="23"/>
      <c r="AAU121" s="44"/>
    </row>
    <row r="122" spans="1:732" ht="15" customHeight="1" outlineLevel="2">
      <c r="A122" s="558"/>
      <c r="B122" s="377" t="str">
        <f ca="1">"Draft COMMITTEE.NOTICE."&amp;TEXT($G$108,"mm.dd.yy")&amp;""</f>
        <v>Draft COMMITTEE.NOTICE.01.13.14</v>
      </c>
      <c r="C122" s="390"/>
      <c r="D122" s="308" t="s">
        <v>151</v>
      </c>
      <c r="E122" s="368">
        <f t="shared" si="759"/>
        <v>1</v>
      </c>
      <c r="F122" s="492">
        <f t="shared" ca="1" si="760"/>
        <v>-171</v>
      </c>
      <c r="G122" s="383">
        <f t="shared" si="744"/>
        <v>41414</v>
      </c>
      <c r="H122" s="369">
        <f t="shared" si="744"/>
        <v>41414</v>
      </c>
      <c r="I122" s="588"/>
      <c r="J122" s="47"/>
      <c r="K122" s="591"/>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50"/>
      <c r="ZZ122" s="50"/>
      <c r="AAA122" s="588"/>
      <c r="AAD122" s="112"/>
      <c r="AAE122" s="552">
        <f t="shared" si="767"/>
        <v>1</v>
      </c>
      <c r="AAF122" s="112" t="s">
        <v>0</v>
      </c>
      <c r="AAG122" s="78">
        <f>H120</f>
        <v>41414</v>
      </c>
      <c r="AAH122" s="78">
        <f t="shared" si="761"/>
        <v>41414</v>
      </c>
      <c r="AAI122" s="77"/>
      <c r="AAJ122" s="77"/>
      <c r="AAK122" s="77"/>
      <c r="AAL122" s="89" t="str">
        <f>"Draft "&amp;S.CodeName&amp;"COMMITTEE.NOTICE.mm.dd.yyyy.2.00"</f>
        <v>Draft COMMITTEE.NOTICE.mm.dd.yyyy.2.00</v>
      </c>
      <c r="AAM122" s="112"/>
      <c r="AAN122"/>
      <c r="AAT122" s="23"/>
      <c r="AAU122" s="44"/>
    </row>
    <row r="123" spans="1:732" ht="15" customHeight="1" outlineLevel="2">
      <c r="A123" s="558"/>
      <c r="B123" s="395" t="s">
        <v>21</v>
      </c>
      <c r="C123" s="396"/>
      <c r="D123" s="197"/>
      <c r="E123" s="345"/>
      <c r="F123" s="366"/>
      <c r="G123" s="403" t="s">
        <v>0</v>
      </c>
      <c r="H123" s="401"/>
      <c r="I123" s="588"/>
      <c r="J123" s="47"/>
      <c r="K123" s="591"/>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617"/>
      <c r="ZZ123" s="622"/>
      <c r="AAA123" s="588"/>
      <c r="AAD123" s="112"/>
      <c r="AAE123" s="552">
        <f t="shared" si="767"/>
        <v>1</v>
      </c>
      <c r="AAF123" s="583" t="s">
        <v>174</v>
      </c>
      <c r="AAG123" s="63"/>
      <c r="AAH123" s="76" t="s">
        <v>0</v>
      </c>
      <c r="AAI123" s="77"/>
      <c r="AAJ123" s="77"/>
      <c r="AAK123" s="77"/>
      <c r="AAL123" s="56"/>
      <c r="AAM123" s="112"/>
      <c r="AAN123"/>
      <c r="AAT123" s="23"/>
      <c r="AAU123" s="44"/>
    </row>
    <row r="124" spans="1:732" ht="15" customHeight="1" outlineLevel="2">
      <c r="A124" s="558"/>
      <c r="B124" s="387" t="s">
        <v>199</v>
      </c>
      <c r="C124" s="347"/>
      <c r="D124" s="308" t="s">
        <v>157</v>
      </c>
      <c r="E124" s="368">
        <f>NETWORKDAYS(G124,H124,S.DDL_DEQClosed)</f>
        <v>1</v>
      </c>
      <c r="F124" s="492">
        <f ca="1">NETWORKDAYS(TODAY(),H124)</f>
        <v>-171</v>
      </c>
      <c r="G124" s="383">
        <f>AAG124</f>
        <v>41414</v>
      </c>
      <c r="H124" s="369">
        <f>AAH124</f>
        <v>41414</v>
      </c>
      <c r="I124" s="588"/>
      <c r="J124" s="47"/>
      <c r="K124" s="591"/>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588"/>
      <c r="AAD124" s="112"/>
      <c r="AAE124" s="552">
        <f t="shared" si="767"/>
        <v>1</v>
      </c>
      <c r="AAF124" s="112"/>
      <c r="AAG124" s="78">
        <f>H122</f>
        <v>41414</v>
      </c>
      <c r="AAH124" s="78">
        <f>G124</f>
        <v>41414</v>
      </c>
      <c r="AAI124" s="77"/>
      <c r="AAJ124" s="77"/>
      <c r="AAK124" s="77"/>
      <c r="AAL124" s="56"/>
      <c r="AAM124" s="112"/>
      <c r="AAN124"/>
      <c r="AAT124" s="23"/>
      <c r="AAU124" s="44"/>
    </row>
    <row r="125" spans="1:732" ht="15" customHeight="1" outlineLevel="2">
      <c r="A125" s="558"/>
      <c r="B125" s="243" t="s">
        <v>53</v>
      </c>
      <c r="C125" s="168"/>
      <c r="D125" s="308" t="s">
        <v>359</v>
      </c>
      <c r="E125" s="368">
        <f t="shared" ref="E125:E127" si="770">NETWORKDAYS(G125,H125,S.DDL_DEQClosed)</f>
        <v>1</v>
      </c>
      <c r="F125" s="492">
        <f t="shared" ref="F125:F127" ca="1" si="771">NETWORKDAYS(TODAY(),H125)</f>
        <v>-171</v>
      </c>
      <c r="G125" s="383">
        <f t="shared" si="744"/>
        <v>41414</v>
      </c>
      <c r="H125" s="369">
        <f t="shared" si="744"/>
        <v>41414</v>
      </c>
      <c r="I125" s="588"/>
      <c r="J125" s="47"/>
      <c r="K125" s="591"/>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588"/>
      <c r="AAD125" s="112"/>
      <c r="AAE125" s="552">
        <f t="shared" si="767"/>
        <v>1</v>
      </c>
      <c r="AAF125" s="112"/>
      <c r="AAG125" s="78">
        <f>H124</f>
        <v>41414</v>
      </c>
      <c r="AAH125" s="78">
        <f t="shared" ref="AAH125:AAH127" si="772">G125</f>
        <v>41414</v>
      </c>
      <c r="AAI125" s="77"/>
      <c r="AAJ125" s="77"/>
      <c r="AAK125" s="77"/>
      <c r="AAL125" s="56"/>
      <c r="AAM125" s="112"/>
      <c r="AAN125"/>
      <c r="AAT125" s="23"/>
      <c r="AAU125" s="44"/>
    </row>
    <row r="126" spans="1:732" ht="15" customHeight="1" outlineLevel="2">
      <c r="A126" s="558"/>
      <c r="B126" s="247" t="str">
        <f ca="1">"Draft MINUTES."&amp;TEXT($G$108,"mm.dd.yy")&amp;""</f>
        <v>Draft MINUTES.01.13.14</v>
      </c>
      <c r="C126" s="231" t="s">
        <v>69</v>
      </c>
      <c r="D126" s="278" t="s">
        <v>151</v>
      </c>
      <c r="E126" s="368">
        <f t="shared" si="770"/>
        <v>1</v>
      </c>
      <c r="F126" s="492">
        <f t="shared" ca="1" si="771"/>
        <v>-171</v>
      </c>
      <c r="G126" s="383">
        <f t="shared" si="744"/>
        <v>41414</v>
      </c>
      <c r="H126" s="369">
        <f t="shared" si="744"/>
        <v>41414</v>
      </c>
      <c r="I126" s="588"/>
      <c r="J126" s="47"/>
      <c r="K126" s="591"/>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588"/>
      <c r="AAD126" s="112"/>
      <c r="AAE126" s="552">
        <f t="shared" si="767"/>
        <v>1</v>
      </c>
      <c r="AAF126" s="112"/>
      <c r="AAG126" s="78">
        <f t="shared" ref="AAG126:AAG127" si="773">H125</f>
        <v>41414</v>
      </c>
      <c r="AAH126" s="78">
        <f t="shared" si="772"/>
        <v>41414</v>
      </c>
      <c r="AAI126" s="77"/>
      <c r="AAJ126" s="77"/>
      <c r="AAK126" s="77"/>
      <c r="AAL126" s="89" t="str">
        <f>"Draft "&amp;S.CodeName&amp;"MINUTES.mm.dd.yyy.2.00"</f>
        <v>Draft MINUTES.mm.dd.yyy.2.00</v>
      </c>
      <c r="AAM126" s="112"/>
      <c r="AAN126"/>
      <c r="AAT126" s="23"/>
      <c r="AAU126" s="44"/>
      <c r="AAV126" s="23"/>
      <c r="AAW126" s="23"/>
      <c r="AAX126" s="23"/>
      <c r="AAY126" s="23"/>
      <c r="AAZ126" s="23"/>
      <c r="ABA126" s="23"/>
      <c r="ABB126" s="23"/>
      <c r="ABC126" s="23"/>
      <c r="ABD126" s="23"/>
    </row>
    <row r="127" spans="1:732" ht="15" customHeight="1" outlineLevel="2">
      <c r="A127" s="558"/>
      <c r="B127" s="243" t="s">
        <v>52</v>
      </c>
      <c r="C127" s="168"/>
      <c r="D127" s="308" t="s">
        <v>359</v>
      </c>
      <c r="E127" s="368">
        <f t="shared" si="770"/>
        <v>1</v>
      </c>
      <c r="F127" s="492">
        <f t="shared" ca="1" si="771"/>
        <v>-171</v>
      </c>
      <c r="G127" s="383">
        <f t="shared" si="744"/>
        <v>41414</v>
      </c>
      <c r="H127" s="369">
        <f t="shared" si="744"/>
        <v>41414</v>
      </c>
      <c r="I127" s="588"/>
      <c r="J127" s="47"/>
      <c r="K127" s="591"/>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50"/>
      <c r="ZZ127" s="50"/>
      <c r="AAA127" s="588"/>
      <c r="AAD127" s="112"/>
      <c r="AAE127" s="552">
        <f t="shared" si="767"/>
        <v>1</v>
      </c>
      <c r="AAF127" s="112"/>
      <c r="AAG127" s="78">
        <f t="shared" si="773"/>
        <v>41414</v>
      </c>
      <c r="AAH127" s="78">
        <f t="shared" si="772"/>
        <v>41414</v>
      </c>
      <c r="AAI127" s="77"/>
      <c r="AAJ127" s="77"/>
      <c r="AAK127" s="77"/>
      <c r="AAL127" s="56"/>
      <c r="AAM127" s="112"/>
      <c r="AAN127"/>
      <c r="AAT127" s="23"/>
      <c r="AAU127" s="44"/>
      <c r="AAV127" s="23"/>
      <c r="AAW127" s="23"/>
      <c r="AAX127" s="23"/>
      <c r="AAY127" s="23"/>
      <c r="AAZ127" s="23"/>
      <c r="ABA127" s="23"/>
      <c r="ABB127" s="23"/>
      <c r="ABC127" s="23"/>
      <c r="ABD127" s="23"/>
    </row>
    <row r="128" spans="1:732" s="23" customFormat="1" ht="18" customHeight="1" outlineLevel="1">
      <c r="A128" s="558"/>
      <c r="B128" s="244" t="s">
        <v>58</v>
      </c>
      <c r="C128" s="168"/>
      <c r="D128" s="766"/>
      <c r="E128" s="766"/>
      <c r="F128" s="766"/>
      <c r="G128" s="399">
        <f ca="1">TODAY()</f>
        <v>41652</v>
      </c>
      <c r="H128" s="399" t="s">
        <v>191</v>
      </c>
      <c r="I128" s="588"/>
      <c r="J128" s="47"/>
      <c r="K128" s="591"/>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617"/>
      <c r="ZZ128" s="622"/>
      <c r="AAA128" s="588"/>
      <c r="AAB128"/>
      <c r="AAC128"/>
      <c r="AAD128" s="112"/>
      <c r="AAE128" s="552">
        <f t="shared" si="767"/>
        <v>1</v>
      </c>
      <c r="AAF128" s="583" t="s">
        <v>174</v>
      </c>
      <c r="AAG128" s="39" t="s">
        <v>0</v>
      </c>
      <c r="AAH128" s="39" t="s">
        <v>0</v>
      </c>
      <c r="AAI128" s="39"/>
      <c r="AAJ128" s="56"/>
      <c r="AAK128" s="56"/>
      <c r="AAL128" s="56"/>
      <c r="AAM128" s="112"/>
      <c r="AAU128" s="44"/>
    </row>
    <row r="129" spans="1:723" s="23" customFormat="1" ht="15" customHeight="1" outlineLevel="2">
      <c r="A129" s="558"/>
      <c r="B129" s="375" t="s">
        <v>56</v>
      </c>
      <c r="C129" s="168"/>
      <c r="D129" s="308" t="s">
        <v>359</v>
      </c>
      <c r="E129" s="368">
        <f t="shared" ref="E129" si="774">NETWORKDAYS(G129,H129,S.DDL_DEQClosed)</f>
        <v>1</v>
      </c>
      <c r="F129" s="492">
        <f t="shared" ref="F129" ca="1" si="775">NETWORKDAYS(TODAY(),H129)</f>
        <v>-171</v>
      </c>
      <c r="G129" s="383">
        <f t="shared" ref="G129" si="776">AAG129</f>
        <v>41414</v>
      </c>
      <c r="H129" s="369">
        <f t="shared" ref="H129" si="777">AAH129</f>
        <v>41414</v>
      </c>
      <c r="I129" s="588"/>
      <c r="J129" s="47"/>
      <c r="K129" s="591"/>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50"/>
      <c r="ZZ129" s="50"/>
      <c r="AAA129" s="588"/>
      <c r="AAB129"/>
      <c r="AAC129"/>
      <c r="AAD129" s="112"/>
      <c r="AAE129" s="552">
        <f t="shared" si="767"/>
        <v>1</v>
      </c>
      <c r="AAF129" s="112"/>
      <c r="AAG129" s="78">
        <f>H126</f>
        <v>41414</v>
      </c>
      <c r="AAH129" s="78">
        <f t="shared" ref="AAH129" si="778">G129</f>
        <v>41414</v>
      </c>
      <c r="AAI129" s="77"/>
      <c r="AAJ129" s="77"/>
      <c r="AAK129" s="77"/>
      <c r="AAL129" s="56"/>
      <c r="AAM129" s="112"/>
      <c r="AAU129" s="44"/>
    </row>
    <row r="130" spans="1:723" s="23" customFormat="1" ht="15" customHeight="1" outlineLevel="2">
      <c r="A130" s="558"/>
      <c r="B130" s="376" t="s">
        <v>55</v>
      </c>
      <c r="C130" s="166"/>
      <c r="D130" s="397"/>
      <c r="E130" s="503"/>
      <c r="F130" s="503"/>
      <c r="G130" s="502"/>
      <c r="H130" s="504"/>
      <c r="I130" s="588"/>
      <c r="J130" s="47"/>
      <c r="K130" s="591"/>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617"/>
      <c r="ZZ130" s="622"/>
      <c r="AAA130" s="588"/>
      <c r="AAB130"/>
      <c r="AAC130"/>
      <c r="AAD130" s="112"/>
      <c r="AAE130" s="552">
        <f t="shared" si="767"/>
        <v>1</v>
      </c>
      <c r="AAF130" s="583" t="s">
        <v>174</v>
      </c>
      <c r="AAG130" s="63"/>
      <c r="AAH130" s="76"/>
      <c r="AAI130" s="77"/>
      <c r="AAJ130" s="77"/>
      <c r="AAK130" s="77"/>
      <c r="AAL130" s="56"/>
      <c r="AAM130" s="112"/>
      <c r="AAU130" s="44"/>
    </row>
    <row r="131" spans="1:723" s="23" customFormat="1" ht="15" customHeight="1" outlineLevel="2">
      <c r="A131" s="558"/>
      <c r="B131" s="377" t="str">
        <f ca="1">"Draft AGENDA."&amp;TEXT($G$128,"mm.dd.yy")&amp;""</f>
        <v>Draft AGENDA.01.13.14</v>
      </c>
      <c r="C131" s="231" t="s">
        <v>69</v>
      </c>
      <c r="D131" s="308" t="s">
        <v>54</v>
      </c>
      <c r="E131" s="368">
        <f t="shared" ref="E131:E135" si="779">NETWORKDAYS(G131,H131,S.DDL_DEQClosed)</f>
        <v>1</v>
      </c>
      <c r="F131" s="492">
        <f t="shared" ref="F131:F135" ca="1" si="780">NETWORKDAYS(TODAY(),H131)</f>
        <v>-171</v>
      </c>
      <c r="G131" s="383">
        <f t="shared" ref="G131:G135" si="781">AAG131</f>
        <v>41414</v>
      </c>
      <c r="H131" s="369">
        <f t="shared" ref="H131:H135" si="782">AAH131</f>
        <v>41414</v>
      </c>
      <c r="I131" s="588"/>
      <c r="J131" s="47"/>
      <c r="K131" s="591"/>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588"/>
      <c r="AAB131"/>
      <c r="AAC131"/>
      <c r="AAD131" s="112"/>
      <c r="AAE131" s="552">
        <f t="shared" si="767"/>
        <v>1</v>
      </c>
      <c r="AAF131" s="112" t="s">
        <v>0</v>
      </c>
      <c r="AAG131" s="78">
        <f>H129</f>
        <v>41414</v>
      </c>
      <c r="AAH131" s="78">
        <f>G131</f>
        <v>41414</v>
      </c>
      <c r="AAI131" s="77"/>
      <c r="AAJ131" s="77"/>
      <c r="AAK131" s="77"/>
      <c r="AAL131" s="89" t="str">
        <f>"Draft "&amp;S.CodeName&amp;"AGENDA.mm.dd.yyyy.2.00"</f>
        <v>Draft AGENDA.mm.dd.yyyy.2.00</v>
      </c>
      <c r="AAM131" s="112"/>
      <c r="AAU131" s="44"/>
    </row>
    <row r="132" spans="1:723" s="23" customFormat="1" ht="15" customHeight="1" outlineLevel="2">
      <c r="A132" s="558"/>
      <c r="B132" s="391" t="s">
        <v>196</v>
      </c>
      <c r="C132" s="239"/>
      <c r="D132" s="308" t="s">
        <v>54</v>
      </c>
      <c r="E132" s="368">
        <f t="shared" si="779"/>
        <v>1</v>
      </c>
      <c r="F132" s="492">
        <f t="shared" ca="1" si="780"/>
        <v>-171</v>
      </c>
      <c r="G132" s="383">
        <f t="shared" si="781"/>
        <v>41414</v>
      </c>
      <c r="H132" s="369">
        <f t="shared" si="782"/>
        <v>41414</v>
      </c>
      <c r="I132" s="588"/>
      <c r="J132" s="47"/>
      <c r="K132" s="591"/>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588"/>
      <c r="AAB132"/>
      <c r="AAC132"/>
      <c r="AAD132" s="112"/>
      <c r="AAE132" s="552">
        <f t="shared" si="767"/>
        <v>1</v>
      </c>
      <c r="AAF132" s="112" t="s">
        <v>0</v>
      </c>
      <c r="AAG132" s="78">
        <f>H131</f>
        <v>41414</v>
      </c>
      <c r="AAH132" s="78">
        <f t="shared" ref="AAH132:AAH135" si="783">G132</f>
        <v>41414</v>
      </c>
      <c r="AAI132" s="77"/>
      <c r="AAJ132" s="77"/>
      <c r="AAK132" s="77"/>
      <c r="AAL132" s="56"/>
      <c r="AAM132" s="112"/>
      <c r="AAU132" s="44"/>
    </row>
    <row r="133" spans="1:723" s="23" customFormat="1" ht="15" customHeight="1" outlineLevel="2">
      <c r="A133" s="558"/>
      <c r="B133" s="391" t="s">
        <v>196</v>
      </c>
      <c r="C133" s="239"/>
      <c r="D133" s="308" t="s">
        <v>54</v>
      </c>
      <c r="E133" s="368">
        <f t="shared" si="779"/>
        <v>1</v>
      </c>
      <c r="F133" s="492">
        <f t="shared" ca="1" si="780"/>
        <v>-171</v>
      </c>
      <c r="G133" s="383">
        <f t="shared" si="781"/>
        <v>41414</v>
      </c>
      <c r="H133" s="369">
        <f t="shared" si="782"/>
        <v>41414</v>
      </c>
      <c r="I133" s="588"/>
      <c r="J133" s="47"/>
      <c r="K133" s="591"/>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588"/>
      <c r="AAB133"/>
      <c r="AAC133"/>
      <c r="AAD133" s="112"/>
      <c r="AAE133" s="552">
        <f t="shared" si="767"/>
        <v>1</v>
      </c>
      <c r="AAF133" s="112" t="s">
        <v>0</v>
      </c>
      <c r="AAG133" s="78">
        <f>H132</f>
        <v>41414</v>
      </c>
      <c r="AAH133" s="78">
        <f t="shared" si="783"/>
        <v>41414</v>
      </c>
      <c r="AAI133" s="77"/>
      <c r="AAJ133" s="77"/>
      <c r="AAK133" s="77"/>
      <c r="AAL133" s="56"/>
      <c r="AAM133" s="112"/>
      <c r="AAU133" s="44"/>
    </row>
    <row r="134" spans="1:723" s="23" customFormat="1" ht="15" customHeight="1" outlineLevel="2">
      <c r="A134" s="558"/>
      <c r="B134" s="391" t="s">
        <v>196</v>
      </c>
      <c r="C134" s="239"/>
      <c r="D134" s="308" t="s">
        <v>54</v>
      </c>
      <c r="E134" s="368">
        <f t="shared" si="779"/>
        <v>1</v>
      </c>
      <c r="F134" s="492">
        <f t="shared" ca="1" si="780"/>
        <v>-171</v>
      </c>
      <c r="G134" s="383">
        <f t="shared" si="781"/>
        <v>41414</v>
      </c>
      <c r="H134" s="369">
        <f t="shared" si="782"/>
        <v>41414</v>
      </c>
      <c r="I134" s="588"/>
      <c r="J134" s="47"/>
      <c r="K134" s="591"/>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588"/>
      <c r="AAB134"/>
      <c r="AAC134"/>
      <c r="AAD134" s="112"/>
      <c r="AAE134" s="552">
        <f t="shared" si="767"/>
        <v>1</v>
      </c>
      <c r="AAF134" s="112" t="s">
        <v>0</v>
      </c>
      <c r="AAG134" s="78">
        <f>H133</f>
        <v>41414</v>
      </c>
      <c r="AAH134" s="78">
        <f t="shared" si="783"/>
        <v>41414</v>
      </c>
      <c r="AAI134" s="77"/>
      <c r="AAJ134" s="77"/>
      <c r="AAK134" s="77"/>
      <c r="AAL134" s="56"/>
      <c r="AAM134" s="112"/>
      <c r="AAU134" s="44"/>
    </row>
    <row r="135" spans="1:723" s="23" customFormat="1" ht="15" customHeight="1" outlineLevel="2">
      <c r="A135" s="558"/>
      <c r="B135" s="391" t="s">
        <v>196</v>
      </c>
      <c r="C135" s="239"/>
      <c r="D135" s="308" t="s">
        <v>54</v>
      </c>
      <c r="E135" s="368">
        <f t="shared" si="779"/>
        <v>1</v>
      </c>
      <c r="F135" s="492">
        <f t="shared" ca="1" si="780"/>
        <v>-171</v>
      </c>
      <c r="G135" s="383">
        <f t="shared" si="781"/>
        <v>41414</v>
      </c>
      <c r="H135" s="369">
        <f t="shared" si="782"/>
        <v>41414</v>
      </c>
      <c r="I135" s="588"/>
      <c r="J135" s="47"/>
      <c r="K135" s="591"/>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50"/>
      <c r="ZZ135" s="50"/>
      <c r="AAA135" s="588"/>
      <c r="AAB135"/>
      <c r="AAC135"/>
      <c r="AAD135" s="112"/>
      <c r="AAE135" s="552">
        <f t="shared" si="767"/>
        <v>1</v>
      </c>
      <c r="AAF135" s="112" t="s">
        <v>0</v>
      </c>
      <c r="AAG135" s="78">
        <f t="shared" ref="AAG135" si="784">H134</f>
        <v>41414</v>
      </c>
      <c r="AAH135" s="78">
        <f t="shared" si="783"/>
        <v>41414</v>
      </c>
      <c r="AAI135" s="77"/>
      <c r="AAJ135" s="77"/>
      <c r="AAK135" s="77"/>
      <c r="AAL135" s="56"/>
      <c r="AAM135" s="112"/>
      <c r="AAU135" s="44"/>
    </row>
    <row r="136" spans="1:723" s="23" customFormat="1" ht="15" customHeight="1" outlineLevel="2">
      <c r="A136" s="558"/>
      <c r="B136" s="392" t="s">
        <v>189</v>
      </c>
      <c r="C136" s="709"/>
      <c r="D136" s="398"/>
      <c r="E136" s="402"/>
      <c r="F136" s="402"/>
      <c r="G136" s="402"/>
      <c r="H136" s="402"/>
      <c r="I136" s="588"/>
      <c r="J136" s="47"/>
      <c r="K136" s="591"/>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617"/>
      <c r="ZZ136" s="622"/>
      <c r="AAA136" s="588"/>
      <c r="AAB136"/>
      <c r="AAC136"/>
      <c r="AAD136" s="112"/>
      <c r="AAE136" s="552">
        <f t="shared" si="767"/>
        <v>1</v>
      </c>
      <c r="AAF136" s="583" t="s">
        <v>174</v>
      </c>
      <c r="AAG136" s="39"/>
      <c r="AAH136" s="39"/>
      <c r="AAI136" s="77"/>
      <c r="AAJ136" s="77"/>
      <c r="AAK136" s="77"/>
      <c r="AAL136" s="56"/>
      <c r="AAM136" s="112"/>
      <c r="AAU136" s="44"/>
    </row>
    <row r="137" spans="1:723" s="23" customFormat="1" ht="15" customHeight="1" outlineLevel="2">
      <c r="A137" s="558"/>
      <c r="B137" s="393" t="str">
        <f ca="1">"Draft optional PRESENTATION."&amp;TEXT($G$128,"mm.dd.yy")&amp;""</f>
        <v>Draft optional PRESENTATION.01.13.14</v>
      </c>
      <c r="C137" s="231" t="s">
        <v>69</v>
      </c>
      <c r="D137" s="308" t="s">
        <v>54</v>
      </c>
      <c r="E137" s="368">
        <f t="shared" ref="E137:E140" si="785">NETWORKDAYS(G137,H137,S.DDL_DEQClosed)</f>
        <v>1</v>
      </c>
      <c r="F137" s="492">
        <f t="shared" ref="F137:F140" ca="1" si="786">NETWORKDAYS(TODAY(),H137)</f>
        <v>-171</v>
      </c>
      <c r="G137" s="383">
        <f t="shared" ref="G137:G140" si="787">AAG137</f>
        <v>41414</v>
      </c>
      <c r="H137" s="369">
        <f t="shared" ref="H137:H140" si="788">AAH137</f>
        <v>41414</v>
      </c>
      <c r="I137" s="588"/>
      <c r="J137" s="47"/>
      <c r="K137" s="591"/>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588"/>
      <c r="AAB137"/>
      <c r="AAC137"/>
      <c r="AAD137" s="112"/>
      <c r="AAE137" s="552">
        <f t="shared" si="767"/>
        <v>1</v>
      </c>
      <c r="AAF137" s="112" t="s">
        <v>0</v>
      </c>
      <c r="AAG137" s="78">
        <f>H135</f>
        <v>41414</v>
      </c>
      <c r="AAH137" s="78">
        <f t="shared" ref="AAH137:AAH140" si="789">G137</f>
        <v>41414</v>
      </c>
      <c r="AAI137" s="77"/>
      <c r="AAJ137" s="77"/>
      <c r="AAK137" s="77"/>
      <c r="AAL137" s="56"/>
      <c r="AAM137" s="112"/>
      <c r="AAU137" s="44"/>
    </row>
    <row r="138" spans="1:723" s="23" customFormat="1" ht="15" customHeight="1" outlineLevel="2">
      <c r="A138" s="558"/>
      <c r="B138" s="393" t="s">
        <v>200</v>
      </c>
      <c r="C138" s="239"/>
      <c r="D138" s="308" t="s">
        <v>54</v>
      </c>
      <c r="E138" s="368">
        <f t="shared" si="785"/>
        <v>1</v>
      </c>
      <c r="F138" s="492">
        <f t="shared" ca="1" si="786"/>
        <v>-171</v>
      </c>
      <c r="G138" s="383">
        <f t="shared" si="787"/>
        <v>41414</v>
      </c>
      <c r="H138" s="369">
        <f t="shared" si="788"/>
        <v>41414</v>
      </c>
      <c r="I138" s="588"/>
      <c r="J138" s="47"/>
      <c r="K138" s="591"/>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588"/>
      <c r="AAB138"/>
      <c r="AAC138"/>
      <c r="AAD138" s="112"/>
      <c r="AAE138" s="552">
        <f t="shared" si="767"/>
        <v>1</v>
      </c>
      <c r="AAF138" s="112" t="s">
        <v>0</v>
      </c>
      <c r="AAG138" s="78">
        <f t="shared" ref="AAG138" si="790">H137</f>
        <v>41414</v>
      </c>
      <c r="AAH138" s="78">
        <f t="shared" si="789"/>
        <v>41414</v>
      </c>
      <c r="AAI138" s="77"/>
      <c r="AAJ138" s="77"/>
      <c r="AAK138" s="77"/>
      <c r="AAL138" s="56"/>
      <c r="AAM138" s="112"/>
      <c r="AAU138" s="44"/>
    </row>
    <row r="139" spans="1:723" s="23" customFormat="1" ht="15" customHeight="1" outlineLevel="2">
      <c r="A139" s="558"/>
      <c r="B139" s="393" t="s">
        <v>194</v>
      </c>
      <c r="C139" s="239"/>
      <c r="D139" s="308" t="s">
        <v>54</v>
      </c>
      <c r="E139" s="368">
        <f t="shared" si="785"/>
        <v>1</v>
      </c>
      <c r="F139" s="492">
        <f t="shared" ca="1" si="786"/>
        <v>-171</v>
      </c>
      <c r="G139" s="383">
        <f t="shared" si="787"/>
        <v>41414</v>
      </c>
      <c r="H139" s="369">
        <f t="shared" si="788"/>
        <v>41414</v>
      </c>
      <c r="I139" s="588"/>
      <c r="J139" s="47"/>
      <c r="K139" s="591"/>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588"/>
      <c r="AAB139"/>
      <c r="AAC139"/>
      <c r="AAD139" s="112"/>
      <c r="AAE139" s="552">
        <f t="shared" si="767"/>
        <v>1</v>
      </c>
      <c r="AAF139" s="112" t="s">
        <v>0</v>
      </c>
      <c r="AAG139" s="78">
        <f>H138</f>
        <v>41414</v>
      </c>
      <c r="AAH139" s="78">
        <f t="shared" si="789"/>
        <v>41414</v>
      </c>
      <c r="AAI139" s="77"/>
      <c r="AAJ139" s="77"/>
      <c r="AAK139" s="77"/>
      <c r="AAL139" s="56"/>
      <c r="AAM139" s="112"/>
      <c r="AAU139" s="44"/>
    </row>
    <row r="140" spans="1:723" s="23" customFormat="1" ht="15" customHeight="1" outlineLevel="2">
      <c r="A140" s="558"/>
      <c r="B140" s="393" t="s">
        <v>195</v>
      </c>
      <c r="C140" s="239"/>
      <c r="D140" s="308" t="s">
        <v>54</v>
      </c>
      <c r="E140" s="368">
        <f t="shared" si="785"/>
        <v>1</v>
      </c>
      <c r="F140" s="492">
        <f t="shared" ca="1" si="786"/>
        <v>-171</v>
      </c>
      <c r="G140" s="383">
        <f t="shared" si="787"/>
        <v>41414</v>
      </c>
      <c r="H140" s="369">
        <f t="shared" si="788"/>
        <v>41414</v>
      </c>
      <c r="I140" s="588"/>
      <c r="J140" s="47"/>
      <c r="K140" s="591"/>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50"/>
      <c r="ZZ140" s="50"/>
      <c r="AAA140" s="588"/>
      <c r="AAB140"/>
      <c r="AAC140"/>
      <c r="AAD140" s="112"/>
      <c r="AAE140" s="552">
        <f t="shared" si="767"/>
        <v>1</v>
      </c>
      <c r="AAF140" s="112" t="s">
        <v>0</v>
      </c>
      <c r="AAG140" s="78">
        <f t="shared" ref="AAG140" si="791">H139</f>
        <v>41414</v>
      </c>
      <c r="AAH140" s="78">
        <f t="shared" si="789"/>
        <v>41414</v>
      </c>
      <c r="AAI140" s="77"/>
      <c r="AAJ140" s="77"/>
      <c r="AAK140" s="77"/>
      <c r="AAL140" s="56"/>
      <c r="AAM140" s="112"/>
      <c r="AAU140" s="44"/>
    </row>
    <row r="141" spans="1:723" s="23" customFormat="1" ht="15" customHeight="1" outlineLevel="2">
      <c r="A141" s="558"/>
      <c r="B141" s="394" t="s">
        <v>190</v>
      </c>
      <c r="C141" s="710"/>
      <c r="D141" s="386"/>
      <c r="E141" s="127"/>
      <c r="F141" s="127"/>
      <c r="G141" s="127"/>
      <c r="H141" s="127"/>
      <c r="I141" s="588"/>
      <c r="J141" s="47"/>
      <c r="K141" s="591"/>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617"/>
      <c r="ZZ141" s="622"/>
      <c r="AAA141" s="588"/>
      <c r="AAB141"/>
      <c r="AAC141"/>
      <c r="AAD141" s="112"/>
      <c r="AAE141" s="552">
        <f t="shared" si="767"/>
        <v>1</v>
      </c>
      <c r="AAF141" s="583" t="s">
        <v>174</v>
      </c>
      <c r="AAG141" s="39"/>
      <c r="AAH141" s="39"/>
      <c r="AAI141" s="39"/>
      <c r="AAJ141" s="56"/>
      <c r="AAK141" s="56"/>
      <c r="AAL141" s="56"/>
      <c r="AAM141" s="112"/>
      <c r="AAU141" s="44"/>
    </row>
    <row r="142" spans="1:723" s="23" customFormat="1" ht="15" customHeight="1" outlineLevel="2">
      <c r="A142" s="558"/>
      <c r="B142" s="377" t="str">
        <f ca="1">"Draft COMMITTEE.NOTICE."&amp;TEXT($G$128,"mm.dd.yy")&amp;""</f>
        <v>Draft COMMITTEE.NOTICE.01.13.14</v>
      </c>
      <c r="C142" s="239"/>
      <c r="D142" s="308" t="s">
        <v>151</v>
      </c>
      <c r="E142" s="368">
        <f t="shared" ref="E142" si="792">NETWORKDAYS(G142,H142,S.DDL_DEQClosed)</f>
        <v>1</v>
      </c>
      <c r="F142" s="492">
        <f t="shared" ref="F142" ca="1" si="793">NETWORKDAYS(TODAY(),H142)</f>
        <v>-171</v>
      </c>
      <c r="G142" s="383">
        <f t="shared" ref="G142" si="794">AAG142</f>
        <v>41414</v>
      </c>
      <c r="H142" s="369">
        <f t="shared" ref="H142" si="795">AAH142</f>
        <v>41414</v>
      </c>
      <c r="I142" s="588"/>
      <c r="J142" s="47"/>
      <c r="K142" s="591"/>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50"/>
      <c r="ZZ142" s="50"/>
      <c r="AAA142" s="588"/>
      <c r="AAB142"/>
      <c r="AAC142"/>
      <c r="AAD142" s="112"/>
      <c r="AAE142" s="552">
        <f t="shared" si="767"/>
        <v>1</v>
      </c>
      <c r="AAF142" s="112" t="s">
        <v>0</v>
      </c>
      <c r="AAG142" s="78">
        <f>H140</f>
        <v>41414</v>
      </c>
      <c r="AAH142" s="78">
        <f t="shared" ref="AAH142" si="796">G142</f>
        <v>41414</v>
      </c>
      <c r="AAI142" s="77"/>
      <c r="AAJ142" s="77"/>
      <c r="AAK142" s="77"/>
      <c r="AAL142" s="89" t="str">
        <f>"Draft "&amp;S.CodeName&amp;"COMMITTEE.NOTICE.mm.dd.yyyy.2.00"</f>
        <v>Draft COMMITTEE.NOTICE.mm.dd.yyyy.2.00</v>
      </c>
      <c r="AAM142" s="112"/>
      <c r="AAU142" s="44"/>
    </row>
    <row r="143" spans="1:723" s="23" customFormat="1" ht="15" customHeight="1" outlineLevel="2">
      <c r="A143" s="558"/>
      <c r="B143" s="395" t="s">
        <v>21</v>
      </c>
      <c r="C143" s="245"/>
      <c r="D143" s="197"/>
      <c r="E143" s="123"/>
      <c r="F143" s="124"/>
      <c r="G143" s="246" t="s">
        <v>0</v>
      </c>
      <c r="H143" s="145"/>
      <c r="I143" s="588"/>
      <c r="J143" s="47"/>
      <c r="K143" s="591"/>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617"/>
      <c r="ZZ143" s="622"/>
      <c r="AAA143" s="588"/>
      <c r="AAB143"/>
      <c r="AAC143"/>
      <c r="AAD143" s="112"/>
      <c r="AAE143" s="552">
        <f t="shared" si="767"/>
        <v>1</v>
      </c>
      <c r="AAF143" s="583" t="s">
        <v>174</v>
      </c>
      <c r="AAG143" s="63"/>
      <c r="AAH143" s="76" t="s">
        <v>0</v>
      </c>
      <c r="AAI143" s="77"/>
      <c r="AAJ143" s="77"/>
      <c r="AAK143" s="77"/>
      <c r="AAL143" s="56"/>
      <c r="AAM143" s="112"/>
      <c r="AAU143" s="44"/>
    </row>
    <row r="144" spans="1:723" s="23" customFormat="1" ht="15" customHeight="1" outlineLevel="2">
      <c r="A144" s="558"/>
      <c r="B144" s="387" t="s">
        <v>199</v>
      </c>
      <c r="C144" s="168"/>
      <c r="D144" s="308" t="s">
        <v>157</v>
      </c>
      <c r="E144" s="368">
        <f>NETWORKDAYS(G144,H144,S.DDL_DEQClosed)</f>
        <v>1</v>
      </c>
      <c r="F144" s="492">
        <f ca="1">NETWORKDAYS(TODAY(),H144)</f>
        <v>-171</v>
      </c>
      <c r="G144" s="383">
        <f>AAG144</f>
        <v>41414</v>
      </c>
      <c r="H144" s="369">
        <f>AAH144</f>
        <v>41414</v>
      </c>
      <c r="I144" s="588"/>
      <c r="J144" s="47"/>
      <c r="K144" s="591"/>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588"/>
      <c r="AAB144"/>
      <c r="AAC144"/>
      <c r="AAD144" s="112"/>
      <c r="AAE144" s="552">
        <f t="shared" si="767"/>
        <v>1</v>
      </c>
      <c r="AAF144" s="112"/>
      <c r="AAG144" s="78">
        <f>H142</f>
        <v>41414</v>
      </c>
      <c r="AAH144" s="78">
        <f>G144</f>
        <v>41414</v>
      </c>
      <c r="AAI144" s="77"/>
      <c r="AAJ144" s="77"/>
      <c r="AAK144" s="77"/>
      <c r="AAL144" s="56"/>
      <c r="AAM144" s="112"/>
      <c r="AAU144" s="44"/>
    </row>
    <row r="145" spans="1:723" s="23" customFormat="1" ht="15" customHeight="1" outlineLevel="2">
      <c r="A145" s="558"/>
      <c r="B145" s="387" t="s">
        <v>53</v>
      </c>
      <c r="C145" s="168"/>
      <c r="D145" s="308" t="s">
        <v>359</v>
      </c>
      <c r="E145" s="368">
        <f t="shared" ref="E145:E147" si="797">NETWORKDAYS(G145,H145,S.DDL_DEQClosed)</f>
        <v>1</v>
      </c>
      <c r="F145" s="492">
        <f t="shared" ref="F145:F147" ca="1" si="798">NETWORKDAYS(TODAY(),H145)</f>
        <v>-171</v>
      </c>
      <c r="G145" s="383">
        <f t="shared" ref="G145:G147" si="799">AAG145</f>
        <v>41414</v>
      </c>
      <c r="H145" s="369">
        <f t="shared" ref="H145:H147" si="800">AAH145</f>
        <v>41414</v>
      </c>
      <c r="I145" s="588"/>
      <c r="J145" s="47"/>
      <c r="K145" s="591"/>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588"/>
      <c r="AAB145"/>
      <c r="AAC145"/>
      <c r="AAD145" s="112"/>
      <c r="AAE145" s="552">
        <f t="shared" si="767"/>
        <v>1</v>
      </c>
      <c r="AAF145" s="112"/>
      <c r="AAG145" s="78">
        <f>H144</f>
        <v>41414</v>
      </c>
      <c r="AAH145" s="78">
        <f t="shared" ref="AAH145:AAH147" si="801">G145</f>
        <v>41414</v>
      </c>
      <c r="AAI145" s="77"/>
      <c r="AAJ145" s="77"/>
      <c r="AAK145" s="77"/>
      <c r="AAL145" s="56"/>
      <c r="AAM145" s="112"/>
      <c r="AAU145" s="44"/>
    </row>
    <row r="146" spans="1:723" s="23" customFormat="1" ht="15" customHeight="1" outlineLevel="2">
      <c r="A146" s="558"/>
      <c r="B146" s="404" t="str">
        <f ca="1">"Draft MINUTES."&amp;TEXT($G$128,"mm.dd.yy")&amp;""</f>
        <v>Draft MINUTES.01.13.14</v>
      </c>
      <c r="C146" s="231" t="s">
        <v>69</v>
      </c>
      <c r="D146" s="278" t="s">
        <v>151</v>
      </c>
      <c r="E146" s="368">
        <f t="shared" si="797"/>
        <v>1</v>
      </c>
      <c r="F146" s="492">
        <f t="shared" ca="1" si="798"/>
        <v>-171</v>
      </c>
      <c r="G146" s="383">
        <f t="shared" si="799"/>
        <v>41414</v>
      </c>
      <c r="H146" s="369">
        <f t="shared" si="800"/>
        <v>41414</v>
      </c>
      <c r="I146" s="588"/>
      <c r="J146" s="47"/>
      <c r="K146" s="591"/>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588"/>
      <c r="AAB146"/>
      <c r="AAC146"/>
      <c r="AAD146" s="112"/>
      <c r="AAE146" s="552">
        <f t="shared" si="767"/>
        <v>1</v>
      </c>
      <c r="AAF146" s="112"/>
      <c r="AAG146" s="78">
        <f t="shared" ref="AAG146:AAG147" si="802">H145</f>
        <v>41414</v>
      </c>
      <c r="AAH146" s="78">
        <f t="shared" si="801"/>
        <v>41414</v>
      </c>
      <c r="AAI146" s="77"/>
      <c r="AAJ146" s="77"/>
      <c r="AAK146" s="77"/>
      <c r="AAL146" s="89" t="str">
        <f>"Draft "&amp;S.CodeName&amp;"MINUTES.mm.dd.yyy.2.00"</f>
        <v>Draft MINUTES.mm.dd.yyy.2.00</v>
      </c>
      <c r="AAM146" s="112"/>
      <c r="AAU146" s="44"/>
    </row>
    <row r="147" spans="1:723" s="23" customFormat="1" ht="15" customHeight="1" outlineLevel="2">
      <c r="A147" s="558"/>
      <c r="B147" s="387" t="s">
        <v>52</v>
      </c>
      <c r="C147" s="168"/>
      <c r="D147" s="169" t="s">
        <v>359</v>
      </c>
      <c r="E147" s="368">
        <f t="shared" si="797"/>
        <v>1</v>
      </c>
      <c r="F147" s="492">
        <f t="shared" ca="1" si="798"/>
        <v>-171</v>
      </c>
      <c r="G147" s="383">
        <f t="shared" si="799"/>
        <v>41414</v>
      </c>
      <c r="H147" s="369">
        <f t="shared" si="800"/>
        <v>41414</v>
      </c>
      <c r="I147" s="588"/>
      <c r="J147" s="47"/>
      <c r="K147" s="591"/>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50"/>
      <c r="ZZ147" s="50"/>
      <c r="AAA147" s="588"/>
      <c r="AAB147"/>
      <c r="AAC147"/>
      <c r="AAD147" s="112"/>
      <c r="AAE147" s="552">
        <f t="shared" si="767"/>
        <v>1</v>
      </c>
      <c r="AAF147" s="112"/>
      <c r="AAG147" s="78">
        <f t="shared" si="802"/>
        <v>41414</v>
      </c>
      <c r="AAH147" s="78">
        <f t="shared" si="801"/>
        <v>41414</v>
      </c>
      <c r="AAI147" s="77"/>
      <c r="AAJ147" s="77"/>
      <c r="AAK147" s="77"/>
      <c r="AAL147" s="56"/>
      <c r="AAM147" s="112"/>
      <c r="AAU147" s="44"/>
    </row>
    <row r="148" spans="1:723" s="23" customFormat="1" ht="18" customHeight="1" outlineLevel="1">
      <c r="A148" s="558"/>
      <c r="B148" s="244" t="s">
        <v>57</v>
      </c>
      <c r="C148" s="168"/>
      <c r="D148" s="766"/>
      <c r="E148" s="766"/>
      <c r="F148" s="766"/>
      <c r="G148" s="388">
        <f ca="1">TODAY()</f>
        <v>41652</v>
      </c>
      <c r="H148" s="388" t="s">
        <v>191</v>
      </c>
      <c r="I148" s="588"/>
      <c r="J148" s="47"/>
      <c r="K148" s="591"/>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617"/>
      <c r="ZZ148" s="622"/>
      <c r="AAA148" s="588"/>
      <c r="AAB148"/>
      <c r="AAC148"/>
      <c r="AAD148" s="112"/>
      <c r="AAE148" s="552">
        <f t="shared" si="767"/>
        <v>1</v>
      </c>
      <c r="AAF148" s="583" t="s">
        <v>174</v>
      </c>
      <c r="AAG148" s="39" t="s">
        <v>0</v>
      </c>
      <c r="AAH148" s="39" t="s">
        <v>0</v>
      </c>
      <c r="AAI148" s="77"/>
      <c r="AAJ148" s="77"/>
      <c r="AAK148" s="77"/>
      <c r="AAL148" s="56"/>
      <c r="AAM148" s="112"/>
      <c r="AAU148" s="44"/>
    </row>
    <row r="149" spans="1:723" s="23" customFormat="1" ht="15" customHeight="1" outlineLevel="2">
      <c r="A149" s="558"/>
      <c r="B149" s="238" t="s">
        <v>56</v>
      </c>
      <c r="C149" s="168"/>
      <c r="D149" s="169" t="s">
        <v>359</v>
      </c>
      <c r="E149" s="379">
        <f t="shared" ref="E149" si="803">NETWORKDAYS(G149,H149,S.DDL_DEQClosed)</f>
        <v>1</v>
      </c>
      <c r="F149" s="492">
        <f t="shared" ref="F149" ca="1" si="804">NETWORKDAYS(TODAY(),H149)</f>
        <v>-171</v>
      </c>
      <c r="G149" s="381">
        <f t="shared" ref="G149" si="805">AAG149</f>
        <v>41414</v>
      </c>
      <c r="H149" s="382">
        <f t="shared" ref="H149" si="806">AAH149</f>
        <v>41414</v>
      </c>
      <c r="I149" s="588"/>
      <c r="J149" s="47"/>
      <c r="K149" s="591"/>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50"/>
      <c r="ZZ149" s="50"/>
      <c r="AAA149" s="588"/>
      <c r="AAB149"/>
      <c r="AAC149"/>
      <c r="AAD149" s="112"/>
      <c r="AAE149" s="552">
        <f t="shared" si="767"/>
        <v>1</v>
      </c>
      <c r="AAF149" s="112"/>
      <c r="AAG149" s="78">
        <f>H146</f>
        <v>41414</v>
      </c>
      <c r="AAH149" s="78">
        <f t="shared" ref="AAH149" si="807">G149</f>
        <v>41414</v>
      </c>
      <c r="AAI149" s="77"/>
      <c r="AAJ149" s="77"/>
      <c r="AAK149" s="77"/>
      <c r="AAL149" s="56"/>
      <c r="AAM149" s="112"/>
      <c r="AAU149" s="44"/>
    </row>
    <row r="150" spans="1:723" s="23" customFormat="1" ht="15" customHeight="1" outlineLevel="2">
      <c r="A150" s="558"/>
      <c r="B150" s="376" t="s">
        <v>55</v>
      </c>
      <c r="C150" s="166"/>
      <c r="D150" s="175"/>
      <c r="E150" s="160"/>
      <c r="F150" s="160"/>
      <c r="G150" s="161"/>
      <c r="H150" s="145"/>
      <c r="I150" s="588"/>
      <c r="J150" s="47"/>
      <c r="K150" s="591"/>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617"/>
      <c r="ZZ150" s="622"/>
      <c r="AAA150" s="588"/>
      <c r="AAB150"/>
      <c r="AAC150"/>
      <c r="AAD150" s="112"/>
      <c r="AAE150" s="552">
        <f t="shared" ref="AAE150:AAE181" si="808">IF(S.InvolveCommittee=TRUE,1,0)</f>
        <v>1</v>
      </c>
      <c r="AAF150" s="583" t="s">
        <v>174</v>
      </c>
      <c r="AAG150" s="63"/>
      <c r="AAH150" s="76"/>
      <c r="AAI150" s="76"/>
      <c r="AAJ150" s="56"/>
      <c r="AAK150" s="56"/>
      <c r="AAL150" s="56"/>
      <c r="AAM150" s="112"/>
      <c r="AAU150" s="44"/>
    </row>
    <row r="151" spans="1:723" s="23" customFormat="1" ht="15" customHeight="1" outlineLevel="2">
      <c r="A151" s="558"/>
      <c r="B151" s="377" t="str">
        <f ca="1">"Draft AGENDA."&amp;TEXT($G$148,"mm.dd.yy")&amp;""</f>
        <v>Draft AGENDA.01.13.14</v>
      </c>
      <c r="C151" s="231" t="s">
        <v>69</v>
      </c>
      <c r="D151" s="169" t="s">
        <v>54</v>
      </c>
      <c r="E151" s="379">
        <f t="shared" ref="E151:E155" si="809">NETWORKDAYS(G151,H151,S.DDL_DEQClosed)</f>
        <v>1</v>
      </c>
      <c r="F151" s="492">
        <f t="shared" ref="F151:F155" ca="1" si="810">NETWORKDAYS(TODAY(),H151)</f>
        <v>-171</v>
      </c>
      <c r="G151" s="381">
        <f t="shared" ref="G151:G155" si="811">AAG151</f>
        <v>41414</v>
      </c>
      <c r="H151" s="382">
        <f t="shared" ref="H151:H155" si="812">AAH151</f>
        <v>41414</v>
      </c>
      <c r="I151" s="588"/>
      <c r="J151" s="47"/>
      <c r="K151" s="591"/>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588"/>
      <c r="AAB151"/>
      <c r="AAC151"/>
      <c r="AAD151" s="112"/>
      <c r="AAE151" s="552">
        <f t="shared" si="808"/>
        <v>1</v>
      </c>
      <c r="AAF151" s="112" t="s">
        <v>0</v>
      </c>
      <c r="AAG151" s="78">
        <f>H149</f>
        <v>41414</v>
      </c>
      <c r="AAH151" s="78">
        <f>G151</f>
        <v>41414</v>
      </c>
      <c r="AAI151" s="77"/>
      <c r="AAJ151" s="77"/>
      <c r="AAK151" s="77"/>
      <c r="AAL151" s="89" t="str">
        <f>"Draft "&amp;S.CodeName&amp;"AGENDA.mm.dd.yyyy.2.00"</f>
        <v>Draft AGENDA.mm.dd.yyyy.2.00</v>
      </c>
      <c r="AAM151" s="112"/>
      <c r="AAU151" s="44"/>
    </row>
    <row r="152" spans="1:723" s="23" customFormat="1" ht="15" customHeight="1" outlineLevel="2">
      <c r="A152" s="558"/>
      <c r="B152" s="391" t="s">
        <v>196</v>
      </c>
      <c r="C152" s="239"/>
      <c r="D152" s="169" t="s">
        <v>54</v>
      </c>
      <c r="E152" s="379">
        <f t="shared" si="809"/>
        <v>1</v>
      </c>
      <c r="F152" s="492">
        <f t="shared" ca="1" si="810"/>
        <v>-171</v>
      </c>
      <c r="G152" s="381">
        <f t="shared" si="811"/>
        <v>41414</v>
      </c>
      <c r="H152" s="382">
        <f t="shared" si="812"/>
        <v>41414</v>
      </c>
      <c r="I152" s="588"/>
      <c r="J152" s="47"/>
      <c r="K152" s="591"/>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588"/>
      <c r="AAB152"/>
      <c r="AAC152"/>
      <c r="AAD152" s="112"/>
      <c r="AAE152" s="552">
        <f t="shared" si="808"/>
        <v>1</v>
      </c>
      <c r="AAF152" s="112" t="s">
        <v>0</v>
      </c>
      <c r="AAG152" s="78">
        <f>H151</f>
        <v>41414</v>
      </c>
      <c r="AAH152" s="78">
        <f t="shared" ref="AAH152:AAH155" si="813">G152</f>
        <v>41414</v>
      </c>
      <c r="AAI152" s="77"/>
      <c r="AAJ152" s="77"/>
      <c r="AAK152" s="77"/>
      <c r="AAL152" s="56"/>
      <c r="AAM152" s="112"/>
      <c r="AAU152" s="44"/>
    </row>
    <row r="153" spans="1:723" s="23" customFormat="1" ht="15" customHeight="1" outlineLevel="2">
      <c r="A153" s="558"/>
      <c r="B153" s="391" t="s">
        <v>196</v>
      </c>
      <c r="C153" s="239"/>
      <c r="D153" s="169" t="s">
        <v>54</v>
      </c>
      <c r="E153" s="379">
        <f t="shared" si="809"/>
        <v>1</v>
      </c>
      <c r="F153" s="492">
        <f t="shared" ca="1" si="810"/>
        <v>-171</v>
      </c>
      <c r="G153" s="381">
        <f t="shared" si="811"/>
        <v>41414</v>
      </c>
      <c r="H153" s="382">
        <f t="shared" si="812"/>
        <v>41414</v>
      </c>
      <c r="I153" s="588"/>
      <c r="J153" s="47"/>
      <c r="K153" s="591"/>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588"/>
      <c r="AAB153"/>
      <c r="AAC153"/>
      <c r="AAD153" s="112"/>
      <c r="AAE153" s="552">
        <f t="shared" si="808"/>
        <v>1</v>
      </c>
      <c r="AAF153" s="112" t="s">
        <v>0</v>
      </c>
      <c r="AAG153" s="78">
        <f>H152</f>
        <v>41414</v>
      </c>
      <c r="AAH153" s="78">
        <f t="shared" si="813"/>
        <v>41414</v>
      </c>
      <c r="AAI153" s="77"/>
      <c r="AAJ153" s="77"/>
      <c r="AAK153" s="77"/>
      <c r="AAL153" s="56"/>
      <c r="AAM153" s="112"/>
      <c r="AAU153" s="44"/>
    </row>
    <row r="154" spans="1:723" s="23" customFormat="1" ht="15" customHeight="1" outlineLevel="2">
      <c r="A154" s="558"/>
      <c r="B154" s="391" t="s">
        <v>196</v>
      </c>
      <c r="C154" s="239"/>
      <c r="D154" s="169" t="s">
        <v>54</v>
      </c>
      <c r="E154" s="379">
        <f t="shared" si="809"/>
        <v>1</v>
      </c>
      <c r="F154" s="492">
        <f t="shared" ca="1" si="810"/>
        <v>-171</v>
      </c>
      <c r="G154" s="381">
        <f t="shared" si="811"/>
        <v>41414</v>
      </c>
      <c r="H154" s="382">
        <f t="shared" si="812"/>
        <v>41414</v>
      </c>
      <c r="I154" s="588"/>
      <c r="J154" s="47"/>
      <c r="K154" s="591"/>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588"/>
      <c r="AAB154"/>
      <c r="AAC154"/>
      <c r="AAD154" s="112"/>
      <c r="AAE154" s="552">
        <f t="shared" si="808"/>
        <v>1</v>
      </c>
      <c r="AAF154" s="112" t="s">
        <v>0</v>
      </c>
      <c r="AAG154" s="78">
        <f>H153</f>
        <v>41414</v>
      </c>
      <c r="AAH154" s="78">
        <f t="shared" si="813"/>
        <v>41414</v>
      </c>
      <c r="AAI154" s="77"/>
      <c r="AAJ154" s="77"/>
      <c r="AAK154" s="77"/>
      <c r="AAL154" s="56"/>
      <c r="AAM154" s="112"/>
      <c r="AAU154" s="44"/>
    </row>
    <row r="155" spans="1:723" s="23" customFormat="1" ht="15" customHeight="1" outlineLevel="2">
      <c r="A155" s="558"/>
      <c r="B155" s="391" t="s">
        <v>196</v>
      </c>
      <c r="C155" s="239"/>
      <c r="D155" s="169" t="s">
        <v>54</v>
      </c>
      <c r="E155" s="379">
        <f t="shared" si="809"/>
        <v>1</v>
      </c>
      <c r="F155" s="492">
        <f t="shared" ca="1" si="810"/>
        <v>-171</v>
      </c>
      <c r="G155" s="381">
        <f t="shared" si="811"/>
        <v>41414</v>
      </c>
      <c r="H155" s="382">
        <f t="shared" si="812"/>
        <v>41414</v>
      </c>
      <c r="I155" s="588"/>
      <c r="J155" s="47"/>
      <c r="K155" s="591"/>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50"/>
      <c r="ZZ155" s="50"/>
      <c r="AAA155" s="588"/>
      <c r="AAB155"/>
      <c r="AAC155"/>
      <c r="AAD155" s="112"/>
      <c r="AAE155" s="552">
        <f t="shared" si="808"/>
        <v>1</v>
      </c>
      <c r="AAF155" s="112" t="s">
        <v>0</v>
      </c>
      <c r="AAG155" s="78">
        <f t="shared" ref="AAG155" si="814">H154</f>
        <v>41414</v>
      </c>
      <c r="AAH155" s="78">
        <f t="shared" si="813"/>
        <v>41414</v>
      </c>
      <c r="AAI155" s="77"/>
      <c r="AAJ155" s="77"/>
      <c r="AAK155" s="77"/>
      <c r="AAL155" s="56"/>
      <c r="AAM155" s="112"/>
      <c r="AAU155" s="44"/>
    </row>
    <row r="156" spans="1:723" s="23" customFormat="1" ht="15" customHeight="1" outlineLevel="2">
      <c r="A156" s="558"/>
      <c r="B156" s="392" t="s">
        <v>189</v>
      </c>
      <c r="C156" s="709"/>
      <c r="D156" s="167"/>
      <c r="E156" s="167"/>
      <c r="F156" s="167"/>
      <c r="G156" s="167"/>
      <c r="H156" s="167"/>
      <c r="I156" s="588"/>
      <c r="J156" s="47"/>
      <c r="K156" s="591"/>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617"/>
      <c r="ZZ156" s="622"/>
      <c r="AAA156" s="588"/>
      <c r="AAB156"/>
      <c r="AAC156"/>
      <c r="AAD156" s="112"/>
      <c r="AAE156" s="552">
        <f t="shared" si="808"/>
        <v>1</v>
      </c>
      <c r="AAF156" s="583" t="s">
        <v>174</v>
      </c>
      <c r="AAG156" s="39"/>
      <c r="AAH156" s="39"/>
      <c r="AAI156" s="39"/>
      <c r="AAJ156" s="56"/>
      <c r="AAK156" s="56"/>
      <c r="AAL156" s="56"/>
      <c r="AAM156" s="112"/>
      <c r="AAU156" s="44"/>
    </row>
    <row r="157" spans="1:723" s="23" customFormat="1" ht="15" customHeight="1" outlineLevel="2">
      <c r="A157" s="558"/>
      <c r="B157" s="393" t="str">
        <f ca="1">"Draft optional PRESENTATION."&amp;TEXT($G$148,"mm.dd.yy")&amp;""</f>
        <v>Draft optional PRESENTATION.01.13.14</v>
      </c>
      <c r="C157" s="231" t="s">
        <v>69</v>
      </c>
      <c r="D157" s="169" t="s">
        <v>54</v>
      </c>
      <c r="E157" s="379">
        <f t="shared" ref="E157:E160" si="815">NETWORKDAYS(G157,H157,S.DDL_DEQClosed)</f>
        <v>1</v>
      </c>
      <c r="F157" s="492">
        <f t="shared" ref="F157:F160" ca="1" si="816">NETWORKDAYS(TODAY(),H157)</f>
        <v>-171</v>
      </c>
      <c r="G157" s="381">
        <f t="shared" ref="G157:G160" si="817">AAG157</f>
        <v>41414</v>
      </c>
      <c r="H157" s="382">
        <f t="shared" ref="H157:H160" si="818">AAH157</f>
        <v>41414</v>
      </c>
      <c r="I157" s="588"/>
      <c r="J157" s="47"/>
      <c r="K157" s="591"/>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588"/>
      <c r="AAB157"/>
      <c r="AAC157"/>
      <c r="AAD157" s="112"/>
      <c r="AAE157" s="552">
        <f t="shared" si="808"/>
        <v>1</v>
      </c>
      <c r="AAF157" s="112" t="s">
        <v>0</v>
      </c>
      <c r="AAG157" s="78">
        <f>H155</f>
        <v>41414</v>
      </c>
      <c r="AAH157" s="78">
        <f t="shared" ref="AAH157:AAH160" si="819">G157</f>
        <v>41414</v>
      </c>
      <c r="AAI157" s="63"/>
      <c r="AAJ157" s="56"/>
      <c r="AAK157" s="56"/>
      <c r="AAL157" s="56"/>
      <c r="AAM157" s="112"/>
      <c r="AAU157" s="44"/>
    </row>
    <row r="158" spans="1:723" s="23" customFormat="1" ht="15" customHeight="1" outlineLevel="2">
      <c r="A158" s="558"/>
      <c r="B158" s="393" t="s">
        <v>200</v>
      </c>
      <c r="C158" s="239"/>
      <c r="D158" s="169" t="s">
        <v>54</v>
      </c>
      <c r="E158" s="379">
        <f t="shared" si="815"/>
        <v>1</v>
      </c>
      <c r="F158" s="492">
        <f t="shared" ca="1" si="816"/>
        <v>-171</v>
      </c>
      <c r="G158" s="381">
        <f t="shared" si="817"/>
        <v>41414</v>
      </c>
      <c r="H158" s="382">
        <f t="shared" si="818"/>
        <v>41414</v>
      </c>
      <c r="I158" s="588"/>
      <c r="J158" s="47"/>
      <c r="K158" s="591"/>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588"/>
      <c r="AAB158"/>
      <c r="AAC158"/>
      <c r="AAD158" s="112"/>
      <c r="AAE158" s="552">
        <f t="shared" si="808"/>
        <v>1</v>
      </c>
      <c r="AAF158" s="112" t="s">
        <v>0</v>
      </c>
      <c r="AAG158" s="78">
        <f t="shared" ref="AAG158" si="820">H157</f>
        <v>41414</v>
      </c>
      <c r="AAH158" s="78">
        <f t="shared" si="819"/>
        <v>41414</v>
      </c>
      <c r="AAI158" s="63"/>
      <c r="AAJ158" s="56"/>
      <c r="AAK158" s="56"/>
      <c r="AAL158" s="56"/>
      <c r="AAM158" s="112"/>
      <c r="AAU158" s="44"/>
    </row>
    <row r="159" spans="1:723" s="23" customFormat="1" ht="15" customHeight="1" outlineLevel="2">
      <c r="A159" s="558"/>
      <c r="B159" s="393" t="s">
        <v>194</v>
      </c>
      <c r="C159" s="239"/>
      <c r="D159" s="169" t="s">
        <v>54</v>
      </c>
      <c r="E159" s="379">
        <f t="shared" si="815"/>
        <v>1</v>
      </c>
      <c r="F159" s="492">
        <f t="shared" ca="1" si="816"/>
        <v>-171</v>
      </c>
      <c r="G159" s="381">
        <f t="shared" si="817"/>
        <v>41414</v>
      </c>
      <c r="H159" s="382">
        <f t="shared" si="818"/>
        <v>41414</v>
      </c>
      <c r="I159" s="588"/>
      <c r="J159" s="47"/>
      <c r="K159" s="591"/>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588"/>
      <c r="AAB159"/>
      <c r="AAC159"/>
      <c r="AAD159" s="112"/>
      <c r="AAE159" s="552">
        <f t="shared" si="808"/>
        <v>1</v>
      </c>
      <c r="AAF159" s="112" t="s">
        <v>0</v>
      </c>
      <c r="AAG159" s="78">
        <f>H158</f>
        <v>41414</v>
      </c>
      <c r="AAH159" s="78">
        <f t="shared" si="819"/>
        <v>41414</v>
      </c>
      <c r="AAI159" s="63"/>
      <c r="AAJ159" s="56"/>
      <c r="AAK159" s="56"/>
      <c r="AAL159" s="56"/>
      <c r="AAM159" s="112"/>
      <c r="AAU159" s="44"/>
    </row>
    <row r="160" spans="1:723" s="23" customFormat="1" ht="15" customHeight="1" outlineLevel="2">
      <c r="A160" s="558"/>
      <c r="B160" s="393" t="s">
        <v>195</v>
      </c>
      <c r="C160" s="239"/>
      <c r="D160" s="169" t="s">
        <v>54</v>
      </c>
      <c r="E160" s="379">
        <f t="shared" si="815"/>
        <v>1</v>
      </c>
      <c r="F160" s="492">
        <f t="shared" ca="1" si="816"/>
        <v>-171</v>
      </c>
      <c r="G160" s="381">
        <f t="shared" si="817"/>
        <v>41414</v>
      </c>
      <c r="H160" s="382">
        <f t="shared" si="818"/>
        <v>41414</v>
      </c>
      <c r="I160" s="588"/>
      <c r="J160" s="47"/>
      <c r="K160" s="591"/>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50"/>
      <c r="ZZ160" s="50"/>
      <c r="AAA160" s="588"/>
      <c r="AAB160"/>
      <c r="AAC160"/>
      <c r="AAD160" s="112"/>
      <c r="AAE160" s="552">
        <f t="shared" si="808"/>
        <v>1</v>
      </c>
      <c r="AAF160" s="112" t="s">
        <v>0</v>
      </c>
      <c r="AAG160" s="78">
        <f t="shared" ref="AAG160" si="821">H159</f>
        <v>41414</v>
      </c>
      <c r="AAH160" s="78">
        <f t="shared" si="819"/>
        <v>41414</v>
      </c>
      <c r="AAI160" s="63"/>
      <c r="AAJ160" s="56"/>
      <c r="AAK160" s="56"/>
      <c r="AAL160" s="56"/>
      <c r="AAM160" s="112"/>
      <c r="AAU160" s="44"/>
    </row>
    <row r="161" spans="1:723" s="23" customFormat="1" ht="15" customHeight="1" outlineLevel="2">
      <c r="A161" s="558"/>
      <c r="B161" s="394" t="s">
        <v>190</v>
      </c>
      <c r="C161" s="710"/>
      <c r="D161" s="122"/>
      <c r="E161" s="122"/>
      <c r="F161" s="122"/>
      <c r="G161" s="122"/>
      <c r="H161" s="122"/>
      <c r="I161" s="588"/>
      <c r="J161" s="47"/>
      <c r="K161" s="591"/>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617"/>
      <c r="ZZ161" s="622"/>
      <c r="AAA161" s="588"/>
      <c r="AAB161"/>
      <c r="AAC161"/>
      <c r="AAD161" s="112"/>
      <c r="AAE161" s="552">
        <f t="shared" si="808"/>
        <v>1</v>
      </c>
      <c r="AAF161" s="583" t="s">
        <v>174</v>
      </c>
      <c r="AAG161" s="39"/>
      <c r="AAH161" s="39"/>
      <c r="AAI161" s="39"/>
      <c r="AAJ161" s="56"/>
      <c r="AAK161" s="56"/>
      <c r="AAL161" s="56"/>
      <c r="AAM161" s="112"/>
      <c r="AAU161" s="44"/>
    </row>
    <row r="162" spans="1:723" s="23" customFormat="1" ht="15" customHeight="1" outlineLevel="2">
      <c r="A162" s="558"/>
      <c r="B162" s="377" t="str">
        <f ca="1">"Draft COMMITTEE.NOTICE."&amp;TEXT($G$148,"mm.dd.yy")&amp;""</f>
        <v>Draft COMMITTEE.NOTICE.01.13.14</v>
      </c>
      <c r="C162" s="239"/>
      <c r="D162" s="169" t="s">
        <v>151</v>
      </c>
      <c r="E162" s="379">
        <f t="shared" ref="E162" si="822">NETWORKDAYS(G162,H162,S.DDL_DEQClosed)</f>
        <v>1</v>
      </c>
      <c r="F162" s="492">
        <f t="shared" ref="F162" ca="1" si="823">NETWORKDAYS(TODAY(),H162)</f>
        <v>-171</v>
      </c>
      <c r="G162" s="381">
        <f t="shared" ref="G162" si="824">AAG162</f>
        <v>41414</v>
      </c>
      <c r="H162" s="382">
        <f t="shared" ref="H162" si="825">AAH162</f>
        <v>41414</v>
      </c>
      <c r="I162" s="588"/>
      <c r="J162" s="47"/>
      <c r="K162" s="591"/>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50"/>
      <c r="ZZ162" s="50"/>
      <c r="AAA162" s="588"/>
      <c r="AAB162"/>
      <c r="AAC162"/>
      <c r="AAD162" s="112"/>
      <c r="AAE162" s="552">
        <f t="shared" si="808"/>
        <v>1</v>
      </c>
      <c r="AAF162" s="112" t="s">
        <v>0</v>
      </c>
      <c r="AAG162" s="78">
        <f>H160</f>
        <v>41414</v>
      </c>
      <c r="AAH162" s="78">
        <f t="shared" ref="AAH162" si="826">G162</f>
        <v>41414</v>
      </c>
      <c r="AAI162" s="77"/>
      <c r="AAJ162" s="77"/>
      <c r="AAK162" s="77"/>
      <c r="AAL162" s="89" t="str">
        <f>"Draft "&amp;S.CodeName&amp;"COMMITTEE.NOTICE.mm.dd.yyyy.2.00"</f>
        <v>Draft COMMITTEE.NOTICE.mm.dd.yyyy.2.00</v>
      </c>
      <c r="AAM162" s="112"/>
      <c r="AAU162" s="44"/>
    </row>
    <row r="163" spans="1:723" s="23" customFormat="1" ht="15" customHeight="1" outlineLevel="2">
      <c r="A163" s="558"/>
      <c r="B163" s="395" t="s">
        <v>21</v>
      </c>
      <c r="C163" s="245"/>
      <c r="D163" s="196"/>
      <c r="E163" s="123"/>
      <c r="F163" s="124"/>
      <c r="G163" s="246" t="s">
        <v>0</v>
      </c>
      <c r="H163" s="145"/>
      <c r="I163" s="588"/>
      <c r="J163" s="47"/>
      <c r="K163" s="591"/>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617"/>
      <c r="ZZ163" s="622"/>
      <c r="AAA163" s="588"/>
      <c r="AAB163"/>
      <c r="AAC163"/>
      <c r="AAD163" s="112"/>
      <c r="AAE163" s="552">
        <f t="shared" si="808"/>
        <v>1</v>
      </c>
      <c r="AAF163" s="583" t="s">
        <v>174</v>
      </c>
      <c r="AAG163" s="63"/>
      <c r="AAH163" s="76" t="s">
        <v>0</v>
      </c>
      <c r="AAI163" s="77"/>
      <c r="AAJ163" s="77"/>
      <c r="AAK163" s="77"/>
      <c r="AAL163" s="56"/>
      <c r="AAM163" s="112"/>
      <c r="AAU163" s="44"/>
    </row>
    <row r="164" spans="1:723" s="23" customFormat="1" ht="15" customHeight="1" outlineLevel="2">
      <c r="A164" s="558"/>
      <c r="B164" s="387" t="s">
        <v>199</v>
      </c>
      <c r="C164" s="168"/>
      <c r="D164" s="169" t="s">
        <v>157</v>
      </c>
      <c r="E164" s="379">
        <f>NETWORKDAYS(G164,H164,S.DDL_DEQClosed)</f>
        <v>1</v>
      </c>
      <c r="F164" s="492">
        <f ca="1">NETWORKDAYS(TODAY(),H164)</f>
        <v>-171</v>
      </c>
      <c r="G164" s="381">
        <f>AAG164</f>
        <v>41414</v>
      </c>
      <c r="H164" s="382">
        <f>AAH164</f>
        <v>41414</v>
      </c>
      <c r="I164" s="588"/>
      <c r="J164" s="47"/>
      <c r="K164" s="591"/>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588"/>
      <c r="AAB164"/>
      <c r="AAC164"/>
      <c r="AAD164" s="112"/>
      <c r="AAE164" s="552">
        <f t="shared" si="808"/>
        <v>1</v>
      </c>
      <c r="AAF164" s="112"/>
      <c r="AAG164" s="78">
        <f>H162</f>
        <v>41414</v>
      </c>
      <c r="AAH164" s="78">
        <f>G164</f>
        <v>41414</v>
      </c>
      <c r="AAI164" s="77"/>
      <c r="AAJ164" s="77"/>
      <c r="AAK164" s="77"/>
      <c r="AAL164" s="56"/>
      <c r="AAM164" s="112"/>
      <c r="AAU164" s="44"/>
    </row>
    <row r="165" spans="1:723" s="23" customFormat="1" ht="15" customHeight="1" outlineLevel="2">
      <c r="A165" s="558"/>
      <c r="B165" s="387" t="s">
        <v>53</v>
      </c>
      <c r="C165" s="168"/>
      <c r="D165" s="169" t="s">
        <v>359</v>
      </c>
      <c r="E165" s="379">
        <f t="shared" ref="E165:E167" si="827">NETWORKDAYS(G165,H165,S.DDL_DEQClosed)</f>
        <v>1</v>
      </c>
      <c r="F165" s="492">
        <f t="shared" ref="F165:F167" ca="1" si="828">NETWORKDAYS(TODAY(),H165)</f>
        <v>-171</v>
      </c>
      <c r="G165" s="381">
        <f t="shared" ref="G165:G167" si="829">AAG165</f>
        <v>41414</v>
      </c>
      <c r="H165" s="382">
        <f t="shared" ref="H165:H167" si="830">AAH165</f>
        <v>41414</v>
      </c>
      <c r="I165" s="588"/>
      <c r="J165" s="47"/>
      <c r="K165" s="591"/>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588"/>
      <c r="AAB165"/>
      <c r="AAC165"/>
      <c r="AAD165" s="112"/>
      <c r="AAE165" s="552">
        <f t="shared" si="808"/>
        <v>1</v>
      </c>
      <c r="AAF165" s="112"/>
      <c r="AAG165" s="78">
        <f>H164</f>
        <v>41414</v>
      </c>
      <c r="AAH165" s="78">
        <f t="shared" ref="AAH165:AAH167" si="831">G165</f>
        <v>41414</v>
      </c>
      <c r="AAI165" s="77"/>
      <c r="AAJ165" s="77"/>
      <c r="AAK165" s="77"/>
      <c r="AAL165" s="56"/>
      <c r="AAM165" s="112"/>
      <c r="AAU165" s="44"/>
    </row>
    <row r="166" spans="1:723" s="23" customFormat="1" ht="15" customHeight="1" outlineLevel="2">
      <c r="A166" s="558"/>
      <c r="B166" s="404" t="str">
        <f ca="1">"Draft MINUTES."&amp;TEXT($G$148,"mm.dd.yy")&amp;""</f>
        <v>Draft MINUTES.01.13.14</v>
      </c>
      <c r="C166" s="231" t="s">
        <v>69</v>
      </c>
      <c r="D166" s="248" t="s">
        <v>151</v>
      </c>
      <c r="E166" s="379">
        <f t="shared" si="827"/>
        <v>1</v>
      </c>
      <c r="F166" s="492">
        <f t="shared" ca="1" si="828"/>
        <v>-171</v>
      </c>
      <c r="G166" s="381">
        <f t="shared" si="829"/>
        <v>41414</v>
      </c>
      <c r="H166" s="382">
        <f t="shared" si="830"/>
        <v>41414</v>
      </c>
      <c r="I166" s="588"/>
      <c r="J166" s="47"/>
      <c r="K166" s="591"/>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588"/>
      <c r="AAB166"/>
      <c r="AAC166"/>
      <c r="AAD166" s="112"/>
      <c r="AAE166" s="552">
        <f t="shared" si="808"/>
        <v>1</v>
      </c>
      <c r="AAF166" s="112"/>
      <c r="AAG166" s="78">
        <f t="shared" ref="AAG166:AAG167" si="832">H165</f>
        <v>41414</v>
      </c>
      <c r="AAH166" s="78">
        <f t="shared" si="831"/>
        <v>41414</v>
      </c>
      <c r="AAI166" s="77"/>
      <c r="AAJ166" s="77"/>
      <c r="AAK166" s="77"/>
      <c r="AAL166" s="89" t="str">
        <f>"Draft "&amp;S.CodeName&amp;"MINUTES.mm.dd.yyy.2.00"</f>
        <v>Draft MINUTES.mm.dd.yyy.2.00</v>
      </c>
      <c r="AAM166" s="112"/>
      <c r="AAU166" s="44"/>
    </row>
    <row r="167" spans="1:723" s="23" customFormat="1" ht="15" customHeight="1" outlineLevel="2">
      <c r="A167" s="558"/>
      <c r="B167" s="387" t="s">
        <v>52</v>
      </c>
      <c r="C167" s="168"/>
      <c r="D167" s="169" t="s">
        <v>359</v>
      </c>
      <c r="E167" s="379">
        <f t="shared" si="827"/>
        <v>1</v>
      </c>
      <c r="F167" s="492">
        <f t="shared" ca="1" si="828"/>
        <v>-171</v>
      </c>
      <c r="G167" s="381">
        <f t="shared" si="829"/>
        <v>41414</v>
      </c>
      <c r="H167" s="382">
        <f t="shared" si="830"/>
        <v>41414</v>
      </c>
      <c r="I167" s="588"/>
      <c r="J167" s="47"/>
      <c r="K167" s="591"/>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50"/>
      <c r="ZZ167" s="50"/>
      <c r="AAA167" s="588"/>
      <c r="AAB167"/>
      <c r="AAC167"/>
      <c r="AAD167" s="112"/>
      <c r="AAE167" s="552">
        <f t="shared" si="808"/>
        <v>1</v>
      </c>
      <c r="AAF167" s="112"/>
      <c r="AAG167" s="78">
        <f t="shared" si="832"/>
        <v>41414</v>
      </c>
      <c r="AAH167" s="78">
        <f t="shared" si="831"/>
        <v>41414</v>
      </c>
      <c r="AAI167" s="77"/>
      <c r="AAJ167" s="77"/>
      <c r="AAK167" s="77"/>
      <c r="AAL167" s="56"/>
      <c r="AAM167" s="112"/>
      <c r="AAU167" s="44"/>
    </row>
    <row r="168" spans="1:723" s="23" customFormat="1" ht="18" customHeight="1" outlineLevel="1">
      <c r="A168" s="558"/>
      <c r="B168" s="244" t="s">
        <v>89</v>
      </c>
      <c r="C168" s="168"/>
      <c r="D168" s="766"/>
      <c r="E168" s="766"/>
      <c r="F168" s="766"/>
      <c r="G168" s="406">
        <f ca="1">TODAY()</f>
        <v>41652</v>
      </c>
      <c r="H168" s="406" t="s">
        <v>191</v>
      </c>
      <c r="I168" s="588"/>
      <c r="J168" s="47"/>
      <c r="K168" s="591"/>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617"/>
      <c r="ZZ168" s="622"/>
      <c r="AAA168" s="588"/>
      <c r="AAB168"/>
      <c r="AAC168"/>
      <c r="AAD168" s="112"/>
      <c r="AAE168" s="552">
        <f t="shared" si="808"/>
        <v>1</v>
      </c>
      <c r="AAF168" s="583" t="s">
        <v>174</v>
      </c>
      <c r="AAG168" s="39" t="s">
        <v>0</v>
      </c>
      <c r="AAH168" s="39" t="s">
        <v>0</v>
      </c>
      <c r="AAI168" s="39"/>
      <c r="AAJ168" s="56"/>
      <c r="AAK168" s="56"/>
      <c r="AAL168" s="56"/>
      <c r="AAM168" s="112"/>
      <c r="AAU168" s="44"/>
    </row>
    <row r="169" spans="1:723" s="23" customFormat="1" ht="15" customHeight="1" outlineLevel="2">
      <c r="A169" s="558"/>
      <c r="B169" s="375" t="s">
        <v>56</v>
      </c>
      <c r="C169" s="168"/>
      <c r="D169" s="169" t="s">
        <v>359</v>
      </c>
      <c r="E169" s="368">
        <f t="shared" ref="E169" si="833">NETWORKDAYS(G169,H169,S.DDL_DEQClosed)</f>
        <v>1</v>
      </c>
      <c r="F169" s="492">
        <f t="shared" ref="F169" ca="1" si="834">NETWORKDAYS(TODAY(),H169)</f>
        <v>-171</v>
      </c>
      <c r="G169" s="383">
        <f t="shared" ref="G169" si="835">AAG169</f>
        <v>41414</v>
      </c>
      <c r="H169" s="369">
        <f t="shared" ref="H169" si="836">AAH169</f>
        <v>41414</v>
      </c>
      <c r="I169" s="588"/>
      <c r="J169" s="47"/>
      <c r="K169" s="591"/>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50"/>
      <c r="ZZ169" s="50"/>
      <c r="AAA169" s="588"/>
      <c r="AAB169"/>
      <c r="AAC169"/>
      <c r="AAD169" s="112"/>
      <c r="AAE169" s="552">
        <f t="shared" si="808"/>
        <v>1</v>
      </c>
      <c r="AAF169" s="112"/>
      <c r="AAG169" s="78">
        <f>H166</f>
        <v>41414</v>
      </c>
      <c r="AAH169" s="78">
        <f t="shared" ref="AAH169" si="837">G169</f>
        <v>41414</v>
      </c>
      <c r="AAI169" s="63"/>
      <c r="AAJ169" s="56"/>
      <c r="AAK169" s="56"/>
      <c r="AAL169" s="56"/>
      <c r="AAM169" s="112"/>
      <c r="AAU169" s="44"/>
    </row>
    <row r="170" spans="1:723" s="23" customFormat="1" ht="15" customHeight="1" outlineLevel="2">
      <c r="A170" s="558"/>
      <c r="B170" s="376" t="s">
        <v>55</v>
      </c>
      <c r="C170" s="166"/>
      <c r="D170" s="175"/>
      <c r="E170" s="160"/>
      <c r="F170" s="160"/>
      <c r="G170" s="161"/>
      <c r="H170" s="145"/>
      <c r="I170" s="588"/>
      <c r="J170" s="47"/>
      <c r="K170" s="591"/>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617"/>
      <c r="ZZ170" s="622"/>
      <c r="AAA170" s="588"/>
      <c r="AAB170"/>
      <c r="AAC170"/>
      <c r="AAD170" s="112"/>
      <c r="AAE170" s="552">
        <f t="shared" si="808"/>
        <v>1</v>
      </c>
      <c r="AAF170" s="583" t="s">
        <v>174</v>
      </c>
      <c r="AAG170" s="63"/>
      <c r="AAH170" s="76"/>
      <c r="AAI170" s="76"/>
      <c r="AAJ170" s="56"/>
      <c r="AAK170" s="56"/>
      <c r="AAL170" s="56"/>
      <c r="AAM170" s="112"/>
      <c r="AAU170" s="44"/>
    </row>
    <row r="171" spans="1:723" s="23" customFormat="1" ht="15" customHeight="1" outlineLevel="2">
      <c r="A171" s="558"/>
      <c r="B171" s="377" t="str">
        <f ca="1">"Draft AGENDA."&amp;TEXT($G$168,"mm.dd.yy")&amp;""</f>
        <v>Draft AGENDA.01.13.14</v>
      </c>
      <c r="C171" s="231" t="s">
        <v>69</v>
      </c>
      <c r="D171" s="169" t="s">
        <v>54</v>
      </c>
      <c r="E171" s="368">
        <f t="shared" ref="E171:E175" si="838">NETWORKDAYS(G171,H171,S.DDL_DEQClosed)</f>
        <v>1</v>
      </c>
      <c r="F171" s="492">
        <f t="shared" ref="F171:F175" ca="1" si="839">NETWORKDAYS(TODAY(),H171)</f>
        <v>-171</v>
      </c>
      <c r="G171" s="383">
        <f t="shared" ref="G171:G175" si="840">AAG171</f>
        <v>41414</v>
      </c>
      <c r="H171" s="369">
        <f t="shared" ref="H171:H175" si="841">AAH171</f>
        <v>41414</v>
      </c>
      <c r="I171" s="588"/>
      <c r="J171" s="47"/>
      <c r="K171" s="591"/>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588"/>
      <c r="AAB171"/>
      <c r="AAC171"/>
      <c r="AAD171" s="112"/>
      <c r="AAE171" s="552">
        <f t="shared" si="808"/>
        <v>1</v>
      </c>
      <c r="AAF171" s="112" t="s">
        <v>0</v>
      </c>
      <c r="AAG171" s="78">
        <f>H169</f>
        <v>41414</v>
      </c>
      <c r="AAH171" s="78">
        <f>G171</f>
        <v>41414</v>
      </c>
      <c r="AAI171" s="77"/>
      <c r="AAJ171" s="77"/>
      <c r="AAK171" s="77"/>
      <c r="AAL171" s="89" t="str">
        <f>"Draft "&amp;S.CodeName&amp;"AGENDA.mm.dd.yyyy.2.00"</f>
        <v>Draft AGENDA.mm.dd.yyyy.2.00</v>
      </c>
      <c r="AAM171" s="112"/>
      <c r="AAU171" s="44"/>
    </row>
    <row r="172" spans="1:723" s="23" customFormat="1" ht="15" customHeight="1" outlineLevel="2">
      <c r="A172" s="558"/>
      <c r="B172" s="391" t="s">
        <v>196</v>
      </c>
      <c r="C172" s="239"/>
      <c r="D172" s="169" t="s">
        <v>54</v>
      </c>
      <c r="E172" s="368">
        <f t="shared" si="838"/>
        <v>1</v>
      </c>
      <c r="F172" s="492">
        <f t="shared" ca="1" si="839"/>
        <v>-171</v>
      </c>
      <c r="G172" s="383">
        <f t="shared" si="840"/>
        <v>41414</v>
      </c>
      <c r="H172" s="369">
        <f t="shared" si="841"/>
        <v>41414</v>
      </c>
      <c r="I172" s="588"/>
      <c r="J172" s="47"/>
      <c r="K172" s="591"/>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588"/>
      <c r="AAB172"/>
      <c r="AAC172"/>
      <c r="AAD172" s="112"/>
      <c r="AAE172" s="552">
        <f t="shared" si="808"/>
        <v>1</v>
      </c>
      <c r="AAF172" s="112" t="s">
        <v>0</v>
      </c>
      <c r="AAG172" s="78">
        <f>H171</f>
        <v>41414</v>
      </c>
      <c r="AAH172" s="78">
        <f t="shared" ref="AAH172:AAH175" si="842">G172</f>
        <v>41414</v>
      </c>
      <c r="AAI172" s="77"/>
      <c r="AAJ172" s="77"/>
      <c r="AAK172" s="77"/>
      <c r="AAL172" s="56"/>
      <c r="AAM172" s="112"/>
      <c r="AAU172" s="44"/>
    </row>
    <row r="173" spans="1:723" s="23" customFormat="1" ht="15" customHeight="1" outlineLevel="2">
      <c r="A173" s="558"/>
      <c r="B173" s="391" t="s">
        <v>196</v>
      </c>
      <c r="C173" s="239"/>
      <c r="D173" s="169" t="s">
        <v>54</v>
      </c>
      <c r="E173" s="368">
        <f t="shared" si="838"/>
        <v>1</v>
      </c>
      <c r="F173" s="492">
        <f t="shared" ca="1" si="839"/>
        <v>-171</v>
      </c>
      <c r="G173" s="383">
        <f t="shared" si="840"/>
        <v>41414</v>
      </c>
      <c r="H173" s="369">
        <f t="shared" si="841"/>
        <v>41414</v>
      </c>
      <c r="I173" s="588"/>
      <c r="J173" s="47"/>
      <c r="K173" s="591"/>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588"/>
      <c r="AAB173"/>
      <c r="AAC173"/>
      <c r="AAD173" s="112"/>
      <c r="AAE173" s="552">
        <f t="shared" si="808"/>
        <v>1</v>
      </c>
      <c r="AAF173" s="112" t="s">
        <v>0</v>
      </c>
      <c r="AAG173" s="78">
        <f>H172</f>
        <v>41414</v>
      </c>
      <c r="AAH173" s="78">
        <f t="shared" si="842"/>
        <v>41414</v>
      </c>
      <c r="AAI173" s="77"/>
      <c r="AAJ173" s="77"/>
      <c r="AAK173" s="77"/>
      <c r="AAL173" s="56"/>
      <c r="AAM173" s="112"/>
      <c r="AAU173" s="44"/>
    </row>
    <row r="174" spans="1:723" s="23" customFormat="1" ht="15" customHeight="1" outlineLevel="2">
      <c r="A174" s="558"/>
      <c r="B174" s="391" t="s">
        <v>196</v>
      </c>
      <c r="C174" s="239"/>
      <c r="D174" s="169" t="s">
        <v>54</v>
      </c>
      <c r="E174" s="368">
        <f t="shared" si="838"/>
        <v>1</v>
      </c>
      <c r="F174" s="492">
        <f t="shared" ca="1" si="839"/>
        <v>-171</v>
      </c>
      <c r="G174" s="383">
        <f t="shared" si="840"/>
        <v>41414</v>
      </c>
      <c r="H174" s="369">
        <f t="shared" si="841"/>
        <v>41414</v>
      </c>
      <c r="I174" s="588"/>
      <c r="J174" s="47"/>
      <c r="K174" s="591"/>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588"/>
      <c r="AAB174"/>
      <c r="AAC174"/>
      <c r="AAD174" s="112"/>
      <c r="AAE174" s="552">
        <f t="shared" si="808"/>
        <v>1</v>
      </c>
      <c r="AAF174" s="112" t="s">
        <v>0</v>
      </c>
      <c r="AAG174" s="78">
        <f>H173</f>
        <v>41414</v>
      </c>
      <c r="AAH174" s="78">
        <f t="shared" si="842"/>
        <v>41414</v>
      </c>
      <c r="AAI174" s="77"/>
      <c r="AAJ174" s="77"/>
      <c r="AAK174" s="77"/>
      <c r="AAL174" s="56"/>
      <c r="AAM174" s="112"/>
      <c r="AAU174" s="44"/>
    </row>
    <row r="175" spans="1:723" s="23" customFormat="1" ht="15" customHeight="1" outlineLevel="2">
      <c r="A175" s="558"/>
      <c r="B175" s="391" t="s">
        <v>196</v>
      </c>
      <c r="C175" s="239"/>
      <c r="D175" s="169" t="s">
        <v>54</v>
      </c>
      <c r="E175" s="368">
        <f t="shared" si="838"/>
        <v>1</v>
      </c>
      <c r="F175" s="492">
        <f t="shared" ca="1" si="839"/>
        <v>-171</v>
      </c>
      <c r="G175" s="383">
        <f t="shared" si="840"/>
        <v>41414</v>
      </c>
      <c r="H175" s="369">
        <f t="shared" si="841"/>
        <v>41414</v>
      </c>
      <c r="I175" s="588"/>
      <c r="J175" s="47"/>
      <c r="K175" s="591"/>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50"/>
      <c r="ZZ175" s="50"/>
      <c r="AAA175" s="588"/>
      <c r="AAB175"/>
      <c r="AAC175"/>
      <c r="AAD175" s="112"/>
      <c r="AAE175" s="552">
        <f t="shared" si="808"/>
        <v>1</v>
      </c>
      <c r="AAF175" s="112" t="s">
        <v>0</v>
      </c>
      <c r="AAG175" s="78">
        <f t="shared" ref="AAG175" si="843">H174</f>
        <v>41414</v>
      </c>
      <c r="AAH175" s="78">
        <f t="shared" si="842"/>
        <v>41414</v>
      </c>
      <c r="AAI175" s="77"/>
      <c r="AAJ175" s="77"/>
      <c r="AAK175" s="77"/>
      <c r="AAL175" s="56"/>
      <c r="AAM175" s="112"/>
      <c r="AAU175" s="44"/>
    </row>
    <row r="176" spans="1:723" s="23" customFormat="1" ht="15" customHeight="1" outlineLevel="2">
      <c r="A176" s="558"/>
      <c r="B176" s="392" t="s">
        <v>189</v>
      </c>
      <c r="C176" s="709"/>
      <c r="D176" s="167"/>
      <c r="E176" s="167"/>
      <c r="F176" s="167"/>
      <c r="G176" s="167"/>
      <c r="H176" s="167"/>
      <c r="I176" s="588"/>
      <c r="J176" s="47"/>
      <c r="K176" s="591"/>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617"/>
      <c r="ZZ176" s="622"/>
      <c r="AAA176" s="588"/>
      <c r="AAB176"/>
      <c r="AAC176"/>
      <c r="AAD176" s="112"/>
      <c r="AAE176" s="552">
        <f t="shared" si="808"/>
        <v>1</v>
      </c>
      <c r="AAF176" s="583" t="s">
        <v>174</v>
      </c>
      <c r="AAG176" s="39"/>
      <c r="AAH176" s="39"/>
      <c r="AAI176" s="77"/>
      <c r="AAJ176" s="77"/>
      <c r="AAK176" s="77"/>
      <c r="AAL176" s="56"/>
      <c r="AAM176" s="112"/>
      <c r="AAU176" s="44"/>
    </row>
    <row r="177" spans="1:723" s="23" customFormat="1" ht="15" customHeight="1" outlineLevel="2">
      <c r="A177" s="558"/>
      <c r="B177" s="393" t="str">
        <f ca="1">"Draft optional PRESENTATION."&amp;TEXT($G$168,"mm.dd.yy")&amp;""</f>
        <v>Draft optional PRESENTATION.01.13.14</v>
      </c>
      <c r="C177" s="231" t="s">
        <v>69</v>
      </c>
      <c r="D177" s="169" t="s">
        <v>54</v>
      </c>
      <c r="E177" s="368">
        <f t="shared" ref="E177:E180" si="844">NETWORKDAYS(G177,H177,S.DDL_DEQClosed)</f>
        <v>1</v>
      </c>
      <c r="F177" s="492">
        <f t="shared" ref="F177:F180" ca="1" si="845">NETWORKDAYS(TODAY(),H177)</f>
        <v>-171</v>
      </c>
      <c r="G177" s="383">
        <f t="shared" ref="G177:G180" si="846">AAG177</f>
        <v>41414</v>
      </c>
      <c r="H177" s="369">
        <f t="shared" ref="H177:H180" si="847">AAH177</f>
        <v>41414</v>
      </c>
      <c r="I177" s="588"/>
      <c r="J177" s="47"/>
      <c r="K177" s="591"/>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588"/>
      <c r="AAB177"/>
      <c r="AAC177"/>
      <c r="AAD177" s="112"/>
      <c r="AAE177" s="552">
        <f t="shared" si="808"/>
        <v>1</v>
      </c>
      <c r="AAF177" s="112" t="s">
        <v>0</v>
      </c>
      <c r="AAG177" s="78">
        <f>H175</f>
        <v>41414</v>
      </c>
      <c r="AAH177" s="78">
        <f t="shared" ref="AAH177:AAH180" si="848">G177</f>
        <v>41414</v>
      </c>
      <c r="AAI177" s="77"/>
      <c r="AAJ177" s="77"/>
      <c r="AAK177" s="77"/>
      <c r="AAL177" s="56"/>
      <c r="AAM177" s="112"/>
      <c r="AAU177" s="44"/>
    </row>
    <row r="178" spans="1:723" s="23" customFormat="1" ht="15" customHeight="1" outlineLevel="2">
      <c r="A178" s="558"/>
      <c r="B178" s="393" t="s">
        <v>200</v>
      </c>
      <c r="C178" s="239"/>
      <c r="D178" s="169" t="s">
        <v>54</v>
      </c>
      <c r="E178" s="368">
        <f t="shared" si="844"/>
        <v>1</v>
      </c>
      <c r="F178" s="492">
        <f t="shared" ca="1" si="845"/>
        <v>-171</v>
      </c>
      <c r="G178" s="383">
        <f t="shared" si="846"/>
        <v>41414</v>
      </c>
      <c r="H178" s="369">
        <f t="shared" si="847"/>
        <v>41414</v>
      </c>
      <c r="I178" s="588"/>
      <c r="J178" s="47"/>
      <c r="K178" s="591"/>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588"/>
      <c r="AAB178"/>
      <c r="AAC178"/>
      <c r="AAD178" s="112"/>
      <c r="AAE178" s="552">
        <f t="shared" si="808"/>
        <v>1</v>
      </c>
      <c r="AAF178" s="112" t="s">
        <v>0</v>
      </c>
      <c r="AAG178" s="78">
        <f t="shared" ref="AAG178" si="849">H177</f>
        <v>41414</v>
      </c>
      <c r="AAH178" s="78">
        <f t="shared" si="848"/>
        <v>41414</v>
      </c>
      <c r="AAI178" s="77"/>
      <c r="AAJ178" s="77"/>
      <c r="AAK178" s="77"/>
      <c r="AAL178" s="56"/>
      <c r="AAM178" s="112"/>
      <c r="AAU178" s="44"/>
    </row>
    <row r="179" spans="1:723" s="23" customFormat="1" ht="15" customHeight="1" outlineLevel="2">
      <c r="A179" s="558"/>
      <c r="B179" s="393" t="s">
        <v>194</v>
      </c>
      <c r="C179" s="239"/>
      <c r="D179" s="169" t="s">
        <v>54</v>
      </c>
      <c r="E179" s="368">
        <f t="shared" si="844"/>
        <v>1</v>
      </c>
      <c r="F179" s="492">
        <f t="shared" ca="1" si="845"/>
        <v>-171</v>
      </c>
      <c r="G179" s="383">
        <f t="shared" si="846"/>
        <v>41414</v>
      </c>
      <c r="H179" s="369">
        <f t="shared" si="847"/>
        <v>41414</v>
      </c>
      <c r="I179" s="588"/>
      <c r="J179" s="47"/>
      <c r="K179" s="591"/>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588"/>
      <c r="AAB179"/>
      <c r="AAC179"/>
      <c r="AAD179" s="112"/>
      <c r="AAE179" s="552">
        <f t="shared" si="808"/>
        <v>1</v>
      </c>
      <c r="AAF179" s="112" t="s">
        <v>0</v>
      </c>
      <c r="AAG179" s="78">
        <f>H178</f>
        <v>41414</v>
      </c>
      <c r="AAH179" s="78">
        <f t="shared" si="848"/>
        <v>41414</v>
      </c>
      <c r="AAI179" s="77"/>
      <c r="AAJ179" s="77"/>
      <c r="AAK179" s="77"/>
      <c r="AAL179" s="56"/>
      <c r="AAM179" s="112"/>
      <c r="AAU179" s="44"/>
    </row>
    <row r="180" spans="1:723" s="23" customFormat="1" ht="15" customHeight="1" outlineLevel="2">
      <c r="A180" s="558"/>
      <c r="B180" s="393" t="s">
        <v>195</v>
      </c>
      <c r="C180" s="239"/>
      <c r="D180" s="169" t="s">
        <v>54</v>
      </c>
      <c r="E180" s="368">
        <f t="shared" si="844"/>
        <v>1</v>
      </c>
      <c r="F180" s="492">
        <f t="shared" ca="1" si="845"/>
        <v>-171</v>
      </c>
      <c r="G180" s="383">
        <f t="shared" si="846"/>
        <v>41414</v>
      </c>
      <c r="H180" s="369">
        <f t="shared" si="847"/>
        <v>41414</v>
      </c>
      <c r="I180" s="588"/>
      <c r="J180" s="47"/>
      <c r="K180" s="591"/>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50"/>
      <c r="ZZ180" s="50"/>
      <c r="AAA180" s="588"/>
      <c r="AAB180"/>
      <c r="AAC180"/>
      <c r="AAD180" s="112"/>
      <c r="AAE180" s="552">
        <f t="shared" si="808"/>
        <v>1</v>
      </c>
      <c r="AAF180" s="112" t="s">
        <v>0</v>
      </c>
      <c r="AAG180" s="78">
        <f t="shared" ref="AAG180" si="850">H179</f>
        <v>41414</v>
      </c>
      <c r="AAH180" s="78">
        <f t="shared" si="848"/>
        <v>41414</v>
      </c>
      <c r="AAI180" s="77"/>
      <c r="AAJ180" s="77"/>
      <c r="AAK180" s="77"/>
      <c r="AAL180" s="56"/>
      <c r="AAM180" s="112"/>
      <c r="AAU180" s="44"/>
    </row>
    <row r="181" spans="1:723" s="23" customFormat="1" ht="15" customHeight="1" outlineLevel="2">
      <c r="A181" s="558"/>
      <c r="B181" s="394" t="s">
        <v>190</v>
      </c>
      <c r="C181" s="710"/>
      <c r="D181" s="122"/>
      <c r="E181" s="122"/>
      <c r="F181" s="122"/>
      <c r="G181" s="122"/>
      <c r="H181" s="122"/>
      <c r="I181" s="588"/>
      <c r="J181" s="47"/>
      <c r="K181" s="591"/>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617"/>
      <c r="ZZ181" s="622"/>
      <c r="AAA181" s="588"/>
      <c r="AAB181"/>
      <c r="AAC181"/>
      <c r="AAD181" s="112"/>
      <c r="AAE181" s="552">
        <f t="shared" si="808"/>
        <v>1</v>
      </c>
      <c r="AAF181" s="583" t="s">
        <v>174</v>
      </c>
      <c r="AAG181" s="39"/>
      <c r="AAH181" s="39"/>
      <c r="AAI181" s="39"/>
      <c r="AAJ181" s="56"/>
      <c r="AAK181" s="56"/>
      <c r="AAL181" s="56"/>
      <c r="AAM181" s="112"/>
      <c r="AAU181" s="44"/>
    </row>
    <row r="182" spans="1:723" s="23" customFormat="1" ht="15" customHeight="1" outlineLevel="2">
      <c r="A182" s="558"/>
      <c r="B182" s="377" t="str">
        <f ca="1">"Draft COMMITTEE.NOTICE."&amp;TEXT($G$168,"mm.dd.yy")&amp;""</f>
        <v>Draft COMMITTEE.NOTICE.01.13.14</v>
      </c>
      <c r="C182" s="239"/>
      <c r="D182" s="169" t="s">
        <v>151</v>
      </c>
      <c r="E182" s="368">
        <f t="shared" ref="E182" si="851">NETWORKDAYS(G182,H182,S.DDL_DEQClosed)</f>
        <v>1</v>
      </c>
      <c r="F182" s="492">
        <f t="shared" ref="F182" ca="1" si="852">NETWORKDAYS(TODAY(),H182)</f>
        <v>-171</v>
      </c>
      <c r="G182" s="383">
        <f t="shared" ref="G182" si="853">AAG182</f>
        <v>41414</v>
      </c>
      <c r="H182" s="369">
        <f t="shared" ref="H182" si="854">AAH182</f>
        <v>41414</v>
      </c>
      <c r="I182" s="588"/>
      <c r="J182" s="47"/>
      <c r="K182" s="591"/>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50"/>
      <c r="ZZ182" s="50"/>
      <c r="AAA182" s="588"/>
      <c r="AAB182"/>
      <c r="AAC182"/>
      <c r="AAD182" s="112"/>
      <c r="AAE182" s="552">
        <f t="shared" ref="AAE182:AAE207" si="855">IF(S.InvolveCommittee=TRUE,1,0)</f>
        <v>1</v>
      </c>
      <c r="AAF182" s="112" t="s">
        <v>0</v>
      </c>
      <c r="AAG182" s="78">
        <f>H180</f>
        <v>41414</v>
      </c>
      <c r="AAH182" s="78">
        <f t="shared" ref="AAH182" si="856">G182</f>
        <v>41414</v>
      </c>
      <c r="AAI182" s="77"/>
      <c r="AAJ182" s="77"/>
      <c r="AAK182" s="77"/>
      <c r="AAL182" s="89" t="str">
        <f>"Draft "&amp;S.CodeName&amp;"COMMITTEE.NOTICE.mm.dd.yyyy.2.00"</f>
        <v>Draft COMMITTEE.NOTICE.mm.dd.yyyy.2.00</v>
      </c>
      <c r="AAM182" s="112"/>
      <c r="AAU182" s="44"/>
    </row>
    <row r="183" spans="1:723" s="23" customFormat="1" ht="15" customHeight="1" outlineLevel="2">
      <c r="A183" s="558"/>
      <c r="B183" s="395" t="s">
        <v>21</v>
      </c>
      <c r="C183" s="245"/>
      <c r="D183" s="196"/>
      <c r="E183" s="123"/>
      <c r="F183" s="124"/>
      <c r="G183" s="246" t="s">
        <v>0</v>
      </c>
      <c r="H183" s="145"/>
      <c r="I183" s="588"/>
      <c r="J183" s="47"/>
      <c r="K183" s="591"/>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617"/>
      <c r="ZZ183" s="622"/>
      <c r="AAA183" s="588"/>
      <c r="AAB183"/>
      <c r="AAC183"/>
      <c r="AAD183" s="112"/>
      <c r="AAE183" s="552">
        <f t="shared" si="855"/>
        <v>1</v>
      </c>
      <c r="AAF183" s="583" t="s">
        <v>174</v>
      </c>
      <c r="AAG183" s="63"/>
      <c r="AAH183" s="76" t="s">
        <v>0</v>
      </c>
      <c r="AAI183" s="77"/>
      <c r="AAJ183" s="77"/>
      <c r="AAK183" s="77"/>
      <c r="AAL183" s="56"/>
      <c r="AAM183" s="112"/>
      <c r="AAU183" s="44"/>
    </row>
    <row r="184" spans="1:723" s="23" customFormat="1" ht="15" customHeight="1" outlineLevel="2">
      <c r="A184" s="558"/>
      <c r="B184" s="387" t="s">
        <v>199</v>
      </c>
      <c r="C184" s="168"/>
      <c r="D184" s="169" t="s">
        <v>157</v>
      </c>
      <c r="E184" s="368">
        <f>NETWORKDAYS(G184,H184,S.DDL_DEQClosed)</f>
        <v>1</v>
      </c>
      <c r="F184" s="492">
        <f ca="1">NETWORKDAYS(TODAY(),H184)</f>
        <v>-171</v>
      </c>
      <c r="G184" s="383">
        <f>AAG184</f>
        <v>41414</v>
      </c>
      <c r="H184" s="369">
        <f>AAH184</f>
        <v>41414</v>
      </c>
      <c r="I184" s="588"/>
      <c r="J184" s="47"/>
      <c r="K184" s="591"/>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588"/>
      <c r="AAB184"/>
      <c r="AAC184"/>
      <c r="AAD184" s="112"/>
      <c r="AAE184" s="552">
        <f t="shared" si="855"/>
        <v>1</v>
      </c>
      <c r="AAF184" s="112"/>
      <c r="AAG184" s="78">
        <f>H182</f>
        <v>41414</v>
      </c>
      <c r="AAH184" s="78">
        <f>G184</f>
        <v>41414</v>
      </c>
      <c r="AAI184" s="77"/>
      <c r="AAJ184" s="77"/>
      <c r="AAK184" s="77"/>
      <c r="AAL184" s="56"/>
      <c r="AAM184" s="112"/>
      <c r="AAU184" s="44"/>
    </row>
    <row r="185" spans="1:723" s="23" customFormat="1" ht="15" customHeight="1" outlineLevel="2">
      <c r="A185" s="558"/>
      <c r="B185" s="387" t="s">
        <v>53</v>
      </c>
      <c r="C185" s="168"/>
      <c r="D185" s="169" t="s">
        <v>359</v>
      </c>
      <c r="E185" s="368">
        <f t="shared" ref="E185:E187" si="857">NETWORKDAYS(G185,H185,S.DDL_DEQClosed)</f>
        <v>1</v>
      </c>
      <c r="F185" s="492">
        <f t="shared" ref="F185:F187" ca="1" si="858">NETWORKDAYS(TODAY(),H185)</f>
        <v>-171</v>
      </c>
      <c r="G185" s="383">
        <f t="shared" ref="G185:G187" si="859">AAG185</f>
        <v>41414</v>
      </c>
      <c r="H185" s="369">
        <f t="shared" ref="H185:H187" si="860">AAH185</f>
        <v>41414</v>
      </c>
      <c r="I185" s="588"/>
      <c r="J185" s="47"/>
      <c r="K185" s="591"/>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588"/>
      <c r="AAB185"/>
      <c r="AAC185"/>
      <c r="AAD185" s="112"/>
      <c r="AAE185" s="552">
        <f t="shared" si="855"/>
        <v>1</v>
      </c>
      <c r="AAF185" s="112"/>
      <c r="AAG185" s="78">
        <f>H184</f>
        <v>41414</v>
      </c>
      <c r="AAH185" s="78">
        <f t="shared" ref="AAH185:AAH187" si="861">G185</f>
        <v>41414</v>
      </c>
      <c r="AAI185" s="77"/>
      <c r="AAJ185" s="77"/>
      <c r="AAK185" s="77"/>
      <c r="AAL185" s="56"/>
      <c r="AAM185" s="112"/>
      <c r="AAU185" s="44"/>
    </row>
    <row r="186" spans="1:723" s="23" customFormat="1" ht="15" customHeight="1" outlineLevel="2">
      <c r="A186" s="558"/>
      <c r="B186" s="404" t="str">
        <f ca="1">"Draft MINUTES."&amp;TEXT($G$168,"mm.dd.yy")&amp;""</f>
        <v>Draft MINUTES.01.13.14</v>
      </c>
      <c r="C186" s="231" t="s">
        <v>69</v>
      </c>
      <c r="D186" s="248" t="s">
        <v>151</v>
      </c>
      <c r="E186" s="368">
        <f t="shared" si="857"/>
        <v>1</v>
      </c>
      <c r="F186" s="492">
        <f t="shared" ca="1" si="858"/>
        <v>-171</v>
      </c>
      <c r="G186" s="383">
        <f t="shared" si="859"/>
        <v>41414</v>
      </c>
      <c r="H186" s="369">
        <f t="shared" si="860"/>
        <v>41414</v>
      </c>
      <c r="I186" s="588"/>
      <c r="J186" s="47"/>
      <c r="K186" s="591"/>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588"/>
      <c r="AAB186"/>
      <c r="AAC186"/>
      <c r="AAD186" s="112"/>
      <c r="AAE186" s="552">
        <f t="shared" si="855"/>
        <v>1</v>
      </c>
      <c r="AAF186" s="112"/>
      <c r="AAG186" s="78">
        <f t="shared" ref="AAG186:AAG187" si="862">H185</f>
        <v>41414</v>
      </c>
      <c r="AAH186" s="78">
        <f t="shared" si="861"/>
        <v>41414</v>
      </c>
      <c r="AAI186" s="77"/>
      <c r="AAJ186" s="77"/>
      <c r="AAK186" s="77"/>
      <c r="AAL186" s="89" t="str">
        <f>"Draft "&amp;S.CodeName&amp;"MINUTES.mm.dd.yyy.2.00"</f>
        <v>Draft MINUTES.mm.dd.yyy.2.00</v>
      </c>
      <c r="AAM186" s="112"/>
      <c r="AAU186" s="44"/>
    </row>
    <row r="187" spans="1:723" s="23" customFormat="1" ht="15" customHeight="1" outlineLevel="2">
      <c r="A187" s="558"/>
      <c r="B187" s="243" t="s">
        <v>52</v>
      </c>
      <c r="C187" s="168"/>
      <c r="D187" s="169" t="s">
        <v>359</v>
      </c>
      <c r="E187" s="368">
        <f t="shared" si="857"/>
        <v>1</v>
      </c>
      <c r="F187" s="492">
        <f t="shared" ca="1" si="858"/>
        <v>-171</v>
      </c>
      <c r="G187" s="383">
        <f t="shared" si="859"/>
        <v>41414</v>
      </c>
      <c r="H187" s="369">
        <f t="shared" si="860"/>
        <v>41414</v>
      </c>
      <c r="I187" s="588"/>
      <c r="J187" s="47"/>
      <c r="K187" s="591"/>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50"/>
      <c r="ZZ187" s="50"/>
      <c r="AAA187" s="588"/>
      <c r="AAB187"/>
      <c r="AAC187"/>
      <c r="AAD187" s="112"/>
      <c r="AAE187" s="552">
        <f t="shared" si="855"/>
        <v>1</v>
      </c>
      <c r="AAF187" s="112"/>
      <c r="AAG187" s="78">
        <f t="shared" si="862"/>
        <v>41414</v>
      </c>
      <c r="AAH187" s="78">
        <f t="shared" si="861"/>
        <v>41414</v>
      </c>
      <c r="AAI187" s="77"/>
      <c r="AAJ187" s="77"/>
      <c r="AAK187" s="77"/>
      <c r="AAL187" s="56"/>
      <c r="AAM187" s="112"/>
      <c r="AAU187" s="44"/>
    </row>
    <row r="188" spans="1:723" s="23" customFormat="1" ht="18" customHeight="1" outlineLevel="1">
      <c r="A188" s="558"/>
      <c r="B188" s="244" t="s">
        <v>147</v>
      </c>
      <c r="C188" s="168"/>
      <c r="D188" s="766"/>
      <c r="E188" s="766"/>
      <c r="F188" s="766"/>
      <c r="G188" s="406">
        <f ca="1">TODAY()</f>
        <v>41652</v>
      </c>
      <c r="H188" s="406" t="s">
        <v>191</v>
      </c>
      <c r="I188" s="588"/>
      <c r="J188" s="47"/>
      <c r="K188" s="591"/>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617"/>
      <c r="ZZ188" s="622"/>
      <c r="AAA188" s="588"/>
      <c r="AAB188"/>
      <c r="AAC188"/>
      <c r="AAD188" s="112"/>
      <c r="AAE188" s="552">
        <f t="shared" si="855"/>
        <v>1</v>
      </c>
      <c r="AAF188" s="583" t="s">
        <v>174</v>
      </c>
      <c r="AAG188" s="39" t="s">
        <v>0</v>
      </c>
      <c r="AAH188" s="39" t="s">
        <v>0</v>
      </c>
      <c r="AAI188" s="39"/>
      <c r="AAJ188" s="56"/>
      <c r="AAK188" s="56"/>
      <c r="AAL188" s="56"/>
      <c r="AAM188" s="112"/>
      <c r="AAU188" s="44"/>
    </row>
    <row r="189" spans="1:723" s="23" customFormat="1" ht="15" customHeight="1" outlineLevel="2">
      <c r="A189" s="558"/>
      <c r="B189" s="375" t="s">
        <v>56</v>
      </c>
      <c r="C189" s="168"/>
      <c r="D189" s="169" t="s">
        <v>359</v>
      </c>
      <c r="E189" s="368">
        <f t="shared" ref="E189" si="863">NETWORKDAYS(G189,H189,S.DDL_DEQClosed)</f>
        <v>1</v>
      </c>
      <c r="F189" s="492">
        <f t="shared" ref="F189" ca="1" si="864">NETWORKDAYS(TODAY(),H189)</f>
        <v>-171</v>
      </c>
      <c r="G189" s="383">
        <f t="shared" ref="G189" si="865">AAG189</f>
        <v>41414</v>
      </c>
      <c r="H189" s="369">
        <f t="shared" ref="H189" si="866">AAH189</f>
        <v>41414</v>
      </c>
      <c r="I189" s="588"/>
      <c r="J189" s="47"/>
      <c r="K189" s="591"/>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50"/>
      <c r="ZZ189" s="50"/>
      <c r="AAA189" s="588"/>
      <c r="AAB189"/>
      <c r="AAC189"/>
      <c r="AAD189" s="112"/>
      <c r="AAE189" s="552">
        <f t="shared" si="855"/>
        <v>1</v>
      </c>
      <c r="AAF189" s="112"/>
      <c r="AAG189" s="78">
        <f>H186</f>
        <v>41414</v>
      </c>
      <c r="AAH189" s="78">
        <f t="shared" ref="AAH189" si="867">G189</f>
        <v>41414</v>
      </c>
      <c r="AAI189" s="77"/>
      <c r="AAJ189" s="77"/>
      <c r="AAK189" s="77"/>
      <c r="AAL189" s="56"/>
      <c r="AAM189" s="112"/>
      <c r="AAU189" s="44"/>
    </row>
    <row r="190" spans="1:723" s="23" customFormat="1" ht="15" customHeight="1" outlineLevel="2">
      <c r="A190" s="558"/>
      <c r="B190" s="376" t="s">
        <v>55</v>
      </c>
      <c r="C190" s="166"/>
      <c r="D190" s="397"/>
      <c r="E190" s="400"/>
      <c r="F190" s="400"/>
      <c r="G190" s="356"/>
      <c r="H190" s="401"/>
      <c r="I190" s="588"/>
      <c r="J190" s="47"/>
      <c r="K190" s="591"/>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617"/>
      <c r="ZZ190" s="622"/>
      <c r="AAA190" s="588"/>
      <c r="AAB190"/>
      <c r="AAC190"/>
      <c r="AAD190" s="112"/>
      <c r="AAE190" s="552">
        <f t="shared" si="855"/>
        <v>1</v>
      </c>
      <c r="AAF190" s="583" t="s">
        <v>174</v>
      </c>
      <c r="AAG190" s="63"/>
      <c r="AAH190" s="76"/>
      <c r="AAI190" s="77"/>
      <c r="AAJ190" s="77"/>
      <c r="AAK190" s="77"/>
      <c r="AAL190" s="56"/>
      <c r="AAM190" s="112"/>
      <c r="AAU190" s="44"/>
    </row>
    <row r="191" spans="1:723" s="23" customFormat="1" ht="15" customHeight="1" outlineLevel="2">
      <c r="A191" s="558"/>
      <c r="B191" s="377" t="str">
        <f ca="1">"Draft AGENDA."&amp;TEXT($G$188,"mm.dd.yy")&amp;""</f>
        <v>Draft AGENDA.01.13.14</v>
      </c>
      <c r="C191" s="231" t="s">
        <v>69</v>
      </c>
      <c r="D191" s="308" t="s">
        <v>54</v>
      </c>
      <c r="E191" s="368">
        <f t="shared" ref="E191:E195" si="868">NETWORKDAYS(G191,H191,S.DDL_DEQClosed)</f>
        <v>1</v>
      </c>
      <c r="F191" s="492">
        <f t="shared" ref="F191:F195" ca="1" si="869">NETWORKDAYS(TODAY(),H191)</f>
        <v>-171</v>
      </c>
      <c r="G191" s="383">
        <f>AAG191</f>
        <v>41414</v>
      </c>
      <c r="H191" s="369">
        <f t="shared" ref="H191:H195" si="870">AAH191</f>
        <v>41414</v>
      </c>
      <c r="I191" s="588"/>
      <c r="J191" s="634"/>
      <c r="K191" s="591"/>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588"/>
      <c r="AAB191"/>
      <c r="AAC191"/>
      <c r="AAD191" s="112"/>
      <c r="AAE191" s="552">
        <f t="shared" si="855"/>
        <v>1</v>
      </c>
      <c r="AAF191" s="112" t="s">
        <v>0</v>
      </c>
      <c r="AAG191" s="78">
        <f>H189</f>
        <v>41414</v>
      </c>
      <c r="AAH191" s="78">
        <f>G191</f>
        <v>41414</v>
      </c>
      <c r="AAI191" s="77"/>
      <c r="AAJ191" s="77"/>
      <c r="AAK191" s="77"/>
      <c r="AAL191" s="89" t="str">
        <f>"Draft "&amp;S.CodeName&amp;"AGENDA.mm.dd.yyyy.2.00"</f>
        <v>Draft AGENDA.mm.dd.yyyy.2.00</v>
      </c>
      <c r="AAM191" s="112"/>
      <c r="AAU191" s="44"/>
    </row>
    <row r="192" spans="1:723" s="23" customFormat="1" ht="15" customHeight="1" outlineLevel="2">
      <c r="A192" s="558"/>
      <c r="B192" s="391" t="s">
        <v>196</v>
      </c>
      <c r="C192" s="239"/>
      <c r="D192" s="308" t="s">
        <v>54</v>
      </c>
      <c r="E192" s="368">
        <f t="shared" si="868"/>
        <v>1</v>
      </c>
      <c r="F192" s="492">
        <f t="shared" ca="1" si="869"/>
        <v>-171</v>
      </c>
      <c r="G192" s="383">
        <f t="shared" ref="G192:G195" si="871">AAG192</f>
        <v>41414</v>
      </c>
      <c r="H192" s="369">
        <f t="shared" si="870"/>
        <v>41414</v>
      </c>
      <c r="I192" s="588"/>
      <c r="J192" s="47"/>
      <c r="K192" s="591"/>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588"/>
      <c r="AAB192"/>
      <c r="AAC192"/>
      <c r="AAD192" s="112"/>
      <c r="AAE192" s="552">
        <f t="shared" si="855"/>
        <v>1</v>
      </c>
      <c r="AAF192" s="112" t="s">
        <v>0</v>
      </c>
      <c r="AAG192" s="78">
        <f>H191</f>
        <v>41414</v>
      </c>
      <c r="AAH192" s="78">
        <f t="shared" ref="AAH192:AAH195" si="872">G192</f>
        <v>41414</v>
      </c>
      <c r="AAI192" s="77"/>
      <c r="AAJ192" s="77"/>
      <c r="AAK192" s="77"/>
      <c r="AAL192" s="56"/>
      <c r="AAM192" s="112"/>
      <c r="AAU192" s="44"/>
    </row>
    <row r="193" spans="1:732" s="23" customFormat="1" ht="15" customHeight="1" outlineLevel="2">
      <c r="A193" s="558"/>
      <c r="B193" s="391" t="s">
        <v>196</v>
      </c>
      <c r="C193" s="239"/>
      <c r="D193" s="308" t="s">
        <v>54</v>
      </c>
      <c r="E193" s="368">
        <f t="shared" si="868"/>
        <v>1</v>
      </c>
      <c r="F193" s="492">
        <f t="shared" ca="1" si="869"/>
        <v>-171</v>
      </c>
      <c r="G193" s="383">
        <f t="shared" si="871"/>
        <v>41414</v>
      </c>
      <c r="H193" s="369">
        <f t="shared" si="870"/>
        <v>41414</v>
      </c>
      <c r="I193" s="588"/>
      <c r="J193" s="47"/>
      <c r="K193" s="591"/>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588"/>
      <c r="AAB193"/>
      <c r="AAC193"/>
      <c r="AAD193" s="112"/>
      <c r="AAE193" s="552">
        <f t="shared" si="855"/>
        <v>1</v>
      </c>
      <c r="AAF193" s="112" t="s">
        <v>0</v>
      </c>
      <c r="AAG193" s="78">
        <f>H192</f>
        <v>41414</v>
      </c>
      <c r="AAH193" s="78">
        <f t="shared" si="872"/>
        <v>41414</v>
      </c>
      <c r="AAI193" s="77"/>
      <c r="AAJ193" s="77"/>
      <c r="AAK193" s="77"/>
      <c r="AAL193" s="56"/>
      <c r="AAM193" s="112"/>
      <c r="AAU193" s="44"/>
    </row>
    <row r="194" spans="1:732" s="23" customFormat="1" ht="15" customHeight="1" outlineLevel="2">
      <c r="A194" s="558"/>
      <c r="B194" s="391" t="s">
        <v>196</v>
      </c>
      <c r="C194" s="239"/>
      <c r="D194" s="308" t="s">
        <v>54</v>
      </c>
      <c r="E194" s="368">
        <f t="shared" si="868"/>
        <v>1</v>
      </c>
      <c r="F194" s="492">
        <f t="shared" ca="1" si="869"/>
        <v>-171</v>
      </c>
      <c r="G194" s="383">
        <f t="shared" si="871"/>
        <v>41414</v>
      </c>
      <c r="H194" s="369">
        <f t="shared" si="870"/>
        <v>41414</v>
      </c>
      <c r="I194" s="588"/>
      <c r="J194" s="47"/>
      <c r="K194" s="591"/>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588"/>
      <c r="AAB194"/>
      <c r="AAC194"/>
      <c r="AAD194" s="112"/>
      <c r="AAE194" s="552">
        <f t="shared" si="855"/>
        <v>1</v>
      </c>
      <c r="AAF194" s="112" t="s">
        <v>0</v>
      </c>
      <c r="AAG194" s="78">
        <f>H193</f>
        <v>41414</v>
      </c>
      <c r="AAH194" s="78">
        <f t="shared" si="872"/>
        <v>41414</v>
      </c>
      <c r="AAI194" s="77"/>
      <c r="AAJ194" s="77"/>
      <c r="AAK194" s="77"/>
      <c r="AAL194" s="56"/>
      <c r="AAM194" s="112"/>
      <c r="AAU194" s="44"/>
    </row>
    <row r="195" spans="1:732" s="23" customFormat="1" ht="15" customHeight="1" outlineLevel="2">
      <c r="A195" s="558"/>
      <c r="B195" s="391" t="s">
        <v>196</v>
      </c>
      <c r="C195" s="239"/>
      <c r="D195" s="308" t="s">
        <v>54</v>
      </c>
      <c r="E195" s="368">
        <f t="shared" si="868"/>
        <v>1</v>
      </c>
      <c r="F195" s="492">
        <f t="shared" ca="1" si="869"/>
        <v>-171</v>
      </c>
      <c r="G195" s="383">
        <f t="shared" si="871"/>
        <v>41414</v>
      </c>
      <c r="H195" s="369">
        <f t="shared" si="870"/>
        <v>41414</v>
      </c>
      <c r="I195" s="588"/>
      <c r="J195" s="47"/>
      <c r="K195" s="591"/>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50"/>
      <c r="ZZ195" s="50"/>
      <c r="AAA195" s="588"/>
      <c r="AAB195"/>
      <c r="AAC195"/>
      <c r="AAD195" s="112"/>
      <c r="AAE195" s="552">
        <f t="shared" si="855"/>
        <v>1</v>
      </c>
      <c r="AAF195" s="112" t="s">
        <v>0</v>
      </c>
      <c r="AAG195" s="78">
        <f t="shared" ref="AAG195" si="873">H194</f>
        <v>41414</v>
      </c>
      <c r="AAH195" s="78">
        <f t="shared" si="872"/>
        <v>41414</v>
      </c>
      <c r="AAI195" s="77"/>
      <c r="AAJ195" s="77"/>
      <c r="AAK195" s="77"/>
      <c r="AAL195" s="56"/>
      <c r="AAM195" s="112"/>
      <c r="AAU195" s="44"/>
    </row>
    <row r="196" spans="1:732" s="23" customFormat="1" ht="15" customHeight="1" outlineLevel="2">
      <c r="A196" s="558"/>
      <c r="B196" s="392" t="s">
        <v>189</v>
      </c>
      <c r="C196" s="709"/>
      <c r="D196" s="398"/>
      <c r="E196" s="402"/>
      <c r="F196" s="402"/>
      <c r="G196" s="402"/>
      <c r="H196" s="402"/>
      <c r="I196" s="588"/>
      <c r="J196" s="47"/>
      <c r="K196" s="591"/>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617"/>
      <c r="ZZ196" s="622"/>
      <c r="AAA196" s="588"/>
      <c r="AAB196"/>
      <c r="AAC196"/>
      <c r="AAD196" s="112"/>
      <c r="AAE196" s="552">
        <f t="shared" si="855"/>
        <v>1</v>
      </c>
      <c r="AAF196" s="583" t="s">
        <v>174</v>
      </c>
      <c r="AAG196" s="39"/>
      <c r="AAH196" s="39"/>
      <c r="AAI196" s="77"/>
      <c r="AAJ196" s="77"/>
      <c r="AAK196" s="77"/>
      <c r="AAL196" s="56"/>
      <c r="AAM196" s="112"/>
      <c r="AAU196" s="44"/>
    </row>
    <row r="197" spans="1:732" s="23" customFormat="1" ht="15" customHeight="1" outlineLevel="2">
      <c r="A197" s="558"/>
      <c r="B197" s="393" t="str">
        <f ca="1">"Draft optional PRESENTATION."&amp;TEXT($G$168,"mm.dd.yy")&amp;""</f>
        <v>Draft optional PRESENTATION.01.13.14</v>
      </c>
      <c r="C197" s="231" t="s">
        <v>69</v>
      </c>
      <c r="D197" s="308" t="s">
        <v>54</v>
      </c>
      <c r="E197" s="368">
        <f t="shared" ref="E197:E200" si="874">NETWORKDAYS(G197,H197,S.DDL_DEQClosed)</f>
        <v>1</v>
      </c>
      <c r="F197" s="492">
        <f t="shared" ref="F197:F200" ca="1" si="875">NETWORKDAYS(TODAY(),H197)</f>
        <v>-171</v>
      </c>
      <c r="G197" s="383">
        <f t="shared" ref="G197:G200" si="876">AAG197</f>
        <v>41414</v>
      </c>
      <c r="H197" s="369">
        <f t="shared" ref="H197:H200" si="877">AAH197</f>
        <v>41414</v>
      </c>
      <c r="I197" s="588"/>
      <c r="J197" s="47"/>
      <c r="K197" s="591"/>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588"/>
      <c r="AAB197"/>
      <c r="AAC197"/>
      <c r="AAD197" s="112"/>
      <c r="AAE197" s="552">
        <f t="shared" si="855"/>
        <v>1</v>
      </c>
      <c r="AAF197" s="112" t="s">
        <v>0</v>
      </c>
      <c r="AAG197" s="78">
        <f>H195</f>
        <v>41414</v>
      </c>
      <c r="AAH197" s="78">
        <f t="shared" ref="AAH197:AAH200" si="878">G197</f>
        <v>41414</v>
      </c>
      <c r="AAI197" s="77"/>
      <c r="AAJ197" s="77"/>
      <c r="AAK197" s="77"/>
      <c r="AAL197" s="56"/>
      <c r="AAM197" s="112"/>
      <c r="AAU197" s="44"/>
    </row>
    <row r="198" spans="1:732" s="23" customFormat="1" ht="15" customHeight="1" outlineLevel="2">
      <c r="A198" s="558"/>
      <c r="B198" s="393" t="s">
        <v>200</v>
      </c>
      <c r="C198" s="239"/>
      <c r="D198" s="308" t="s">
        <v>54</v>
      </c>
      <c r="E198" s="368">
        <f t="shared" si="874"/>
        <v>1</v>
      </c>
      <c r="F198" s="492">
        <f t="shared" ca="1" si="875"/>
        <v>-171</v>
      </c>
      <c r="G198" s="383">
        <f t="shared" si="876"/>
        <v>41414</v>
      </c>
      <c r="H198" s="369">
        <f t="shared" si="877"/>
        <v>41414</v>
      </c>
      <c r="I198" s="588"/>
      <c r="J198" s="47"/>
      <c r="K198" s="591"/>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588"/>
      <c r="AAB198"/>
      <c r="AAC198"/>
      <c r="AAD198" s="112"/>
      <c r="AAE198" s="552">
        <f t="shared" si="855"/>
        <v>1</v>
      </c>
      <c r="AAF198" s="112" t="s">
        <v>0</v>
      </c>
      <c r="AAG198" s="78">
        <f t="shared" ref="AAG198" si="879">H197</f>
        <v>41414</v>
      </c>
      <c r="AAH198" s="78">
        <f t="shared" si="878"/>
        <v>41414</v>
      </c>
      <c r="AAI198" s="77"/>
      <c r="AAJ198" s="77"/>
      <c r="AAK198" s="77"/>
      <c r="AAL198" s="56"/>
      <c r="AAM198" s="112"/>
      <c r="AAU198" s="44"/>
    </row>
    <row r="199" spans="1:732" s="23" customFormat="1" ht="15" customHeight="1" outlineLevel="2">
      <c r="A199" s="558"/>
      <c r="B199" s="393" t="s">
        <v>194</v>
      </c>
      <c r="C199" s="239"/>
      <c r="D199" s="308" t="s">
        <v>54</v>
      </c>
      <c r="E199" s="368">
        <f t="shared" si="874"/>
        <v>1</v>
      </c>
      <c r="F199" s="492">
        <f t="shared" ca="1" si="875"/>
        <v>-171</v>
      </c>
      <c r="G199" s="383">
        <f t="shared" si="876"/>
        <v>41414</v>
      </c>
      <c r="H199" s="369">
        <f t="shared" si="877"/>
        <v>41414</v>
      </c>
      <c r="I199" s="588"/>
      <c r="J199" s="47"/>
      <c r="K199" s="591"/>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588"/>
      <c r="AAB199"/>
      <c r="AAC199"/>
      <c r="AAD199" s="112"/>
      <c r="AAE199" s="552">
        <f t="shared" si="855"/>
        <v>1</v>
      </c>
      <c r="AAF199" s="112" t="s">
        <v>0</v>
      </c>
      <c r="AAG199" s="78">
        <f>H198</f>
        <v>41414</v>
      </c>
      <c r="AAH199" s="78">
        <f t="shared" si="878"/>
        <v>41414</v>
      </c>
      <c r="AAI199" s="77"/>
      <c r="AAJ199" s="77"/>
      <c r="AAK199" s="77"/>
      <c r="AAL199" s="56"/>
      <c r="AAM199" s="112"/>
      <c r="AAU199" s="44"/>
    </row>
    <row r="200" spans="1:732" s="23" customFormat="1" ht="15" customHeight="1" outlineLevel="2">
      <c r="A200" s="558"/>
      <c r="B200" s="393" t="s">
        <v>195</v>
      </c>
      <c r="C200" s="239"/>
      <c r="D200" s="308" t="s">
        <v>54</v>
      </c>
      <c r="E200" s="368">
        <f t="shared" si="874"/>
        <v>1</v>
      </c>
      <c r="F200" s="492">
        <f t="shared" ca="1" si="875"/>
        <v>-171</v>
      </c>
      <c r="G200" s="383">
        <f t="shared" si="876"/>
        <v>41414</v>
      </c>
      <c r="H200" s="369">
        <f t="shared" si="877"/>
        <v>41414</v>
      </c>
      <c r="I200" s="588"/>
      <c r="J200" s="47"/>
      <c r="K200" s="591"/>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50"/>
      <c r="ZZ200" s="50"/>
      <c r="AAA200" s="588"/>
      <c r="AAB200"/>
      <c r="AAC200"/>
      <c r="AAD200" s="112"/>
      <c r="AAE200" s="552">
        <f t="shared" si="855"/>
        <v>1</v>
      </c>
      <c r="AAF200" s="112" t="s">
        <v>0</v>
      </c>
      <c r="AAG200" s="78">
        <f t="shared" ref="AAG200" si="880">H199</f>
        <v>41414</v>
      </c>
      <c r="AAH200" s="78">
        <f t="shared" si="878"/>
        <v>41414</v>
      </c>
      <c r="AAI200" s="77"/>
      <c r="AAJ200" s="77"/>
      <c r="AAK200" s="77"/>
      <c r="AAL200" s="56"/>
      <c r="AAM200" s="112"/>
      <c r="AAU200" s="44"/>
    </row>
    <row r="201" spans="1:732" s="23" customFormat="1" ht="15" customHeight="1" outlineLevel="2">
      <c r="A201" s="558"/>
      <c r="B201" s="394" t="s">
        <v>190</v>
      </c>
      <c r="C201" s="710"/>
      <c r="D201" s="386"/>
      <c r="E201" s="127"/>
      <c r="F201" s="127"/>
      <c r="G201" s="127"/>
      <c r="H201" s="127"/>
      <c r="I201" s="588"/>
      <c r="J201" s="47"/>
      <c r="K201" s="591"/>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617"/>
      <c r="ZZ201" s="622"/>
      <c r="AAA201" s="588"/>
      <c r="AAB201"/>
      <c r="AAC201"/>
      <c r="AAD201" s="112"/>
      <c r="AAE201" s="552">
        <f t="shared" si="855"/>
        <v>1</v>
      </c>
      <c r="AAF201" s="583" t="s">
        <v>174</v>
      </c>
      <c r="AAG201" s="39"/>
      <c r="AAH201" s="39"/>
      <c r="AAI201" s="77"/>
      <c r="AAJ201" s="77"/>
      <c r="AAK201" s="77"/>
      <c r="AAL201" s="56"/>
      <c r="AAM201" s="112"/>
      <c r="AAU201" s="44"/>
    </row>
    <row r="202" spans="1:732" s="23" customFormat="1" ht="15" customHeight="1" outlineLevel="2">
      <c r="A202" s="558"/>
      <c r="B202" s="377" t="str">
        <f ca="1">"Draft COMMITTEE.NOTICE."&amp;TEXT($G$188,"mm.dd.yy")&amp;""</f>
        <v>Draft COMMITTEE.NOTICE.01.13.14</v>
      </c>
      <c r="C202" s="239"/>
      <c r="D202" s="308" t="s">
        <v>151</v>
      </c>
      <c r="E202" s="368">
        <f t="shared" ref="E202" si="881">NETWORKDAYS(G202,H202,S.DDL_DEQClosed)</f>
        <v>1</v>
      </c>
      <c r="F202" s="492">
        <f t="shared" ref="F202" ca="1" si="882">NETWORKDAYS(TODAY(),H202)</f>
        <v>-171</v>
      </c>
      <c r="G202" s="383">
        <f t="shared" ref="G202" si="883">AAG202</f>
        <v>41414</v>
      </c>
      <c r="H202" s="369">
        <f t="shared" ref="H202" si="884">AAH202</f>
        <v>41414</v>
      </c>
      <c r="I202" s="588"/>
      <c r="J202" s="47"/>
      <c r="K202" s="591"/>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50"/>
      <c r="ZZ202" s="50"/>
      <c r="AAA202" s="588"/>
      <c r="AAB202"/>
      <c r="AAC202"/>
      <c r="AAD202" s="112"/>
      <c r="AAE202" s="552">
        <f t="shared" si="855"/>
        <v>1</v>
      </c>
      <c r="AAF202" s="112" t="s">
        <v>0</v>
      </c>
      <c r="AAG202" s="78">
        <f>H200</f>
        <v>41414</v>
      </c>
      <c r="AAH202" s="78">
        <f t="shared" ref="AAH202" si="885">G202</f>
        <v>41414</v>
      </c>
      <c r="AAI202" s="77"/>
      <c r="AAJ202" s="77"/>
      <c r="AAK202" s="77"/>
      <c r="AAL202" s="89" t="str">
        <f>"Draft "&amp;S.CodeName&amp;"COMMITTEE.NOTICE.mm.dd.yyyy.2.00"</f>
        <v>Draft COMMITTEE.NOTICE.mm.dd.yyyy.2.00</v>
      </c>
      <c r="AAM202" s="112"/>
      <c r="AAU202" s="44"/>
    </row>
    <row r="203" spans="1:732" s="23" customFormat="1" ht="15" customHeight="1" outlineLevel="2">
      <c r="A203" s="558"/>
      <c r="B203" s="395" t="s">
        <v>21</v>
      </c>
      <c r="C203" s="245"/>
      <c r="D203" s="197"/>
      <c r="E203" s="345"/>
      <c r="F203" s="366"/>
      <c r="G203" s="403" t="s">
        <v>0</v>
      </c>
      <c r="H203" s="401"/>
      <c r="I203" s="588"/>
      <c r="J203" s="47"/>
      <c r="K203" s="591"/>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617"/>
      <c r="ZZ203" s="622"/>
      <c r="AAA203" s="588"/>
      <c r="AAB203"/>
      <c r="AAC203"/>
      <c r="AAD203" s="112"/>
      <c r="AAE203" s="552">
        <f t="shared" si="855"/>
        <v>1</v>
      </c>
      <c r="AAF203" s="583" t="s">
        <v>174</v>
      </c>
      <c r="AAG203" s="63"/>
      <c r="AAH203" s="76" t="s">
        <v>0</v>
      </c>
      <c r="AAI203" s="77"/>
      <c r="AAJ203" s="77"/>
      <c r="AAK203" s="77"/>
      <c r="AAL203" s="56"/>
      <c r="AAM203" s="112"/>
      <c r="AAU203" s="44"/>
    </row>
    <row r="204" spans="1:732" s="23" customFormat="1" ht="15" customHeight="1" outlineLevel="2">
      <c r="A204" s="558"/>
      <c r="B204" s="387" t="s">
        <v>199</v>
      </c>
      <c r="C204" s="168"/>
      <c r="D204" s="308" t="s">
        <v>157</v>
      </c>
      <c r="E204" s="368">
        <f>NETWORKDAYS(G204,H204,S.DDL_DEQClosed)</f>
        <v>1</v>
      </c>
      <c r="F204" s="492">
        <f ca="1">NETWORKDAYS(TODAY(),H204)</f>
        <v>-171</v>
      </c>
      <c r="G204" s="383">
        <f>AAG204</f>
        <v>41414</v>
      </c>
      <c r="H204" s="369">
        <f>AAH204</f>
        <v>41414</v>
      </c>
      <c r="I204" s="588"/>
      <c r="J204" s="47"/>
      <c r="K204" s="591"/>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588"/>
      <c r="AAB204"/>
      <c r="AAC204"/>
      <c r="AAD204" s="112"/>
      <c r="AAE204" s="552">
        <f t="shared" si="855"/>
        <v>1</v>
      </c>
      <c r="AAF204" s="112"/>
      <c r="AAG204" s="78">
        <f>H202</f>
        <v>41414</v>
      </c>
      <c r="AAH204" s="78">
        <f>G204</f>
        <v>41414</v>
      </c>
      <c r="AAI204" s="77"/>
      <c r="AAJ204" s="77"/>
      <c r="AAK204" s="77"/>
      <c r="AAL204" s="56"/>
      <c r="AAM204" s="112"/>
      <c r="AAU204" s="44"/>
    </row>
    <row r="205" spans="1:732" s="23" customFormat="1" ht="15" customHeight="1" outlineLevel="2">
      <c r="A205" s="558"/>
      <c r="B205" s="387" t="s">
        <v>53</v>
      </c>
      <c r="C205" s="168"/>
      <c r="D205" s="308" t="s">
        <v>359</v>
      </c>
      <c r="E205" s="368">
        <f t="shared" ref="E205:E207" si="886">NETWORKDAYS(G205,H205,S.DDL_DEQClosed)</f>
        <v>1</v>
      </c>
      <c r="F205" s="492">
        <f t="shared" ref="F205:F207" ca="1" si="887">NETWORKDAYS(TODAY(),H205)</f>
        <v>-171</v>
      </c>
      <c r="G205" s="383">
        <f t="shared" ref="G205:G207" si="888">AAG205</f>
        <v>41414</v>
      </c>
      <c r="H205" s="369">
        <f t="shared" ref="H205:H207" si="889">AAH205</f>
        <v>41414</v>
      </c>
      <c r="I205" s="588"/>
      <c r="J205" s="47"/>
      <c r="K205" s="591"/>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588"/>
      <c r="AAB205"/>
      <c r="AAC205"/>
      <c r="AAD205" s="112"/>
      <c r="AAE205" s="552">
        <f t="shared" si="855"/>
        <v>1</v>
      </c>
      <c r="AAF205" s="112"/>
      <c r="AAG205" s="78">
        <f>H204</f>
        <v>41414</v>
      </c>
      <c r="AAH205" s="78">
        <f t="shared" ref="AAH205:AAH207" si="890">G205</f>
        <v>41414</v>
      </c>
      <c r="AAI205" s="77"/>
      <c r="AAJ205" s="77"/>
      <c r="AAK205" s="77"/>
      <c r="AAL205" s="56"/>
      <c r="AAM205" s="112"/>
      <c r="AAU205" s="44"/>
    </row>
    <row r="206" spans="1:732" s="23" customFormat="1" ht="15" customHeight="1" outlineLevel="2">
      <c r="A206" s="558"/>
      <c r="B206" s="404" t="str">
        <f ca="1">"Draft MINUTES."&amp;TEXT($G$188,"mm.dd.yy")&amp;""</f>
        <v>Draft MINUTES.01.13.14</v>
      </c>
      <c r="C206" s="231" t="s">
        <v>69</v>
      </c>
      <c r="D206" s="278" t="s">
        <v>151</v>
      </c>
      <c r="E206" s="368">
        <f t="shared" si="886"/>
        <v>1</v>
      </c>
      <c r="F206" s="492">
        <f t="shared" ca="1" si="887"/>
        <v>-171</v>
      </c>
      <c r="G206" s="383">
        <f t="shared" si="888"/>
        <v>41414</v>
      </c>
      <c r="H206" s="369">
        <f t="shared" si="889"/>
        <v>41414</v>
      </c>
      <c r="I206" s="588"/>
      <c r="J206" s="47"/>
      <c r="K206" s="591"/>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588"/>
      <c r="AAB206"/>
      <c r="AAC206"/>
      <c r="AAD206" s="112"/>
      <c r="AAE206" s="552">
        <f t="shared" si="855"/>
        <v>1</v>
      </c>
      <c r="AAF206" s="112"/>
      <c r="AAG206" s="78">
        <f t="shared" ref="AAG206:AAG207" si="891">H205</f>
        <v>41414</v>
      </c>
      <c r="AAH206" s="78">
        <f t="shared" si="890"/>
        <v>41414</v>
      </c>
      <c r="AAI206" s="77"/>
      <c r="AAJ206" s="77"/>
      <c r="AAK206" s="77"/>
      <c r="AAL206" s="89" t="str">
        <f>"Draft "&amp;S.CodeName&amp;"MINUTES.mm.dd.yyy.2.00"</f>
        <v>Draft MINUTES.mm.dd.yyy.2.00</v>
      </c>
      <c r="AAM206" s="112"/>
      <c r="AAU206" s="44"/>
    </row>
    <row r="207" spans="1:732" s="23" customFormat="1" ht="15" customHeight="1" outlineLevel="2">
      <c r="A207" s="558"/>
      <c r="B207" s="387" t="s">
        <v>52</v>
      </c>
      <c r="C207" s="168"/>
      <c r="D207" s="308" t="s">
        <v>359</v>
      </c>
      <c r="E207" s="368">
        <f t="shared" si="886"/>
        <v>1</v>
      </c>
      <c r="F207" s="492">
        <f t="shared" ca="1" si="887"/>
        <v>-171</v>
      </c>
      <c r="G207" s="383">
        <f t="shared" si="888"/>
        <v>41414</v>
      </c>
      <c r="H207" s="369">
        <f t="shared" si="889"/>
        <v>41414</v>
      </c>
      <c r="I207" s="588"/>
      <c r="J207" s="47"/>
      <c r="K207" s="591"/>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50"/>
      <c r="ZZ207" s="50"/>
      <c r="AAA207" s="588"/>
      <c r="AAB207"/>
      <c r="AAC207"/>
      <c r="AAD207" s="112"/>
      <c r="AAE207" s="552">
        <f t="shared" si="855"/>
        <v>1</v>
      </c>
      <c r="AAF207" s="112"/>
      <c r="AAG207" s="78">
        <f t="shared" si="891"/>
        <v>41414</v>
      </c>
      <c r="AAH207" s="78">
        <f t="shared" si="890"/>
        <v>41414</v>
      </c>
      <c r="AAI207" s="77"/>
      <c r="AAJ207" s="77"/>
      <c r="AAK207" s="77"/>
      <c r="AAL207" s="56"/>
      <c r="AAM207" s="112"/>
      <c r="AAU207" s="44"/>
      <c r="AAV207"/>
      <c r="AAW207"/>
      <c r="AAX207"/>
      <c r="AAY207"/>
      <c r="AAZ207"/>
      <c r="ABA207"/>
      <c r="ABB207"/>
      <c r="ABC207"/>
      <c r="ABD207"/>
    </row>
    <row r="208" spans="1:732" s="23" customFormat="1" ht="15" customHeight="1" outlineLevel="1">
      <c r="A208" s="558"/>
      <c r="B208" s="243"/>
      <c r="C208" s="168"/>
      <c r="D208" s="308"/>
      <c r="E208" s="123"/>
      <c r="F208" s="124"/>
      <c r="G208" s="141"/>
      <c r="H208" s="227"/>
      <c r="I208" s="588"/>
      <c r="J208" s="591"/>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17"/>
      <c r="ZZ208" s="622"/>
      <c r="AAA208" s="588"/>
      <c r="AAB208"/>
      <c r="AAC208"/>
      <c r="AAD208" s="112"/>
      <c r="AAE208" s="552"/>
      <c r="AAF208" s="583" t="s">
        <v>174</v>
      </c>
      <c r="AAG208" s="63"/>
      <c r="AAH208" s="63"/>
      <c r="AAI208" s="77"/>
      <c r="AAJ208" s="77"/>
      <c r="AAK208" s="77"/>
      <c r="AAL208" s="56"/>
      <c r="AAM208" s="112"/>
      <c r="AAU208" s="44"/>
      <c r="AAV208"/>
      <c r="AAW208"/>
      <c r="AAX208"/>
      <c r="AAY208"/>
      <c r="AAZ208"/>
      <c r="ABA208"/>
      <c r="ABB208"/>
      <c r="ABC208"/>
      <c r="ABD208"/>
    </row>
    <row r="209" spans="1:732" ht="6" customHeight="1">
      <c r="A209" s="558"/>
      <c r="B209" s="249"/>
      <c r="C209" s="170"/>
      <c r="D209" s="171"/>
      <c r="E209" s="172"/>
      <c r="F209" s="172"/>
      <c r="G209" s="171"/>
      <c r="H209" s="171"/>
      <c r="I209" s="588"/>
      <c r="J209" s="591"/>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7"/>
      <c r="BD209" s="47"/>
      <c r="BE209" s="47"/>
      <c r="BF209" s="47"/>
      <c r="BG209" s="47"/>
      <c r="BH209" s="47"/>
      <c r="BI209" s="47"/>
      <c r="BJ209" s="47"/>
      <c r="BK209" s="47"/>
      <c r="BL209" s="47"/>
      <c r="BM209" s="47"/>
      <c r="BN209" s="47"/>
      <c r="BO209" s="47"/>
      <c r="BP209" s="47"/>
      <c r="BQ209" s="47"/>
      <c r="BR209" s="47"/>
      <c r="BS209" s="47"/>
      <c r="BT209" s="47"/>
      <c r="BU209" s="47"/>
      <c r="BV209" s="47"/>
      <c r="BW209" s="47"/>
      <c r="BX209" s="47"/>
      <c r="BY209" s="47"/>
      <c r="BZ209" s="47"/>
      <c r="CA209" s="47"/>
      <c r="CB209" s="47"/>
      <c r="CC209" s="47"/>
      <c r="CD209" s="47"/>
      <c r="CE209" s="47"/>
      <c r="CF209" s="47"/>
      <c r="CG209" s="47"/>
      <c r="CH209" s="47"/>
      <c r="CI209" s="47"/>
      <c r="CJ209" s="47"/>
      <c r="CK209" s="47"/>
      <c r="CL209" s="47"/>
      <c r="CM209" s="47"/>
      <c r="CN209" s="47"/>
      <c r="CO209" s="47"/>
      <c r="CP209" s="47"/>
      <c r="CQ209" s="47"/>
      <c r="CR209" s="47"/>
      <c r="CS209" s="47"/>
      <c r="CT209" s="47"/>
      <c r="CU209" s="47"/>
      <c r="CV209" s="47"/>
      <c r="CW209" s="47"/>
      <c r="CX209" s="47"/>
      <c r="CY209" s="47"/>
      <c r="CZ209" s="47"/>
      <c r="DA209" s="47"/>
      <c r="DB209" s="47"/>
      <c r="DC209" s="47"/>
      <c r="DD209" s="47"/>
      <c r="DE209" s="47"/>
      <c r="DF209" s="47"/>
      <c r="DG209" s="47"/>
      <c r="DH209" s="47"/>
      <c r="DI209" s="47"/>
      <c r="DJ209" s="47"/>
      <c r="DK209" s="47"/>
      <c r="DL209" s="47"/>
      <c r="DM209" s="47"/>
      <c r="DN209" s="47"/>
      <c r="DO209" s="47"/>
      <c r="DP209" s="47"/>
      <c r="DQ209" s="47"/>
      <c r="DR209" s="47"/>
      <c r="DS209" s="47"/>
      <c r="DT209" s="47"/>
      <c r="DU209" s="47"/>
      <c r="DV209" s="47"/>
      <c r="DW209" s="47"/>
      <c r="DX209" s="47"/>
      <c r="DY209" s="47"/>
      <c r="DZ209" s="47"/>
      <c r="EA209" s="47"/>
      <c r="EB209" s="47"/>
      <c r="EC209" s="47"/>
      <c r="ED209" s="47"/>
      <c r="EE209" s="47"/>
      <c r="EF209" s="47"/>
      <c r="EG209" s="47"/>
      <c r="EH209" s="47"/>
      <c r="EI209" s="47"/>
      <c r="EJ209" s="47"/>
      <c r="EK209" s="47"/>
      <c r="EL209" s="47"/>
      <c r="EM209" s="47"/>
      <c r="EN209" s="47"/>
      <c r="EO209" s="47"/>
      <c r="EP209" s="47"/>
      <c r="EQ209" s="47"/>
      <c r="ER209" s="47"/>
      <c r="ES209" s="47"/>
      <c r="ET209" s="47"/>
      <c r="EU209" s="47"/>
      <c r="EV209" s="47"/>
      <c r="EW209" s="47"/>
      <c r="EX209" s="47"/>
      <c r="EY209" s="47"/>
      <c r="EZ209" s="47"/>
      <c r="FA209" s="47"/>
      <c r="FB209" s="47"/>
      <c r="FC209" s="47"/>
      <c r="FD209" s="47"/>
      <c r="FE209" s="47"/>
      <c r="FF209" s="47"/>
      <c r="FG209" s="47"/>
      <c r="FH209" s="47"/>
      <c r="FI209" s="47"/>
      <c r="FJ209" s="47"/>
      <c r="FK209" s="47"/>
      <c r="FL209" s="47"/>
      <c r="FM209" s="47"/>
      <c r="FN209" s="47"/>
      <c r="FO209" s="47"/>
      <c r="FP209" s="47"/>
      <c r="FQ209" s="47"/>
      <c r="FR209" s="47"/>
      <c r="FS209" s="47"/>
      <c r="FT209" s="47"/>
      <c r="FU209" s="47"/>
      <c r="FV209" s="47"/>
      <c r="FW209" s="47"/>
      <c r="FX209" s="47"/>
      <c r="FY209" s="47"/>
      <c r="FZ209" s="47"/>
      <c r="GA209" s="47"/>
      <c r="GB209" s="47"/>
      <c r="GC209" s="47"/>
      <c r="GD209" s="47"/>
      <c r="GE209" s="47"/>
      <c r="GF209" s="47"/>
      <c r="GG209" s="47"/>
      <c r="GH209" s="47"/>
      <c r="GI209" s="47"/>
      <c r="GJ209" s="47"/>
      <c r="GK209" s="47"/>
      <c r="GL209" s="47"/>
      <c r="GM209" s="47"/>
      <c r="GN209" s="47"/>
      <c r="GO209" s="47"/>
      <c r="GP209" s="47"/>
      <c r="GQ209" s="47"/>
      <c r="GR209" s="47"/>
      <c r="GS209" s="47"/>
      <c r="GT209" s="47"/>
      <c r="GU209" s="47"/>
      <c r="GV209" s="47"/>
      <c r="GW209" s="47"/>
      <c r="GX209" s="47"/>
      <c r="GY209" s="47"/>
      <c r="GZ209" s="47"/>
      <c r="HA209" s="47"/>
      <c r="HB209" s="47"/>
      <c r="HC209" s="47"/>
      <c r="HD209" s="47"/>
      <c r="HE209" s="47"/>
      <c r="HF209" s="47"/>
      <c r="HG209" s="47"/>
      <c r="HH209" s="47"/>
      <c r="HI209" s="47"/>
      <c r="HJ209" s="47"/>
      <c r="HK209" s="47"/>
      <c r="HL209" s="47"/>
      <c r="HM209" s="47"/>
      <c r="HN209" s="47"/>
      <c r="HO209" s="47"/>
      <c r="HP209" s="47"/>
      <c r="HQ209" s="47"/>
      <c r="HR209" s="47"/>
      <c r="HS209" s="47"/>
      <c r="HT209" s="47"/>
      <c r="HU209" s="47"/>
      <c r="HV209" s="47"/>
      <c r="HW209" s="47"/>
      <c r="HX209" s="47"/>
      <c r="HY209" s="47"/>
      <c r="HZ209" s="47"/>
      <c r="IA209" s="47"/>
      <c r="IB209" s="47"/>
      <c r="IC209" s="47"/>
      <c r="ID209" s="47"/>
      <c r="IE209" s="47"/>
      <c r="IF209" s="47"/>
      <c r="IG209" s="47"/>
      <c r="IH209" s="47"/>
      <c r="II209" s="47"/>
      <c r="IJ209" s="47"/>
      <c r="IK209" s="47"/>
      <c r="IL209" s="47"/>
      <c r="IM209" s="47"/>
      <c r="IN209" s="47"/>
      <c r="IO209" s="47"/>
      <c r="IP209" s="47"/>
      <c r="IQ209" s="47"/>
      <c r="IR209" s="47"/>
      <c r="IS209" s="47"/>
      <c r="IT209" s="47"/>
      <c r="IU209" s="47"/>
      <c r="IV209" s="47"/>
      <c r="IW209" s="47"/>
      <c r="IX209" s="47"/>
      <c r="IY209" s="47"/>
      <c r="IZ209" s="47"/>
      <c r="JA209" s="47"/>
      <c r="JB209" s="47"/>
      <c r="JC209" s="47"/>
      <c r="JD209" s="47"/>
      <c r="JE209" s="47"/>
      <c r="JF209" s="47"/>
      <c r="JG209" s="47"/>
      <c r="JH209" s="47"/>
      <c r="JI209" s="47"/>
      <c r="JJ209" s="47"/>
      <c r="JK209" s="47"/>
      <c r="JL209" s="47"/>
      <c r="JM209" s="47"/>
      <c r="JN209" s="47"/>
      <c r="JO209" s="47"/>
      <c r="JP209" s="47"/>
      <c r="JQ209" s="47"/>
      <c r="JR209" s="47"/>
      <c r="JS209" s="47"/>
      <c r="JT209" s="47"/>
      <c r="JU209" s="47"/>
      <c r="JV209" s="47"/>
      <c r="JW209" s="47"/>
      <c r="JX209" s="47"/>
      <c r="JY209" s="47"/>
      <c r="JZ209" s="47"/>
      <c r="KA209" s="47"/>
      <c r="KB209" s="47"/>
      <c r="KC209" s="47"/>
      <c r="KD209" s="47"/>
      <c r="KE209" s="47"/>
      <c r="KF209" s="47"/>
      <c r="KG209" s="47"/>
      <c r="KH209" s="47"/>
      <c r="KI209" s="47"/>
      <c r="KJ209" s="47"/>
      <c r="KK209" s="47"/>
      <c r="KL209" s="47"/>
      <c r="KM209" s="47"/>
      <c r="KN209" s="47"/>
      <c r="KO209" s="47"/>
      <c r="KP209" s="47"/>
      <c r="KQ209" s="47"/>
      <c r="KR209" s="47"/>
      <c r="KS209" s="47"/>
      <c r="KT209" s="47"/>
      <c r="KU209" s="47"/>
      <c r="KV209" s="47"/>
      <c r="KW209" s="47"/>
      <c r="KX209" s="47"/>
      <c r="KY209" s="47"/>
      <c r="KZ209" s="47"/>
      <c r="LA209" s="47"/>
      <c r="LB209" s="47"/>
      <c r="LC209" s="47"/>
      <c r="LD209" s="47"/>
      <c r="LE209" s="47"/>
      <c r="LF209" s="47"/>
      <c r="LG209" s="47"/>
      <c r="LH209" s="47"/>
      <c r="LI209" s="47"/>
      <c r="LJ209" s="47"/>
      <c r="LK209" s="47"/>
      <c r="LL209" s="47"/>
      <c r="LM209" s="47"/>
      <c r="LN209" s="47"/>
      <c r="LO209" s="47"/>
      <c r="LP209" s="47"/>
      <c r="LQ209" s="47"/>
      <c r="LR209" s="47"/>
      <c r="LS209" s="47"/>
      <c r="LT209" s="47"/>
      <c r="LU209" s="47"/>
      <c r="LV209" s="47"/>
      <c r="LW209" s="47"/>
      <c r="LX209" s="47"/>
      <c r="LY209" s="47"/>
      <c r="LZ209" s="47"/>
      <c r="MA209" s="47"/>
      <c r="MB209" s="47"/>
      <c r="MC209" s="47"/>
      <c r="MD209" s="47"/>
      <c r="ME209" s="47"/>
      <c r="MF209" s="47"/>
      <c r="MG209" s="47"/>
      <c r="MH209" s="47"/>
      <c r="MI209" s="47"/>
      <c r="MJ209" s="47"/>
      <c r="MK209" s="47"/>
      <c r="ML209" s="47"/>
      <c r="MM209" s="47"/>
      <c r="MN209" s="47"/>
      <c r="MO209" s="47"/>
      <c r="MP209" s="47"/>
      <c r="MQ209" s="47"/>
      <c r="MR209" s="47"/>
      <c r="MS209" s="47"/>
      <c r="MT209" s="47"/>
      <c r="MU209" s="47"/>
      <c r="MV209" s="47"/>
      <c r="MW209" s="47"/>
      <c r="MX209" s="47"/>
      <c r="MY209" s="47"/>
      <c r="MZ209" s="47"/>
      <c r="NA209" s="47"/>
      <c r="NB209" s="47"/>
      <c r="NC209" s="47"/>
      <c r="ND209" s="47"/>
      <c r="NE209" s="47"/>
      <c r="NF209" s="47"/>
      <c r="NG209" s="47"/>
      <c r="NH209" s="47"/>
      <c r="NI209" s="47"/>
      <c r="NJ209" s="47"/>
      <c r="NK209" s="47"/>
      <c r="NL209" s="47"/>
      <c r="NM209" s="47"/>
      <c r="NN209" s="47"/>
      <c r="NO209" s="47"/>
      <c r="NP209" s="47"/>
      <c r="NQ209" s="47"/>
      <c r="NR209" s="47"/>
      <c r="NS209" s="47"/>
      <c r="NT209" s="47"/>
      <c r="NU209" s="47"/>
      <c r="NV209" s="47"/>
      <c r="NW209" s="47"/>
      <c r="NX209" s="47"/>
      <c r="NY209" s="47"/>
      <c r="NZ209" s="47"/>
      <c r="OA209" s="47"/>
      <c r="OB209" s="47"/>
      <c r="OC209" s="47"/>
      <c r="OD209" s="47"/>
      <c r="OE209" s="47"/>
      <c r="OF209" s="47"/>
      <c r="OG209" s="47"/>
      <c r="OH209" s="47"/>
      <c r="OI209" s="47"/>
      <c r="OJ209" s="47"/>
      <c r="OK209" s="47"/>
      <c r="OL209" s="47"/>
      <c r="OM209" s="47"/>
      <c r="ON209" s="47"/>
      <c r="OO209" s="47"/>
      <c r="OP209" s="47"/>
      <c r="OQ209" s="47"/>
      <c r="OR209" s="47"/>
      <c r="OS209" s="47"/>
      <c r="OT209" s="47"/>
      <c r="OU209" s="47"/>
      <c r="OV209" s="47"/>
      <c r="OW209" s="47"/>
      <c r="OX209" s="47"/>
      <c r="OY209" s="47"/>
      <c r="OZ209" s="47"/>
      <c r="PA209" s="47"/>
      <c r="PB209" s="47"/>
      <c r="PC209" s="47"/>
      <c r="PD209" s="47"/>
      <c r="PE209" s="47"/>
      <c r="PF209" s="47"/>
      <c r="PG209" s="47"/>
      <c r="PH209" s="47"/>
      <c r="PI209" s="47"/>
      <c r="PJ209" s="47"/>
      <c r="PK209" s="47"/>
      <c r="PL209" s="47"/>
      <c r="PM209" s="47"/>
      <c r="PN209" s="47"/>
      <c r="PO209" s="47"/>
      <c r="PP209" s="47"/>
      <c r="PQ209" s="47"/>
      <c r="PR209" s="47"/>
      <c r="PS209" s="47"/>
      <c r="PT209" s="47"/>
      <c r="PU209" s="47"/>
      <c r="PV209" s="47"/>
      <c r="PW209" s="47"/>
      <c r="PX209" s="47"/>
      <c r="PY209" s="47"/>
      <c r="PZ209" s="47"/>
      <c r="QA209" s="47"/>
      <c r="QB209" s="47"/>
      <c r="QC209" s="47"/>
      <c r="QD209" s="47"/>
      <c r="QE209" s="47"/>
      <c r="QF209" s="47"/>
      <c r="QG209" s="47"/>
      <c r="QH209" s="47"/>
      <c r="QI209" s="47"/>
      <c r="QJ209" s="47"/>
      <c r="QK209" s="47"/>
      <c r="QL209" s="47"/>
      <c r="QM209" s="47"/>
      <c r="QN209" s="47"/>
      <c r="QO209" s="47"/>
      <c r="QP209" s="47"/>
      <c r="QQ209" s="47"/>
      <c r="QR209" s="47"/>
      <c r="QS209" s="47"/>
      <c r="QT209" s="47"/>
      <c r="QU209" s="47"/>
      <c r="QV209" s="47"/>
      <c r="QW209" s="47"/>
      <c r="QX209" s="47"/>
      <c r="QY209" s="47"/>
      <c r="QZ209" s="47"/>
      <c r="RA209" s="47"/>
      <c r="RB209" s="47"/>
      <c r="RC209" s="47"/>
      <c r="RD209" s="47"/>
      <c r="RE209" s="47"/>
      <c r="RF209" s="47"/>
      <c r="RG209" s="47"/>
      <c r="RH209" s="47"/>
      <c r="RI209" s="47"/>
      <c r="RJ209" s="47"/>
      <c r="RK209" s="47"/>
      <c r="RL209" s="47"/>
      <c r="RM209" s="47"/>
      <c r="RN209" s="47"/>
      <c r="RO209" s="47"/>
      <c r="RP209" s="47"/>
      <c r="RQ209" s="47"/>
      <c r="RR209" s="47"/>
      <c r="RS209" s="47"/>
      <c r="RT209" s="47"/>
      <c r="RU209" s="47"/>
      <c r="RV209" s="47"/>
      <c r="RW209" s="47"/>
      <c r="RX209" s="47"/>
      <c r="RY209" s="47"/>
      <c r="RZ209" s="47"/>
      <c r="SA209" s="47"/>
      <c r="SB209" s="47"/>
      <c r="SC209" s="47"/>
      <c r="SD209" s="47"/>
      <c r="SE209" s="47"/>
      <c r="SF209" s="47"/>
      <c r="SG209" s="47"/>
      <c r="SH209" s="47"/>
      <c r="SI209" s="47"/>
      <c r="SJ209" s="47"/>
      <c r="SK209" s="47"/>
      <c r="SL209" s="47"/>
      <c r="SM209" s="47"/>
      <c r="SN209" s="47"/>
      <c r="SO209" s="47"/>
      <c r="SP209" s="47"/>
      <c r="SQ209" s="47"/>
      <c r="SR209" s="47"/>
      <c r="SS209" s="47"/>
      <c r="ST209" s="47"/>
      <c r="SU209" s="47"/>
      <c r="SV209" s="47"/>
      <c r="SW209" s="47"/>
      <c r="SX209" s="47"/>
      <c r="SY209" s="47"/>
      <c r="SZ209" s="47"/>
      <c r="TA209" s="47"/>
      <c r="TB209" s="47"/>
      <c r="TC209" s="47"/>
      <c r="TD209" s="47"/>
      <c r="TE209" s="47"/>
      <c r="TF209" s="47"/>
      <c r="TG209" s="47"/>
      <c r="TH209" s="47"/>
      <c r="TI209" s="47"/>
      <c r="TJ209" s="47"/>
      <c r="TK209" s="47"/>
      <c r="TL209" s="47"/>
      <c r="TM209" s="47"/>
      <c r="TN209" s="47"/>
      <c r="TO209" s="47"/>
      <c r="TP209" s="47"/>
      <c r="TQ209" s="47"/>
      <c r="TR209" s="47"/>
      <c r="TS209" s="47"/>
      <c r="TT209" s="47"/>
      <c r="TU209" s="47"/>
      <c r="TV209" s="47"/>
      <c r="TW209" s="47"/>
      <c r="TX209" s="47"/>
      <c r="TY209" s="47"/>
      <c r="TZ209" s="47"/>
      <c r="UA209" s="47"/>
      <c r="UB209" s="47"/>
      <c r="UC209" s="47"/>
      <c r="UD209" s="47"/>
      <c r="UE209" s="47"/>
      <c r="UF209" s="47"/>
      <c r="UG209" s="47"/>
      <c r="UH209" s="47"/>
      <c r="UI209" s="47"/>
      <c r="UJ209" s="47"/>
      <c r="UK209" s="47"/>
      <c r="UL209" s="47"/>
      <c r="UM209" s="47"/>
      <c r="UN209" s="47"/>
      <c r="UO209" s="47"/>
      <c r="UP209" s="47"/>
      <c r="UQ209" s="47"/>
      <c r="UR209" s="47"/>
      <c r="US209" s="47"/>
      <c r="UT209" s="47"/>
      <c r="UU209" s="47"/>
      <c r="UV209" s="47"/>
      <c r="UW209" s="47"/>
      <c r="UX209" s="47"/>
      <c r="UY209" s="47"/>
      <c r="UZ209" s="47"/>
      <c r="VA209" s="47"/>
      <c r="VB209" s="47"/>
      <c r="VC209" s="47"/>
      <c r="VD209" s="47"/>
      <c r="VE209" s="47"/>
      <c r="VF209" s="47"/>
      <c r="VG209" s="47"/>
      <c r="VH209" s="47"/>
      <c r="VI209" s="47"/>
      <c r="VJ209" s="47"/>
      <c r="VK209" s="47"/>
      <c r="VL209" s="47"/>
      <c r="VM209" s="47"/>
      <c r="VN209" s="47"/>
      <c r="VO209" s="47"/>
      <c r="VP209" s="47"/>
      <c r="VQ209" s="47"/>
      <c r="VR209" s="47"/>
      <c r="VS209" s="47"/>
      <c r="VT209" s="47"/>
      <c r="VU209" s="47"/>
      <c r="VV209" s="47"/>
      <c r="VW209" s="47"/>
      <c r="VX209" s="47"/>
      <c r="VY209" s="47"/>
      <c r="VZ209" s="47"/>
      <c r="WA209" s="47"/>
      <c r="WB209" s="47"/>
      <c r="WC209" s="47"/>
      <c r="WD209" s="47"/>
      <c r="WE209" s="47"/>
      <c r="WF209" s="47"/>
      <c r="WG209" s="47"/>
      <c r="WH209" s="47"/>
      <c r="WI209" s="47"/>
      <c r="WJ209" s="47"/>
      <c r="WK209" s="47"/>
      <c r="WL209" s="47"/>
      <c r="WM209" s="47"/>
      <c r="WN209" s="47"/>
      <c r="WO209" s="47"/>
      <c r="WP209" s="47"/>
      <c r="WQ209" s="47"/>
      <c r="WR209" s="47"/>
      <c r="WS209" s="47"/>
      <c r="WT209" s="47"/>
      <c r="WU209" s="47"/>
      <c r="WV209" s="47"/>
      <c r="WW209" s="47"/>
      <c r="WX209" s="47"/>
      <c r="WY209" s="47"/>
      <c r="WZ209" s="47"/>
      <c r="XA209" s="47"/>
      <c r="XB209" s="47"/>
      <c r="XC209" s="47"/>
      <c r="XD209" s="47"/>
      <c r="XE209" s="47"/>
      <c r="XF209" s="47"/>
      <c r="XG209" s="47"/>
      <c r="XH209" s="47"/>
      <c r="XI209" s="47"/>
      <c r="XJ209" s="47"/>
      <c r="XK209" s="47"/>
      <c r="XL209" s="47"/>
      <c r="XM209" s="47"/>
      <c r="XN209" s="47"/>
      <c r="XO209" s="47"/>
      <c r="XP209" s="47"/>
      <c r="XQ209" s="47"/>
      <c r="XR209" s="47"/>
      <c r="XS209" s="47"/>
      <c r="XT209" s="47"/>
      <c r="XU209" s="47"/>
      <c r="XV209" s="47"/>
      <c r="XW209" s="47"/>
      <c r="XX209" s="47"/>
      <c r="XY209" s="47"/>
      <c r="XZ209" s="47"/>
      <c r="YA209" s="47"/>
      <c r="YB209" s="47"/>
      <c r="YC209" s="47"/>
      <c r="YD209" s="47"/>
      <c r="YE209" s="47"/>
      <c r="YF209" s="47"/>
      <c r="YG209" s="47"/>
      <c r="YH209" s="47"/>
      <c r="YI209" s="47"/>
      <c r="YJ209" s="47"/>
      <c r="YK209" s="47"/>
      <c r="YL209" s="47"/>
      <c r="YM209" s="47"/>
      <c r="YN209" s="47"/>
      <c r="YO209" s="47"/>
      <c r="YP209" s="47"/>
      <c r="YQ209" s="47"/>
      <c r="YR209" s="47"/>
      <c r="YS209" s="47"/>
      <c r="YT209" s="47"/>
      <c r="YU209" s="47"/>
      <c r="YV209" s="47"/>
      <c r="YW209" s="47"/>
      <c r="YX209" s="47"/>
      <c r="YY209" s="47"/>
      <c r="YZ209" s="47"/>
      <c r="ZA209" s="47"/>
      <c r="ZB209" s="47"/>
      <c r="ZC209" s="47"/>
      <c r="ZD209" s="47"/>
      <c r="ZE209" s="47"/>
      <c r="ZF209" s="47"/>
      <c r="ZG209" s="47"/>
      <c r="ZH209" s="47"/>
      <c r="ZI209" s="47"/>
      <c r="ZJ209" s="47"/>
      <c r="ZK209" s="47"/>
      <c r="ZL209" s="47"/>
      <c r="ZM209" s="47"/>
      <c r="ZN209" s="47"/>
      <c r="ZO209" s="47"/>
      <c r="ZP209" s="47"/>
      <c r="ZQ209" s="47"/>
      <c r="ZR209" s="47"/>
      <c r="ZS209" s="47"/>
      <c r="ZT209" s="47"/>
      <c r="ZU209" s="47"/>
      <c r="ZV209" s="47"/>
      <c r="ZW209" s="47"/>
      <c r="ZX209" s="47"/>
      <c r="ZY209" s="617"/>
      <c r="ZZ209" s="622"/>
      <c r="AAA209" s="588"/>
      <c r="AAD209" s="112"/>
      <c r="AAE209" s="551" t="s">
        <v>26</v>
      </c>
      <c r="AAF209" s="583" t="s">
        <v>174</v>
      </c>
      <c r="AAG209" s="63"/>
      <c r="AAH209" s="63"/>
      <c r="AAI209" s="77"/>
      <c r="AAJ209" s="77"/>
      <c r="AAK209" s="77"/>
      <c r="AAL209" s="56"/>
      <c r="AAM209" s="112"/>
      <c r="AAN209"/>
      <c r="AAT209" s="23"/>
      <c r="AAU209" s="44"/>
    </row>
    <row r="210" spans="1:732" s="23" customFormat="1" ht="18" customHeight="1">
      <c r="A210" s="558"/>
      <c r="B210" s="765" t="str">
        <f>AAL210</f>
        <v>3-Fees Not Involved</v>
      </c>
      <c r="C210" s="765"/>
      <c r="D210" s="765"/>
      <c r="E210" s="765"/>
      <c r="F210" s="765"/>
      <c r="G210" s="765"/>
      <c r="H210" s="765"/>
      <c r="I210" s="627"/>
      <c r="J210" s="593"/>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19"/>
      <c r="ZZ210" s="119"/>
      <c r="AAA210" s="588"/>
      <c r="AAB210"/>
      <c r="AAC210"/>
      <c r="AAD210" s="112"/>
      <c r="AAE210" s="551" t="s">
        <v>27</v>
      </c>
      <c r="AAF210" s="583" t="s">
        <v>174</v>
      </c>
      <c r="AAG210" s="112"/>
      <c r="AAH210" s="112"/>
      <c r="AAI210" s="77"/>
      <c r="AAJ210" s="90"/>
      <c r="AAK210" s="90"/>
      <c r="AAL210" s="657" t="str">
        <f>AAL21</f>
        <v>3-Fees Not Involved</v>
      </c>
      <c r="AAM210" s="112"/>
      <c r="AAU210" s="44"/>
    </row>
    <row r="211" spans="1:732" s="23" customFormat="1" ht="18" customHeight="1">
      <c r="A211" s="558"/>
      <c r="B211" s="222" t="s">
        <v>15</v>
      </c>
      <c r="C211" s="703"/>
      <c r="D211" s="150" t="s">
        <v>241</v>
      </c>
      <c r="E211" s="151" t="s">
        <v>15</v>
      </c>
      <c r="F211" s="235" t="s">
        <v>2</v>
      </c>
      <c r="G211" s="152" t="s">
        <v>248</v>
      </c>
      <c r="H211" s="152" t="s">
        <v>86</v>
      </c>
      <c r="I211" s="627"/>
      <c r="J211" s="593"/>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c r="CI211" s="48"/>
      <c r="CJ211" s="48"/>
      <c r="CK211" s="48"/>
      <c r="CL211" s="48"/>
      <c r="CM211" s="48"/>
      <c r="CN211" s="48"/>
      <c r="CO211" s="48"/>
      <c r="CP211" s="48"/>
      <c r="CQ211" s="48"/>
      <c r="CR211" s="48"/>
      <c r="CS211" s="48"/>
      <c r="CT211" s="48"/>
      <c r="CU211" s="48"/>
      <c r="CV211" s="48"/>
      <c r="CW211" s="48"/>
      <c r="CX211" s="48"/>
      <c r="CY211" s="48"/>
      <c r="CZ211" s="48"/>
      <c r="DA211" s="48"/>
      <c r="DB211" s="48"/>
      <c r="DC211" s="48"/>
      <c r="DD211" s="48"/>
      <c r="DE211" s="48"/>
      <c r="DF211" s="48"/>
      <c r="DG211" s="48"/>
      <c r="DH211" s="48"/>
      <c r="DI211" s="48"/>
      <c r="DJ211" s="48"/>
      <c r="DK211" s="48"/>
      <c r="DL211" s="48"/>
      <c r="DM211" s="48"/>
      <c r="DN211" s="48"/>
      <c r="DO211" s="48"/>
      <c r="DP211" s="48"/>
      <c r="DQ211" s="48"/>
      <c r="DR211" s="48"/>
      <c r="DS211" s="48"/>
      <c r="DT211" s="48"/>
      <c r="DU211" s="48"/>
      <c r="DV211" s="48"/>
      <c r="DW211" s="48"/>
      <c r="DX211" s="48"/>
      <c r="DY211" s="48"/>
      <c r="DZ211" s="48"/>
      <c r="EA211" s="48"/>
      <c r="EB211" s="48"/>
      <c r="EC211" s="48"/>
      <c r="ED211" s="48"/>
      <c r="EE211" s="48"/>
      <c r="EF211" s="48"/>
      <c r="EG211" s="48"/>
      <c r="EH211" s="48"/>
      <c r="EI211" s="48"/>
      <c r="EJ211" s="48"/>
      <c r="EK211" s="48"/>
      <c r="EL211" s="48"/>
      <c r="EM211" s="48"/>
      <c r="EN211" s="48"/>
      <c r="EO211" s="48"/>
      <c r="EP211" s="48"/>
      <c r="EQ211" s="48"/>
      <c r="ER211" s="48"/>
      <c r="ES211" s="48"/>
      <c r="ET211" s="48"/>
      <c r="EU211" s="48"/>
      <c r="EV211" s="48"/>
      <c r="EW211" s="48"/>
      <c r="EX211" s="48"/>
      <c r="EY211" s="48"/>
      <c r="EZ211" s="48"/>
      <c r="FA211" s="48"/>
      <c r="FB211" s="48"/>
      <c r="FC211" s="48"/>
      <c r="FD211" s="48"/>
      <c r="FE211" s="48"/>
      <c r="FF211" s="48"/>
      <c r="FG211" s="48"/>
      <c r="FH211" s="48"/>
      <c r="FI211" s="48"/>
      <c r="FJ211" s="48"/>
      <c r="FK211" s="48"/>
      <c r="FL211" s="48"/>
      <c r="FM211" s="48"/>
      <c r="FN211" s="48"/>
      <c r="FO211" s="48"/>
      <c r="FP211" s="48"/>
      <c r="FQ211" s="48"/>
      <c r="FR211" s="48"/>
      <c r="FS211" s="48"/>
      <c r="FT211" s="48"/>
      <c r="FU211" s="48"/>
      <c r="FV211" s="48"/>
      <c r="FW211" s="48"/>
      <c r="FX211" s="48"/>
      <c r="FY211" s="48"/>
      <c r="FZ211" s="48"/>
      <c r="GA211" s="48"/>
      <c r="GB211" s="48"/>
      <c r="GC211" s="48"/>
      <c r="GD211" s="48"/>
      <c r="GE211" s="48"/>
      <c r="GF211" s="48"/>
      <c r="GG211" s="48"/>
      <c r="GH211" s="48"/>
      <c r="GI211" s="48"/>
      <c r="GJ211" s="48"/>
      <c r="GK211" s="48"/>
      <c r="GL211" s="48"/>
      <c r="GM211" s="48"/>
      <c r="GN211" s="48"/>
      <c r="GO211" s="48"/>
      <c r="GP211" s="48"/>
      <c r="GQ211" s="48"/>
      <c r="GR211" s="48"/>
      <c r="GS211" s="48"/>
      <c r="GT211" s="48"/>
      <c r="GU211" s="48"/>
      <c r="GV211" s="48"/>
      <c r="GW211" s="48"/>
      <c r="GX211" s="48"/>
      <c r="GY211" s="48"/>
      <c r="GZ211" s="48"/>
      <c r="HA211" s="48"/>
      <c r="HB211" s="48"/>
      <c r="HC211" s="48"/>
      <c r="HD211" s="48"/>
      <c r="HE211" s="48"/>
      <c r="HF211" s="48"/>
      <c r="HG211" s="48"/>
      <c r="HH211" s="48"/>
      <c r="HI211" s="48"/>
      <c r="HJ211" s="48"/>
      <c r="HK211" s="48"/>
      <c r="HL211" s="48"/>
      <c r="HM211" s="48"/>
      <c r="HN211" s="48"/>
      <c r="HO211" s="48"/>
      <c r="HP211" s="48"/>
      <c r="HQ211" s="48"/>
      <c r="HR211" s="48"/>
      <c r="HS211" s="48"/>
      <c r="HT211" s="48"/>
      <c r="HU211" s="48"/>
      <c r="HV211" s="48"/>
      <c r="HW211" s="48"/>
      <c r="HX211" s="48"/>
      <c r="HY211" s="48"/>
      <c r="HZ211" s="48"/>
      <c r="IA211" s="48"/>
      <c r="IB211" s="48"/>
      <c r="IC211" s="48"/>
      <c r="ID211" s="48"/>
      <c r="IE211" s="48"/>
      <c r="IF211" s="48"/>
      <c r="IG211" s="48"/>
      <c r="IH211" s="48"/>
      <c r="II211" s="48"/>
      <c r="IJ211" s="48"/>
      <c r="IK211" s="48"/>
      <c r="IL211" s="48"/>
      <c r="IM211" s="48"/>
      <c r="IN211" s="48"/>
      <c r="IO211" s="48"/>
      <c r="IP211" s="48"/>
      <c r="IQ211" s="48"/>
      <c r="IR211" s="48"/>
      <c r="IS211" s="48"/>
      <c r="IT211" s="48"/>
      <c r="IU211" s="48"/>
      <c r="IV211" s="48"/>
      <c r="IW211" s="48"/>
      <c r="IX211" s="48"/>
      <c r="IY211" s="48"/>
      <c r="IZ211" s="48"/>
      <c r="JA211" s="48"/>
      <c r="JB211" s="48"/>
      <c r="JC211" s="48"/>
      <c r="JD211" s="48"/>
      <c r="JE211" s="48"/>
      <c r="JF211" s="48"/>
      <c r="JG211" s="48"/>
      <c r="JH211" s="48"/>
      <c r="JI211" s="48"/>
      <c r="JJ211" s="48"/>
      <c r="JK211" s="48"/>
      <c r="JL211" s="48"/>
      <c r="JM211" s="48"/>
      <c r="JN211" s="48"/>
      <c r="JO211" s="48"/>
      <c r="JP211" s="48"/>
      <c r="JQ211" s="48"/>
      <c r="JR211" s="48"/>
      <c r="JS211" s="48"/>
      <c r="JT211" s="48"/>
      <c r="JU211" s="48"/>
      <c r="JV211" s="48"/>
      <c r="JW211" s="48"/>
      <c r="JX211" s="48"/>
      <c r="JY211" s="48"/>
      <c r="JZ211" s="48"/>
      <c r="KA211" s="48"/>
      <c r="KB211" s="48"/>
      <c r="KC211" s="48"/>
      <c r="KD211" s="48"/>
      <c r="KE211" s="48"/>
      <c r="KF211" s="48"/>
      <c r="KG211" s="48"/>
      <c r="KH211" s="48"/>
      <c r="KI211" s="48"/>
      <c r="KJ211" s="48"/>
      <c r="KK211" s="48"/>
      <c r="KL211" s="48"/>
      <c r="KM211" s="48"/>
      <c r="KN211" s="48"/>
      <c r="KO211" s="48"/>
      <c r="KP211" s="48"/>
      <c r="KQ211" s="48"/>
      <c r="KR211" s="48"/>
      <c r="KS211" s="48"/>
      <c r="KT211" s="48"/>
      <c r="KU211" s="48"/>
      <c r="KV211" s="48"/>
      <c r="KW211" s="48"/>
      <c r="KX211" s="48"/>
      <c r="KY211" s="48"/>
      <c r="KZ211" s="48"/>
      <c r="LA211" s="48"/>
      <c r="LB211" s="48"/>
      <c r="LC211" s="48"/>
      <c r="LD211" s="48"/>
      <c r="LE211" s="48"/>
      <c r="LF211" s="48"/>
      <c r="LG211" s="48"/>
      <c r="LH211" s="48"/>
      <c r="LI211" s="48"/>
      <c r="LJ211" s="48"/>
      <c r="LK211" s="48"/>
      <c r="LL211" s="48"/>
      <c r="LM211" s="48"/>
      <c r="LN211" s="48"/>
      <c r="LO211" s="48"/>
      <c r="LP211" s="48"/>
      <c r="LQ211" s="48"/>
      <c r="LR211" s="48"/>
      <c r="LS211" s="48"/>
      <c r="LT211" s="48"/>
      <c r="LU211" s="48"/>
      <c r="LV211" s="48"/>
      <c r="LW211" s="48"/>
      <c r="LX211" s="48"/>
      <c r="LY211" s="48"/>
      <c r="LZ211" s="48"/>
      <c r="MA211" s="48"/>
      <c r="MB211" s="48"/>
      <c r="MC211" s="48"/>
      <c r="MD211" s="48"/>
      <c r="ME211" s="48"/>
      <c r="MF211" s="48"/>
      <c r="MG211" s="48"/>
      <c r="MH211" s="48"/>
      <c r="MI211" s="48"/>
      <c r="MJ211" s="48"/>
      <c r="MK211" s="48"/>
      <c r="ML211" s="48"/>
      <c r="MM211" s="48"/>
      <c r="MN211" s="48"/>
      <c r="MO211" s="48"/>
      <c r="MP211" s="48"/>
      <c r="MQ211" s="48"/>
      <c r="MR211" s="48"/>
      <c r="MS211" s="48"/>
      <c r="MT211" s="48"/>
      <c r="MU211" s="48"/>
      <c r="MV211" s="48"/>
      <c r="MW211" s="48"/>
      <c r="MX211" s="48"/>
      <c r="MY211" s="48"/>
      <c r="MZ211" s="48"/>
      <c r="NA211" s="48"/>
      <c r="NB211" s="48"/>
      <c r="NC211" s="48"/>
      <c r="ND211" s="48"/>
      <c r="NE211" s="48"/>
      <c r="NF211" s="48"/>
      <c r="NG211" s="48"/>
      <c r="NH211" s="48"/>
      <c r="NI211" s="48"/>
      <c r="NJ211" s="48"/>
      <c r="NK211" s="48"/>
      <c r="NL211" s="48"/>
      <c r="NM211" s="48"/>
      <c r="NN211" s="48"/>
      <c r="NO211" s="48"/>
      <c r="NP211" s="48"/>
      <c r="NQ211" s="48"/>
      <c r="NR211" s="48"/>
      <c r="NS211" s="48"/>
      <c r="NT211" s="48"/>
      <c r="NU211" s="48"/>
      <c r="NV211" s="48"/>
      <c r="NW211" s="48"/>
      <c r="NX211" s="48"/>
      <c r="NY211" s="48"/>
      <c r="NZ211" s="48"/>
      <c r="OA211" s="48"/>
      <c r="OB211" s="48"/>
      <c r="OC211" s="48"/>
      <c r="OD211" s="48"/>
      <c r="OE211" s="48"/>
      <c r="OF211" s="48"/>
      <c r="OG211" s="48"/>
      <c r="OH211" s="48"/>
      <c r="OI211" s="48"/>
      <c r="OJ211" s="48"/>
      <c r="OK211" s="48"/>
      <c r="OL211" s="48"/>
      <c r="OM211" s="48"/>
      <c r="ON211" s="48"/>
      <c r="OO211" s="48"/>
      <c r="OP211" s="48"/>
      <c r="OQ211" s="48"/>
      <c r="OR211" s="48"/>
      <c r="OS211" s="48"/>
      <c r="OT211" s="48"/>
      <c r="OU211" s="48"/>
      <c r="OV211" s="48"/>
      <c r="OW211" s="48"/>
      <c r="OX211" s="48"/>
      <c r="OY211" s="48"/>
      <c r="OZ211" s="48"/>
      <c r="PA211" s="48"/>
      <c r="PB211" s="48"/>
      <c r="PC211" s="48"/>
      <c r="PD211" s="48"/>
      <c r="PE211" s="48"/>
      <c r="PF211" s="48"/>
      <c r="PG211" s="48"/>
      <c r="PH211" s="48"/>
      <c r="PI211" s="48"/>
      <c r="PJ211" s="48"/>
      <c r="PK211" s="48"/>
      <c r="PL211" s="48"/>
      <c r="PM211" s="48"/>
      <c r="PN211" s="48"/>
      <c r="PO211" s="48"/>
      <c r="PP211" s="48"/>
      <c r="PQ211" s="48"/>
      <c r="PR211" s="48"/>
      <c r="PS211" s="48"/>
      <c r="PT211" s="48"/>
      <c r="PU211" s="48"/>
      <c r="PV211" s="48"/>
      <c r="PW211" s="48"/>
      <c r="PX211" s="48"/>
      <c r="PY211" s="48"/>
      <c r="PZ211" s="48"/>
      <c r="QA211" s="48"/>
      <c r="QB211" s="48"/>
      <c r="QC211" s="48"/>
      <c r="QD211" s="48"/>
      <c r="QE211" s="48"/>
      <c r="QF211" s="48"/>
      <c r="QG211" s="48"/>
      <c r="QH211" s="48"/>
      <c r="QI211" s="48"/>
      <c r="QJ211" s="48"/>
      <c r="QK211" s="48"/>
      <c r="QL211" s="48"/>
      <c r="QM211" s="48"/>
      <c r="QN211" s="48"/>
      <c r="QO211" s="48"/>
      <c r="QP211" s="48"/>
      <c r="QQ211" s="48"/>
      <c r="QR211" s="48"/>
      <c r="QS211" s="48"/>
      <c r="QT211" s="48"/>
      <c r="QU211" s="48"/>
      <c r="QV211" s="48"/>
      <c r="QW211" s="48"/>
      <c r="QX211" s="48"/>
      <c r="QY211" s="48"/>
      <c r="QZ211" s="48"/>
      <c r="RA211" s="48"/>
      <c r="RB211" s="48"/>
      <c r="RC211" s="48"/>
      <c r="RD211" s="48"/>
      <c r="RE211" s="48"/>
      <c r="RF211" s="48"/>
      <c r="RG211" s="48"/>
      <c r="RH211" s="48"/>
      <c r="RI211" s="48"/>
      <c r="RJ211" s="48"/>
      <c r="RK211" s="48"/>
      <c r="RL211" s="48"/>
      <c r="RM211" s="48"/>
      <c r="RN211" s="48"/>
      <c r="RO211" s="48"/>
      <c r="RP211" s="48"/>
      <c r="RQ211" s="48"/>
      <c r="RR211" s="48"/>
      <c r="RS211" s="48"/>
      <c r="RT211" s="48"/>
      <c r="RU211" s="48"/>
      <c r="RV211" s="48"/>
      <c r="RW211" s="48"/>
      <c r="RX211" s="48"/>
      <c r="RY211" s="48"/>
      <c r="RZ211" s="48"/>
      <c r="SA211" s="48"/>
      <c r="SB211" s="48"/>
      <c r="SC211" s="48"/>
      <c r="SD211" s="48"/>
      <c r="SE211" s="48"/>
      <c r="SF211" s="48"/>
      <c r="SG211" s="48"/>
      <c r="SH211" s="48"/>
      <c r="SI211" s="48"/>
      <c r="SJ211" s="48"/>
      <c r="SK211" s="48"/>
      <c r="SL211" s="48"/>
      <c r="SM211" s="48"/>
      <c r="SN211" s="48"/>
      <c r="SO211" s="48"/>
      <c r="SP211" s="48"/>
      <c r="SQ211" s="48"/>
      <c r="SR211" s="48"/>
      <c r="SS211" s="48"/>
      <c r="ST211" s="48"/>
      <c r="SU211" s="48"/>
      <c r="SV211" s="48"/>
      <c r="SW211" s="48"/>
      <c r="SX211" s="48"/>
      <c r="SY211" s="48"/>
      <c r="SZ211" s="48"/>
      <c r="TA211" s="48"/>
      <c r="TB211" s="48"/>
      <c r="TC211" s="48"/>
      <c r="TD211" s="48"/>
      <c r="TE211" s="48"/>
      <c r="TF211" s="48"/>
      <c r="TG211" s="48"/>
      <c r="TH211" s="48"/>
      <c r="TI211" s="48"/>
      <c r="TJ211" s="48"/>
      <c r="TK211" s="48"/>
      <c r="TL211" s="48"/>
      <c r="TM211" s="48"/>
      <c r="TN211" s="48"/>
      <c r="TO211" s="48"/>
      <c r="TP211" s="48"/>
      <c r="TQ211" s="48"/>
      <c r="TR211" s="48"/>
      <c r="TS211" s="48"/>
      <c r="TT211" s="48"/>
      <c r="TU211" s="48"/>
      <c r="TV211" s="48"/>
      <c r="TW211" s="48"/>
      <c r="TX211" s="48"/>
      <c r="TY211" s="48"/>
      <c r="TZ211" s="48"/>
      <c r="UA211" s="48"/>
      <c r="UB211" s="48"/>
      <c r="UC211" s="48"/>
      <c r="UD211" s="48"/>
      <c r="UE211" s="48"/>
      <c r="UF211" s="48"/>
      <c r="UG211" s="48"/>
      <c r="UH211" s="48"/>
      <c r="UI211" s="48"/>
      <c r="UJ211" s="48"/>
      <c r="UK211" s="48"/>
      <c r="UL211" s="48"/>
      <c r="UM211" s="48"/>
      <c r="UN211" s="48"/>
      <c r="UO211" s="48"/>
      <c r="UP211" s="48"/>
      <c r="UQ211" s="48"/>
      <c r="UR211" s="48"/>
      <c r="US211" s="48"/>
      <c r="UT211" s="48"/>
      <c r="UU211" s="48"/>
      <c r="UV211" s="48"/>
      <c r="UW211" s="48"/>
      <c r="UX211" s="48"/>
      <c r="UY211" s="48"/>
      <c r="UZ211" s="48"/>
      <c r="VA211" s="48"/>
      <c r="VB211" s="48"/>
      <c r="VC211" s="48"/>
      <c r="VD211" s="48"/>
      <c r="VE211" s="48"/>
      <c r="VF211" s="48"/>
      <c r="VG211" s="48"/>
      <c r="VH211" s="48"/>
      <c r="VI211" s="48"/>
      <c r="VJ211" s="48"/>
      <c r="VK211" s="48"/>
      <c r="VL211" s="48"/>
      <c r="VM211" s="48"/>
      <c r="VN211" s="48"/>
      <c r="VO211" s="48"/>
      <c r="VP211" s="48"/>
      <c r="VQ211" s="48"/>
      <c r="VR211" s="48"/>
      <c r="VS211" s="48"/>
      <c r="VT211" s="48"/>
      <c r="VU211" s="48"/>
      <c r="VV211" s="48"/>
      <c r="VW211" s="48"/>
      <c r="VX211" s="48"/>
      <c r="VY211" s="48"/>
      <c r="VZ211" s="48"/>
      <c r="WA211" s="48"/>
      <c r="WB211" s="48"/>
      <c r="WC211" s="48"/>
      <c r="WD211" s="48"/>
      <c r="WE211" s="48"/>
      <c r="WF211" s="48"/>
      <c r="WG211" s="48"/>
      <c r="WH211" s="48"/>
      <c r="WI211" s="48"/>
      <c r="WJ211" s="48"/>
      <c r="WK211" s="48"/>
      <c r="WL211" s="48"/>
      <c r="WM211" s="48"/>
      <c r="WN211" s="48"/>
      <c r="WO211" s="48"/>
      <c r="WP211" s="48"/>
      <c r="WQ211" s="48"/>
      <c r="WR211" s="48"/>
      <c r="WS211" s="48"/>
      <c r="WT211" s="48"/>
      <c r="WU211" s="48"/>
      <c r="WV211" s="48"/>
      <c r="WW211" s="48"/>
      <c r="WX211" s="48"/>
      <c r="WY211" s="48"/>
      <c r="WZ211" s="48"/>
      <c r="XA211" s="48"/>
      <c r="XB211" s="48"/>
      <c r="XC211" s="48"/>
      <c r="XD211" s="48"/>
      <c r="XE211" s="48"/>
      <c r="XF211" s="48"/>
      <c r="XG211" s="48"/>
      <c r="XH211" s="48"/>
      <c r="XI211" s="48"/>
      <c r="XJ211" s="48"/>
      <c r="XK211" s="48"/>
      <c r="XL211" s="48"/>
      <c r="XM211" s="48"/>
      <c r="XN211" s="48"/>
      <c r="XO211" s="48"/>
      <c r="XP211" s="48"/>
      <c r="XQ211" s="48"/>
      <c r="XR211" s="48"/>
      <c r="XS211" s="48"/>
      <c r="XT211" s="48"/>
      <c r="XU211" s="48"/>
      <c r="XV211" s="48"/>
      <c r="XW211" s="48"/>
      <c r="XX211" s="48"/>
      <c r="XY211" s="48"/>
      <c r="XZ211" s="48"/>
      <c r="YA211" s="48"/>
      <c r="YB211" s="48"/>
      <c r="YC211" s="48"/>
      <c r="YD211" s="48"/>
      <c r="YE211" s="48"/>
      <c r="YF211" s="48"/>
      <c r="YG211" s="48"/>
      <c r="YH211" s="48"/>
      <c r="YI211" s="48"/>
      <c r="YJ211" s="48"/>
      <c r="YK211" s="48"/>
      <c r="YL211" s="48"/>
      <c r="YM211" s="48"/>
      <c r="YN211" s="48"/>
      <c r="YO211" s="48"/>
      <c r="YP211" s="48"/>
      <c r="YQ211" s="48"/>
      <c r="YR211" s="48"/>
      <c r="YS211" s="48"/>
      <c r="YT211" s="48"/>
      <c r="YU211" s="48"/>
      <c r="YV211" s="48"/>
      <c r="YW211" s="48"/>
      <c r="YX211" s="48"/>
      <c r="YY211" s="48"/>
      <c r="YZ211" s="48"/>
      <c r="ZA211" s="48"/>
      <c r="ZB211" s="48"/>
      <c r="ZC211" s="48"/>
      <c r="ZD211" s="48"/>
      <c r="ZE211" s="48"/>
      <c r="ZF211" s="48"/>
      <c r="ZG211" s="48"/>
      <c r="ZH211" s="48"/>
      <c r="ZI211" s="48"/>
      <c r="ZJ211" s="48"/>
      <c r="ZK211" s="48"/>
      <c r="ZL211" s="48"/>
      <c r="ZM211" s="48"/>
      <c r="ZN211" s="48"/>
      <c r="ZO211" s="48"/>
      <c r="ZP211" s="48"/>
      <c r="ZQ211" s="48"/>
      <c r="ZR211" s="48"/>
      <c r="ZS211" s="48"/>
      <c r="ZT211" s="48"/>
      <c r="ZU211" s="48"/>
      <c r="ZV211" s="48"/>
      <c r="ZW211" s="48"/>
      <c r="ZX211" s="48"/>
      <c r="ZY211" s="619"/>
      <c r="ZZ211" s="119"/>
      <c r="AAA211" s="588"/>
      <c r="AAB211"/>
      <c r="AAC211"/>
      <c r="AAD211" s="112"/>
      <c r="AAE211" s="551" t="s">
        <v>245</v>
      </c>
      <c r="AAF211" s="583" t="s">
        <v>174</v>
      </c>
      <c r="AAG211" s="112"/>
      <c r="AAH211" s="112"/>
      <c r="AAI211" s="77"/>
      <c r="AAJ211" s="90"/>
      <c r="AAK211" s="90"/>
      <c r="AAL211" s="76"/>
      <c r="AAM211" s="112"/>
      <c r="AAU211" s="44"/>
    </row>
    <row r="212" spans="1:732" ht="18" customHeight="1">
      <c r="A212" s="558"/>
      <c r="B212" s="236"/>
      <c r="C212" s="250"/>
      <c r="D212" s="251"/>
      <c r="E212" s="252"/>
      <c r="F212" s="373">
        <f>NETWORKDAYS(S.BANNER.FeeStart,S.BANNER.FeeEnd,S.DDL_DEQClosed)</f>
        <v>112</v>
      </c>
      <c r="G212" s="314">
        <f>AAG212</f>
        <v>41369</v>
      </c>
      <c r="H212" s="253">
        <f>AAH212</f>
        <v>41533</v>
      </c>
      <c r="I212" s="627"/>
      <c r="J212" s="629"/>
      <c r="K212" s="635"/>
      <c r="L212" s="635"/>
      <c r="M212" s="635"/>
      <c r="N212" s="635"/>
      <c r="O212" s="635"/>
      <c r="P212" s="635"/>
      <c r="Q212" s="635"/>
      <c r="R212" s="635"/>
      <c r="S212" s="635"/>
      <c r="T212" s="635"/>
      <c r="U212" s="635"/>
      <c r="V212" s="635"/>
      <c r="W212" s="635"/>
      <c r="X212" s="635"/>
      <c r="Y212" s="635"/>
      <c r="Z212" s="635"/>
      <c r="AA212" s="635"/>
      <c r="AB212" s="635"/>
      <c r="AC212" s="635"/>
      <c r="AD212" s="635"/>
      <c r="AE212" s="635"/>
      <c r="AF212" s="635"/>
      <c r="AG212" s="635"/>
      <c r="AH212" s="635"/>
      <c r="AI212" s="635"/>
      <c r="AJ212" s="635"/>
      <c r="AK212" s="635"/>
      <c r="AL212" s="635"/>
      <c r="AM212" s="635"/>
      <c r="AN212" s="635"/>
      <c r="AO212" s="635"/>
      <c r="AP212" s="635"/>
      <c r="AQ212" s="635"/>
      <c r="AR212" s="635"/>
      <c r="AS212" s="635"/>
      <c r="AT212" s="635"/>
      <c r="AU212" s="635"/>
      <c r="AV212" s="635"/>
      <c r="AW212" s="635"/>
      <c r="AX212" s="635"/>
      <c r="AY212" s="635"/>
      <c r="AZ212" s="635"/>
      <c r="BA212" s="635"/>
      <c r="BB212" s="635"/>
      <c r="BC212" s="635"/>
      <c r="BD212" s="635"/>
      <c r="BE212" s="635"/>
      <c r="BF212" s="635"/>
      <c r="BG212" s="635"/>
      <c r="BH212" s="635"/>
      <c r="BI212" s="635"/>
      <c r="BJ212" s="635"/>
      <c r="BK212" s="635"/>
      <c r="BL212" s="635"/>
      <c r="BM212" s="635"/>
      <c r="BN212" s="635"/>
      <c r="BO212" s="635"/>
      <c r="BP212" s="635"/>
      <c r="BQ212" s="635"/>
      <c r="BR212" s="635"/>
      <c r="BS212" s="635"/>
      <c r="BT212" s="635"/>
      <c r="BU212" s="635"/>
      <c r="BV212" s="635"/>
      <c r="BW212" s="635"/>
      <c r="BX212" s="635"/>
      <c r="BY212" s="635"/>
      <c r="BZ212" s="635"/>
      <c r="CA212" s="635"/>
      <c r="CB212" s="635"/>
      <c r="CC212" s="635"/>
      <c r="CD212" s="635"/>
      <c r="CE212" s="635"/>
      <c r="CF212" s="635"/>
      <c r="CG212" s="635"/>
      <c r="CH212" s="635"/>
      <c r="CI212" s="635"/>
      <c r="CJ212" s="635"/>
      <c r="CK212" s="635"/>
      <c r="CL212" s="635"/>
      <c r="CM212" s="635"/>
      <c r="CN212" s="635"/>
      <c r="CO212" s="635"/>
      <c r="CP212" s="635"/>
      <c r="CQ212" s="635"/>
      <c r="CR212" s="635"/>
      <c r="CS212" s="635"/>
      <c r="CT212" s="635"/>
      <c r="CU212" s="635"/>
      <c r="CV212" s="635"/>
      <c r="CW212" s="635"/>
      <c r="CX212" s="635"/>
      <c r="CY212" s="635"/>
      <c r="CZ212" s="635"/>
      <c r="DA212" s="635"/>
      <c r="DB212" s="635"/>
      <c r="DC212" s="635"/>
      <c r="DD212" s="635"/>
      <c r="DE212" s="635"/>
      <c r="DF212" s="635"/>
      <c r="DG212" s="635"/>
      <c r="DH212" s="635"/>
      <c r="DI212" s="635"/>
      <c r="DJ212" s="635"/>
      <c r="DK212" s="635"/>
      <c r="DL212" s="635"/>
      <c r="DM212" s="635"/>
      <c r="DN212" s="635"/>
      <c r="DO212" s="635"/>
      <c r="DP212" s="635"/>
      <c r="DQ212" s="635"/>
      <c r="DR212" s="635"/>
      <c r="DS212" s="635"/>
      <c r="DT212" s="635"/>
      <c r="DU212" s="635"/>
      <c r="DV212" s="635"/>
      <c r="DW212" s="635"/>
      <c r="DX212" s="635"/>
      <c r="DY212" s="635"/>
      <c r="DZ212" s="635"/>
      <c r="EA212" s="635"/>
      <c r="EB212" s="635"/>
      <c r="EC212" s="635"/>
      <c r="ED212" s="635"/>
      <c r="EE212" s="635"/>
      <c r="EF212" s="635"/>
      <c r="EG212" s="635"/>
      <c r="EH212" s="635"/>
      <c r="EI212" s="635"/>
      <c r="EJ212" s="635"/>
      <c r="EK212" s="635"/>
      <c r="EL212" s="635"/>
      <c r="EM212" s="635"/>
      <c r="EN212" s="635"/>
      <c r="EO212" s="635"/>
      <c r="EP212" s="635"/>
      <c r="EQ212" s="635"/>
      <c r="ER212" s="635"/>
      <c r="ES212" s="635"/>
      <c r="ET212" s="635"/>
      <c r="EU212" s="635"/>
      <c r="EV212" s="635"/>
      <c r="EW212" s="635"/>
      <c r="EX212" s="635"/>
      <c r="EY212" s="635"/>
      <c r="EZ212" s="635"/>
      <c r="FA212" s="635"/>
      <c r="FB212" s="635"/>
      <c r="FC212" s="635"/>
      <c r="FD212" s="635"/>
      <c r="FE212" s="635"/>
      <c r="FF212" s="635"/>
      <c r="FG212" s="635"/>
      <c r="FH212" s="635"/>
      <c r="FI212" s="635"/>
      <c r="FJ212" s="635"/>
      <c r="FK212" s="635"/>
      <c r="FL212" s="635"/>
      <c r="FM212" s="635"/>
      <c r="FN212" s="635"/>
      <c r="FO212" s="635"/>
      <c r="FP212" s="635"/>
      <c r="FQ212" s="635"/>
      <c r="FR212" s="635"/>
      <c r="FS212" s="635"/>
      <c r="FT212" s="635"/>
      <c r="FU212" s="635"/>
      <c r="FV212" s="635"/>
      <c r="FW212" s="635"/>
      <c r="FX212" s="635"/>
      <c r="FY212" s="635"/>
      <c r="FZ212" s="635"/>
      <c r="GA212" s="635"/>
      <c r="GB212" s="635"/>
      <c r="GC212" s="635"/>
      <c r="GD212" s="635"/>
      <c r="GE212" s="635"/>
      <c r="GF212" s="635"/>
      <c r="GG212" s="635"/>
      <c r="GH212" s="635"/>
      <c r="GI212" s="635"/>
      <c r="GJ212" s="635"/>
      <c r="GK212" s="635"/>
      <c r="GL212" s="635"/>
      <c r="GM212" s="635"/>
      <c r="GN212" s="635"/>
      <c r="GO212" s="635"/>
      <c r="GP212" s="635"/>
      <c r="GQ212" s="635"/>
      <c r="GR212" s="635"/>
      <c r="GS212" s="635"/>
      <c r="GT212" s="635"/>
      <c r="GU212" s="635"/>
      <c r="GV212" s="635"/>
      <c r="GW212" s="635"/>
      <c r="GX212" s="635"/>
      <c r="GY212" s="635"/>
      <c r="GZ212" s="635"/>
      <c r="HA212" s="635"/>
      <c r="HB212" s="635"/>
      <c r="HC212" s="635"/>
      <c r="HD212" s="635"/>
      <c r="HE212" s="635"/>
      <c r="HF212" s="635"/>
      <c r="HG212" s="635"/>
      <c r="HH212" s="635"/>
      <c r="HI212" s="635"/>
      <c r="HJ212" s="635"/>
      <c r="HK212" s="635"/>
      <c r="HL212" s="635"/>
      <c r="HM212" s="635"/>
      <c r="HN212" s="635"/>
      <c r="HO212" s="635"/>
      <c r="HP212" s="635"/>
      <c r="HQ212" s="635"/>
      <c r="HR212" s="635"/>
      <c r="HS212" s="635"/>
      <c r="HT212" s="635"/>
      <c r="HU212" s="635"/>
      <c r="HV212" s="635"/>
      <c r="HW212" s="635"/>
      <c r="HX212" s="635"/>
      <c r="HY212" s="635"/>
      <c r="HZ212" s="635"/>
      <c r="IA212" s="635"/>
      <c r="IB212" s="635"/>
      <c r="IC212" s="635"/>
      <c r="ID212" s="635"/>
      <c r="IE212" s="635"/>
      <c r="IF212" s="635"/>
      <c r="IG212" s="635"/>
      <c r="IH212" s="635"/>
      <c r="II212" s="635"/>
      <c r="IJ212" s="635"/>
      <c r="IK212" s="635"/>
      <c r="IL212" s="635"/>
      <c r="IM212" s="635"/>
      <c r="IN212" s="635"/>
      <c r="IO212" s="635"/>
      <c r="IP212" s="635"/>
      <c r="IQ212" s="635"/>
      <c r="IR212" s="635"/>
      <c r="IS212" s="635"/>
      <c r="IT212" s="635"/>
      <c r="IU212" s="635"/>
      <c r="IV212" s="635"/>
      <c r="IW212" s="635"/>
      <c r="IX212" s="635"/>
      <c r="IY212" s="635"/>
      <c r="IZ212" s="635"/>
      <c r="JA212" s="635"/>
      <c r="JB212" s="635"/>
      <c r="JC212" s="635"/>
      <c r="JD212" s="635"/>
      <c r="JE212" s="635"/>
      <c r="JF212" s="635"/>
      <c r="JG212" s="635"/>
      <c r="JH212" s="635"/>
      <c r="JI212" s="635"/>
      <c r="JJ212" s="635"/>
      <c r="JK212" s="635"/>
      <c r="JL212" s="635"/>
      <c r="JM212" s="635"/>
      <c r="JN212" s="635"/>
      <c r="JO212" s="635"/>
      <c r="JP212" s="635"/>
      <c r="JQ212" s="635"/>
      <c r="JR212" s="635"/>
      <c r="JS212" s="635"/>
      <c r="JT212" s="635"/>
      <c r="JU212" s="635"/>
      <c r="JV212" s="635"/>
      <c r="JW212" s="635"/>
      <c r="JX212" s="635"/>
      <c r="JY212" s="635"/>
      <c r="JZ212" s="635"/>
      <c r="KA212" s="635"/>
      <c r="KB212" s="635"/>
      <c r="KC212" s="635"/>
      <c r="KD212" s="635"/>
      <c r="KE212" s="635"/>
      <c r="KF212" s="635"/>
      <c r="KG212" s="635"/>
      <c r="KH212" s="635"/>
      <c r="KI212" s="635"/>
      <c r="KJ212" s="635"/>
      <c r="KK212" s="635"/>
      <c r="KL212" s="635"/>
      <c r="KM212" s="635"/>
      <c r="KN212" s="635"/>
      <c r="KO212" s="635"/>
      <c r="KP212" s="635"/>
      <c r="KQ212" s="635"/>
      <c r="KR212" s="635"/>
      <c r="KS212" s="635"/>
      <c r="KT212" s="635"/>
      <c r="KU212" s="635"/>
      <c r="KV212" s="635"/>
      <c r="KW212" s="635"/>
      <c r="KX212" s="635"/>
      <c r="KY212" s="635"/>
      <c r="KZ212" s="635"/>
      <c r="LA212" s="635"/>
      <c r="LB212" s="635"/>
      <c r="LC212" s="635"/>
      <c r="LD212" s="635"/>
      <c r="LE212" s="635"/>
      <c r="LF212" s="635"/>
      <c r="LG212" s="635"/>
      <c r="LH212" s="635"/>
      <c r="LI212" s="635"/>
      <c r="LJ212" s="635"/>
      <c r="LK212" s="635"/>
      <c r="LL212" s="635"/>
      <c r="LM212" s="635"/>
      <c r="LN212" s="635"/>
      <c r="LO212" s="635"/>
      <c r="LP212" s="635"/>
      <c r="LQ212" s="635"/>
      <c r="LR212" s="635"/>
      <c r="LS212" s="635"/>
      <c r="LT212" s="635"/>
      <c r="LU212" s="635"/>
      <c r="LV212" s="635"/>
      <c r="LW212" s="635"/>
      <c r="LX212" s="635"/>
      <c r="LY212" s="635"/>
      <c r="LZ212" s="635"/>
      <c r="MA212" s="635"/>
      <c r="MB212" s="635"/>
      <c r="MC212" s="635"/>
      <c r="MD212" s="635"/>
      <c r="ME212" s="635"/>
      <c r="MF212" s="635"/>
      <c r="MG212" s="635"/>
      <c r="MH212" s="635"/>
      <c r="MI212" s="635"/>
      <c r="MJ212" s="635"/>
      <c r="MK212" s="635"/>
      <c r="ML212" s="635"/>
      <c r="MM212" s="635"/>
      <c r="MN212" s="635"/>
      <c r="MO212" s="635"/>
      <c r="MP212" s="635"/>
      <c r="MQ212" s="635"/>
      <c r="MR212" s="635"/>
      <c r="MS212" s="635"/>
      <c r="MT212" s="635"/>
      <c r="MU212" s="635"/>
      <c r="MV212" s="635"/>
      <c r="MW212" s="635"/>
      <c r="MX212" s="635"/>
      <c r="MY212" s="635"/>
      <c r="MZ212" s="635"/>
      <c r="NA212" s="635"/>
      <c r="NB212" s="635"/>
      <c r="NC212" s="635"/>
      <c r="ND212" s="635"/>
      <c r="NE212" s="635"/>
      <c r="NF212" s="635"/>
      <c r="NG212" s="635"/>
      <c r="NH212" s="635"/>
      <c r="NI212" s="635"/>
      <c r="NJ212" s="635"/>
      <c r="NK212" s="635"/>
      <c r="NL212" s="635"/>
      <c r="NM212" s="635"/>
      <c r="NN212" s="635"/>
      <c r="NO212" s="635"/>
      <c r="NP212" s="635"/>
      <c r="NQ212" s="635"/>
      <c r="NR212" s="635"/>
      <c r="NS212" s="635"/>
      <c r="NT212" s="635"/>
      <c r="NU212" s="635"/>
      <c r="NV212" s="635"/>
      <c r="NW212" s="635"/>
      <c r="NX212" s="635"/>
      <c r="NY212" s="635"/>
      <c r="NZ212" s="635"/>
      <c r="OA212" s="635"/>
      <c r="OB212" s="635"/>
      <c r="OC212" s="635"/>
      <c r="OD212" s="635"/>
      <c r="OE212" s="635"/>
      <c r="OF212" s="635"/>
      <c r="OG212" s="635"/>
      <c r="OH212" s="635"/>
      <c r="OI212" s="635"/>
      <c r="OJ212" s="635"/>
      <c r="OK212" s="635"/>
      <c r="OL212" s="635"/>
      <c r="OM212" s="635"/>
      <c r="ON212" s="635"/>
      <c r="OO212" s="635"/>
      <c r="OP212" s="635"/>
      <c r="OQ212" s="635"/>
      <c r="OR212" s="635"/>
      <c r="OS212" s="635"/>
      <c r="OT212" s="635"/>
      <c r="OU212" s="635"/>
      <c r="OV212" s="635"/>
      <c r="OW212" s="635"/>
      <c r="OX212" s="635"/>
      <c r="OY212" s="635"/>
      <c r="OZ212" s="635"/>
      <c r="PA212" s="635"/>
      <c r="PB212" s="635"/>
      <c r="PC212" s="635"/>
      <c r="PD212" s="635"/>
      <c r="PE212" s="635"/>
      <c r="PF212" s="635"/>
      <c r="PG212" s="635"/>
      <c r="PH212" s="635"/>
      <c r="PI212" s="635"/>
      <c r="PJ212" s="635"/>
      <c r="PK212" s="635"/>
      <c r="PL212" s="635"/>
      <c r="PM212" s="635"/>
      <c r="PN212" s="635"/>
      <c r="PO212" s="635"/>
      <c r="PP212" s="635"/>
      <c r="PQ212" s="635"/>
      <c r="PR212" s="635"/>
      <c r="PS212" s="635"/>
      <c r="PT212" s="635"/>
      <c r="PU212" s="635"/>
      <c r="PV212" s="635"/>
      <c r="PW212" s="635"/>
      <c r="PX212" s="635"/>
      <c r="PY212" s="635"/>
      <c r="PZ212" s="635"/>
      <c r="QA212" s="635"/>
      <c r="QB212" s="635"/>
      <c r="QC212" s="635"/>
      <c r="QD212" s="635"/>
      <c r="QE212" s="635"/>
      <c r="QF212" s="635"/>
      <c r="QG212" s="635"/>
      <c r="QH212" s="635"/>
      <c r="QI212" s="635"/>
      <c r="QJ212" s="635"/>
      <c r="QK212" s="635"/>
      <c r="QL212" s="635"/>
      <c r="QM212" s="635"/>
      <c r="QN212" s="635"/>
      <c r="QO212" s="635"/>
      <c r="QP212" s="635"/>
      <c r="QQ212" s="635"/>
      <c r="QR212" s="635"/>
      <c r="QS212" s="635"/>
      <c r="QT212" s="635"/>
      <c r="QU212" s="635"/>
      <c r="QV212" s="635"/>
      <c r="QW212" s="635"/>
      <c r="QX212" s="635"/>
      <c r="QY212" s="635"/>
      <c r="QZ212" s="635"/>
      <c r="RA212" s="635"/>
      <c r="RB212" s="635"/>
      <c r="RC212" s="635"/>
      <c r="RD212" s="635"/>
      <c r="RE212" s="635"/>
      <c r="RF212" s="635"/>
      <c r="RG212" s="635"/>
      <c r="RH212" s="635"/>
      <c r="RI212" s="635"/>
      <c r="RJ212" s="635"/>
      <c r="RK212" s="635"/>
      <c r="RL212" s="635"/>
      <c r="RM212" s="635"/>
      <c r="RN212" s="635"/>
      <c r="RO212" s="635"/>
      <c r="RP212" s="635"/>
      <c r="RQ212" s="635"/>
      <c r="RR212" s="635"/>
      <c r="RS212" s="635"/>
      <c r="RT212" s="635"/>
      <c r="RU212" s="635"/>
      <c r="RV212" s="635"/>
      <c r="RW212" s="635"/>
      <c r="RX212" s="635"/>
      <c r="RY212" s="635"/>
      <c r="RZ212" s="635"/>
      <c r="SA212" s="635"/>
      <c r="SB212" s="635"/>
      <c r="SC212" s="635"/>
      <c r="SD212" s="635"/>
      <c r="SE212" s="635"/>
      <c r="SF212" s="635"/>
      <c r="SG212" s="635"/>
      <c r="SH212" s="635"/>
      <c r="SI212" s="635"/>
      <c r="SJ212" s="635"/>
      <c r="SK212" s="635"/>
      <c r="SL212" s="635"/>
      <c r="SM212" s="635"/>
      <c r="SN212" s="635"/>
      <c r="SO212" s="635"/>
      <c r="SP212" s="635"/>
      <c r="SQ212" s="635"/>
      <c r="SR212" s="635"/>
      <c r="SS212" s="635"/>
      <c r="ST212" s="635"/>
      <c r="SU212" s="635"/>
      <c r="SV212" s="635"/>
      <c r="SW212" s="635"/>
      <c r="SX212" s="635"/>
      <c r="SY212" s="635"/>
      <c r="SZ212" s="635"/>
      <c r="TA212" s="635"/>
      <c r="TB212" s="635"/>
      <c r="TC212" s="635"/>
      <c r="TD212" s="635"/>
      <c r="TE212" s="635"/>
      <c r="TF212" s="635"/>
      <c r="TG212" s="635"/>
      <c r="TH212" s="635"/>
      <c r="TI212" s="635"/>
      <c r="TJ212" s="635"/>
      <c r="TK212" s="635"/>
      <c r="TL212" s="635"/>
      <c r="TM212" s="635"/>
      <c r="TN212" s="635"/>
      <c r="TO212" s="635"/>
      <c r="TP212" s="635"/>
      <c r="TQ212" s="635"/>
      <c r="TR212" s="635"/>
      <c r="TS212" s="635"/>
      <c r="TT212" s="635"/>
      <c r="TU212" s="635"/>
      <c r="TV212" s="635"/>
      <c r="TW212" s="635"/>
      <c r="TX212" s="635"/>
      <c r="TY212" s="635"/>
      <c r="TZ212" s="635"/>
      <c r="UA212" s="635"/>
      <c r="UB212" s="635"/>
      <c r="UC212" s="635"/>
      <c r="UD212" s="635"/>
      <c r="UE212" s="635"/>
      <c r="UF212" s="635"/>
      <c r="UG212" s="635"/>
      <c r="UH212" s="635"/>
      <c r="UI212" s="635"/>
      <c r="UJ212" s="635"/>
      <c r="UK212" s="635"/>
      <c r="UL212" s="635"/>
      <c r="UM212" s="635"/>
      <c r="UN212" s="635"/>
      <c r="UO212" s="635"/>
      <c r="UP212" s="635"/>
      <c r="UQ212" s="635"/>
      <c r="UR212" s="635"/>
      <c r="US212" s="635"/>
      <c r="UT212" s="635"/>
      <c r="UU212" s="635"/>
      <c r="UV212" s="635"/>
      <c r="UW212" s="635"/>
      <c r="UX212" s="635"/>
      <c r="UY212" s="635"/>
      <c r="UZ212" s="635"/>
      <c r="VA212" s="635"/>
      <c r="VB212" s="635"/>
      <c r="VC212" s="635"/>
      <c r="VD212" s="635"/>
      <c r="VE212" s="635"/>
      <c r="VF212" s="635"/>
      <c r="VG212" s="635"/>
      <c r="VH212" s="635"/>
      <c r="VI212" s="635"/>
      <c r="VJ212" s="635"/>
      <c r="VK212" s="635"/>
      <c r="VL212" s="635"/>
      <c r="VM212" s="635"/>
      <c r="VN212" s="635"/>
      <c r="VO212" s="635"/>
      <c r="VP212" s="635"/>
      <c r="VQ212" s="635"/>
      <c r="VR212" s="635"/>
      <c r="VS212" s="635"/>
      <c r="VT212" s="635"/>
      <c r="VU212" s="635"/>
      <c r="VV212" s="635"/>
      <c r="VW212" s="635"/>
      <c r="VX212" s="635"/>
      <c r="VY212" s="635"/>
      <c r="VZ212" s="635"/>
      <c r="WA212" s="635"/>
      <c r="WB212" s="635"/>
      <c r="WC212" s="635"/>
      <c r="WD212" s="635"/>
      <c r="WE212" s="635"/>
      <c r="WF212" s="635"/>
      <c r="WG212" s="635"/>
      <c r="WH212" s="635"/>
      <c r="WI212" s="635"/>
      <c r="WJ212" s="635"/>
      <c r="WK212" s="635"/>
      <c r="WL212" s="635"/>
      <c r="WM212" s="635"/>
      <c r="WN212" s="635"/>
      <c r="WO212" s="635"/>
      <c r="WP212" s="635"/>
      <c r="WQ212" s="635"/>
      <c r="WR212" s="635"/>
      <c r="WS212" s="635"/>
      <c r="WT212" s="635"/>
      <c r="WU212" s="635"/>
      <c r="WV212" s="635"/>
      <c r="WW212" s="635"/>
      <c r="WX212" s="635"/>
      <c r="WY212" s="635"/>
      <c r="WZ212" s="635"/>
      <c r="XA212" s="635"/>
      <c r="XB212" s="635"/>
      <c r="XC212" s="635"/>
      <c r="XD212" s="635"/>
      <c r="XE212" s="635"/>
      <c r="XF212" s="635"/>
      <c r="XG212" s="635"/>
      <c r="XH212" s="635"/>
      <c r="XI212" s="635"/>
      <c r="XJ212" s="635"/>
      <c r="XK212" s="635"/>
      <c r="XL212" s="635"/>
      <c r="XM212" s="635"/>
      <c r="XN212" s="635"/>
      <c r="XO212" s="635"/>
      <c r="XP212" s="635"/>
      <c r="XQ212" s="635"/>
      <c r="XR212" s="635"/>
      <c r="XS212" s="635"/>
      <c r="XT212" s="635"/>
      <c r="XU212" s="635"/>
      <c r="XV212" s="635"/>
      <c r="XW212" s="635"/>
      <c r="XX212" s="635"/>
      <c r="XY212" s="635"/>
      <c r="XZ212" s="635"/>
      <c r="YA212" s="635"/>
      <c r="YB212" s="635"/>
      <c r="YC212" s="635"/>
      <c r="YD212" s="635"/>
      <c r="YE212" s="635"/>
      <c r="YF212" s="635"/>
      <c r="YG212" s="635"/>
      <c r="YH212" s="635"/>
      <c r="YI212" s="635"/>
      <c r="YJ212" s="635"/>
      <c r="YK212" s="635"/>
      <c r="YL212" s="635"/>
      <c r="YM212" s="635"/>
      <c r="YN212" s="635"/>
      <c r="YO212" s="635"/>
      <c r="YP212" s="635"/>
      <c r="YQ212" s="635"/>
      <c r="YR212" s="635"/>
      <c r="YS212" s="635"/>
      <c r="YT212" s="635"/>
      <c r="YU212" s="635"/>
      <c r="YV212" s="635"/>
      <c r="YW212" s="635"/>
      <c r="YX212" s="635"/>
      <c r="YY212" s="635"/>
      <c r="YZ212" s="635"/>
      <c r="ZA212" s="635"/>
      <c r="ZB212" s="635"/>
      <c r="ZC212" s="635"/>
      <c r="ZD212" s="635"/>
      <c r="ZE212" s="635"/>
      <c r="ZF212" s="635"/>
      <c r="ZG212" s="635"/>
      <c r="ZH212" s="635"/>
      <c r="ZI212" s="635"/>
      <c r="ZJ212" s="635"/>
      <c r="ZK212" s="635"/>
      <c r="ZL212" s="635"/>
      <c r="ZM212" s="635"/>
      <c r="ZN212" s="635"/>
      <c r="ZO212" s="635"/>
      <c r="ZP212" s="635"/>
      <c r="ZQ212" s="635"/>
      <c r="ZR212" s="635"/>
      <c r="ZS212" s="635"/>
      <c r="ZT212" s="635"/>
      <c r="ZU212" s="635"/>
      <c r="ZV212" s="635"/>
      <c r="ZW212" s="635"/>
      <c r="ZX212" s="635"/>
      <c r="ZY212" s="638"/>
      <c r="ZZ212" s="119"/>
      <c r="AAA212" s="588"/>
      <c r="AAD212" s="112"/>
      <c r="AAE212" s="551" t="s">
        <v>245</v>
      </c>
      <c r="AAF212" s="583" t="s">
        <v>174</v>
      </c>
      <c r="AAG212" s="78">
        <f>G21</f>
        <v>41369</v>
      </c>
      <c r="AAH212" s="78">
        <f>WORKDAY(S.SubmitNoticeToSOS+2,1,S.DDL_DEQClosed)</f>
        <v>41533</v>
      </c>
      <c r="AAI212" s="77"/>
      <c r="AAJ212" s="77"/>
      <c r="AAK212" s="77"/>
      <c r="AAL212" s="79"/>
      <c r="AAM212" s="112"/>
      <c r="AAN212"/>
      <c r="AAT212" s="23"/>
      <c r="AAU212" s="44"/>
    </row>
    <row r="213" spans="1:732" ht="6" customHeight="1">
      <c r="A213" s="558"/>
      <c r="B213" s="206"/>
      <c r="C213" s="688"/>
      <c r="D213" s="180"/>
      <c r="E213" s="181"/>
      <c r="F213" s="181"/>
      <c r="G213" s="180"/>
      <c r="H213" s="180"/>
      <c r="I213" s="588"/>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M213" s="32"/>
      <c r="BN213" s="32"/>
      <c r="BO213" s="32"/>
      <c r="BP213" s="32"/>
      <c r="BQ213" s="32"/>
      <c r="BR213" s="32"/>
      <c r="BS213" s="32"/>
      <c r="BT213" s="32"/>
      <c r="BU213" s="32"/>
      <c r="BV213" s="32"/>
      <c r="BW213" s="32"/>
      <c r="BX213" s="32"/>
      <c r="BY213" s="32"/>
      <c r="BZ213" s="32"/>
      <c r="CA213" s="32"/>
      <c r="CB213" s="32"/>
      <c r="CC213" s="32"/>
      <c r="CD213" s="32"/>
      <c r="CE213" s="32"/>
      <c r="CF213" s="32"/>
      <c r="CG213" s="32"/>
      <c r="CH213" s="32"/>
      <c r="CI213" s="32"/>
      <c r="CJ213" s="32"/>
      <c r="CK213" s="32"/>
      <c r="CL213" s="32"/>
      <c r="CM213" s="32"/>
      <c r="CN213" s="32"/>
      <c r="CO213" s="32"/>
      <c r="CP213" s="32"/>
      <c r="CQ213" s="32"/>
      <c r="CR213" s="32"/>
      <c r="CS213" s="32"/>
      <c r="CT213" s="32"/>
      <c r="CU213" s="32"/>
      <c r="CV213" s="32"/>
      <c r="CW213" s="32"/>
      <c r="CX213" s="32"/>
      <c r="CY213" s="32"/>
      <c r="CZ213" s="32"/>
      <c r="DA213" s="32"/>
      <c r="DB213" s="32"/>
      <c r="DC213" s="32"/>
      <c r="DD213" s="32"/>
      <c r="DE213" s="32"/>
      <c r="DF213" s="32"/>
      <c r="DG213" s="32"/>
      <c r="DH213" s="32"/>
      <c r="DI213" s="32"/>
      <c r="DJ213" s="32"/>
      <c r="DK213" s="32"/>
      <c r="DL213" s="32"/>
      <c r="DM213" s="32"/>
      <c r="DN213" s="32"/>
      <c r="DO213" s="32"/>
      <c r="DP213" s="32"/>
      <c r="DQ213" s="32"/>
      <c r="DR213" s="32"/>
      <c r="DS213" s="32"/>
      <c r="DT213" s="32"/>
      <c r="DU213" s="32"/>
      <c r="DV213" s="32"/>
      <c r="DW213" s="32"/>
      <c r="DX213" s="32"/>
      <c r="DY213" s="32"/>
      <c r="DZ213" s="32"/>
      <c r="EA213" s="32"/>
      <c r="EB213" s="32"/>
      <c r="EC213" s="32"/>
      <c r="ED213" s="32"/>
      <c r="EE213" s="32"/>
      <c r="EF213" s="32"/>
      <c r="EG213" s="32"/>
      <c r="EH213" s="32"/>
      <c r="EI213" s="32"/>
      <c r="EJ213" s="32"/>
      <c r="EK213" s="32"/>
      <c r="EL213" s="32"/>
      <c r="EM213" s="32"/>
      <c r="EN213" s="32"/>
      <c r="EO213" s="32"/>
      <c r="EP213" s="32"/>
      <c r="EQ213" s="32"/>
      <c r="ER213" s="32"/>
      <c r="ES213" s="32"/>
      <c r="ET213" s="32"/>
      <c r="EU213" s="32"/>
      <c r="EV213" s="32"/>
      <c r="EW213" s="32"/>
      <c r="EX213" s="32"/>
      <c r="EY213" s="32"/>
      <c r="EZ213" s="32"/>
      <c r="FA213" s="32"/>
      <c r="FB213" s="32"/>
      <c r="FC213" s="32"/>
      <c r="FD213" s="32"/>
      <c r="FE213" s="32"/>
      <c r="FF213" s="32"/>
      <c r="FG213" s="32"/>
      <c r="FH213" s="32"/>
      <c r="FI213" s="32"/>
      <c r="FJ213" s="32"/>
      <c r="FK213" s="32"/>
      <c r="FL213" s="32"/>
      <c r="FM213" s="32"/>
      <c r="FN213" s="32"/>
      <c r="FO213" s="32"/>
      <c r="FP213" s="32"/>
      <c r="FQ213" s="32"/>
      <c r="FR213" s="32"/>
      <c r="FS213" s="32"/>
      <c r="FT213" s="32"/>
      <c r="FU213" s="32"/>
      <c r="FV213" s="32"/>
      <c r="FW213" s="32"/>
      <c r="FX213" s="32"/>
      <c r="FY213" s="32"/>
      <c r="FZ213" s="32"/>
      <c r="GA213" s="32"/>
      <c r="GB213" s="32"/>
      <c r="GC213" s="32"/>
      <c r="GD213" s="32"/>
      <c r="GE213" s="32"/>
      <c r="GF213" s="32"/>
      <c r="GG213" s="32"/>
      <c r="GH213" s="32"/>
      <c r="GI213" s="32"/>
      <c r="GJ213" s="32"/>
      <c r="GK213" s="32"/>
      <c r="GL213" s="32"/>
      <c r="GM213" s="32"/>
      <c r="GN213" s="32"/>
      <c r="GO213" s="32"/>
      <c r="GP213" s="32"/>
      <c r="GQ213" s="32"/>
      <c r="GR213" s="32"/>
      <c r="GS213" s="32"/>
      <c r="GT213" s="32"/>
      <c r="GU213" s="32"/>
      <c r="GV213" s="32"/>
      <c r="GW213" s="32"/>
      <c r="GX213" s="32"/>
      <c r="GY213" s="32"/>
      <c r="GZ213" s="32"/>
      <c r="HA213" s="32"/>
      <c r="HB213" s="32"/>
      <c r="HC213" s="32"/>
      <c r="HD213" s="32"/>
      <c r="HE213" s="32"/>
      <c r="HF213" s="32"/>
      <c r="HG213" s="32"/>
      <c r="HH213" s="32"/>
      <c r="HI213" s="32"/>
      <c r="HJ213" s="32"/>
      <c r="HK213" s="32"/>
      <c r="HL213" s="32"/>
      <c r="HM213" s="32"/>
      <c r="HN213" s="32"/>
      <c r="HO213" s="32"/>
      <c r="HP213" s="32"/>
      <c r="HQ213" s="32"/>
      <c r="HR213" s="32"/>
      <c r="HS213" s="32"/>
      <c r="HT213" s="32"/>
      <c r="HU213" s="32"/>
      <c r="HV213" s="32"/>
      <c r="HW213" s="32"/>
      <c r="HX213" s="32"/>
      <c r="HY213" s="32"/>
      <c r="HZ213" s="32"/>
      <c r="IA213" s="32"/>
      <c r="IB213" s="32"/>
      <c r="IC213" s="32"/>
      <c r="ID213" s="32"/>
      <c r="IE213" s="32"/>
      <c r="IF213" s="32"/>
      <c r="IG213" s="32"/>
      <c r="IH213" s="32"/>
      <c r="II213" s="32"/>
      <c r="IJ213" s="32"/>
      <c r="IK213" s="32"/>
      <c r="IL213" s="32"/>
      <c r="IM213" s="32"/>
      <c r="IN213" s="32"/>
      <c r="IO213" s="32"/>
      <c r="IP213" s="32"/>
      <c r="IQ213" s="32"/>
      <c r="IR213" s="32"/>
      <c r="IS213" s="32"/>
      <c r="IT213" s="32"/>
      <c r="IU213" s="32"/>
      <c r="IV213" s="32"/>
      <c r="IW213" s="32"/>
      <c r="IX213" s="32"/>
      <c r="IY213" s="32"/>
      <c r="IZ213" s="32"/>
      <c r="JA213" s="32"/>
      <c r="JB213" s="32"/>
      <c r="JC213" s="32"/>
      <c r="JD213" s="32"/>
      <c r="JE213" s="32"/>
      <c r="JF213" s="32"/>
      <c r="JG213" s="32"/>
      <c r="JH213" s="32"/>
      <c r="JI213" s="32"/>
      <c r="JJ213" s="32"/>
      <c r="JK213" s="32"/>
      <c r="JL213" s="32"/>
      <c r="JM213" s="32"/>
      <c r="JN213" s="32"/>
      <c r="JO213" s="32"/>
      <c r="JP213" s="32"/>
      <c r="JQ213" s="32"/>
      <c r="JR213" s="32"/>
      <c r="JS213" s="32"/>
      <c r="JT213" s="32"/>
      <c r="JU213" s="32"/>
      <c r="JV213" s="32"/>
      <c r="JW213" s="32"/>
      <c r="JX213" s="32"/>
      <c r="JY213" s="32"/>
      <c r="JZ213" s="32"/>
      <c r="KA213" s="32"/>
      <c r="KB213" s="32"/>
      <c r="KC213" s="32"/>
      <c r="KD213" s="32"/>
      <c r="KE213" s="32"/>
      <c r="KF213" s="32"/>
      <c r="KG213" s="32"/>
      <c r="KH213" s="32"/>
      <c r="KI213" s="32"/>
      <c r="KJ213" s="32"/>
      <c r="KK213" s="32"/>
      <c r="KL213" s="32"/>
      <c r="KM213" s="32"/>
      <c r="KN213" s="32"/>
      <c r="KO213" s="32"/>
      <c r="KP213" s="32"/>
      <c r="KQ213" s="32"/>
      <c r="KR213" s="32"/>
      <c r="KS213" s="32"/>
      <c r="KT213" s="32"/>
      <c r="KU213" s="32"/>
      <c r="KV213" s="32"/>
      <c r="KW213" s="32"/>
      <c r="KX213" s="32"/>
      <c r="KY213" s="32"/>
      <c r="KZ213" s="32"/>
      <c r="LA213" s="32"/>
      <c r="LB213" s="32"/>
      <c r="LC213" s="32"/>
      <c r="LD213" s="32"/>
      <c r="LE213" s="32"/>
      <c r="LF213" s="32"/>
      <c r="LG213" s="32"/>
      <c r="LH213" s="32"/>
      <c r="LI213" s="32"/>
      <c r="LJ213" s="32"/>
      <c r="LK213" s="32"/>
      <c r="LL213" s="32"/>
      <c r="LM213" s="32"/>
      <c r="LN213" s="32"/>
      <c r="LO213" s="32"/>
      <c r="LP213" s="32"/>
      <c r="LQ213" s="32"/>
      <c r="LR213" s="32"/>
      <c r="LS213" s="32"/>
      <c r="LT213" s="32"/>
      <c r="LU213" s="32"/>
      <c r="LV213" s="32"/>
      <c r="LW213" s="32"/>
      <c r="LX213" s="32"/>
      <c r="LY213" s="32"/>
      <c r="LZ213" s="32"/>
      <c r="MA213" s="32"/>
      <c r="MB213" s="32"/>
      <c r="MC213" s="32"/>
      <c r="MD213" s="32"/>
      <c r="ME213" s="32"/>
      <c r="MF213" s="32"/>
      <c r="MG213" s="32"/>
      <c r="MH213" s="32"/>
      <c r="MI213" s="32"/>
      <c r="MJ213" s="32"/>
      <c r="MK213" s="32"/>
      <c r="ML213" s="32"/>
      <c r="MM213" s="32"/>
      <c r="MN213" s="32"/>
      <c r="MO213" s="32"/>
      <c r="MP213" s="32"/>
      <c r="MQ213" s="32"/>
      <c r="MR213" s="32"/>
      <c r="MS213" s="32"/>
      <c r="MT213" s="32"/>
      <c r="MU213" s="32"/>
      <c r="MV213" s="32"/>
      <c r="MW213" s="32"/>
      <c r="MX213" s="32"/>
      <c r="MY213" s="32"/>
      <c r="MZ213" s="32"/>
      <c r="NA213" s="32"/>
      <c r="NB213" s="32"/>
      <c r="NC213" s="32"/>
      <c r="ND213" s="32"/>
      <c r="NE213" s="32"/>
      <c r="NF213" s="32"/>
      <c r="NG213" s="32"/>
      <c r="NH213" s="32"/>
      <c r="NI213" s="32"/>
      <c r="NJ213" s="32"/>
      <c r="NK213" s="32"/>
      <c r="NL213" s="32"/>
      <c r="NM213" s="32"/>
      <c r="NN213" s="32"/>
      <c r="NO213" s="32"/>
      <c r="NP213" s="32"/>
      <c r="NQ213" s="32"/>
      <c r="NR213" s="32"/>
      <c r="NS213" s="32"/>
      <c r="NT213" s="32"/>
      <c r="NU213" s="32"/>
      <c r="NV213" s="32"/>
      <c r="NW213" s="32"/>
      <c r="NX213" s="32"/>
      <c r="NY213" s="32"/>
      <c r="NZ213" s="32"/>
      <c r="OA213" s="32"/>
      <c r="OB213" s="32"/>
      <c r="OC213" s="32"/>
      <c r="OD213" s="32"/>
      <c r="OE213" s="32"/>
      <c r="OF213" s="32"/>
      <c r="OG213" s="32"/>
      <c r="OH213" s="32"/>
      <c r="OI213" s="32"/>
      <c r="OJ213" s="32"/>
      <c r="OK213" s="32"/>
      <c r="OL213" s="32"/>
      <c r="OM213" s="32"/>
      <c r="ON213" s="32"/>
      <c r="OO213" s="32"/>
      <c r="OP213" s="32"/>
      <c r="OQ213" s="32"/>
      <c r="OR213" s="32"/>
      <c r="OS213" s="32"/>
      <c r="OT213" s="32"/>
      <c r="OU213" s="32"/>
      <c r="OV213" s="32"/>
      <c r="OW213" s="32"/>
      <c r="OX213" s="32"/>
      <c r="OY213" s="32"/>
      <c r="OZ213" s="32"/>
      <c r="PA213" s="32"/>
      <c r="PB213" s="32"/>
      <c r="PC213" s="32"/>
      <c r="PD213" s="32"/>
      <c r="PE213" s="32"/>
      <c r="PF213" s="32"/>
      <c r="PG213" s="32"/>
      <c r="PH213" s="32"/>
      <c r="PI213" s="32"/>
      <c r="PJ213" s="32"/>
      <c r="PK213" s="32"/>
      <c r="PL213" s="32"/>
      <c r="PM213" s="32"/>
      <c r="PN213" s="32"/>
      <c r="PO213" s="32"/>
      <c r="PP213" s="32"/>
      <c r="PQ213" s="32"/>
      <c r="PR213" s="32"/>
      <c r="PS213" s="32"/>
      <c r="PT213" s="32"/>
      <c r="PU213" s="32"/>
      <c r="PV213" s="32"/>
      <c r="PW213" s="32"/>
      <c r="PX213" s="32"/>
      <c r="PY213" s="32"/>
      <c r="PZ213" s="32"/>
      <c r="QA213" s="32"/>
      <c r="QB213" s="32"/>
      <c r="QC213" s="32"/>
      <c r="QD213" s="32"/>
      <c r="QE213" s="32"/>
      <c r="QF213" s="32"/>
      <c r="QG213" s="32"/>
      <c r="QH213" s="32"/>
      <c r="QI213" s="32"/>
      <c r="QJ213" s="32"/>
      <c r="QK213" s="32"/>
      <c r="QL213" s="32"/>
      <c r="QM213" s="32"/>
      <c r="QN213" s="32"/>
      <c r="QO213" s="32"/>
      <c r="QP213" s="32"/>
      <c r="QQ213" s="32"/>
      <c r="QR213" s="32"/>
      <c r="QS213" s="32"/>
      <c r="QT213" s="32"/>
      <c r="QU213" s="32"/>
      <c r="QV213" s="32"/>
      <c r="QW213" s="32"/>
      <c r="QX213" s="32"/>
      <c r="QY213" s="32"/>
      <c r="QZ213" s="32"/>
      <c r="RA213" s="32"/>
      <c r="RB213" s="32"/>
      <c r="RC213" s="32"/>
      <c r="RD213" s="32"/>
      <c r="RE213" s="32"/>
      <c r="RF213" s="32"/>
      <c r="RG213" s="32"/>
      <c r="RH213" s="32"/>
      <c r="RI213" s="32"/>
      <c r="RJ213" s="32"/>
      <c r="RK213" s="32"/>
      <c r="RL213" s="32"/>
      <c r="RM213" s="32"/>
      <c r="RN213" s="32"/>
      <c r="RO213" s="32"/>
      <c r="RP213" s="32"/>
      <c r="RQ213" s="32"/>
      <c r="RR213" s="32"/>
      <c r="RS213" s="32"/>
      <c r="RT213" s="32"/>
      <c r="RU213" s="32"/>
      <c r="RV213" s="32"/>
      <c r="RW213" s="32"/>
      <c r="RX213" s="32"/>
      <c r="RY213" s="32"/>
      <c r="RZ213" s="32"/>
      <c r="SA213" s="32"/>
      <c r="SB213" s="32"/>
      <c r="SC213" s="32"/>
      <c r="SD213" s="32"/>
      <c r="SE213" s="32"/>
      <c r="SF213" s="32"/>
      <c r="SG213" s="32"/>
      <c r="SH213" s="32"/>
      <c r="SI213" s="32"/>
      <c r="SJ213" s="32"/>
      <c r="SK213" s="32"/>
      <c r="SL213" s="32"/>
      <c r="SM213" s="32"/>
      <c r="SN213" s="32"/>
      <c r="SO213" s="32"/>
      <c r="SP213" s="32"/>
      <c r="SQ213" s="32"/>
      <c r="SR213" s="32"/>
      <c r="SS213" s="32"/>
      <c r="ST213" s="32"/>
      <c r="SU213" s="32"/>
      <c r="SV213" s="32"/>
      <c r="SW213" s="32"/>
      <c r="SX213" s="32"/>
      <c r="SY213" s="32"/>
      <c r="SZ213" s="32"/>
      <c r="TA213" s="32"/>
      <c r="TB213" s="32"/>
      <c r="TC213" s="32"/>
      <c r="TD213" s="32"/>
      <c r="TE213" s="32"/>
      <c r="TF213" s="32"/>
      <c r="TG213" s="32"/>
      <c r="TH213" s="32"/>
      <c r="TI213" s="32"/>
      <c r="TJ213" s="32"/>
      <c r="TK213" s="32"/>
      <c r="TL213" s="32"/>
      <c r="TM213" s="32"/>
      <c r="TN213" s="32"/>
      <c r="TO213" s="32"/>
      <c r="TP213" s="32"/>
      <c r="TQ213" s="32"/>
      <c r="TR213" s="32"/>
      <c r="TS213" s="32"/>
      <c r="TT213" s="32"/>
      <c r="TU213" s="32"/>
      <c r="TV213" s="32"/>
      <c r="TW213" s="32"/>
      <c r="TX213" s="32"/>
      <c r="TY213" s="32"/>
      <c r="TZ213" s="32"/>
      <c r="UA213" s="32"/>
      <c r="UB213" s="32"/>
      <c r="UC213" s="32"/>
      <c r="UD213" s="32"/>
      <c r="UE213" s="32"/>
      <c r="UF213" s="32"/>
      <c r="UG213" s="32"/>
      <c r="UH213" s="32"/>
      <c r="UI213" s="32"/>
      <c r="UJ213" s="32"/>
      <c r="UK213" s="32"/>
      <c r="UL213" s="32"/>
      <c r="UM213" s="32"/>
      <c r="UN213" s="32"/>
      <c r="UO213" s="32"/>
      <c r="UP213" s="32"/>
      <c r="UQ213" s="32"/>
      <c r="UR213" s="32"/>
      <c r="US213" s="32"/>
      <c r="UT213" s="32"/>
      <c r="UU213" s="32"/>
      <c r="UV213" s="32"/>
      <c r="UW213" s="32"/>
      <c r="UX213" s="32"/>
      <c r="UY213" s="32"/>
      <c r="UZ213" s="32"/>
      <c r="VA213" s="32"/>
      <c r="VB213" s="32"/>
      <c r="VC213" s="32"/>
      <c r="VD213" s="32"/>
      <c r="VE213" s="32"/>
      <c r="VF213" s="32"/>
      <c r="VG213" s="32"/>
      <c r="VH213" s="32"/>
      <c r="VI213" s="32"/>
      <c r="VJ213" s="32"/>
      <c r="VK213" s="32"/>
      <c r="VL213" s="32"/>
      <c r="VM213" s="32"/>
      <c r="VN213" s="32"/>
      <c r="VO213" s="32"/>
      <c r="VP213" s="32"/>
      <c r="VQ213" s="32"/>
      <c r="VR213" s="32"/>
      <c r="VS213" s="32"/>
      <c r="VT213" s="32"/>
      <c r="VU213" s="32"/>
      <c r="VV213" s="32"/>
      <c r="VW213" s="32"/>
      <c r="VX213" s="32"/>
      <c r="VY213" s="32"/>
      <c r="VZ213" s="32"/>
      <c r="WA213" s="32"/>
      <c r="WB213" s="32"/>
      <c r="WC213" s="32"/>
      <c r="WD213" s="32"/>
      <c r="WE213" s="32"/>
      <c r="WF213" s="32"/>
      <c r="WG213" s="32"/>
      <c r="WH213" s="32"/>
      <c r="WI213" s="32"/>
      <c r="WJ213" s="32"/>
      <c r="WK213" s="32"/>
      <c r="WL213" s="32"/>
      <c r="WM213" s="32"/>
      <c r="WN213" s="32"/>
      <c r="WO213" s="32"/>
      <c r="WP213" s="32"/>
      <c r="WQ213" s="32"/>
      <c r="WR213" s="32"/>
      <c r="WS213" s="32"/>
      <c r="WT213" s="32"/>
      <c r="WU213" s="32"/>
      <c r="WV213" s="32"/>
      <c r="WW213" s="32"/>
      <c r="WX213" s="32"/>
      <c r="WY213" s="32"/>
      <c r="WZ213" s="32"/>
      <c r="XA213" s="32"/>
      <c r="XB213" s="32"/>
      <c r="XC213" s="32"/>
      <c r="XD213" s="32"/>
      <c r="XE213" s="32"/>
      <c r="XF213" s="32"/>
      <c r="XG213" s="32"/>
      <c r="XH213" s="32"/>
      <c r="XI213" s="32"/>
      <c r="XJ213" s="32"/>
      <c r="XK213" s="32"/>
      <c r="XL213" s="32"/>
      <c r="XM213" s="32"/>
      <c r="XN213" s="32"/>
      <c r="XO213" s="32"/>
      <c r="XP213" s="32"/>
      <c r="XQ213" s="32"/>
      <c r="XR213" s="32"/>
      <c r="XS213" s="32"/>
      <c r="XT213" s="32"/>
      <c r="XU213" s="32"/>
      <c r="XV213" s="32"/>
      <c r="XW213" s="32"/>
      <c r="XX213" s="32"/>
      <c r="XY213" s="32"/>
      <c r="XZ213" s="32"/>
      <c r="YA213" s="32"/>
      <c r="YB213" s="32"/>
      <c r="YC213" s="32"/>
      <c r="YD213" s="32"/>
      <c r="YE213" s="32"/>
      <c r="YF213" s="32"/>
      <c r="YG213" s="32"/>
      <c r="YH213" s="32"/>
      <c r="YI213" s="32"/>
      <c r="YJ213" s="32"/>
      <c r="YK213" s="32"/>
      <c r="YL213" s="32"/>
      <c r="YM213" s="32"/>
      <c r="YN213" s="32"/>
      <c r="YO213" s="32"/>
      <c r="YP213" s="32"/>
      <c r="YQ213" s="32"/>
      <c r="YR213" s="32"/>
      <c r="YS213" s="32"/>
      <c r="YT213" s="32"/>
      <c r="YU213" s="32"/>
      <c r="YV213" s="32"/>
      <c r="YW213" s="32"/>
      <c r="YX213" s="32"/>
      <c r="YY213" s="32"/>
      <c r="YZ213" s="32"/>
      <c r="ZA213" s="32"/>
      <c r="ZB213" s="32"/>
      <c r="ZC213" s="32"/>
      <c r="ZD213" s="32"/>
      <c r="ZE213" s="32"/>
      <c r="ZF213" s="32"/>
      <c r="ZG213" s="32"/>
      <c r="ZH213" s="32"/>
      <c r="ZI213" s="32"/>
      <c r="ZJ213" s="32"/>
      <c r="ZK213" s="32"/>
      <c r="ZL213" s="32"/>
      <c r="ZM213" s="32"/>
      <c r="ZN213" s="32"/>
      <c r="ZO213" s="32"/>
      <c r="ZP213" s="32"/>
      <c r="ZQ213" s="32"/>
      <c r="ZR213" s="32"/>
      <c r="ZS213" s="32"/>
      <c r="ZT213" s="32"/>
      <c r="ZU213" s="32"/>
      <c r="ZV213" s="32"/>
      <c r="ZW213" s="32"/>
      <c r="ZX213" s="32"/>
      <c r="ZY213" s="32"/>
      <c r="ZZ213" s="32"/>
      <c r="AAA213" s="588"/>
      <c r="AAD213" s="112"/>
      <c r="AAE213" s="552" t="s">
        <v>20</v>
      </c>
      <c r="AAF213" s="583" t="s">
        <v>174</v>
      </c>
      <c r="AAG213" s="63"/>
      <c r="AAH213" s="63"/>
      <c r="AAI213" s="77"/>
      <c r="AAJ213" s="77"/>
      <c r="AAK213" s="77"/>
      <c r="AAL213" s="80"/>
      <c r="AAM213" s="112"/>
      <c r="AAN213"/>
      <c r="AAT213" s="23"/>
      <c r="AAU213" s="44"/>
      <c r="AAV213" s="23"/>
      <c r="AAW213" s="23"/>
      <c r="AAX213" s="23"/>
      <c r="AAY213" s="23"/>
      <c r="AAZ213" s="23"/>
      <c r="ABA213" s="23"/>
      <c r="ABB213" s="23"/>
      <c r="ABC213" s="23"/>
      <c r="ABD213" s="23"/>
    </row>
    <row r="214" spans="1:732" ht="15" hidden="1" outlineLevel="1">
      <c r="A214" s="558"/>
      <c r="B214" s="254" t="s">
        <v>137</v>
      </c>
      <c r="C214" s="168"/>
      <c r="D214" s="498" t="s">
        <v>359</v>
      </c>
      <c r="E214" s="491">
        <f>NETWORKDAYS(G214,H214,S.DDL_DEQClosed)</f>
        <v>1</v>
      </c>
      <c r="F214" s="372">
        <f ca="1">NETWORKDAYS(TODAY(),H214)</f>
        <v>-202</v>
      </c>
      <c r="G214" s="369">
        <f>AAG214</f>
        <v>41369</v>
      </c>
      <c r="H214" s="369">
        <f>AAH214</f>
        <v>41369</v>
      </c>
      <c r="I214" s="627"/>
      <c r="J214" s="640"/>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1"/>
      <c r="AP214" s="641"/>
      <c r="AQ214" s="641"/>
      <c r="AR214" s="641"/>
      <c r="AS214" s="641"/>
      <c r="AT214" s="641"/>
      <c r="AU214" s="641"/>
      <c r="AV214" s="641"/>
      <c r="AW214" s="641"/>
      <c r="AX214" s="641"/>
      <c r="AY214" s="641"/>
      <c r="AZ214" s="641"/>
      <c r="BA214" s="641"/>
      <c r="BB214" s="641"/>
      <c r="BC214" s="641"/>
      <c r="BD214" s="641"/>
      <c r="BE214" s="641"/>
      <c r="BF214" s="641"/>
      <c r="BG214" s="641"/>
      <c r="BH214" s="641"/>
      <c r="BI214" s="641"/>
      <c r="BJ214" s="641"/>
      <c r="BK214" s="641"/>
      <c r="BL214" s="641"/>
      <c r="BM214" s="641"/>
      <c r="BN214" s="641"/>
      <c r="BO214" s="641"/>
      <c r="BP214" s="641"/>
      <c r="BQ214" s="641"/>
      <c r="BR214" s="641"/>
      <c r="BS214" s="641"/>
      <c r="BT214" s="641"/>
      <c r="BU214" s="641"/>
      <c r="BV214" s="641"/>
      <c r="BW214" s="641"/>
      <c r="BX214" s="641"/>
      <c r="BY214" s="641"/>
      <c r="BZ214" s="641"/>
      <c r="CA214" s="641"/>
      <c r="CB214" s="641"/>
      <c r="CC214" s="641"/>
      <c r="CD214" s="641"/>
      <c r="CE214" s="641"/>
      <c r="CF214" s="641"/>
      <c r="CG214" s="641"/>
      <c r="CH214" s="641"/>
      <c r="CI214" s="641"/>
      <c r="CJ214" s="641"/>
      <c r="CK214" s="641"/>
      <c r="CL214" s="641"/>
      <c r="CM214" s="641"/>
      <c r="CN214" s="641"/>
      <c r="CO214" s="641"/>
      <c r="CP214" s="641"/>
      <c r="CQ214" s="641"/>
      <c r="CR214" s="641"/>
      <c r="CS214" s="641"/>
      <c r="CT214" s="641"/>
      <c r="CU214" s="641"/>
      <c r="CV214" s="641"/>
      <c r="CW214" s="641"/>
      <c r="CX214" s="641"/>
      <c r="CY214" s="641"/>
      <c r="CZ214" s="641"/>
      <c r="DA214" s="641"/>
      <c r="DB214" s="641"/>
      <c r="DC214" s="641"/>
      <c r="DD214" s="641"/>
      <c r="DE214" s="641"/>
      <c r="DF214" s="641"/>
      <c r="DG214" s="641"/>
      <c r="DH214" s="641"/>
      <c r="DI214" s="641"/>
      <c r="DJ214" s="641"/>
      <c r="DK214" s="641"/>
      <c r="DL214" s="641"/>
      <c r="DM214" s="641"/>
      <c r="DN214" s="641"/>
      <c r="DO214" s="641"/>
      <c r="DP214" s="641"/>
      <c r="DQ214" s="641"/>
      <c r="DR214" s="641"/>
      <c r="DS214" s="641"/>
      <c r="DT214" s="641"/>
      <c r="DU214" s="641"/>
      <c r="DV214" s="641"/>
      <c r="DW214" s="641"/>
      <c r="DX214" s="641"/>
      <c r="DY214" s="641"/>
      <c r="DZ214" s="641"/>
      <c r="EA214" s="641"/>
      <c r="EB214" s="641"/>
      <c r="EC214" s="641"/>
      <c r="ED214" s="641"/>
      <c r="EE214" s="641"/>
      <c r="EF214" s="641"/>
      <c r="EG214" s="641"/>
      <c r="EH214" s="641"/>
      <c r="EI214" s="641"/>
      <c r="EJ214" s="641"/>
      <c r="EK214" s="641"/>
      <c r="EL214" s="641"/>
      <c r="EM214" s="641"/>
      <c r="EN214" s="641"/>
      <c r="EO214" s="641"/>
      <c r="EP214" s="641"/>
      <c r="EQ214" s="641"/>
      <c r="ER214" s="641"/>
      <c r="ES214" s="641"/>
      <c r="ET214" s="641"/>
      <c r="EU214" s="641"/>
      <c r="EV214" s="641"/>
      <c r="EW214" s="641"/>
      <c r="EX214" s="641"/>
      <c r="EY214" s="641"/>
      <c r="EZ214" s="641"/>
      <c r="FA214" s="641"/>
      <c r="FB214" s="641"/>
      <c r="FC214" s="641"/>
      <c r="FD214" s="641"/>
      <c r="FE214" s="641"/>
      <c r="FF214" s="641"/>
      <c r="FG214" s="641"/>
      <c r="FH214" s="641"/>
      <c r="FI214" s="641"/>
      <c r="FJ214" s="641"/>
      <c r="FK214" s="641"/>
      <c r="FL214" s="641"/>
      <c r="FM214" s="641"/>
      <c r="FN214" s="641"/>
      <c r="FO214" s="641"/>
      <c r="FP214" s="641"/>
      <c r="FQ214" s="641"/>
      <c r="FR214" s="641"/>
      <c r="FS214" s="641"/>
      <c r="FT214" s="641"/>
      <c r="FU214" s="641"/>
      <c r="FV214" s="641"/>
      <c r="FW214" s="641"/>
      <c r="FX214" s="641"/>
      <c r="FY214" s="641"/>
      <c r="FZ214" s="641"/>
      <c r="GA214" s="641"/>
      <c r="GB214" s="641"/>
      <c r="GC214" s="641"/>
      <c r="GD214" s="641"/>
      <c r="GE214" s="641"/>
      <c r="GF214" s="641"/>
      <c r="GG214" s="641"/>
      <c r="GH214" s="641"/>
      <c r="GI214" s="641"/>
      <c r="GJ214" s="641"/>
      <c r="GK214" s="641"/>
      <c r="GL214" s="641"/>
      <c r="GM214" s="641"/>
      <c r="GN214" s="641"/>
      <c r="GO214" s="641"/>
      <c r="GP214" s="641"/>
      <c r="GQ214" s="641"/>
      <c r="GR214" s="641"/>
      <c r="GS214" s="641"/>
      <c r="GT214" s="641"/>
      <c r="GU214" s="641"/>
      <c r="GV214" s="641"/>
      <c r="GW214" s="641"/>
      <c r="GX214" s="641"/>
      <c r="GY214" s="641"/>
      <c r="GZ214" s="641"/>
      <c r="HA214" s="641"/>
      <c r="HB214" s="641"/>
      <c r="HC214" s="641"/>
      <c r="HD214" s="641"/>
      <c r="HE214" s="641"/>
      <c r="HF214" s="641"/>
      <c r="HG214" s="641"/>
      <c r="HH214" s="641"/>
      <c r="HI214" s="641"/>
      <c r="HJ214" s="641"/>
      <c r="HK214" s="641"/>
      <c r="HL214" s="641"/>
      <c r="HM214" s="641"/>
      <c r="HN214" s="641"/>
      <c r="HO214" s="641"/>
      <c r="HP214" s="641"/>
      <c r="HQ214" s="641"/>
      <c r="HR214" s="641"/>
      <c r="HS214" s="641"/>
      <c r="HT214" s="641"/>
      <c r="HU214" s="641"/>
      <c r="HV214" s="641"/>
      <c r="HW214" s="641"/>
      <c r="HX214" s="641"/>
      <c r="HY214" s="641"/>
      <c r="HZ214" s="641"/>
      <c r="IA214" s="641"/>
      <c r="IB214" s="641"/>
      <c r="IC214" s="641"/>
      <c r="ID214" s="641"/>
      <c r="IE214" s="641"/>
      <c r="IF214" s="641"/>
      <c r="IG214" s="641"/>
      <c r="IH214" s="641"/>
      <c r="II214" s="641"/>
      <c r="IJ214" s="641"/>
      <c r="IK214" s="641"/>
      <c r="IL214" s="641"/>
      <c r="IM214" s="641"/>
      <c r="IN214" s="641"/>
      <c r="IO214" s="641"/>
      <c r="IP214" s="641"/>
      <c r="IQ214" s="641"/>
      <c r="IR214" s="641"/>
      <c r="IS214" s="641"/>
      <c r="IT214" s="641"/>
      <c r="IU214" s="641"/>
      <c r="IV214" s="641"/>
      <c r="IW214" s="641"/>
      <c r="IX214" s="641"/>
      <c r="IY214" s="641"/>
      <c r="IZ214" s="641"/>
      <c r="JA214" s="641"/>
      <c r="JB214" s="641"/>
      <c r="JC214" s="641"/>
      <c r="JD214" s="641"/>
      <c r="JE214" s="641"/>
      <c r="JF214" s="641"/>
      <c r="JG214" s="641"/>
      <c r="JH214" s="641"/>
      <c r="JI214" s="641"/>
      <c r="JJ214" s="641"/>
      <c r="JK214" s="641"/>
      <c r="JL214" s="641"/>
      <c r="JM214" s="641"/>
      <c r="JN214" s="641"/>
      <c r="JO214" s="641"/>
      <c r="JP214" s="641"/>
      <c r="JQ214" s="641"/>
      <c r="JR214" s="641"/>
      <c r="JS214" s="641"/>
      <c r="JT214" s="641"/>
      <c r="JU214" s="641"/>
      <c r="JV214" s="641"/>
      <c r="JW214" s="641"/>
      <c r="JX214" s="641"/>
      <c r="JY214" s="641"/>
      <c r="JZ214" s="641"/>
      <c r="KA214" s="641"/>
      <c r="KB214" s="641"/>
      <c r="KC214" s="641"/>
      <c r="KD214" s="641"/>
      <c r="KE214" s="641"/>
      <c r="KF214" s="641"/>
      <c r="KG214" s="641"/>
      <c r="KH214" s="641"/>
      <c r="KI214" s="641"/>
      <c r="KJ214" s="641"/>
      <c r="KK214" s="641"/>
      <c r="KL214" s="641"/>
      <c r="KM214" s="641"/>
      <c r="KN214" s="641"/>
      <c r="KO214" s="641"/>
      <c r="KP214" s="641"/>
      <c r="KQ214" s="641"/>
      <c r="KR214" s="641"/>
      <c r="KS214" s="641"/>
      <c r="KT214" s="641"/>
      <c r="KU214" s="641"/>
      <c r="KV214" s="641"/>
      <c r="KW214" s="641"/>
      <c r="KX214" s="641"/>
      <c r="KY214" s="641"/>
      <c r="KZ214" s="641"/>
      <c r="LA214" s="641"/>
      <c r="LB214" s="641"/>
      <c r="LC214" s="641"/>
      <c r="LD214" s="641"/>
      <c r="LE214" s="641"/>
      <c r="LF214" s="641"/>
      <c r="LG214" s="641"/>
      <c r="LH214" s="641"/>
      <c r="LI214" s="641"/>
      <c r="LJ214" s="641"/>
      <c r="LK214" s="641"/>
      <c r="LL214" s="641"/>
      <c r="LM214" s="641"/>
      <c r="LN214" s="641"/>
      <c r="LO214" s="641"/>
      <c r="LP214" s="641"/>
      <c r="LQ214" s="641"/>
      <c r="LR214" s="641"/>
      <c r="LS214" s="641"/>
      <c r="LT214" s="641"/>
      <c r="LU214" s="641"/>
      <c r="LV214" s="641"/>
      <c r="LW214" s="641"/>
      <c r="LX214" s="641"/>
      <c r="LY214" s="641"/>
      <c r="LZ214" s="641"/>
      <c r="MA214" s="641"/>
      <c r="MB214" s="641"/>
      <c r="MC214" s="641"/>
      <c r="MD214" s="641"/>
      <c r="ME214" s="641"/>
      <c r="MF214" s="641"/>
      <c r="MG214" s="641"/>
      <c r="MH214" s="641"/>
      <c r="MI214" s="641"/>
      <c r="MJ214" s="641"/>
      <c r="MK214" s="641"/>
      <c r="ML214" s="641"/>
      <c r="MM214" s="641"/>
      <c r="MN214" s="641"/>
      <c r="MO214" s="641"/>
      <c r="MP214" s="641"/>
      <c r="MQ214" s="641"/>
      <c r="MR214" s="641"/>
      <c r="MS214" s="641"/>
      <c r="MT214" s="641"/>
      <c r="MU214" s="641"/>
      <c r="MV214" s="641"/>
      <c r="MW214" s="641"/>
      <c r="MX214" s="641"/>
      <c r="MY214" s="641"/>
      <c r="MZ214" s="641"/>
      <c r="NA214" s="641"/>
      <c r="NB214" s="641"/>
      <c r="NC214" s="641"/>
      <c r="ND214" s="641"/>
      <c r="NE214" s="641"/>
      <c r="NF214" s="641"/>
      <c r="NG214" s="641"/>
      <c r="NH214" s="641"/>
      <c r="NI214" s="641"/>
      <c r="NJ214" s="641"/>
      <c r="NK214" s="641"/>
      <c r="NL214" s="641"/>
      <c r="NM214" s="641"/>
      <c r="NN214" s="641"/>
      <c r="NO214" s="641"/>
      <c r="NP214" s="641"/>
      <c r="NQ214" s="641"/>
      <c r="NR214" s="641"/>
      <c r="NS214" s="641"/>
      <c r="NT214" s="641"/>
      <c r="NU214" s="641"/>
      <c r="NV214" s="641"/>
      <c r="NW214" s="641"/>
      <c r="NX214" s="641"/>
      <c r="NY214" s="641"/>
      <c r="NZ214" s="641"/>
      <c r="OA214" s="641"/>
      <c r="OB214" s="641"/>
      <c r="OC214" s="641"/>
      <c r="OD214" s="641"/>
      <c r="OE214" s="641"/>
      <c r="OF214" s="641"/>
      <c r="OG214" s="641"/>
      <c r="OH214" s="641"/>
      <c r="OI214" s="641"/>
      <c r="OJ214" s="641"/>
      <c r="OK214" s="641"/>
      <c r="OL214" s="641"/>
      <c r="OM214" s="641"/>
      <c r="ON214" s="641"/>
      <c r="OO214" s="641"/>
      <c r="OP214" s="641"/>
      <c r="OQ214" s="641"/>
      <c r="OR214" s="641"/>
      <c r="OS214" s="641"/>
      <c r="OT214" s="641"/>
      <c r="OU214" s="641"/>
      <c r="OV214" s="641"/>
      <c r="OW214" s="641"/>
      <c r="OX214" s="641"/>
      <c r="OY214" s="641"/>
      <c r="OZ214" s="641"/>
      <c r="PA214" s="641"/>
      <c r="PB214" s="641"/>
      <c r="PC214" s="641"/>
      <c r="PD214" s="641"/>
      <c r="PE214" s="641"/>
      <c r="PF214" s="641"/>
      <c r="PG214" s="641"/>
      <c r="PH214" s="641"/>
      <c r="PI214" s="641"/>
      <c r="PJ214" s="641"/>
      <c r="PK214" s="641"/>
      <c r="PL214" s="641"/>
      <c r="PM214" s="641"/>
      <c r="PN214" s="641"/>
      <c r="PO214" s="641"/>
      <c r="PP214" s="641"/>
      <c r="PQ214" s="641"/>
      <c r="PR214" s="641"/>
      <c r="PS214" s="641"/>
      <c r="PT214" s="641"/>
      <c r="PU214" s="641"/>
      <c r="PV214" s="641"/>
      <c r="PW214" s="641"/>
      <c r="PX214" s="641"/>
      <c r="PY214" s="641"/>
      <c r="PZ214" s="641"/>
      <c r="QA214" s="641"/>
      <c r="QB214" s="641"/>
      <c r="QC214" s="641"/>
      <c r="QD214" s="641"/>
      <c r="QE214" s="641"/>
      <c r="QF214" s="641"/>
      <c r="QG214" s="641"/>
      <c r="QH214" s="641"/>
      <c r="QI214" s="641"/>
      <c r="QJ214" s="641"/>
      <c r="QK214" s="641"/>
      <c r="QL214" s="641"/>
      <c r="QM214" s="641"/>
      <c r="QN214" s="641"/>
      <c r="QO214" s="641"/>
      <c r="QP214" s="641"/>
      <c r="QQ214" s="641"/>
      <c r="QR214" s="641"/>
      <c r="QS214" s="641"/>
      <c r="QT214" s="641"/>
      <c r="QU214" s="641"/>
      <c r="QV214" s="641"/>
      <c r="QW214" s="641"/>
      <c r="QX214" s="641"/>
      <c r="QY214" s="641"/>
      <c r="QZ214" s="641"/>
      <c r="RA214" s="641"/>
      <c r="RB214" s="641"/>
      <c r="RC214" s="641"/>
      <c r="RD214" s="641"/>
      <c r="RE214" s="641"/>
      <c r="RF214" s="641"/>
      <c r="RG214" s="641"/>
      <c r="RH214" s="641"/>
      <c r="RI214" s="641"/>
      <c r="RJ214" s="641"/>
      <c r="RK214" s="641"/>
      <c r="RL214" s="641"/>
      <c r="RM214" s="641"/>
      <c r="RN214" s="641"/>
      <c r="RO214" s="641"/>
      <c r="RP214" s="641"/>
      <c r="RQ214" s="641"/>
      <c r="RR214" s="641"/>
      <c r="RS214" s="641"/>
      <c r="RT214" s="641"/>
      <c r="RU214" s="641"/>
      <c r="RV214" s="641"/>
      <c r="RW214" s="641"/>
      <c r="RX214" s="641"/>
      <c r="RY214" s="641"/>
      <c r="RZ214" s="641"/>
      <c r="SA214" s="641"/>
      <c r="SB214" s="641"/>
      <c r="SC214" s="641"/>
      <c r="SD214" s="641"/>
      <c r="SE214" s="641"/>
      <c r="SF214" s="641"/>
      <c r="SG214" s="641"/>
      <c r="SH214" s="641"/>
      <c r="SI214" s="641"/>
      <c r="SJ214" s="641"/>
      <c r="SK214" s="641"/>
      <c r="SL214" s="641"/>
      <c r="SM214" s="641"/>
      <c r="SN214" s="641"/>
      <c r="SO214" s="641"/>
      <c r="SP214" s="641"/>
      <c r="SQ214" s="641"/>
      <c r="SR214" s="641"/>
      <c r="SS214" s="641"/>
      <c r="ST214" s="641"/>
      <c r="SU214" s="641"/>
      <c r="SV214" s="641"/>
      <c r="SW214" s="641"/>
      <c r="SX214" s="641"/>
      <c r="SY214" s="641"/>
      <c r="SZ214" s="641"/>
      <c r="TA214" s="641"/>
      <c r="TB214" s="641"/>
      <c r="TC214" s="641"/>
      <c r="TD214" s="641"/>
      <c r="TE214" s="641"/>
      <c r="TF214" s="641"/>
      <c r="TG214" s="641"/>
      <c r="TH214" s="641"/>
      <c r="TI214" s="641"/>
      <c r="TJ214" s="641"/>
      <c r="TK214" s="641"/>
      <c r="TL214" s="641"/>
      <c r="TM214" s="641"/>
      <c r="TN214" s="641"/>
      <c r="TO214" s="641"/>
      <c r="TP214" s="641"/>
      <c r="TQ214" s="641"/>
      <c r="TR214" s="641"/>
      <c r="TS214" s="641"/>
      <c r="TT214" s="641"/>
      <c r="TU214" s="641"/>
      <c r="TV214" s="641"/>
      <c r="TW214" s="641"/>
      <c r="TX214" s="641"/>
      <c r="TY214" s="641"/>
      <c r="TZ214" s="641"/>
      <c r="UA214" s="641"/>
      <c r="UB214" s="641"/>
      <c r="UC214" s="641"/>
      <c r="UD214" s="641"/>
      <c r="UE214" s="641"/>
      <c r="UF214" s="641"/>
      <c r="UG214" s="641"/>
      <c r="UH214" s="641"/>
      <c r="UI214" s="641"/>
      <c r="UJ214" s="641"/>
      <c r="UK214" s="641"/>
      <c r="UL214" s="641"/>
      <c r="UM214" s="641"/>
      <c r="UN214" s="641"/>
      <c r="UO214" s="641"/>
      <c r="UP214" s="641"/>
      <c r="UQ214" s="641"/>
      <c r="UR214" s="641"/>
      <c r="US214" s="641"/>
      <c r="UT214" s="641"/>
      <c r="UU214" s="641"/>
      <c r="UV214" s="641"/>
      <c r="UW214" s="641"/>
      <c r="UX214" s="641"/>
      <c r="UY214" s="641"/>
      <c r="UZ214" s="641"/>
      <c r="VA214" s="641"/>
      <c r="VB214" s="641"/>
      <c r="VC214" s="641"/>
      <c r="VD214" s="641"/>
      <c r="VE214" s="641"/>
      <c r="VF214" s="641"/>
      <c r="VG214" s="641"/>
      <c r="VH214" s="641"/>
      <c r="VI214" s="641"/>
      <c r="VJ214" s="641"/>
      <c r="VK214" s="641"/>
      <c r="VL214" s="641"/>
      <c r="VM214" s="641"/>
      <c r="VN214" s="641"/>
      <c r="VO214" s="641"/>
      <c r="VP214" s="641"/>
      <c r="VQ214" s="641"/>
      <c r="VR214" s="641"/>
      <c r="VS214" s="641"/>
      <c r="VT214" s="641"/>
      <c r="VU214" s="641"/>
      <c r="VV214" s="641"/>
      <c r="VW214" s="641"/>
      <c r="VX214" s="641"/>
      <c r="VY214" s="641"/>
      <c r="VZ214" s="641"/>
      <c r="WA214" s="641"/>
      <c r="WB214" s="641"/>
      <c r="WC214" s="641"/>
      <c r="WD214" s="641"/>
      <c r="WE214" s="641"/>
      <c r="WF214" s="641"/>
      <c r="WG214" s="641"/>
      <c r="WH214" s="641"/>
      <c r="WI214" s="641"/>
      <c r="WJ214" s="641"/>
      <c r="WK214" s="641"/>
      <c r="WL214" s="641"/>
      <c r="WM214" s="641"/>
      <c r="WN214" s="641"/>
      <c r="WO214" s="641"/>
      <c r="WP214" s="641"/>
      <c r="WQ214" s="641"/>
      <c r="WR214" s="641"/>
      <c r="WS214" s="641"/>
      <c r="WT214" s="641"/>
      <c r="WU214" s="641"/>
      <c r="WV214" s="641"/>
      <c r="WW214" s="641"/>
      <c r="WX214" s="641"/>
      <c r="WY214" s="641"/>
      <c r="WZ214" s="641"/>
      <c r="XA214" s="641"/>
      <c r="XB214" s="641"/>
      <c r="XC214" s="641"/>
      <c r="XD214" s="641"/>
      <c r="XE214" s="641"/>
      <c r="XF214" s="641"/>
      <c r="XG214" s="641"/>
      <c r="XH214" s="641"/>
      <c r="XI214" s="641"/>
      <c r="XJ214" s="641"/>
      <c r="XK214" s="641"/>
      <c r="XL214" s="641"/>
      <c r="XM214" s="641"/>
      <c r="XN214" s="641"/>
      <c r="XO214" s="641"/>
      <c r="XP214" s="641"/>
      <c r="XQ214" s="641"/>
      <c r="XR214" s="641"/>
      <c r="XS214" s="641"/>
      <c r="XT214" s="641"/>
      <c r="XU214" s="641"/>
      <c r="XV214" s="641"/>
      <c r="XW214" s="641"/>
      <c r="XX214" s="641"/>
      <c r="XY214" s="641"/>
      <c r="XZ214" s="641"/>
      <c r="YA214" s="641"/>
      <c r="YB214" s="641"/>
      <c r="YC214" s="641"/>
      <c r="YD214" s="641"/>
      <c r="YE214" s="641"/>
      <c r="YF214" s="641"/>
      <c r="YG214" s="641"/>
      <c r="YH214" s="641"/>
      <c r="YI214" s="641"/>
      <c r="YJ214" s="641"/>
      <c r="YK214" s="641"/>
      <c r="YL214" s="641"/>
      <c r="YM214" s="641"/>
      <c r="YN214" s="641"/>
      <c r="YO214" s="641"/>
      <c r="YP214" s="641"/>
      <c r="YQ214" s="641"/>
      <c r="YR214" s="641"/>
      <c r="YS214" s="641"/>
      <c r="YT214" s="641"/>
      <c r="YU214" s="641"/>
      <c r="YV214" s="641"/>
      <c r="YW214" s="641"/>
      <c r="YX214" s="641"/>
      <c r="YY214" s="641"/>
      <c r="YZ214" s="641"/>
      <c r="ZA214" s="641"/>
      <c r="ZB214" s="641"/>
      <c r="ZC214" s="641"/>
      <c r="ZD214" s="641"/>
      <c r="ZE214" s="641"/>
      <c r="ZF214" s="641"/>
      <c r="ZG214" s="641"/>
      <c r="ZH214" s="641"/>
      <c r="ZI214" s="641"/>
      <c r="ZJ214" s="641"/>
      <c r="ZK214" s="641"/>
      <c r="ZL214" s="641"/>
      <c r="ZM214" s="641"/>
      <c r="ZN214" s="641"/>
      <c r="ZO214" s="641"/>
      <c r="ZP214" s="641"/>
      <c r="ZQ214" s="641"/>
      <c r="ZR214" s="641"/>
      <c r="ZS214" s="641"/>
      <c r="ZT214" s="641"/>
      <c r="ZU214" s="641"/>
      <c r="ZV214" s="641"/>
      <c r="ZW214" s="641"/>
      <c r="ZX214" s="641"/>
      <c r="ZY214" s="50"/>
      <c r="ZZ214" s="50"/>
      <c r="AAA214" s="588"/>
      <c r="AAD214" s="112"/>
      <c r="AAE214" s="551">
        <f>IF(S.InvolveFee=TRUE,1,0)</f>
        <v>0</v>
      </c>
      <c r="AAF214" s="112" t="s">
        <v>0</v>
      </c>
      <c r="AAG214" s="78">
        <f>S.BANNER.FeeStart</f>
        <v>41369</v>
      </c>
      <c r="AAH214" s="78">
        <f>G214</f>
        <v>41369</v>
      </c>
      <c r="AAI214" s="77"/>
      <c r="AAJ214" s="77"/>
      <c r="AAK214" s="77"/>
      <c r="AAL214" s="80"/>
      <c r="AAM214" s="112"/>
      <c r="AAN214"/>
      <c r="AAT214" s="23"/>
      <c r="AAU214" s="44"/>
      <c r="AAV214" s="23"/>
      <c r="AAW214" s="23"/>
      <c r="AAX214" s="23"/>
      <c r="AAY214" s="23"/>
      <c r="AAZ214" s="23"/>
      <c r="ABA214" s="23"/>
      <c r="ABB214" s="23"/>
      <c r="ABC214" s="23"/>
      <c r="ABD214" s="23"/>
    </row>
    <row r="215" spans="1:732" s="23" customFormat="1" ht="15" hidden="1" customHeight="1" outlineLevel="1">
      <c r="A215" s="558"/>
      <c r="B215" s="532" t="str">
        <f>AAL215</f>
        <v>No DAS involvement</v>
      </c>
      <c r="C215" s="531"/>
      <c r="D215" s="498" t="s">
        <v>359</v>
      </c>
      <c r="E215" s="491">
        <f t="shared" ref="E215" si="892">NETWORKDAYS(G215,H215,S.DDL_DEQClosed)</f>
        <v>111</v>
      </c>
      <c r="F215" s="372">
        <f ca="1">NETWORKDAYS(TODAY(),H215)</f>
        <v>-87</v>
      </c>
      <c r="G215" s="369">
        <f>AAG215</f>
        <v>41369</v>
      </c>
      <c r="H215" s="369">
        <f>AAH215</f>
        <v>41530</v>
      </c>
      <c r="I215" s="627"/>
      <c r="J215" s="592"/>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18"/>
      <c r="ZZ215" s="36"/>
      <c r="AAA215" s="588"/>
      <c r="AAB215"/>
      <c r="AAC215"/>
      <c r="AAD215" s="112"/>
      <c r="AAE215" s="551">
        <f>IF(AND(S.InvolveFee=TRUE,S.DASApprovalRequired=FALSE),1,0)</f>
        <v>0</v>
      </c>
      <c r="AAF215" s="583" t="s">
        <v>174</v>
      </c>
      <c r="AAG215" s="78">
        <f>S.BANNER.FeeStart</f>
        <v>41369</v>
      </c>
      <c r="AAH215" s="78">
        <f>S.SubmitNoticeToSOS</f>
        <v>41530</v>
      </c>
      <c r="AAI215" s="77"/>
      <c r="AAJ215" s="77"/>
      <c r="AAK215" s="77"/>
      <c r="AAL215" s="89" t="str">
        <f>IF(S.DASApprovalRequired=TRUE,"See DAS approval sequence below",IF(S.InvolveFee=TRUE,"DAS notice required","No DAS involvement"))</f>
        <v>No DAS involvement</v>
      </c>
      <c r="AAM215" s="112"/>
      <c r="AAU215" s="44"/>
      <c r="AAV215"/>
      <c r="AAW215"/>
      <c r="AAX215"/>
      <c r="AAY215"/>
      <c r="AAZ215"/>
      <c r="ABA215"/>
      <c r="ABB215"/>
      <c r="ABC215"/>
      <c r="ABD215"/>
    </row>
    <row r="216" spans="1:732" s="23" customFormat="1" ht="15" hidden="1" outlineLevel="1">
      <c r="A216" s="558"/>
      <c r="B216" s="255" t="s">
        <v>138</v>
      </c>
      <c r="C216" s="173"/>
      <c r="D216" s="188"/>
      <c r="E216" s="160"/>
      <c r="F216" s="160"/>
      <c r="G216" s="174"/>
      <c r="H216" s="174"/>
      <c r="I216" s="627"/>
      <c r="J216" s="592"/>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18"/>
      <c r="ZZ216" s="36"/>
      <c r="AAA216" s="588"/>
      <c r="AAB216"/>
      <c r="AAC216"/>
      <c r="AAD216" s="112"/>
      <c r="AAE216" s="551">
        <f>IF(AND(S.InvolveFee=TRUE,S.DASApprovalRequired=FALSE),1,0)</f>
        <v>0</v>
      </c>
      <c r="AAF216" s="583" t="s">
        <v>174</v>
      </c>
      <c r="AAG216" s="63"/>
      <c r="AAH216" s="63"/>
      <c r="AAI216" s="77"/>
      <c r="AAJ216" s="77"/>
      <c r="AAK216" s="77"/>
      <c r="AAL216" s="89" t="str">
        <f>"a. "&amp;S.CodeName&amp;"FEE.ANALYSIS (blank in folder 3)"</f>
        <v>a. FEE.ANALYSIS (blank in folder 3)</v>
      </c>
      <c r="AAM216" s="112"/>
      <c r="AAU216" s="44"/>
      <c r="AAV216"/>
      <c r="AAW216"/>
      <c r="AAX216"/>
      <c r="AAY216"/>
      <c r="AAZ216"/>
      <c r="ABA216"/>
      <c r="ABB216"/>
      <c r="ABC216"/>
      <c r="ABD216"/>
    </row>
    <row r="217" spans="1:732" ht="15" hidden="1" outlineLevel="1">
      <c r="A217" s="558"/>
      <c r="B217" s="256" t="str">
        <f>AAL216</f>
        <v>a. FEE.ANALYSIS (blank in folder 3)</v>
      </c>
      <c r="C217" s="168"/>
      <c r="D217" s="397"/>
      <c r="E217" s="176"/>
      <c r="F217" s="176"/>
      <c r="G217" s="161"/>
      <c r="H217" s="161"/>
      <c r="I217" s="627"/>
      <c r="J217" s="592"/>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18"/>
      <c r="ZZ217" s="36"/>
      <c r="AAA217" s="588"/>
      <c r="AAD217" s="112"/>
      <c r="AAE217" s="551">
        <f>IF(AND(S.InvolveFee=TRUE,S.DASApprovalRequired=FALSE),1,0)</f>
        <v>0</v>
      </c>
      <c r="AAF217" s="583" t="s">
        <v>174</v>
      </c>
      <c r="AAG217" s="76"/>
      <c r="AAH217" s="76"/>
      <c r="AAI217" s="77"/>
      <c r="AAJ217" s="77"/>
      <c r="AAK217" s="77"/>
      <c r="AAL217" s="89" t="str">
        <f>"b. "&amp;S.CodeName&amp;"FEE.SUPPORT.DOCS"</f>
        <v>b. FEE.SUPPORT.DOCS</v>
      </c>
      <c r="AAM217" s="112"/>
      <c r="AAN217"/>
      <c r="AAT217" s="23"/>
      <c r="AAU217" s="44"/>
    </row>
    <row r="218" spans="1:732" ht="15" hidden="1" outlineLevel="1">
      <c r="A218" s="558"/>
      <c r="B218" s="256" t="str">
        <f>AAL217</f>
        <v>b. FEE.SUPPORT.DOCS</v>
      </c>
      <c r="C218" s="168"/>
      <c r="D218" s="397"/>
      <c r="E218" s="176"/>
      <c r="F218" s="176"/>
      <c r="G218" s="161"/>
      <c r="H218" s="161"/>
      <c r="I218" s="627"/>
      <c r="J218" s="592"/>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18"/>
      <c r="ZZ218" s="36"/>
      <c r="AAA218" s="588"/>
      <c r="AAD218" s="112"/>
      <c r="AAE218" s="551">
        <f>IF(AND(S.InvolveFee=TRUE,S.DASApprovalRequired=FALSE),1,0)</f>
        <v>0</v>
      </c>
      <c r="AAF218" s="583" t="s">
        <v>174</v>
      </c>
      <c r="AAG218" s="76"/>
      <c r="AAH218" s="76"/>
      <c r="AAI218" s="76"/>
      <c r="AAJ218" s="57"/>
      <c r="AAK218" s="57"/>
      <c r="AAL218" s="80"/>
      <c r="AAM218" s="112"/>
      <c r="AAN218"/>
      <c r="AAT218" s="23"/>
      <c r="AAU218" s="44"/>
    </row>
    <row r="219" spans="1:732" ht="15" hidden="1" outlineLevel="1">
      <c r="A219" s="558"/>
      <c r="B219" s="257" t="s">
        <v>181</v>
      </c>
      <c r="C219" s="173"/>
      <c r="D219" s="499"/>
      <c r="E219" s="191"/>
      <c r="F219" s="191"/>
      <c r="G219" s="177"/>
      <c r="H219" s="177"/>
      <c r="I219" s="627"/>
      <c r="J219" s="592"/>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618"/>
      <c r="ZZ219" s="36"/>
      <c r="AAA219" s="588"/>
      <c r="AAD219" s="112"/>
      <c r="AAE219" s="551">
        <f>IF(AND(S.InvolveFee=TRUE,S.DASApprovalRequired=FALSE),1,0)</f>
        <v>0</v>
      </c>
      <c r="AAF219" s="583" t="s">
        <v>174</v>
      </c>
      <c r="AAG219" s="76"/>
      <c r="AAH219" s="76"/>
      <c r="AAI219" s="76"/>
      <c r="AAJ219" s="57"/>
      <c r="AAK219" s="57"/>
      <c r="AAL219" s="80"/>
      <c r="AAM219" s="112"/>
      <c r="AAN219"/>
      <c r="AAT219" s="23"/>
      <c r="AAU219" s="44"/>
      <c r="AAV219" s="23"/>
      <c r="AAW219" s="23"/>
      <c r="AAX219" s="23"/>
      <c r="AAY219" s="23"/>
      <c r="AAZ219" s="23"/>
      <c r="ABA219" s="23"/>
      <c r="ABB219" s="23"/>
      <c r="ABC219" s="23"/>
      <c r="ABD219" s="23"/>
    </row>
    <row r="220" spans="1:732" ht="18" hidden="1" customHeight="1" outlineLevel="1">
      <c r="A220" s="558"/>
      <c r="B220" s="532" t="str">
        <f>AAL220</f>
        <v>No DAS involvement</v>
      </c>
      <c r="C220" s="531"/>
      <c r="D220" s="498" t="s">
        <v>359</v>
      </c>
      <c r="E220" s="491">
        <f t="shared" ref="E220:E226" si="893">NETWORKDAYS(G220,H220,S.DDL_DEQClosed)</f>
        <v>90</v>
      </c>
      <c r="F220" s="372">
        <f ca="1">NETWORKDAYS(TODAY(),H220)</f>
        <v>-109</v>
      </c>
      <c r="G220" s="369">
        <f>AAG220</f>
        <v>41369</v>
      </c>
      <c r="H220" s="369">
        <f>AAH220</f>
        <v>41500</v>
      </c>
      <c r="I220" s="627"/>
      <c r="J220" s="592"/>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50"/>
      <c r="ZZ220" s="50"/>
      <c r="AAA220" s="588"/>
      <c r="AAD220" s="112"/>
      <c r="AAE220" s="551">
        <f t="shared" ref="AAE220:AAE248" si="894">IF(AND(S.InvolveFee=TRUE,S.DASApprovalRequired=TRUE),1,0)</f>
        <v>0</v>
      </c>
      <c r="AAF220" s="112" t="s">
        <v>0</v>
      </c>
      <c r="AAG220" s="78">
        <f>S.BANNER.FeeStart</f>
        <v>41369</v>
      </c>
      <c r="AAH220" s="78">
        <f>WORKDAY(S.SubmitNoticeToSOS-29,-1,S.DDL_DEQClosed)</f>
        <v>41500</v>
      </c>
      <c r="AAI220" s="77"/>
      <c r="AAJ220" s="77"/>
      <c r="AAK220" s="77"/>
      <c r="AAL220" s="89" t="str">
        <f>IF(S.DASApprovalRequired=TRUE,"DAS Fee approval sequence",IF(S.InvolveFee=TRUE,"DAS notice required above","No DAS involvement"))</f>
        <v>No DAS involvement</v>
      </c>
      <c r="AAM220" s="112"/>
      <c r="AAN220"/>
      <c r="AAT220" s="23"/>
      <c r="AAU220" s="44"/>
    </row>
    <row r="221" spans="1:732" s="23" customFormat="1" ht="15" hidden="1" outlineLevel="1">
      <c r="A221" s="558"/>
      <c r="B221" s="255" t="s">
        <v>252</v>
      </c>
      <c r="C221" s="173"/>
      <c r="D221" s="281"/>
      <c r="E221" s="123"/>
      <c r="F221" s="124"/>
      <c r="G221" s="178"/>
      <c r="H221" s="178"/>
      <c r="I221" s="588"/>
      <c r="J221" s="592"/>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18"/>
      <c r="ZZ221" s="36"/>
      <c r="AAA221" s="588"/>
      <c r="AAB221"/>
      <c r="AAC221"/>
      <c r="AAD221" s="112"/>
      <c r="AAE221" s="551">
        <f t="shared" si="894"/>
        <v>0</v>
      </c>
      <c r="AAF221" s="583" t="s">
        <v>174</v>
      </c>
      <c r="AAG221" s="76"/>
      <c r="AAH221" s="63"/>
      <c r="AAI221" s="77"/>
      <c r="AAJ221" s="77"/>
      <c r="AAK221" s="77"/>
      <c r="AAL221" s="89" t="str">
        <f>"a. "&amp;S.CodeName&amp;"FEE.ANALYSIS (blank in folder 3)"</f>
        <v>a. FEE.ANALYSIS (blank in folder 3)</v>
      </c>
      <c r="AAM221" s="112"/>
      <c r="AAU221" s="44"/>
      <c r="AAV221"/>
      <c r="AAW221"/>
      <c r="AAX221"/>
      <c r="AAY221"/>
      <c r="AAZ221"/>
      <c r="ABA221"/>
      <c r="ABB221"/>
      <c r="ABC221"/>
      <c r="ABD221"/>
    </row>
    <row r="222" spans="1:732" ht="15" hidden="1" customHeight="1" outlineLevel="1">
      <c r="A222" s="558"/>
      <c r="B222" s="256" t="str">
        <f>AAL221</f>
        <v>a. FEE.ANALYSIS (blank in folder 3)</v>
      </c>
      <c r="C222" s="168"/>
      <c r="D222" s="500"/>
      <c r="E222" s="176"/>
      <c r="F222" s="176"/>
      <c r="G222" s="161"/>
      <c r="H222" s="161"/>
      <c r="I222" s="588"/>
      <c r="J222" s="592"/>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18"/>
      <c r="ZZ222" s="36"/>
      <c r="AAA222" s="588"/>
      <c r="AAD222" s="112"/>
      <c r="AAE222" s="551">
        <f t="shared" si="894"/>
        <v>0</v>
      </c>
      <c r="AAF222" s="583" t="s">
        <v>174</v>
      </c>
      <c r="AAG222" s="76"/>
      <c r="AAH222" s="76"/>
      <c r="AAI222" s="77"/>
      <c r="AAJ222" s="77"/>
      <c r="AAK222" s="77"/>
      <c r="AAL222" s="89" t="str">
        <f>"b. "&amp;S.CodeName&amp;"FEE.SUPPORT.DOCS"</f>
        <v>b. FEE.SUPPORT.DOCS</v>
      </c>
      <c r="AAM222" s="112"/>
      <c r="AAN222"/>
      <c r="AAT222" s="23"/>
      <c r="AAU222" s="44"/>
    </row>
    <row r="223" spans="1:732" ht="15" hidden="1" customHeight="1" outlineLevel="1">
      <c r="A223" s="558"/>
      <c r="B223" s="256" t="str">
        <f>AAL222</f>
        <v>b. FEE.SUPPORT.DOCS</v>
      </c>
      <c r="C223" s="168"/>
      <c r="D223" s="500"/>
      <c r="E223" s="176"/>
      <c r="F223" s="160"/>
      <c r="G223" s="161"/>
      <c r="H223" s="161"/>
      <c r="I223" s="588"/>
      <c r="J223" s="592"/>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18"/>
      <c r="ZZ223" s="36"/>
      <c r="AAA223" s="588"/>
      <c r="AAD223" s="112"/>
      <c r="AAE223" s="551">
        <f t="shared" si="894"/>
        <v>0</v>
      </c>
      <c r="AAF223" s="583" t="s">
        <v>174</v>
      </c>
      <c r="AAG223" s="76"/>
      <c r="AAH223" s="76"/>
      <c r="AAI223" s="77"/>
      <c r="AAJ223" s="77"/>
      <c r="AAK223" s="77"/>
      <c r="AAL223" s="89" t="str">
        <f>"a. "&amp;S.CodeName&amp;"FEE.APPROVAL (link through FEE.ANALYSIS)"</f>
        <v>a. FEE.APPROVAL (link through FEE.ANALYSIS)</v>
      </c>
      <c r="AAM223" s="112"/>
      <c r="AAN223"/>
      <c r="AAT223" s="23"/>
      <c r="AAU223" s="44"/>
    </row>
    <row r="224" spans="1:732" ht="15" hidden="1" customHeight="1" outlineLevel="1">
      <c r="A224" s="558"/>
      <c r="B224" s="256" t="str">
        <f>AAL223</f>
        <v>a. FEE.APPROVAL (link through FEE.ANALYSIS)</v>
      </c>
      <c r="C224" s="168"/>
      <c r="D224" s="500" t="s">
        <v>0</v>
      </c>
      <c r="E224" s="176"/>
      <c r="F224" s="176"/>
      <c r="G224" s="161"/>
      <c r="H224" s="161"/>
      <c r="I224" s="588"/>
      <c r="J224" s="592"/>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18"/>
      <c r="ZZ224" s="36"/>
      <c r="AAA224" s="588"/>
      <c r="AAD224" s="112"/>
      <c r="AAE224" s="551">
        <f t="shared" si="894"/>
        <v>0</v>
      </c>
      <c r="AAF224" s="583" t="s">
        <v>174</v>
      </c>
      <c r="AAG224" s="76"/>
      <c r="AAH224" s="76"/>
      <c r="AAI224" s="77"/>
      <c r="AAJ224" s="77"/>
      <c r="AAK224" s="77"/>
      <c r="AAL224" s="89" t="str">
        <f>"b. "&amp;S.CodeName&amp;"FEE.DETAIL (link through FEE.ANALYSIS)"</f>
        <v>b. FEE.DETAIL (link through FEE.ANALYSIS)</v>
      </c>
      <c r="AAM224" s="112"/>
      <c r="AAN224"/>
      <c r="AAT224" s="23"/>
      <c r="AAU224" s="44"/>
    </row>
    <row r="225" spans="1:732" ht="15" hidden="1" customHeight="1" outlineLevel="1">
      <c r="A225" s="558"/>
      <c r="B225" s="256" t="str">
        <f>AAL224</f>
        <v>b. FEE.DETAIL (link through FEE.ANALYSIS)</v>
      </c>
      <c r="C225" s="168"/>
      <c r="D225" s="500"/>
      <c r="E225" s="400"/>
      <c r="F225" s="400"/>
      <c r="G225" s="356"/>
      <c r="H225" s="356"/>
      <c r="I225" s="588"/>
      <c r="J225" s="592"/>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618"/>
      <c r="ZZ225" s="36"/>
      <c r="AAA225" s="588"/>
      <c r="AAD225" s="112"/>
      <c r="AAE225" s="551">
        <f t="shared" si="894"/>
        <v>0</v>
      </c>
      <c r="AAF225" s="583" t="s">
        <v>174</v>
      </c>
      <c r="AAG225" s="76"/>
      <c r="AAH225" s="76"/>
      <c r="AAI225" s="77"/>
      <c r="AAJ225" s="77"/>
      <c r="AAK225" s="77"/>
      <c r="AAL225" s="80"/>
      <c r="AAM225" s="112"/>
      <c r="AAN225"/>
      <c r="AAT225" s="23"/>
      <c r="AAU225" s="44"/>
    </row>
    <row r="226" spans="1:732" ht="15" hidden="1" outlineLevel="1">
      <c r="A226" s="558"/>
      <c r="B226" s="258" t="s">
        <v>253</v>
      </c>
      <c r="C226" s="239"/>
      <c r="D226" s="501" t="s">
        <v>359</v>
      </c>
      <c r="E226" s="491">
        <f t="shared" si="893"/>
        <v>1</v>
      </c>
      <c r="F226" s="372">
        <f t="shared" ref="F226:F230" ca="1" si="895">NETWORKDAYS(TODAY(),H226)</f>
        <v>-109</v>
      </c>
      <c r="G226" s="369">
        <f>AAG226</f>
        <v>41500</v>
      </c>
      <c r="H226" s="369">
        <f t="shared" ref="H226:H230" si="896">AAH226</f>
        <v>41500</v>
      </c>
      <c r="I226" s="627"/>
      <c r="J226" s="592"/>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588"/>
      <c r="AAD226" s="112"/>
      <c r="AAE226" s="551">
        <f t="shared" si="894"/>
        <v>0</v>
      </c>
      <c r="AAF226" s="112"/>
      <c r="AAG226" s="78">
        <f>H220</f>
        <v>41500</v>
      </c>
      <c r="AAH226" s="78">
        <f>G226</f>
        <v>41500</v>
      </c>
      <c r="AAI226" s="77"/>
      <c r="AAJ226" s="77"/>
      <c r="AAK226" s="77"/>
      <c r="AAL226" s="80"/>
      <c r="AAM226" s="112"/>
      <c r="AAN226"/>
      <c r="AAT226" s="23"/>
      <c r="AAU226" s="44"/>
    </row>
    <row r="227" spans="1:732" ht="22.5" hidden="1" outlineLevel="1">
      <c r="A227" s="558"/>
      <c r="B227" s="259" t="s">
        <v>111</v>
      </c>
      <c r="C227" s="239"/>
      <c r="D227" s="279" t="s">
        <v>376</v>
      </c>
      <c r="E227" s="491">
        <f>NETWORKDAYS(G227,H227,S.DDL_DEQClosed)</f>
        <v>1</v>
      </c>
      <c r="F227" s="372">
        <f t="shared" ca="1" si="895"/>
        <v>-109</v>
      </c>
      <c r="G227" s="369">
        <f t="shared" ref="G227:G230" si="897">AAG227</f>
        <v>41500</v>
      </c>
      <c r="H227" s="369">
        <f t="shared" si="896"/>
        <v>41500</v>
      </c>
      <c r="I227" s="627"/>
      <c r="J227" s="592"/>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588"/>
      <c r="AAD227" s="112"/>
      <c r="AAE227" s="551">
        <f t="shared" si="894"/>
        <v>0</v>
      </c>
      <c r="AAF227" s="112"/>
      <c r="AAG227" s="78">
        <f>H226</f>
        <v>41500</v>
      </c>
      <c r="AAH227" s="78">
        <f t="shared" ref="AAH227:AAH230" si="898">G227</f>
        <v>41500</v>
      </c>
      <c r="AAI227" s="77"/>
      <c r="AAJ227" s="77"/>
      <c r="AAK227" s="77"/>
      <c r="AAL227" s="80"/>
      <c r="AAM227" s="112"/>
      <c r="AAN227"/>
      <c r="AAT227" s="23"/>
      <c r="AAU227" s="44"/>
    </row>
    <row r="228" spans="1:732" ht="22.5" hidden="1" outlineLevel="1">
      <c r="A228" s="558"/>
      <c r="B228" s="261" t="s">
        <v>112</v>
      </c>
      <c r="C228" s="239"/>
      <c r="D228" s="279" t="s">
        <v>376</v>
      </c>
      <c r="E228" s="491">
        <f>NETWORKDAYS(G228,H228,S.DDL_DEQClosed)</f>
        <v>1</v>
      </c>
      <c r="F228" s="372">
        <f t="shared" ca="1" si="895"/>
        <v>-109</v>
      </c>
      <c r="G228" s="369">
        <f t="shared" si="897"/>
        <v>41500</v>
      </c>
      <c r="H228" s="369">
        <f t="shared" si="896"/>
        <v>41500</v>
      </c>
      <c r="I228" s="627"/>
      <c r="J228" s="592"/>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588"/>
      <c r="AAD228" s="112"/>
      <c r="AAE228" s="551">
        <f t="shared" si="894"/>
        <v>0</v>
      </c>
      <c r="AAF228" s="112"/>
      <c r="AAG228" s="78">
        <f t="shared" ref="AAG228:AAG230" si="899">H227</f>
        <v>41500</v>
      </c>
      <c r="AAH228" s="78">
        <f t="shared" si="898"/>
        <v>41500</v>
      </c>
      <c r="AAI228" s="77"/>
      <c r="AAJ228" s="77"/>
      <c r="AAK228" s="77"/>
      <c r="AAL228" s="80"/>
      <c r="AAM228" s="112"/>
      <c r="AAN228"/>
      <c r="AAT228" s="23"/>
      <c r="AAU228" s="44"/>
    </row>
    <row r="229" spans="1:732" ht="22.5" hidden="1" outlineLevel="1">
      <c r="A229" s="558"/>
      <c r="B229" s="262" t="s">
        <v>113</v>
      </c>
      <c r="C229" s="239"/>
      <c r="D229" s="279" t="s">
        <v>376</v>
      </c>
      <c r="E229" s="491">
        <f>NETWORKDAYS(G229,H229,S.DDL_DEQClosed)</f>
        <v>1</v>
      </c>
      <c r="F229" s="372">
        <f t="shared" ca="1" si="895"/>
        <v>-109</v>
      </c>
      <c r="G229" s="369">
        <f t="shared" si="897"/>
        <v>41500</v>
      </c>
      <c r="H229" s="369">
        <f t="shared" si="896"/>
        <v>41500</v>
      </c>
      <c r="I229" s="627"/>
      <c r="J229" s="592"/>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588"/>
      <c r="AAD229" s="112"/>
      <c r="AAE229" s="551">
        <f t="shared" si="894"/>
        <v>0</v>
      </c>
      <c r="AAF229" s="112"/>
      <c r="AAG229" s="78">
        <f t="shared" si="899"/>
        <v>41500</v>
      </c>
      <c r="AAH229" s="78">
        <f t="shared" si="898"/>
        <v>41500</v>
      </c>
      <c r="AAI229" s="77"/>
      <c r="AAJ229" s="77"/>
      <c r="AAK229" s="77"/>
      <c r="AAL229" s="80"/>
      <c r="AAM229" s="112"/>
      <c r="AAN229"/>
      <c r="AAT229" s="23"/>
      <c r="AAU229" s="44"/>
    </row>
    <row r="230" spans="1:732" ht="22.5" hidden="1" outlineLevel="1">
      <c r="A230" s="558"/>
      <c r="B230" s="263" t="s">
        <v>114</v>
      </c>
      <c r="C230" s="239"/>
      <c r="D230" s="279" t="s">
        <v>376</v>
      </c>
      <c r="E230" s="491">
        <f>NETWORKDAYS(G230,H230,S.DDL_DEQClosed)</f>
        <v>1</v>
      </c>
      <c r="F230" s="372">
        <f t="shared" ca="1" si="895"/>
        <v>-109</v>
      </c>
      <c r="G230" s="369">
        <f t="shared" si="897"/>
        <v>41500</v>
      </c>
      <c r="H230" s="369">
        <f t="shared" si="896"/>
        <v>41500</v>
      </c>
      <c r="I230" s="627"/>
      <c r="J230" s="592"/>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50"/>
      <c r="ZZ230" s="50"/>
      <c r="AAA230" s="588"/>
      <c r="AAD230" s="112"/>
      <c r="AAE230" s="551">
        <f t="shared" si="894"/>
        <v>0</v>
      </c>
      <c r="AAF230" s="112"/>
      <c r="AAG230" s="78">
        <f t="shared" si="899"/>
        <v>41500</v>
      </c>
      <c r="AAH230" s="78">
        <f t="shared" si="898"/>
        <v>41500</v>
      </c>
      <c r="AAI230" s="77"/>
      <c r="AAJ230" s="77"/>
      <c r="AAK230" s="77"/>
      <c r="AAL230" s="80"/>
      <c r="AAM230" s="112"/>
      <c r="AAN230"/>
      <c r="AAT230" s="23"/>
      <c r="AAU230" s="44"/>
    </row>
    <row r="231" spans="1:732" ht="82.5" hidden="1" customHeight="1" outlineLevel="1">
      <c r="A231" s="558"/>
      <c r="B231" s="751" t="s">
        <v>342</v>
      </c>
      <c r="C231" s="751"/>
      <c r="D231" s="751"/>
      <c r="E231" s="751"/>
      <c r="F231" s="751"/>
      <c r="G231" s="751"/>
      <c r="H231" s="751"/>
      <c r="I231" s="588"/>
      <c r="J231" s="592"/>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18"/>
      <c r="ZZ231" s="36"/>
      <c r="AAA231" s="588"/>
      <c r="AAD231" s="112"/>
      <c r="AAE231" s="551">
        <f t="shared" si="894"/>
        <v>0</v>
      </c>
      <c r="AAF231" s="583" t="s">
        <v>174</v>
      </c>
      <c r="AAG231" s="63"/>
      <c r="AAH231" s="63"/>
      <c r="AAI231" s="77"/>
      <c r="AAJ231" s="77"/>
      <c r="AAK231" s="77"/>
      <c r="AAL231" s="80"/>
      <c r="AAM231" s="112"/>
      <c r="AAN231"/>
      <c r="AAT231" s="23"/>
      <c r="AAU231" s="44"/>
    </row>
    <row r="232" spans="1:732" ht="15" hidden="1" outlineLevel="1">
      <c r="A232" s="558"/>
      <c r="B232" s="264" t="s">
        <v>21</v>
      </c>
      <c r="C232" s="264"/>
      <c r="D232" s="161"/>
      <c r="E232" s="160"/>
      <c r="F232" s="160"/>
      <c r="G232" s="161"/>
      <c r="H232" s="161"/>
      <c r="I232" s="588"/>
      <c r="J232" s="592"/>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18"/>
      <c r="ZZ232" s="36"/>
      <c r="AAA232" s="588"/>
      <c r="AAD232" s="112"/>
      <c r="AAE232" s="551">
        <f t="shared" si="894"/>
        <v>0</v>
      </c>
      <c r="AAF232" s="583" t="s">
        <v>174</v>
      </c>
      <c r="AAG232" s="63"/>
      <c r="AAH232" s="63"/>
      <c r="AAI232" s="77"/>
      <c r="AAJ232" s="77"/>
      <c r="AAK232" s="77"/>
      <c r="AAL232" s="80"/>
      <c r="AAM232" s="112"/>
      <c r="AAN232"/>
      <c r="AAT232" s="23"/>
      <c r="AAU232" s="44"/>
    </row>
    <row r="233" spans="1:732" ht="15.75" hidden="1" outlineLevel="1">
      <c r="A233" s="558"/>
      <c r="B233" s="776" t="s">
        <v>110</v>
      </c>
      <c r="C233" s="776"/>
      <c r="D233" s="190" t="s">
        <v>0</v>
      </c>
      <c r="E233" s="495" t="s">
        <v>0</v>
      </c>
      <c r="F233" s="366" t="s">
        <v>0</v>
      </c>
      <c r="G233" s="494"/>
      <c r="H233" s="494"/>
      <c r="I233" s="588"/>
      <c r="J233" s="592"/>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618"/>
      <c r="ZZ233" s="36"/>
      <c r="AAA233" s="588"/>
      <c r="AAD233" s="112"/>
      <c r="AAE233" s="551">
        <f t="shared" si="894"/>
        <v>0</v>
      </c>
      <c r="AAF233" s="583" t="s">
        <v>174</v>
      </c>
      <c r="AAG233" s="76"/>
      <c r="AAH233" s="76"/>
      <c r="AAI233" s="77"/>
      <c r="AAJ233" s="77"/>
      <c r="AAK233" s="77"/>
      <c r="AAL233" s="80"/>
      <c r="AAM233" s="112"/>
      <c r="AAN233"/>
      <c r="AAT233" s="23"/>
      <c r="AAU233" s="44"/>
    </row>
    <row r="234" spans="1:732" ht="15" hidden="1" outlineLevel="1">
      <c r="A234" s="558"/>
      <c r="B234" s="265" t="s">
        <v>136</v>
      </c>
      <c r="C234" s="712"/>
      <c r="D234" s="278" t="s">
        <v>161</v>
      </c>
      <c r="E234" s="491">
        <f>NETWORKDAYS(G234,H234,S.DDL_DEQClosed)</f>
        <v>1</v>
      </c>
      <c r="F234" s="372">
        <f ca="1">NETWORKDAYS(TODAY(),H234)</f>
        <v>-109</v>
      </c>
      <c r="G234" s="369">
        <f t="shared" ref="G234:H235" si="900">AAG234</f>
        <v>41500</v>
      </c>
      <c r="H234" s="370">
        <f>AAH234</f>
        <v>41500</v>
      </c>
      <c r="I234" s="627"/>
      <c r="J234" s="592"/>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588"/>
      <c r="AAD234" s="112"/>
      <c r="AAE234" s="551">
        <f t="shared" si="894"/>
        <v>0</v>
      </c>
      <c r="AAF234" s="112"/>
      <c r="AAG234" s="78">
        <f>H230</f>
        <v>41500</v>
      </c>
      <c r="AAH234" s="78">
        <f>G234</f>
        <v>41500</v>
      </c>
      <c r="AAI234" s="77"/>
      <c r="AAJ234" s="77"/>
      <c r="AAK234" s="77"/>
      <c r="AAL234" s="80"/>
      <c r="AAM234" s="112"/>
      <c r="AAN234"/>
      <c r="AAT234" s="23"/>
      <c r="AAU234" s="44"/>
    </row>
    <row r="235" spans="1:732" ht="15" hidden="1" outlineLevel="1">
      <c r="A235" s="558"/>
      <c r="B235" s="265" t="s">
        <v>51</v>
      </c>
      <c r="C235" s="712"/>
      <c r="D235" s="278" t="s">
        <v>360</v>
      </c>
      <c r="E235" s="491">
        <f>NETWORKDAYS(G235,H235,S.DDL_DEQClosed)</f>
        <v>1</v>
      </c>
      <c r="F235" s="372">
        <f ca="1">NETWORKDAYS(TODAY(),H235)</f>
        <v>-109</v>
      </c>
      <c r="G235" s="369">
        <f t="shared" si="900"/>
        <v>41500</v>
      </c>
      <c r="H235" s="369">
        <f t="shared" si="900"/>
        <v>41500</v>
      </c>
      <c r="I235" s="627"/>
      <c r="J235" s="592"/>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50"/>
      <c r="ZZ235" s="50"/>
      <c r="AAA235" s="588"/>
      <c r="AAD235" s="112"/>
      <c r="AAE235" s="551">
        <f t="shared" si="894"/>
        <v>0</v>
      </c>
      <c r="AAF235" s="112"/>
      <c r="AAG235" s="78">
        <f>H234</f>
        <v>41500</v>
      </c>
      <c r="AAH235" s="78">
        <f>G235</f>
        <v>41500</v>
      </c>
      <c r="AAI235" s="77"/>
      <c r="AAJ235" s="77"/>
      <c r="AAK235" s="77"/>
      <c r="AAL235" s="80"/>
      <c r="AAM235" s="112"/>
      <c r="AAN235"/>
      <c r="AAT235" s="23"/>
      <c r="AAU235" s="44"/>
    </row>
    <row r="236" spans="1:732" ht="15" hidden="1" outlineLevel="1">
      <c r="A236" s="558"/>
      <c r="B236" s="777" t="s">
        <v>102</v>
      </c>
      <c r="C236" s="777"/>
      <c r="D236" s="177" t="s">
        <v>0</v>
      </c>
      <c r="E236" s="495" t="s">
        <v>0</v>
      </c>
      <c r="F236" s="366" t="s">
        <v>0</v>
      </c>
      <c r="G236" s="494"/>
      <c r="H236" s="494"/>
      <c r="I236" s="588"/>
      <c r="J236" s="592"/>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18"/>
      <c r="ZZ236" s="36"/>
      <c r="AAA236" s="588"/>
      <c r="AAD236" s="112"/>
      <c r="AAE236" s="551">
        <f t="shared" si="894"/>
        <v>0</v>
      </c>
      <c r="AAF236" s="583" t="s">
        <v>174</v>
      </c>
      <c r="AAG236" s="76"/>
      <c r="AAH236" s="76"/>
      <c r="AAI236" s="76"/>
      <c r="AAJ236" s="57"/>
      <c r="AAK236" s="57"/>
      <c r="AAL236" s="80"/>
      <c r="AAM236" s="112"/>
      <c r="AAN236"/>
      <c r="AAT236" s="23"/>
      <c r="AAU236" s="44"/>
      <c r="AAV236" s="43"/>
      <c r="AAW236" s="43"/>
      <c r="AAX236" s="43"/>
      <c r="AAY236" s="43"/>
      <c r="AAZ236" s="43"/>
      <c r="ABA236" s="43"/>
      <c r="ABB236" s="43"/>
      <c r="ABC236" s="43"/>
      <c r="ABD236" s="43"/>
    </row>
    <row r="237" spans="1:732" ht="15" hidden="1" outlineLevel="1">
      <c r="A237" s="558"/>
      <c r="B237" s="775" t="s">
        <v>278</v>
      </c>
      <c r="C237" s="775"/>
      <c r="D237" s="177"/>
      <c r="E237" s="400"/>
      <c r="F237" s="400"/>
      <c r="G237" s="356"/>
      <c r="H237" s="356"/>
      <c r="I237" s="588"/>
      <c r="J237" s="592"/>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50"/>
      <c r="AU237" s="50"/>
      <c r="AV237" s="50"/>
      <c r="AW237" s="50"/>
      <c r="AX237" s="50"/>
      <c r="AY237" s="50"/>
      <c r="AZ237" s="50"/>
      <c r="BA237" s="50"/>
      <c r="BB237" s="50"/>
      <c r="BC237" s="50"/>
      <c r="BD237" s="50"/>
      <c r="BE237" s="50"/>
      <c r="BF237" s="50"/>
      <c r="BG237" s="50"/>
      <c r="BH237" s="50"/>
      <c r="BI237" s="50"/>
      <c r="BJ237" s="50"/>
      <c r="BK237" s="50"/>
      <c r="BL237" s="50"/>
      <c r="BM237" s="50"/>
      <c r="BN237" s="50"/>
      <c r="BO237" s="50"/>
      <c r="BP237" s="50"/>
      <c r="BQ237" s="50"/>
      <c r="BR237" s="50"/>
      <c r="BS237" s="50"/>
      <c r="BT237" s="50"/>
      <c r="BU237" s="50"/>
      <c r="BV237" s="50"/>
      <c r="BW237" s="50"/>
      <c r="BX237" s="50"/>
      <c r="BY237" s="50"/>
      <c r="BZ237" s="50"/>
      <c r="CA237" s="50"/>
      <c r="CB237" s="50"/>
      <c r="CC237" s="50"/>
      <c r="CD237" s="50"/>
      <c r="CE237" s="50"/>
      <c r="CF237" s="50"/>
      <c r="CG237" s="50"/>
      <c r="CH237" s="50"/>
      <c r="CI237" s="50"/>
      <c r="CJ237" s="50"/>
      <c r="CK237" s="50"/>
      <c r="CL237" s="50"/>
      <c r="CM237" s="50"/>
      <c r="CN237" s="50"/>
      <c r="CO237" s="50"/>
      <c r="CP237" s="50"/>
      <c r="CQ237" s="50"/>
      <c r="CR237" s="50"/>
      <c r="CS237" s="50"/>
      <c r="CT237" s="50"/>
      <c r="CU237" s="50"/>
      <c r="CV237" s="50"/>
      <c r="CW237" s="50"/>
      <c r="CX237" s="50"/>
      <c r="CY237" s="50"/>
      <c r="CZ237" s="50"/>
      <c r="DA237" s="50"/>
      <c r="DB237" s="50"/>
      <c r="DC237" s="50"/>
      <c r="DD237" s="50"/>
      <c r="DE237" s="50"/>
      <c r="DF237" s="50"/>
      <c r="DG237" s="50"/>
      <c r="DH237" s="50"/>
      <c r="DI237" s="50"/>
      <c r="DJ237" s="50"/>
      <c r="DK237" s="50"/>
      <c r="DL237" s="50"/>
      <c r="DM237" s="50"/>
      <c r="DN237" s="50"/>
      <c r="DO237" s="50"/>
      <c r="DP237" s="50"/>
      <c r="DQ237" s="50"/>
      <c r="DR237" s="50"/>
      <c r="DS237" s="50"/>
      <c r="DT237" s="50"/>
      <c r="DU237" s="50"/>
      <c r="DV237" s="50"/>
      <c r="DW237" s="50"/>
      <c r="DX237" s="50"/>
      <c r="DY237" s="50"/>
      <c r="DZ237" s="50"/>
      <c r="EA237" s="50"/>
      <c r="EB237" s="50"/>
      <c r="EC237" s="50"/>
      <c r="ED237" s="50"/>
      <c r="EE237" s="50"/>
      <c r="EF237" s="50"/>
      <c r="EG237" s="50"/>
      <c r="EH237" s="50"/>
      <c r="EI237" s="50"/>
      <c r="EJ237" s="50"/>
      <c r="EK237" s="50"/>
      <c r="EL237" s="50"/>
      <c r="EM237" s="50"/>
      <c r="EN237" s="50"/>
      <c r="EO237" s="50"/>
      <c r="EP237" s="50"/>
      <c r="EQ237" s="50"/>
      <c r="ER237" s="50"/>
      <c r="ES237" s="50"/>
      <c r="ET237" s="50"/>
      <c r="EU237" s="50"/>
      <c r="EV237" s="50"/>
      <c r="EW237" s="50"/>
      <c r="EX237" s="50"/>
      <c r="EY237" s="50"/>
      <c r="EZ237" s="50"/>
      <c r="FA237" s="50"/>
      <c r="FB237" s="50"/>
      <c r="FC237" s="50"/>
      <c r="FD237" s="50"/>
      <c r="FE237" s="50"/>
      <c r="FF237" s="50"/>
      <c r="FG237" s="50"/>
      <c r="FH237" s="50"/>
      <c r="FI237" s="50"/>
      <c r="FJ237" s="50"/>
      <c r="FK237" s="50"/>
      <c r="FL237" s="50"/>
      <c r="FM237" s="50"/>
      <c r="FN237" s="50"/>
      <c r="FO237" s="50"/>
      <c r="FP237" s="50"/>
      <c r="FQ237" s="50"/>
      <c r="FR237" s="50"/>
      <c r="FS237" s="50"/>
      <c r="FT237" s="50"/>
      <c r="FU237" s="50"/>
      <c r="FV237" s="50"/>
      <c r="FW237" s="50"/>
      <c r="FX237" s="50"/>
      <c r="FY237" s="50"/>
      <c r="FZ237" s="50"/>
      <c r="GA237" s="50"/>
      <c r="GB237" s="50"/>
      <c r="GC237" s="50"/>
      <c r="GD237" s="50"/>
      <c r="GE237" s="50"/>
      <c r="GF237" s="50"/>
      <c r="GG237" s="50"/>
      <c r="GH237" s="50"/>
      <c r="GI237" s="50"/>
      <c r="GJ237" s="50"/>
      <c r="GK237" s="50"/>
      <c r="GL237" s="50"/>
      <c r="GM237" s="50"/>
      <c r="GN237" s="50"/>
      <c r="GO237" s="50"/>
      <c r="GP237" s="50"/>
      <c r="GQ237" s="50"/>
      <c r="GR237" s="50"/>
      <c r="GS237" s="50"/>
      <c r="GT237" s="50"/>
      <c r="GU237" s="50"/>
      <c r="GV237" s="50"/>
      <c r="GW237" s="50"/>
      <c r="GX237" s="50"/>
      <c r="GY237" s="50"/>
      <c r="GZ237" s="50"/>
      <c r="HA237" s="50"/>
      <c r="HB237" s="50"/>
      <c r="HC237" s="50"/>
      <c r="HD237" s="50"/>
      <c r="HE237" s="50"/>
      <c r="HF237" s="50"/>
      <c r="HG237" s="50"/>
      <c r="HH237" s="50"/>
      <c r="HI237" s="50"/>
      <c r="HJ237" s="50"/>
      <c r="HK237" s="50"/>
      <c r="HL237" s="50"/>
      <c r="HM237" s="50"/>
      <c r="HN237" s="50"/>
      <c r="HO237" s="50"/>
      <c r="HP237" s="50"/>
      <c r="HQ237" s="50"/>
      <c r="HR237" s="50"/>
      <c r="HS237" s="50"/>
      <c r="HT237" s="50"/>
      <c r="HU237" s="50"/>
      <c r="HV237" s="50"/>
      <c r="HW237" s="50"/>
      <c r="HX237" s="50"/>
      <c r="HY237" s="50"/>
      <c r="HZ237" s="50"/>
      <c r="IA237" s="50"/>
      <c r="IB237" s="50"/>
      <c r="IC237" s="50"/>
      <c r="ID237" s="50"/>
      <c r="IE237" s="50"/>
      <c r="IF237" s="50"/>
      <c r="IG237" s="50"/>
      <c r="IH237" s="50"/>
      <c r="II237" s="50"/>
      <c r="IJ237" s="50"/>
      <c r="IK237" s="50"/>
      <c r="IL237" s="50"/>
      <c r="IM237" s="50"/>
      <c r="IN237" s="50"/>
      <c r="IO237" s="50"/>
      <c r="IP237" s="50"/>
      <c r="IQ237" s="50"/>
      <c r="IR237" s="50"/>
      <c r="IS237" s="50"/>
      <c r="IT237" s="50"/>
      <c r="IU237" s="50"/>
      <c r="IV237" s="50"/>
      <c r="IW237" s="50"/>
      <c r="IX237" s="50"/>
      <c r="IY237" s="50"/>
      <c r="IZ237" s="50"/>
      <c r="JA237" s="50"/>
      <c r="JB237" s="50"/>
      <c r="JC237" s="50"/>
      <c r="JD237" s="50"/>
      <c r="JE237" s="50"/>
      <c r="JF237" s="50"/>
      <c r="JG237" s="50"/>
      <c r="JH237" s="50"/>
      <c r="JI237" s="50"/>
      <c r="JJ237" s="50"/>
      <c r="JK237" s="50"/>
      <c r="JL237" s="50"/>
      <c r="JM237" s="50"/>
      <c r="JN237" s="50"/>
      <c r="JO237" s="50"/>
      <c r="JP237" s="50"/>
      <c r="JQ237" s="50"/>
      <c r="JR237" s="50"/>
      <c r="JS237" s="50"/>
      <c r="JT237" s="50"/>
      <c r="JU237" s="50"/>
      <c r="JV237" s="50"/>
      <c r="JW237" s="50"/>
      <c r="JX237" s="50"/>
      <c r="JY237" s="50"/>
      <c r="JZ237" s="50"/>
      <c r="KA237" s="50"/>
      <c r="KB237" s="50"/>
      <c r="KC237" s="50"/>
      <c r="KD237" s="50"/>
      <c r="KE237" s="50"/>
      <c r="KF237" s="50"/>
      <c r="KG237" s="50"/>
      <c r="KH237" s="50"/>
      <c r="KI237" s="50"/>
      <c r="KJ237" s="50"/>
      <c r="KK237" s="50"/>
      <c r="KL237" s="50"/>
      <c r="KM237" s="50"/>
      <c r="KN237" s="50"/>
      <c r="KO237" s="50"/>
      <c r="KP237" s="50"/>
      <c r="KQ237" s="50"/>
      <c r="KR237" s="50"/>
      <c r="KS237" s="50"/>
      <c r="KT237" s="50"/>
      <c r="KU237" s="50"/>
      <c r="KV237" s="50"/>
      <c r="KW237" s="50"/>
      <c r="KX237" s="50"/>
      <c r="KY237" s="50"/>
      <c r="KZ237" s="50"/>
      <c r="LA237" s="50"/>
      <c r="LB237" s="50"/>
      <c r="LC237" s="50"/>
      <c r="LD237" s="50"/>
      <c r="LE237" s="50"/>
      <c r="LF237" s="50"/>
      <c r="LG237" s="50"/>
      <c r="LH237" s="50"/>
      <c r="LI237" s="50"/>
      <c r="LJ237" s="50"/>
      <c r="LK237" s="50"/>
      <c r="LL237" s="50"/>
      <c r="LM237" s="50"/>
      <c r="LN237" s="50"/>
      <c r="LO237" s="50"/>
      <c r="LP237" s="50"/>
      <c r="LQ237" s="50"/>
      <c r="LR237" s="50"/>
      <c r="LS237" s="50"/>
      <c r="LT237" s="50"/>
      <c r="LU237" s="50"/>
      <c r="LV237" s="50"/>
      <c r="LW237" s="50"/>
      <c r="LX237" s="50"/>
      <c r="LY237" s="50"/>
      <c r="LZ237" s="50"/>
      <c r="MA237" s="50"/>
      <c r="MB237" s="50"/>
      <c r="MC237" s="50"/>
      <c r="MD237" s="50"/>
      <c r="ME237" s="50"/>
      <c r="MF237" s="50"/>
      <c r="MG237" s="50"/>
      <c r="MH237" s="50"/>
      <c r="MI237" s="50"/>
      <c r="MJ237" s="50"/>
      <c r="MK237" s="50"/>
      <c r="ML237" s="50"/>
      <c r="MM237" s="50"/>
      <c r="MN237" s="50"/>
      <c r="MO237" s="50"/>
      <c r="MP237" s="50"/>
      <c r="MQ237" s="50"/>
      <c r="MR237" s="50"/>
      <c r="MS237" s="50"/>
      <c r="MT237" s="50"/>
      <c r="MU237" s="50"/>
      <c r="MV237" s="50"/>
      <c r="MW237" s="50"/>
      <c r="MX237" s="50"/>
      <c r="MY237" s="50"/>
      <c r="MZ237" s="50"/>
      <c r="NA237" s="50"/>
      <c r="NB237" s="50"/>
      <c r="NC237" s="50"/>
      <c r="ND237" s="50"/>
      <c r="NE237" s="50"/>
      <c r="NF237" s="50"/>
      <c r="NG237" s="50"/>
      <c r="NH237" s="50"/>
      <c r="NI237" s="50"/>
      <c r="NJ237" s="50"/>
      <c r="NK237" s="50"/>
      <c r="NL237" s="50"/>
      <c r="NM237" s="50"/>
      <c r="NN237" s="50"/>
      <c r="NO237" s="50"/>
      <c r="NP237" s="50"/>
      <c r="NQ237" s="50"/>
      <c r="NR237" s="50"/>
      <c r="NS237" s="50"/>
      <c r="NT237" s="50"/>
      <c r="NU237" s="50"/>
      <c r="NV237" s="50"/>
      <c r="NW237" s="50"/>
      <c r="NX237" s="50"/>
      <c r="NY237" s="50"/>
      <c r="NZ237" s="50"/>
      <c r="OA237" s="50"/>
      <c r="OB237" s="50"/>
      <c r="OC237" s="50"/>
      <c r="OD237" s="50"/>
      <c r="OE237" s="50"/>
      <c r="OF237" s="50"/>
      <c r="OG237" s="50"/>
      <c r="OH237" s="50"/>
      <c r="OI237" s="50"/>
      <c r="OJ237" s="50"/>
      <c r="OK237" s="50"/>
      <c r="OL237" s="50"/>
      <c r="OM237" s="50"/>
      <c r="ON237" s="50"/>
      <c r="OO237" s="50"/>
      <c r="OP237" s="50"/>
      <c r="OQ237" s="50"/>
      <c r="OR237" s="50"/>
      <c r="OS237" s="50"/>
      <c r="OT237" s="50"/>
      <c r="OU237" s="50"/>
      <c r="OV237" s="50"/>
      <c r="OW237" s="50"/>
      <c r="OX237" s="50"/>
      <c r="OY237" s="50"/>
      <c r="OZ237" s="50"/>
      <c r="PA237" s="50"/>
      <c r="PB237" s="50"/>
      <c r="PC237" s="50"/>
      <c r="PD237" s="50"/>
      <c r="PE237" s="50"/>
      <c r="PF237" s="50"/>
      <c r="PG237" s="50"/>
      <c r="PH237" s="50"/>
      <c r="PI237" s="50"/>
      <c r="PJ237" s="50"/>
      <c r="PK237" s="50"/>
      <c r="PL237" s="50"/>
      <c r="PM237" s="50"/>
      <c r="PN237" s="50"/>
      <c r="PO237" s="50"/>
      <c r="PP237" s="50"/>
      <c r="PQ237" s="50"/>
      <c r="PR237" s="50"/>
      <c r="PS237" s="50"/>
      <c r="PT237" s="50"/>
      <c r="PU237" s="50"/>
      <c r="PV237" s="50"/>
      <c r="PW237" s="50"/>
      <c r="PX237" s="50"/>
      <c r="PY237" s="50"/>
      <c r="PZ237" s="50"/>
      <c r="QA237" s="50"/>
      <c r="QB237" s="50"/>
      <c r="QC237" s="50"/>
      <c r="QD237" s="50"/>
      <c r="QE237" s="50"/>
      <c r="QF237" s="50"/>
      <c r="QG237" s="50"/>
      <c r="QH237" s="50"/>
      <c r="QI237" s="50"/>
      <c r="QJ237" s="50"/>
      <c r="QK237" s="50"/>
      <c r="QL237" s="50"/>
      <c r="QM237" s="50"/>
      <c r="QN237" s="50"/>
      <c r="QO237" s="50"/>
      <c r="QP237" s="50"/>
      <c r="QQ237" s="50"/>
      <c r="QR237" s="50"/>
      <c r="QS237" s="50"/>
      <c r="QT237" s="50"/>
      <c r="QU237" s="50"/>
      <c r="QV237" s="50"/>
      <c r="QW237" s="50"/>
      <c r="QX237" s="50"/>
      <c r="QY237" s="50"/>
      <c r="QZ237" s="50"/>
      <c r="RA237" s="50"/>
      <c r="RB237" s="50"/>
      <c r="RC237" s="50"/>
      <c r="RD237" s="50"/>
      <c r="RE237" s="50"/>
      <c r="RF237" s="50"/>
      <c r="RG237" s="50"/>
      <c r="RH237" s="50"/>
      <c r="RI237" s="50"/>
      <c r="RJ237" s="50"/>
      <c r="RK237" s="50"/>
      <c r="RL237" s="50"/>
      <c r="RM237" s="50"/>
      <c r="RN237" s="50"/>
      <c r="RO237" s="50"/>
      <c r="RP237" s="50"/>
      <c r="RQ237" s="50"/>
      <c r="RR237" s="50"/>
      <c r="RS237" s="50"/>
      <c r="RT237" s="50"/>
      <c r="RU237" s="50"/>
      <c r="RV237" s="50"/>
      <c r="RW237" s="50"/>
      <c r="RX237" s="50"/>
      <c r="RY237" s="50"/>
      <c r="RZ237" s="50"/>
      <c r="SA237" s="50"/>
      <c r="SB237" s="50"/>
      <c r="SC237" s="50"/>
      <c r="SD237" s="50"/>
      <c r="SE237" s="50"/>
      <c r="SF237" s="50"/>
      <c r="SG237" s="50"/>
      <c r="SH237" s="50"/>
      <c r="SI237" s="50"/>
      <c r="SJ237" s="50"/>
      <c r="SK237" s="50"/>
      <c r="SL237" s="50"/>
      <c r="SM237" s="50"/>
      <c r="SN237" s="50"/>
      <c r="SO237" s="50"/>
      <c r="SP237" s="50"/>
      <c r="SQ237" s="50"/>
      <c r="SR237" s="50"/>
      <c r="SS237" s="50"/>
      <c r="ST237" s="50"/>
      <c r="SU237" s="50"/>
      <c r="SV237" s="50"/>
      <c r="SW237" s="50"/>
      <c r="SX237" s="50"/>
      <c r="SY237" s="50"/>
      <c r="SZ237" s="50"/>
      <c r="TA237" s="50"/>
      <c r="TB237" s="50"/>
      <c r="TC237" s="50"/>
      <c r="TD237" s="50"/>
      <c r="TE237" s="50"/>
      <c r="TF237" s="50"/>
      <c r="TG237" s="50"/>
      <c r="TH237" s="50"/>
      <c r="TI237" s="50"/>
      <c r="TJ237" s="50"/>
      <c r="TK237" s="50"/>
      <c r="TL237" s="50"/>
      <c r="TM237" s="50"/>
      <c r="TN237" s="50"/>
      <c r="TO237" s="50"/>
      <c r="TP237" s="50"/>
      <c r="TQ237" s="50"/>
      <c r="TR237" s="50"/>
      <c r="TS237" s="50"/>
      <c r="TT237" s="50"/>
      <c r="TU237" s="50"/>
      <c r="TV237" s="50"/>
      <c r="TW237" s="50"/>
      <c r="TX237" s="50"/>
      <c r="TY237" s="50"/>
      <c r="TZ237" s="50"/>
      <c r="UA237" s="50"/>
      <c r="UB237" s="50"/>
      <c r="UC237" s="50"/>
      <c r="UD237" s="50"/>
      <c r="UE237" s="50"/>
      <c r="UF237" s="50"/>
      <c r="UG237" s="50"/>
      <c r="UH237" s="50"/>
      <c r="UI237" s="50"/>
      <c r="UJ237" s="50"/>
      <c r="UK237" s="50"/>
      <c r="UL237" s="50"/>
      <c r="UM237" s="50"/>
      <c r="UN237" s="50"/>
      <c r="UO237" s="50"/>
      <c r="UP237" s="50"/>
      <c r="UQ237" s="50"/>
      <c r="UR237" s="50"/>
      <c r="US237" s="50"/>
      <c r="UT237" s="50"/>
      <c r="UU237" s="50"/>
      <c r="UV237" s="50"/>
      <c r="UW237" s="50"/>
      <c r="UX237" s="50"/>
      <c r="UY237" s="50"/>
      <c r="UZ237" s="50"/>
      <c r="VA237" s="50"/>
      <c r="VB237" s="50"/>
      <c r="VC237" s="50"/>
      <c r="VD237" s="50"/>
      <c r="VE237" s="50"/>
      <c r="VF237" s="50"/>
      <c r="VG237" s="50"/>
      <c r="VH237" s="50"/>
      <c r="VI237" s="50"/>
      <c r="VJ237" s="50"/>
      <c r="VK237" s="50"/>
      <c r="VL237" s="50"/>
      <c r="VM237" s="50"/>
      <c r="VN237" s="50"/>
      <c r="VO237" s="50"/>
      <c r="VP237" s="50"/>
      <c r="VQ237" s="50"/>
      <c r="VR237" s="50"/>
      <c r="VS237" s="50"/>
      <c r="VT237" s="50"/>
      <c r="VU237" s="50"/>
      <c r="VV237" s="50"/>
      <c r="VW237" s="50"/>
      <c r="VX237" s="50"/>
      <c r="VY237" s="50"/>
      <c r="VZ237" s="50"/>
      <c r="WA237" s="50"/>
      <c r="WB237" s="50"/>
      <c r="WC237" s="50"/>
      <c r="WD237" s="50"/>
      <c r="WE237" s="50"/>
      <c r="WF237" s="50"/>
      <c r="WG237" s="50"/>
      <c r="WH237" s="50"/>
      <c r="WI237" s="50"/>
      <c r="WJ237" s="50"/>
      <c r="WK237" s="50"/>
      <c r="WL237" s="50"/>
      <c r="WM237" s="50"/>
      <c r="WN237" s="50"/>
      <c r="WO237" s="50"/>
      <c r="WP237" s="50"/>
      <c r="WQ237" s="50"/>
      <c r="WR237" s="50"/>
      <c r="WS237" s="50"/>
      <c r="WT237" s="50"/>
      <c r="WU237" s="50"/>
      <c r="WV237" s="50"/>
      <c r="WW237" s="50"/>
      <c r="WX237" s="50"/>
      <c r="WY237" s="50"/>
      <c r="WZ237" s="50"/>
      <c r="XA237" s="50"/>
      <c r="XB237" s="50"/>
      <c r="XC237" s="50"/>
      <c r="XD237" s="50"/>
      <c r="XE237" s="50"/>
      <c r="XF237" s="50"/>
      <c r="XG237" s="50"/>
      <c r="XH237" s="50"/>
      <c r="XI237" s="50"/>
      <c r="XJ237" s="50"/>
      <c r="XK237" s="50"/>
      <c r="XL237" s="50"/>
      <c r="XM237" s="50"/>
      <c r="XN237" s="50"/>
      <c r="XO237" s="50"/>
      <c r="XP237" s="50"/>
      <c r="XQ237" s="50"/>
      <c r="XR237" s="50"/>
      <c r="XS237" s="50"/>
      <c r="XT237" s="50"/>
      <c r="XU237" s="50"/>
      <c r="XV237" s="50"/>
      <c r="XW237" s="50"/>
      <c r="XX237" s="50"/>
      <c r="XY237" s="50"/>
      <c r="XZ237" s="50"/>
      <c r="YA237" s="50"/>
      <c r="YB237" s="50"/>
      <c r="YC237" s="50"/>
      <c r="YD237" s="50"/>
      <c r="YE237" s="50"/>
      <c r="YF237" s="50"/>
      <c r="YG237" s="50"/>
      <c r="YH237" s="50"/>
      <c r="YI237" s="50"/>
      <c r="YJ237" s="50"/>
      <c r="YK237" s="50"/>
      <c r="YL237" s="50"/>
      <c r="YM237" s="50"/>
      <c r="YN237" s="50"/>
      <c r="YO237" s="50"/>
      <c r="YP237" s="50"/>
      <c r="YQ237" s="50"/>
      <c r="YR237" s="50"/>
      <c r="YS237" s="50"/>
      <c r="YT237" s="50"/>
      <c r="YU237" s="50"/>
      <c r="YV237" s="50"/>
      <c r="YW237" s="50"/>
      <c r="YX237" s="50"/>
      <c r="YY237" s="50"/>
      <c r="YZ237" s="50"/>
      <c r="ZA237" s="50"/>
      <c r="ZB237" s="50"/>
      <c r="ZC237" s="50"/>
      <c r="ZD237" s="50"/>
      <c r="ZE237" s="50"/>
      <c r="ZF237" s="50"/>
      <c r="ZG237" s="50"/>
      <c r="ZH237" s="50"/>
      <c r="ZI237" s="50"/>
      <c r="ZJ237" s="50"/>
      <c r="ZK237" s="50"/>
      <c r="ZL237" s="50"/>
      <c r="ZM237" s="50"/>
      <c r="ZN237" s="50"/>
      <c r="ZO237" s="50"/>
      <c r="ZP237" s="50"/>
      <c r="ZQ237" s="50"/>
      <c r="ZR237" s="50"/>
      <c r="ZS237" s="50"/>
      <c r="ZT237" s="50"/>
      <c r="ZU237" s="50"/>
      <c r="ZV237" s="50"/>
      <c r="ZW237" s="50"/>
      <c r="ZX237" s="50"/>
      <c r="ZY237" s="618"/>
      <c r="ZZ237" s="36"/>
      <c r="AAA237" s="588"/>
      <c r="AAD237" s="112"/>
      <c r="AAE237" s="551">
        <f t="shared" si="894"/>
        <v>0</v>
      </c>
      <c r="AAF237" s="583" t="s">
        <v>174</v>
      </c>
      <c r="AAG237" s="76"/>
      <c r="AAH237" s="76"/>
      <c r="AAI237" s="76"/>
      <c r="AAJ237" s="57"/>
      <c r="AAK237" s="57"/>
      <c r="AAL237" s="80"/>
      <c r="AAM237" s="112"/>
      <c r="AAN237"/>
      <c r="AAO237" s="43"/>
      <c r="AAP237" s="43"/>
      <c r="AAQ237" s="43"/>
      <c r="AAR237" s="43"/>
      <c r="AAS237" s="43"/>
      <c r="AAT237" s="43"/>
      <c r="AAU237" s="44"/>
    </row>
    <row r="238" spans="1:732" s="43" customFormat="1" ht="15.75" hidden="1" customHeight="1" outlineLevel="1">
      <c r="A238" s="600"/>
      <c r="B238" s="266" t="str">
        <f>AAL238</f>
        <v>Send DAS.EMAILS.pdf</v>
      </c>
      <c r="C238" s="168"/>
      <c r="D238" s="278" t="s">
        <v>187</v>
      </c>
      <c r="E238" s="491">
        <f t="shared" ref="E238:E239" si="901">NETWORKDAYS(G238,H238,S.DDL_DEQClosed)</f>
        <v>1</v>
      </c>
      <c r="F238" s="372">
        <f ca="1">NETWORKDAYS(TODAY(),G238)</f>
        <v>-202</v>
      </c>
      <c r="G238" s="656">
        <f>AAG238</f>
        <v>41369</v>
      </c>
      <c r="H238" s="370">
        <f>AAH238</f>
        <v>41369</v>
      </c>
      <c r="I238" s="627"/>
      <c r="J238" s="595"/>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51"/>
      <c r="BN238" s="51"/>
      <c r="BO238" s="51"/>
      <c r="BP238" s="51"/>
      <c r="BQ238" s="51"/>
      <c r="BR238" s="51"/>
      <c r="BS238" s="51"/>
      <c r="BT238" s="51"/>
      <c r="BU238" s="51"/>
      <c r="BV238" s="51"/>
      <c r="BW238" s="51"/>
      <c r="BX238" s="51"/>
      <c r="BY238" s="51"/>
      <c r="BZ238" s="51"/>
      <c r="CA238" s="51"/>
      <c r="CB238" s="51"/>
      <c r="CC238" s="51"/>
      <c r="CD238" s="51"/>
      <c r="CE238" s="51"/>
      <c r="CF238" s="51"/>
      <c r="CG238" s="51"/>
      <c r="CH238" s="51"/>
      <c r="CI238" s="51"/>
      <c r="CJ238" s="51"/>
      <c r="CK238" s="51"/>
      <c r="CL238" s="51"/>
      <c r="CM238" s="51"/>
      <c r="CN238" s="51"/>
      <c r="CO238" s="51"/>
      <c r="CP238" s="51"/>
      <c r="CQ238" s="51"/>
      <c r="CR238" s="51"/>
      <c r="CS238" s="51"/>
      <c r="CT238" s="51"/>
      <c r="CU238" s="51"/>
      <c r="CV238" s="51"/>
      <c r="CW238" s="51"/>
      <c r="CX238" s="51"/>
      <c r="CY238" s="51"/>
      <c r="CZ238" s="51"/>
      <c r="DA238" s="51"/>
      <c r="DB238" s="51"/>
      <c r="DC238" s="51"/>
      <c r="DD238" s="51"/>
      <c r="DE238" s="51"/>
      <c r="DF238" s="51"/>
      <c r="DG238" s="51"/>
      <c r="DH238" s="51"/>
      <c r="DI238" s="51"/>
      <c r="DJ238" s="51"/>
      <c r="DK238" s="51"/>
      <c r="DL238" s="51"/>
      <c r="DM238" s="51"/>
      <c r="DN238" s="51"/>
      <c r="DO238" s="51"/>
      <c r="DP238" s="51"/>
      <c r="DQ238" s="51"/>
      <c r="DR238" s="51"/>
      <c r="DS238" s="51"/>
      <c r="DT238" s="51"/>
      <c r="DU238" s="51"/>
      <c r="DV238" s="51"/>
      <c r="DW238" s="51"/>
      <c r="DX238" s="51"/>
      <c r="DY238" s="51"/>
      <c r="DZ238" s="51"/>
      <c r="EA238" s="51"/>
      <c r="EB238" s="51"/>
      <c r="EC238" s="51"/>
      <c r="ED238" s="51"/>
      <c r="EE238" s="51"/>
      <c r="EF238" s="51"/>
      <c r="EG238" s="51"/>
      <c r="EH238" s="51"/>
      <c r="EI238" s="51"/>
      <c r="EJ238" s="51"/>
      <c r="EK238" s="51"/>
      <c r="EL238" s="51"/>
      <c r="EM238" s="51"/>
      <c r="EN238" s="51"/>
      <c r="EO238" s="51"/>
      <c r="EP238" s="51"/>
      <c r="EQ238" s="51"/>
      <c r="ER238" s="51"/>
      <c r="ES238" s="51"/>
      <c r="ET238" s="51"/>
      <c r="EU238" s="51"/>
      <c r="EV238" s="51"/>
      <c r="EW238" s="51"/>
      <c r="EX238" s="51"/>
      <c r="EY238" s="51"/>
      <c r="EZ238" s="51"/>
      <c r="FA238" s="51"/>
      <c r="FB238" s="51"/>
      <c r="FC238" s="51"/>
      <c r="FD238" s="51"/>
      <c r="FE238" s="51"/>
      <c r="FF238" s="51"/>
      <c r="FG238" s="51"/>
      <c r="FH238" s="51"/>
      <c r="FI238" s="51"/>
      <c r="FJ238" s="51"/>
      <c r="FK238" s="51"/>
      <c r="FL238" s="51"/>
      <c r="FM238" s="51"/>
      <c r="FN238" s="51"/>
      <c r="FO238" s="51"/>
      <c r="FP238" s="51"/>
      <c r="FQ238" s="51"/>
      <c r="FR238" s="51"/>
      <c r="FS238" s="51"/>
      <c r="FT238" s="51"/>
      <c r="FU238" s="51"/>
      <c r="FV238" s="51"/>
      <c r="FW238" s="51"/>
      <c r="FX238" s="51"/>
      <c r="FY238" s="51"/>
      <c r="FZ238" s="51"/>
      <c r="GA238" s="51"/>
      <c r="GB238" s="51"/>
      <c r="GC238" s="51"/>
      <c r="GD238" s="51"/>
      <c r="GE238" s="51"/>
      <c r="GF238" s="51"/>
      <c r="GG238" s="51"/>
      <c r="GH238" s="51"/>
      <c r="GI238" s="51"/>
      <c r="GJ238" s="51"/>
      <c r="GK238" s="51"/>
      <c r="GL238" s="51"/>
      <c r="GM238" s="51"/>
      <c r="GN238" s="51"/>
      <c r="GO238" s="51"/>
      <c r="GP238" s="51"/>
      <c r="GQ238" s="51"/>
      <c r="GR238" s="51"/>
      <c r="GS238" s="51"/>
      <c r="GT238" s="51"/>
      <c r="GU238" s="51"/>
      <c r="GV238" s="51"/>
      <c r="GW238" s="51"/>
      <c r="GX238" s="51"/>
      <c r="GY238" s="51"/>
      <c r="GZ238" s="51"/>
      <c r="HA238" s="51"/>
      <c r="HB238" s="51"/>
      <c r="HC238" s="51"/>
      <c r="HD238" s="51"/>
      <c r="HE238" s="51"/>
      <c r="HF238" s="51"/>
      <c r="HG238" s="51"/>
      <c r="HH238" s="51"/>
      <c r="HI238" s="51"/>
      <c r="HJ238" s="51"/>
      <c r="HK238" s="51"/>
      <c r="HL238" s="51"/>
      <c r="HM238" s="51"/>
      <c r="HN238" s="51"/>
      <c r="HO238" s="51"/>
      <c r="HP238" s="51"/>
      <c r="HQ238" s="51"/>
      <c r="HR238" s="51"/>
      <c r="HS238" s="51"/>
      <c r="HT238" s="51"/>
      <c r="HU238" s="51"/>
      <c r="HV238" s="51"/>
      <c r="HW238" s="51"/>
      <c r="HX238" s="51"/>
      <c r="HY238" s="51"/>
      <c r="HZ238" s="51"/>
      <c r="IA238" s="51"/>
      <c r="IB238" s="51"/>
      <c r="IC238" s="51"/>
      <c r="ID238" s="51"/>
      <c r="IE238" s="51"/>
      <c r="IF238" s="51"/>
      <c r="IG238" s="51"/>
      <c r="IH238" s="51"/>
      <c r="II238" s="51"/>
      <c r="IJ238" s="51"/>
      <c r="IK238" s="51"/>
      <c r="IL238" s="51"/>
      <c r="IM238" s="51"/>
      <c r="IN238" s="51"/>
      <c r="IO238" s="51"/>
      <c r="IP238" s="51"/>
      <c r="IQ238" s="51"/>
      <c r="IR238" s="51"/>
      <c r="IS238" s="51"/>
      <c r="IT238" s="51"/>
      <c r="IU238" s="51"/>
      <c r="IV238" s="51"/>
      <c r="IW238" s="51"/>
      <c r="IX238" s="51"/>
      <c r="IY238" s="51"/>
      <c r="IZ238" s="51"/>
      <c r="JA238" s="51"/>
      <c r="JB238" s="51"/>
      <c r="JC238" s="51"/>
      <c r="JD238" s="51"/>
      <c r="JE238" s="51"/>
      <c r="JF238" s="51"/>
      <c r="JG238" s="51"/>
      <c r="JH238" s="51"/>
      <c r="JI238" s="51"/>
      <c r="JJ238" s="51"/>
      <c r="JK238" s="51"/>
      <c r="JL238" s="51"/>
      <c r="JM238" s="51"/>
      <c r="JN238" s="51"/>
      <c r="JO238" s="51"/>
      <c r="JP238" s="51"/>
      <c r="JQ238" s="51"/>
      <c r="JR238" s="51"/>
      <c r="JS238" s="51"/>
      <c r="JT238" s="51"/>
      <c r="JU238" s="51"/>
      <c r="JV238" s="51"/>
      <c r="JW238" s="51"/>
      <c r="JX238" s="51"/>
      <c r="JY238" s="51"/>
      <c r="JZ238" s="51"/>
      <c r="KA238" s="51"/>
      <c r="KB238" s="51"/>
      <c r="KC238" s="51"/>
      <c r="KD238" s="51"/>
      <c r="KE238" s="51"/>
      <c r="KF238" s="51"/>
      <c r="KG238" s="51"/>
      <c r="KH238" s="51"/>
      <c r="KI238" s="51"/>
      <c r="KJ238" s="51"/>
      <c r="KK238" s="51"/>
      <c r="KL238" s="51"/>
      <c r="KM238" s="51"/>
      <c r="KN238" s="51"/>
      <c r="KO238" s="51"/>
      <c r="KP238" s="51"/>
      <c r="KQ238" s="51"/>
      <c r="KR238" s="51"/>
      <c r="KS238" s="51"/>
      <c r="KT238" s="51"/>
      <c r="KU238" s="51"/>
      <c r="KV238" s="51"/>
      <c r="KW238" s="51"/>
      <c r="KX238" s="51"/>
      <c r="KY238" s="51"/>
      <c r="KZ238" s="51"/>
      <c r="LA238" s="51"/>
      <c r="LB238" s="51"/>
      <c r="LC238" s="51"/>
      <c r="LD238" s="51"/>
      <c r="LE238" s="51"/>
      <c r="LF238" s="51"/>
      <c r="LG238" s="51"/>
      <c r="LH238" s="51"/>
      <c r="LI238" s="51"/>
      <c r="LJ238" s="51"/>
      <c r="LK238" s="51"/>
      <c r="LL238" s="51"/>
      <c r="LM238" s="51"/>
      <c r="LN238" s="51"/>
      <c r="LO238" s="51"/>
      <c r="LP238" s="51"/>
      <c r="LQ238" s="51"/>
      <c r="LR238" s="51"/>
      <c r="LS238" s="51"/>
      <c r="LT238" s="51"/>
      <c r="LU238" s="51"/>
      <c r="LV238" s="51"/>
      <c r="LW238" s="51"/>
      <c r="LX238" s="51"/>
      <c r="LY238" s="51"/>
      <c r="LZ238" s="51"/>
      <c r="MA238" s="51"/>
      <c r="MB238" s="51"/>
      <c r="MC238" s="51"/>
      <c r="MD238" s="51"/>
      <c r="ME238" s="51"/>
      <c r="MF238" s="51"/>
      <c r="MG238" s="51"/>
      <c r="MH238" s="51"/>
      <c r="MI238" s="51"/>
      <c r="MJ238" s="51"/>
      <c r="MK238" s="51"/>
      <c r="ML238" s="51"/>
      <c r="MM238" s="51"/>
      <c r="MN238" s="51"/>
      <c r="MO238" s="51"/>
      <c r="MP238" s="51"/>
      <c r="MQ238" s="51"/>
      <c r="MR238" s="51"/>
      <c r="MS238" s="51"/>
      <c r="MT238" s="51"/>
      <c r="MU238" s="51"/>
      <c r="MV238" s="51"/>
      <c r="MW238" s="51"/>
      <c r="MX238" s="51"/>
      <c r="MY238" s="51"/>
      <c r="MZ238" s="51"/>
      <c r="NA238" s="51"/>
      <c r="NB238" s="51"/>
      <c r="NC238" s="51"/>
      <c r="ND238" s="51"/>
      <c r="NE238" s="51"/>
      <c r="NF238" s="51"/>
      <c r="NG238" s="51"/>
      <c r="NH238" s="51"/>
      <c r="NI238" s="51"/>
      <c r="NJ238" s="51"/>
      <c r="NK238" s="51"/>
      <c r="NL238" s="51"/>
      <c r="NM238" s="51"/>
      <c r="NN238" s="51"/>
      <c r="NO238" s="51"/>
      <c r="NP238" s="51"/>
      <c r="NQ238" s="51"/>
      <c r="NR238" s="51"/>
      <c r="NS238" s="51"/>
      <c r="NT238" s="51"/>
      <c r="NU238" s="51"/>
      <c r="NV238" s="51"/>
      <c r="NW238" s="51"/>
      <c r="NX238" s="51"/>
      <c r="NY238" s="51"/>
      <c r="NZ238" s="51"/>
      <c r="OA238" s="51"/>
      <c r="OB238" s="51"/>
      <c r="OC238" s="51"/>
      <c r="OD238" s="51"/>
      <c r="OE238" s="51"/>
      <c r="OF238" s="51"/>
      <c r="OG238" s="51"/>
      <c r="OH238" s="51"/>
      <c r="OI238" s="51"/>
      <c r="OJ238" s="51"/>
      <c r="OK238" s="51"/>
      <c r="OL238" s="51"/>
      <c r="OM238" s="51"/>
      <c r="ON238" s="51"/>
      <c r="OO238" s="51"/>
      <c r="OP238" s="51"/>
      <c r="OQ238" s="51"/>
      <c r="OR238" s="51"/>
      <c r="OS238" s="51"/>
      <c r="OT238" s="51"/>
      <c r="OU238" s="51"/>
      <c r="OV238" s="51"/>
      <c r="OW238" s="51"/>
      <c r="OX238" s="51"/>
      <c r="OY238" s="51"/>
      <c r="OZ238" s="51"/>
      <c r="PA238" s="51"/>
      <c r="PB238" s="51"/>
      <c r="PC238" s="51"/>
      <c r="PD238" s="51"/>
      <c r="PE238" s="51"/>
      <c r="PF238" s="51"/>
      <c r="PG238" s="51"/>
      <c r="PH238" s="51"/>
      <c r="PI238" s="51"/>
      <c r="PJ238" s="51"/>
      <c r="PK238" s="51"/>
      <c r="PL238" s="51"/>
      <c r="PM238" s="51"/>
      <c r="PN238" s="51"/>
      <c r="PO238" s="51"/>
      <c r="PP238" s="51"/>
      <c r="PQ238" s="51"/>
      <c r="PR238" s="51"/>
      <c r="PS238" s="51"/>
      <c r="PT238" s="51"/>
      <c r="PU238" s="51"/>
      <c r="PV238" s="51"/>
      <c r="PW238" s="51"/>
      <c r="PX238" s="51"/>
      <c r="PY238" s="51"/>
      <c r="PZ238" s="51"/>
      <c r="QA238" s="51"/>
      <c r="QB238" s="51"/>
      <c r="QC238" s="51"/>
      <c r="QD238" s="51"/>
      <c r="QE238" s="51"/>
      <c r="QF238" s="51"/>
      <c r="QG238" s="51"/>
      <c r="QH238" s="51"/>
      <c r="QI238" s="51"/>
      <c r="QJ238" s="51"/>
      <c r="QK238" s="51"/>
      <c r="QL238" s="51"/>
      <c r="QM238" s="51"/>
      <c r="QN238" s="51"/>
      <c r="QO238" s="51"/>
      <c r="QP238" s="51"/>
      <c r="QQ238" s="51"/>
      <c r="QR238" s="51"/>
      <c r="QS238" s="51"/>
      <c r="QT238" s="51"/>
      <c r="QU238" s="51"/>
      <c r="QV238" s="51"/>
      <c r="QW238" s="51"/>
      <c r="QX238" s="51"/>
      <c r="QY238" s="51"/>
      <c r="QZ238" s="51"/>
      <c r="RA238" s="51"/>
      <c r="RB238" s="51"/>
      <c r="RC238" s="51"/>
      <c r="RD238" s="51"/>
      <c r="RE238" s="51"/>
      <c r="RF238" s="51"/>
      <c r="RG238" s="51"/>
      <c r="RH238" s="51"/>
      <c r="RI238" s="51"/>
      <c r="RJ238" s="51"/>
      <c r="RK238" s="51"/>
      <c r="RL238" s="51"/>
      <c r="RM238" s="51"/>
      <c r="RN238" s="51"/>
      <c r="RO238" s="51"/>
      <c r="RP238" s="51"/>
      <c r="RQ238" s="51"/>
      <c r="RR238" s="51"/>
      <c r="RS238" s="51"/>
      <c r="RT238" s="51"/>
      <c r="RU238" s="51"/>
      <c r="RV238" s="51"/>
      <c r="RW238" s="51"/>
      <c r="RX238" s="51"/>
      <c r="RY238" s="51"/>
      <c r="RZ238" s="51"/>
      <c r="SA238" s="51"/>
      <c r="SB238" s="51"/>
      <c r="SC238" s="51"/>
      <c r="SD238" s="51"/>
      <c r="SE238" s="51"/>
      <c r="SF238" s="51"/>
      <c r="SG238" s="51"/>
      <c r="SH238" s="51"/>
      <c r="SI238" s="51"/>
      <c r="SJ238" s="51"/>
      <c r="SK238" s="51"/>
      <c r="SL238" s="51"/>
      <c r="SM238" s="51"/>
      <c r="SN238" s="51"/>
      <c r="SO238" s="51"/>
      <c r="SP238" s="51"/>
      <c r="SQ238" s="51"/>
      <c r="SR238" s="51"/>
      <c r="SS238" s="51"/>
      <c r="ST238" s="51"/>
      <c r="SU238" s="51"/>
      <c r="SV238" s="51"/>
      <c r="SW238" s="51"/>
      <c r="SX238" s="51"/>
      <c r="SY238" s="51"/>
      <c r="SZ238" s="51"/>
      <c r="TA238" s="51"/>
      <c r="TB238" s="51"/>
      <c r="TC238" s="51"/>
      <c r="TD238" s="51"/>
      <c r="TE238" s="51"/>
      <c r="TF238" s="51"/>
      <c r="TG238" s="51"/>
      <c r="TH238" s="51"/>
      <c r="TI238" s="51"/>
      <c r="TJ238" s="51"/>
      <c r="TK238" s="51"/>
      <c r="TL238" s="51"/>
      <c r="TM238" s="51"/>
      <c r="TN238" s="51"/>
      <c r="TO238" s="51"/>
      <c r="TP238" s="51"/>
      <c r="TQ238" s="51"/>
      <c r="TR238" s="51"/>
      <c r="TS238" s="51"/>
      <c r="TT238" s="51"/>
      <c r="TU238" s="51"/>
      <c r="TV238" s="51"/>
      <c r="TW238" s="51"/>
      <c r="TX238" s="51"/>
      <c r="TY238" s="51"/>
      <c r="TZ238" s="51"/>
      <c r="UA238" s="51"/>
      <c r="UB238" s="51"/>
      <c r="UC238" s="51"/>
      <c r="UD238" s="51"/>
      <c r="UE238" s="51"/>
      <c r="UF238" s="51"/>
      <c r="UG238" s="51"/>
      <c r="UH238" s="51"/>
      <c r="UI238" s="51"/>
      <c r="UJ238" s="51"/>
      <c r="UK238" s="51"/>
      <c r="UL238" s="51"/>
      <c r="UM238" s="51"/>
      <c r="UN238" s="51"/>
      <c r="UO238" s="51"/>
      <c r="UP238" s="51"/>
      <c r="UQ238" s="51"/>
      <c r="UR238" s="51"/>
      <c r="US238" s="51"/>
      <c r="UT238" s="51"/>
      <c r="UU238" s="51"/>
      <c r="UV238" s="51"/>
      <c r="UW238" s="51"/>
      <c r="UX238" s="51"/>
      <c r="UY238" s="51"/>
      <c r="UZ238" s="51"/>
      <c r="VA238" s="51"/>
      <c r="VB238" s="51"/>
      <c r="VC238" s="51"/>
      <c r="VD238" s="51"/>
      <c r="VE238" s="51"/>
      <c r="VF238" s="51"/>
      <c r="VG238" s="51"/>
      <c r="VH238" s="51"/>
      <c r="VI238" s="51"/>
      <c r="VJ238" s="51"/>
      <c r="VK238" s="51"/>
      <c r="VL238" s="51"/>
      <c r="VM238" s="51"/>
      <c r="VN238" s="51"/>
      <c r="VO238" s="51"/>
      <c r="VP238" s="51"/>
      <c r="VQ238" s="51"/>
      <c r="VR238" s="51"/>
      <c r="VS238" s="51"/>
      <c r="VT238" s="51"/>
      <c r="VU238" s="51"/>
      <c r="VV238" s="51"/>
      <c r="VW238" s="51"/>
      <c r="VX238" s="51"/>
      <c r="VY238" s="51"/>
      <c r="VZ238" s="51"/>
      <c r="WA238" s="51"/>
      <c r="WB238" s="51"/>
      <c r="WC238" s="51"/>
      <c r="WD238" s="51"/>
      <c r="WE238" s="51"/>
      <c r="WF238" s="51"/>
      <c r="WG238" s="51"/>
      <c r="WH238" s="51"/>
      <c r="WI238" s="51"/>
      <c r="WJ238" s="51"/>
      <c r="WK238" s="51"/>
      <c r="WL238" s="51"/>
      <c r="WM238" s="51"/>
      <c r="WN238" s="51"/>
      <c r="WO238" s="51"/>
      <c r="WP238" s="51"/>
      <c r="WQ238" s="51"/>
      <c r="WR238" s="51"/>
      <c r="WS238" s="51"/>
      <c r="WT238" s="51"/>
      <c r="WU238" s="51"/>
      <c r="WV238" s="51"/>
      <c r="WW238" s="51"/>
      <c r="WX238" s="51"/>
      <c r="WY238" s="51"/>
      <c r="WZ238" s="51"/>
      <c r="XA238" s="51"/>
      <c r="XB238" s="51"/>
      <c r="XC238" s="51"/>
      <c r="XD238" s="51"/>
      <c r="XE238" s="51"/>
      <c r="XF238" s="51"/>
      <c r="XG238" s="51"/>
      <c r="XH238" s="51"/>
      <c r="XI238" s="51"/>
      <c r="XJ238" s="51"/>
      <c r="XK238" s="51"/>
      <c r="XL238" s="51"/>
      <c r="XM238" s="51"/>
      <c r="XN238" s="51"/>
      <c r="XO238" s="51"/>
      <c r="XP238" s="51"/>
      <c r="XQ238" s="51"/>
      <c r="XR238" s="51"/>
      <c r="XS238" s="51"/>
      <c r="XT238" s="51"/>
      <c r="XU238" s="51"/>
      <c r="XV238" s="51"/>
      <c r="XW238" s="51"/>
      <c r="XX238" s="51"/>
      <c r="XY238" s="51"/>
      <c r="XZ238" s="51"/>
      <c r="YA238" s="51"/>
      <c r="YB238" s="51"/>
      <c r="YC238" s="51"/>
      <c r="YD238" s="51"/>
      <c r="YE238" s="51"/>
      <c r="YF238" s="51"/>
      <c r="YG238" s="51"/>
      <c r="YH238" s="51"/>
      <c r="YI238" s="51"/>
      <c r="YJ238" s="51"/>
      <c r="YK238" s="51"/>
      <c r="YL238" s="51"/>
      <c r="YM238" s="51"/>
      <c r="YN238" s="51"/>
      <c r="YO238" s="51"/>
      <c r="YP238" s="51"/>
      <c r="YQ238" s="51"/>
      <c r="YR238" s="51"/>
      <c r="YS238" s="51"/>
      <c r="YT238" s="51"/>
      <c r="YU238" s="51"/>
      <c r="YV238" s="51"/>
      <c r="YW238" s="51"/>
      <c r="YX238" s="51"/>
      <c r="YY238" s="51"/>
      <c r="YZ238" s="51"/>
      <c r="ZA238" s="51"/>
      <c r="ZB238" s="51"/>
      <c r="ZC238" s="51"/>
      <c r="ZD238" s="51"/>
      <c r="ZE238" s="51"/>
      <c r="ZF238" s="51"/>
      <c r="ZG238" s="51"/>
      <c r="ZH238" s="51"/>
      <c r="ZI238" s="51"/>
      <c r="ZJ238" s="51"/>
      <c r="ZK238" s="51"/>
      <c r="ZL238" s="51"/>
      <c r="ZM238" s="51"/>
      <c r="ZN238" s="51"/>
      <c r="ZO238" s="51"/>
      <c r="ZP238" s="51"/>
      <c r="ZQ238" s="51"/>
      <c r="ZR238" s="51"/>
      <c r="ZS238" s="51"/>
      <c r="ZT238" s="51"/>
      <c r="ZU238" s="51"/>
      <c r="ZV238" s="51"/>
      <c r="ZW238" s="51"/>
      <c r="ZX238" s="51"/>
      <c r="ZY238" s="50"/>
      <c r="ZZ238" s="50"/>
      <c r="AAA238" s="588"/>
      <c r="AAB238"/>
      <c r="AAC238"/>
      <c r="AAD238" s="112"/>
      <c r="AAE238" s="551">
        <f t="shared" si="894"/>
        <v>0</v>
      </c>
      <c r="AAF238" s="112"/>
      <c r="AAG238" s="78">
        <f>S.SubmitFeeToDAS</f>
        <v>41369</v>
      </c>
      <c r="AAH238" s="78">
        <f>S.SubmitFeeToDAS</f>
        <v>41369</v>
      </c>
      <c r="AAI238" s="77"/>
      <c r="AAJ238" s="77"/>
      <c r="AAK238" s="77"/>
      <c r="AAL238" s="89" t="str">
        <f>"Send "&amp;S.CodeName&amp;"DAS.EMAILS.pdf"</f>
        <v>Send DAS.EMAILS.pdf</v>
      </c>
      <c r="AAM238" s="112"/>
      <c r="AAO238" s="23"/>
      <c r="AAP238" s="23"/>
      <c r="AAQ238" s="23"/>
      <c r="AAR238" s="23"/>
      <c r="AAS238" s="23"/>
      <c r="AAT238" s="23"/>
      <c r="AAU238" s="44"/>
      <c r="AAV238" s="23"/>
      <c r="AAW238" s="23"/>
      <c r="AAX238" s="23"/>
      <c r="AAY238" s="23"/>
      <c r="AAZ238" s="23"/>
      <c r="ABA238" s="23"/>
      <c r="ABB238" s="23"/>
      <c r="ABC238" s="23"/>
      <c r="ABD238" s="23"/>
    </row>
    <row r="239" spans="1:732" ht="15" hidden="1" outlineLevel="1">
      <c r="A239" s="558"/>
      <c r="B239" s="233" t="s">
        <v>50</v>
      </c>
      <c r="C239" s="168"/>
      <c r="D239" s="278" t="s">
        <v>71</v>
      </c>
      <c r="E239" s="491">
        <f t="shared" si="901"/>
        <v>1</v>
      </c>
      <c r="F239" s="372">
        <f t="shared" ref="F239:F245" ca="1" si="902">NETWORKDAYS(TODAY(),H239)</f>
        <v>-196</v>
      </c>
      <c r="G239" s="369">
        <f>AAG239</f>
        <v>41379</v>
      </c>
      <c r="H239" s="370">
        <f t="shared" ref="G239:H248" si="903">AAH239</f>
        <v>41379</v>
      </c>
      <c r="I239" s="627"/>
      <c r="J239" s="592"/>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588"/>
      <c r="AAD239" s="112"/>
      <c r="AAE239" s="551">
        <f t="shared" si="894"/>
        <v>0</v>
      </c>
      <c r="AAF239" s="112"/>
      <c r="AAG239" s="78">
        <f>WORKDAY(G238+9,1,S.DDL_DEQClosed)</f>
        <v>41379</v>
      </c>
      <c r="AAH239" s="78">
        <f t="shared" ref="AAH239:AAH245" si="904">G239</f>
        <v>41379</v>
      </c>
      <c r="AAI239" s="77"/>
      <c r="AAJ239" s="77"/>
      <c r="AAK239" s="77"/>
      <c r="AAL239" s="80"/>
      <c r="AAM239" s="112"/>
      <c r="AAN239"/>
      <c r="AAT239" s="23"/>
      <c r="AAU239" s="44"/>
    </row>
    <row r="240" spans="1:732" s="23" customFormat="1" ht="15" hidden="1" outlineLevel="1">
      <c r="A240" s="558"/>
      <c r="B240" s="230" t="s">
        <v>168</v>
      </c>
      <c r="C240" s="168"/>
      <c r="D240" s="278" t="s">
        <v>187</v>
      </c>
      <c r="E240" s="491">
        <f>NETWORKDAYS(G240,H240,S.DDL_DEQClosed)</f>
        <v>1</v>
      </c>
      <c r="F240" s="372">
        <f t="shared" ref="F240" ca="1" si="905">NETWORKDAYS(TODAY(),H240)</f>
        <v>-196</v>
      </c>
      <c r="G240" s="497">
        <f>AAG240</f>
        <v>41379</v>
      </c>
      <c r="H240" s="496">
        <f t="shared" ref="H240" si="906">AAH240</f>
        <v>41379</v>
      </c>
      <c r="I240" s="627"/>
      <c r="J240" s="592"/>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50"/>
      <c r="ZZ240" s="50"/>
      <c r="AAA240" s="588"/>
      <c r="AAB240"/>
      <c r="AAC240"/>
      <c r="AAD240" s="112"/>
      <c r="AAE240" s="551">
        <f t="shared" si="894"/>
        <v>0</v>
      </c>
      <c r="AAF240" s="112"/>
      <c r="AAG240" s="78">
        <f>H239</f>
        <v>41379</v>
      </c>
      <c r="AAH240" s="78">
        <f t="shared" ref="AAH240" si="907">G240</f>
        <v>41379</v>
      </c>
      <c r="AAI240" s="77"/>
      <c r="AAJ240" s="77"/>
      <c r="AAK240" s="77"/>
      <c r="AAL240" s="80"/>
      <c r="AAM240" s="112"/>
      <c r="AAU240" s="44"/>
      <c r="AAV240"/>
      <c r="AAW240"/>
      <c r="AAX240"/>
      <c r="AAY240"/>
      <c r="AAZ240"/>
      <c r="ABA240"/>
      <c r="ABB240"/>
      <c r="ABC240"/>
      <c r="ABD240"/>
    </row>
    <row r="241" spans="1:732" ht="18" hidden="1" customHeight="1" outlineLevel="1">
      <c r="A241" s="558"/>
      <c r="B241" s="763" t="s">
        <v>281</v>
      </c>
      <c r="C241" s="764"/>
      <c r="D241" s="153"/>
      <c r="E241" s="352"/>
      <c r="F241" s="352"/>
      <c r="G241" s="351"/>
      <c r="H241" s="351"/>
      <c r="I241" s="588"/>
      <c r="J241" s="592"/>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618"/>
      <c r="ZZ241" s="36"/>
      <c r="AAA241" s="588"/>
      <c r="AAD241" s="112"/>
      <c r="AAE241" s="551">
        <f t="shared" si="894"/>
        <v>0</v>
      </c>
      <c r="AAF241" s="583" t="s">
        <v>174</v>
      </c>
      <c r="AAG241" s="76"/>
      <c r="AAH241" s="76"/>
      <c r="AAI241" s="77"/>
      <c r="AAJ241" s="77"/>
      <c r="AAK241" s="77"/>
      <c r="AAL241" s="80"/>
      <c r="AAM241" s="112"/>
      <c r="AAN241"/>
      <c r="AAT241" s="23"/>
      <c r="AAU241" s="44"/>
    </row>
    <row r="242" spans="1:732" ht="24" hidden="1" outlineLevel="1">
      <c r="A242" s="558"/>
      <c r="B242" s="259" t="s">
        <v>90</v>
      </c>
      <c r="C242" s="239"/>
      <c r="D242" s="260" t="s">
        <v>377</v>
      </c>
      <c r="E242" s="491">
        <f>NETWORKDAYS(G242,H242,S.DDL_DEQClosed)</f>
        <v>1</v>
      </c>
      <c r="F242" s="372">
        <f t="shared" ca="1" si="902"/>
        <v>-196</v>
      </c>
      <c r="G242" s="369">
        <f t="shared" si="903"/>
        <v>41379</v>
      </c>
      <c r="H242" s="369">
        <f t="shared" si="903"/>
        <v>41379</v>
      </c>
      <c r="I242" s="627"/>
      <c r="J242" s="592"/>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588"/>
      <c r="AAD242" s="112"/>
      <c r="AAE242" s="551">
        <f t="shared" si="894"/>
        <v>0</v>
      </c>
      <c r="AAF242" s="112"/>
      <c r="AAG242" s="78">
        <f>H240</f>
        <v>41379</v>
      </c>
      <c r="AAH242" s="78">
        <f t="shared" si="904"/>
        <v>41379</v>
      </c>
      <c r="AAI242" s="77"/>
      <c r="AAJ242" s="77"/>
      <c r="AAK242" s="77"/>
      <c r="AAL242" s="80"/>
      <c r="AAM242" s="112"/>
      <c r="AAN242"/>
      <c r="AAT242" s="23"/>
      <c r="AAU242" s="44"/>
    </row>
    <row r="243" spans="1:732" ht="24" hidden="1" outlineLevel="1">
      <c r="A243" s="558"/>
      <c r="B243" s="261" t="s">
        <v>91</v>
      </c>
      <c r="C243" s="239"/>
      <c r="D243" s="260" t="s">
        <v>377</v>
      </c>
      <c r="E243" s="491">
        <f>NETWORKDAYS(G243,H243,S.DDL_DEQClosed)</f>
        <v>1</v>
      </c>
      <c r="F243" s="372">
        <f t="shared" ca="1" si="902"/>
        <v>-196</v>
      </c>
      <c r="G243" s="369">
        <f t="shared" si="903"/>
        <v>41379</v>
      </c>
      <c r="H243" s="369">
        <f t="shared" si="903"/>
        <v>41379</v>
      </c>
      <c r="I243" s="627"/>
      <c r="J243" s="592"/>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588"/>
      <c r="AAD243" s="112"/>
      <c r="AAE243" s="551">
        <f t="shared" si="894"/>
        <v>0</v>
      </c>
      <c r="AAF243" s="112"/>
      <c r="AAG243" s="78">
        <f t="shared" ref="AAG243:AAG245" si="908">H242</f>
        <v>41379</v>
      </c>
      <c r="AAH243" s="78">
        <f t="shared" si="904"/>
        <v>41379</v>
      </c>
      <c r="AAI243" s="77"/>
      <c r="AAJ243" s="77"/>
      <c r="AAK243" s="77"/>
      <c r="AAL243" s="80"/>
      <c r="AAM243" s="112"/>
      <c r="AAN243"/>
      <c r="AAT243" s="23"/>
      <c r="AAU243" s="44"/>
    </row>
    <row r="244" spans="1:732" ht="24" hidden="1" outlineLevel="1">
      <c r="A244" s="558"/>
      <c r="B244" s="262" t="s">
        <v>92</v>
      </c>
      <c r="C244" s="239"/>
      <c r="D244" s="260" t="s">
        <v>377</v>
      </c>
      <c r="E244" s="491">
        <f>NETWORKDAYS(G244,H244,S.DDL_DEQClosed)</f>
        <v>1</v>
      </c>
      <c r="F244" s="372">
        <f t="shared" ca="1" si="902"/>
        <v>-196</v>
      </c>
      <c r="G244" s="369">
        <f t="shared" si="903"/>
        <v>41379</v>
      </c>
      <c r="H244" s="369">
        <f t="shared" si="903"/>
        <v>41379</v>
      </c>
      <c r="I244" s="627"/>
      <c r="J244" s="592"/>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588"/>
      <c r="AAD244" s="112"/>
      <c r="AAE244" s="551">
        <f t="shared" si="894"/>
        <v>0</v>
      </c>
      <c r="AAF244" s="112"/>
      <c r="AAG244" s="78">
        <f t="shared" si="908"/>
        <v>41379</v>
      </c>
      <c r="AAH244" s="78">
        <f t="shared" si="904"/>
        <v>41379</v>
      </c>
      <c r="AAI244" s="77"/>
      <c r="AAJ244" s="77"/>
      <c r="AAK244" s="77"/>
      <c r="AAL244" s="80"/>
      <c r="AAM244" s="112"/>
      <c r="AAN244"/>
      <c r="AAT244" s="23"/>
      <c r="AAU244" s="44"/>
      <c r="AAV244" s="23"/>
      <c r="AAW244" s="23"/>
      <c r="AAX244" s="23"/>
      <c r="AAY244" s="23"/>
      <c r="AAZ244" s="23"/>
      <c r="ABA244" s="23"/>
      <c r="ABB244" s="23"/>
      <c r="ABC244" s="23"/>
      <c r="ABD244" s="23"/>
    </row>
    <row r="245" spans="1:732" ht="24" hidden="1" outlineLevel="1">
      <c r="A245" s="558"/>
      <c r="B245" s="267" t="s">
        <v>93</v>
      </c>
      <c r="C245" s="239"/>
      <c r="D245" s="260" t="s">
        <v>377</v>
      </c>
      <c r="E245" s="491">
        <f>NETWORKDAYS(G245,H245,S.DDL_DEQClosed)</f>
        <v>1</v>
      </c>
      <c r="F245" s="372">
        <f t="shared" ca="1" si="902"/>
        <v>-196</v>
      </c>
      <c r="G245" s="369">
        <f t="shared" si="903"/>
        <v>41379</v>
      </c>
      <c r="H245" s="369">
        <f t="shared" si="903"/>
        <v>41379</v>
      </c>
      <c r="I245" s="627"/>
      <c r="J245" s="592"/>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50"/>
      <c r="ZZ245" s="50"/>
      <c r="AAA245" s="588"/>
      <c r="AAD245" s="112"/>
      <c r="AAE245" s="551">
        <f t="shared" si="894"/>
        <v>0</v>
      </c>
      <c r="AAF245" s="112"/>
      <c r="AAG245" s="78">
        <f t="shared" si="908"/>
        <v>41379</v>
      </c>
      <c r="AAH245" s="78">
        <f t="shared" si="904"/>
        <v>41379</v>
      </c>
      <c r="AAI245" s="77"/>
      <c r="AAJ245" s="77"/>
      <c r="AAK245" s="77"/>
      <c r="AAL245" s="80"/>
      <c r="AAM245" s="112"/>
      <c r="AAN245"/>
      <c r="AAT245" s="23"/>
      <c r="AAU245" s="44"/>
    </row>
    <row r="246" spans="1:732" s="23" customFormat="1" ht="87" hidden="1" customHeight="1" outlineLevel="1">
      <c r="A246" s="558"/>
      <c r="B246" s="751" t="s">
        <v>342</v>
      </c>
      <c r="C246" s="751"/>
      <c r="D246" s="751"/>
      <c r="E246" s="751"/>
      <c r="F246" s="751"/>
      <c r="G246" s="751"/>
      <c r="H246" s="751"/>
      <c r="I246" s="588"/>
      <c r="J246" s="592"/>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18"/>
      <c r="ZZ246" s="36"/>
      <c r="AAA246" s="588"/>
      <c r="AAB246"/>
      <c r="AAC246"/>
      <c r="AAD246" s="112"/>
      <c r="AAE246" s="551">
        <f t="shared" si="894"/>
        <v>0</v>
      </c>
      <c r="AAF246" s="583" t="s">
        <v>174</v>
      </c>
      <c r="AAG246" s="63"/>
      <c r="AAH246" s="63"/>
      <c r="AAI246" s="77"/>
      <c r="AAJ246" s="77"/>
      <c r="AAK246" s="77"/>
      <c r="AAL246" s="80"/>
      <c r="AAM246" s="112"/>
      <c r="AAU246" s="44"/>
      <c r="AAV246"/>
      <c r="AAW246"/>
      <c r="AAX246"/>
      <c r="AAY246"/>
      <c r="AAZ246"/>
      <c r="ABA246"/>
      <c r="ABB246"/>
      <c r="ABC246"/>
      <c r="ABD246"/>
    </row>
    <row r="247" spans="1:732" ht="15" hidden="1" outlineLevel="1">
      <c r="A247" s="558"/>
      <c r="B247" s="264" t="s">
        <v>21</v>
      </c>
      <c r="C247" s="264"/>
      <c r="D247" s="175"/>
      <c r="E247" s="176"/>
      <c r="F247" s="176"/>
      <c r="G247" s="161"/>
      <c r="H247" s="161"/>
      <c r="I247" s="588"/>
      <c r="J247" s="592"/>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618"/>
      <c r="ZZ247" s="36"/>
      <c r="AAA247" s="588"/>
      <c r="AAD247" s="112"/>
      <c r="AAE247" s="551">
        <f t="shared" si="894"/>
        <v>0</v>
      </c>
      <c r="AAF247" s="583" t="s">
        <v>174</v>
      </c>
      <c r="AAG247" s="76"/>
      <c r="AAH247" s="76"/>
      <c r="AAI247" s="77"/>
      <c r="AAJ247" s="77"/>
      <c r="AAK247" s="77"/>
      <c r="AAL247" s="80"/>
      <c r="AAM247" s="112"/>
      <c r="AAN247"/>
      <c r="AAT247" s="23"/>
      <c r="AAU247" s="44"/>
    </row>
    <row r="248" spans="1:732" ht="18" hidden="1" customHeight="1" outlineLevel="1">
      <c r="A248" s="558"/>
      <c r="B248" s="763" t="s">
        <v>309</v>
      </c>
      <c r="C248" s="764"/>
      <c r="D248" s="278" t="s">
        <v>157</v>
      </c>
      <c r="E248" s="491">
        <f>NETWORKDAYS(G248,H248,S.DDL_DEQClosed)</f>
        <v>1</v>
      </c>
      <c r="F248" s="372">
        <f ca="1">NETWORKDAYS(TODAY(),H248)</f>
        <v>-196</v>
      </c>
      <c r="G248" s="370">
        <f>AAG248</f>
        <v>41379</v>
      </c>
      <c r="H248" s="496">
        <f t="shared" si="903"/>
        <v>41379</v>
      </c>
      <c r="I248" s="627"/>
      <c r="J248" s="592"/>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50"/>
      <c r="ZZ248" s="50"/>
      <c r="AAA248" s="588"/>
      <c r="AAD248" s="112"/>
      <c r="AAE248" s="551">
        <f t="shared" si="894"/>
        <v>0</v>
      </c>
      <c r="AAF248" s="112"/>
      <c r="AAG248" s="78">
        <f>H245</f>
        <v>41379</v>
      </c>
      <c r="AAH248" s="78">
        <f>G248</f>
        <v>41379</v>
      </c>
      <c r="AAI248" s="77"/>
      <c r="AAJ248" s="77"/>
      <c r="AAK248" s="77"/>
      <c r="AAL248" s="80"/>
      <c r="AAM248" s="112"/>
      <c r="AAN248"/>
      <c r="AAT248" s="23"/>
      <c r="AAU248" s="44"/>
    </row>
    <row r="249" spans="1:732" ht="6" customHeight="1" collapsed="1">
      <c r="A249" s="558"/>
      <c r="B249" s="268"/>
      <c r="C249" s="269"/>
      <c r="D249" s="195"/>
      <c r="E249" s="146"/>
      <c r="F249" s="146"/>
      <c r="G249" s="270"/>
      <c r="H249" s="271"/>
      <c r="I249" s="588"/>
      <c r="J249" s="633"/>
      <c r="K249" s="50"/>
      <c r="L249" s="50"/>
      <c r="M249" s="50"/>
      <c r="N249" s="50"/>
      <c r="O249" s="50"/>
      <c r="P249" s="50"/>
      <c r="Q249" s="50"/>
      <c r="R249" s="50"/>
      <c r="S249" s="50"/>
      <c r="T249" s="50"/>
      <c r="U249" s="50"/>
      <c r="V249" s="50"/>
      <c r="W249" s="50"/>
      <c r="X249" s="50"/>
      <c r="Y249" s="50"/>
      <c r="Z249" s="50"/>
      <c r="AA249" s="50"/>
      <c r="AB249" s="50"/>
      <c r="AC249" s="50"/>
      <c r="AD249" s="50"/>
      <c r="AE249" s="50"/>
      <c r="AF249" s="50"/>
      <c r="AG249" s="50"/>
      <c r="AH249" s="50"/>
      <c r="AI249" s="50"/>
      <c r="AJ249" s="50"/>
      <c r="AK249" s="50"/>
      <c r="AL249" s="50"/>
      <c r="AM249" s="50"/>
      <c r="AN249" s="50"/>
      <c r="AO249" s="50"/>
      <c r="AP249" s="50"/>
      <c r="AQ249" s="50"/>
      <c r="AR249" s="50"/>
      <c r="AS249" s="50"/>
      <c r="AT249" s="50"/>
      <c r="AU249" s="50"/>
      <c r="AV249" s="50"/>
      <c r="AW249" s="50"/>
      <c r="AX249" s="50"/>
      <c r="AY249" s="50"/>
      <c r="AZ249" s="50"/>
      <c r="BA249" s="50"/>
      <c r="BB249" s="50"/>
      <c r="BC249" s="50"/>
      <c r="BD249" s="50"/>
      <c r="BE249" s="50"/>
      <c r="BF249" s="50"/>
      <c r="BG249" s="50"/>
      <c r="BH249" s="50"/>
      <c r="BI249" s="50"/>
      <c r="BJ249" s="50"/>
      <c r="BK249" s="50"/>
      <c r="BL249" s="50"/>
      <c r="BM249" s="50"/>
      <c r="BN249" s="50"/>
      <c r="BO249" s="50"/>
      <c r="BP249" s="50"/>
      <c r="BQ249" s="50"/>
      <c r="BR249" s="50"/>
      <c r="BS249" s="50"/>
      <c r="BT249" s="50"/>
      <c r="BU249" s="50"/>
      <c r="BV249" s="50"/>
      <c r="BW249" s="50"/>
      <c r="BX249" s="50"/>
      <c r="BY249" s="50"/>
      <c r="BZ249" s="50"/>
      <c r="CA249" s="50"/>
      <c r="CB249" s="50"/>
      <c r="CC249" s="50"/>
      <c r="CD249" s="50"/>
      <c r="CE249" s="50"/>
      <c r="CF249" s="50"/>
      <c r="CG249" s="50"/>
      <c r="CH249" s="50"/>
      <c r="CI249" s="50"/>
      <c r="CJ249" s="50"/>
      <c r="CK249" s="50"/>
      <c r="CL249" s="50"/>
      <c r="CM249" s="50"/>
      <c r="CN249" s="50"/>
      <c r="CO249" s="50"/>
      <c r="CP249" s="50"/>
      <c r="CQ249" s="50"/>
      <c r="CR249" s="50"/>
      <c r="CS249" s="50"/>
      <c r="CT249" s="50"/>
      <c r="CU249" s="50"/>
      <c r="CV249" s="50"/>
      <c r="CW249" s="50"/>
      <c r="CX249" s="50"/>
      <c r="CY249" s="50"/>
      <c r="CZ249" s="50"/>
      <c r="DA249" s="50"/>
      <c r="DB249" s="50"/>
      <c r="DC249" s="50"/>
      <c r="DD249" s="50"/>
      <c r="DE249" s="50"/>
      <c r="DF249" s="50"/>
      <c r="DG249" s="50"/>
      <c r="DH249" s="50"/>
      <c r="DI249" s="50"/>
      <c r="DJ249" s="50"/>
      <c r="DK249" s="50"/>
      <c r="DL249" s="50"/>
      <c r="DM249" s="50"/>
      <c r="DN249" s="50"/>
      <c r="DO249" s="50"/>
      <c r="DP249" s="50"/>
      <c r="DQ249" s="50"/>
      <c r="DR249" s="50"/>
      <c r="DS249" s="50"/>
      <c r="DT249" s="50"/>
      <c r="DU249" s="50"/>
      <c r="DV249" s="50"/>
      <c r="DW249" s="50"/>
      <c r="DX249" s="50"/>
      <c r="DY249" s="50"/>
      <c r="DZ249" s="50"/>
      <c r="EA249" s="50"/>
      <c r="EB249" s="50"/>
      <c r="EC249" s="50"/>
      <c r="ED249" s="50"/>
      <c r="EE249" s="50"/>
      <c r="EF249" s="50"/>
      <c r="EG249" s="50"/>
      <c r="EH249" s="50"/>
      <c r="EI249" s="50"/>
      <c r="EJ249" s="50"/>
      <c r="EK249" s="50"/>
      <c r="EL249" s="50"/>
      <c r="EM249" s="50"/>
      <c r="EN249" s="50"/>
      <c r="EO249" s="50"/>
      <c r="EP249" s="50"/>
      <c r="EQ249" s="50"/>
      <c r="ER249" s="50"/>
      <c r="ES249" s="50"/>
      <c r="ET249" s="50"/>
      <c r="EU249" s="50"/>
      <c r="EV249" s="50"/>
      <c r="EW249" s="50"/>
      <c r="EX249" s="50"/>
      <c r="EY249" s="50"/>
      <c r="EZ249" s="50"/>
      <c r="FA249" s="50"/>
      <c r="FB249" s="50"/>
      <c r="FC249" s="50"/>
      <c r="FD249" s="50"/>
      <c r="FE249" s="50"/>
      <c r="FF249" s="50"/>
      <c r="FG249" s="50"/>
      <c r="FH249" s="50"/>
      <c r="FI249" s="50"/>
      <c r="FJ249" s="50"/>
      <c r="FK249" s="50"/>
      <c r="FL249" s="50"/>
      <c r="FM249" s="50"/>
      <c r="FN249" s="50"/>
      <c r="FO249" s="50"/>
      <c r="FP249" s="50"/>
      <c r="FQ249" s="50"/>
      <c r="FR249" s="50"/>
      <c r="FS249" s="50"/>
      <c r="FT249" s="50"/>
      <c r="FU249" s="50"/>
      <c r="FV249" s="50"/>
      <c r="FW249" s="50"/>
      <c r="FX249" s="50"/>
      <c r="FY249" s="50"/>
      <c r="FZ249" s="50"/>
      <c r="GA249" s="50"/>
      <c r="GB249" s="50"/>
      <c r="GC249" s="50"/>
      <c r="GD249" s="50"/>
      <c r="GE249" s="50"/>
      <c r="GF249" s="50"/>
      <c r="GG249" s="50"/>
      <c r="GH249" s="50"/>
      <c r="GI249" s="50"/>
      <c r="GJ249" s="50"/>
      <c r="GK249" s="50"/>
      <c r="GL249" s="50"/>
      <c r="GM249" s="50"/>
      <c r="GN249" s="50"/>
      <c r="GO249" s="50"/>
      <c r="GP249" s="50"/>
      <c r="GQ249" s="50"/>
      <c r="GR249" s="50"/>
      <c r="GS249" s="50"/>
      <c r="GT249" s="50"/>
      <c r="GU249" s="50"/>
      <c r="GV249" s="50"/>
      <c r="GW249" s="50"/>
      <c r="GX249" s="50"/>
      <c r="GY249" s="50"/>
      <c r="GZ249" s="50"/>
      <c r="HA249" s="50"/>
      <c r="HB249" s="50"/>
      <c r="HC249" s="50"/>
      <c r="HD249" s="50"/>
      <c r="HE249" s="50"/>
      <c r="HF249" s="50"/>
      <c r="HG249" s="50"/>
      <c r="HH249" s="50"/>
      <c r="HI249" s="50"/>
      <c r="HJ249" s="50"/>
      <c r="HK249" s="50"/>
      <c r="HL249" s="50"/>
      <c r="HM249" s="50"/>
      <c r="HN249" s="50"/>
      <c r="HO249" s="50"/>
      <c r="HP249" s="50"/>
      <c r="HQ249" s="50"/>
      <c r="HR249" s="50"/>
      <c r="HS249" s="50"/>
      <c r="HT249" s="50"/>
      <c r="HU249" s="50"/>
      <c r="HV249" s="50"/>
      <c r="HW249" s="50"/>
      <c r="HX249" s="50"/>
      <c r="HY249" s="50"/>
      <c r="HZ249" s="50"/>
      <c r="IA249" s="50"/>
      <c r="IB249" s="50"/>
      <c r="IC249" s="50"/>
      <c r="ID249" s="50"/>
      <c r="IE249" s="50"/>
      <c r="IF249" s="50"/>
      <c r="IG249" s="50"/>
      <c r="IH249" s="50"/>
      <c r="II249" s="50"/>
      <c r="IJ249" s="50"/>
      <c r="IK249" s="50"/>
      <c r="IL249" s="50"/>
      <c r="IM249" s="50"/>
      <c r="IN249" s="50"/>
      <c r="IO249" s="50"/>
      <c r="IP249" s="50"/>
      <c r="IQ249" s="50"/>
      <c r="IR249" s="50"/>
      <c r="IS249" s="50"/>
      <c r="IT249" s="50"/>
      <c r="IU249" s="50"/>
      <c r="IV249" s="50"/>
      <c r="IW249" s="50"/>
      <c r="IX249" s="50"/>
      <c r="IY249" s="50"/>
      <c r="IZ249" s="50"/>
      <c r="JA249" s="50"/>
      <c r="JB249" s="50"/>
      <c r="JC249" s="50"/>
      <c r="JD249" s="50"/>
      <c r="JE249" s="50"/>
      <c r="JF249" s="50"/>
      <c r="JG249" s="50"/>
      <c r="JH249" s="50"/>
      <c r="JI249" s="50"/>
      <c r="JJ249" s="50"/>
      <c r="JK249" s="50"/>
      <c r="JL249" s="50"/>
      <c r="JM249" s="50"/>
      <c r="JN249" s="50"/>
      <c r="JO249" s="50"/>
      <c r="JP249" s="50"/>
      <c r="JQ249" s="50"/>
      <c r="JR249" s="50"/>
      <c r="JS249" s="50"/>
      <c r="JT249" s="50"/>
      <c r="JU249" s="50"/>
      <c r="JV249" s="50"/>
      <c r="JW249" s="50"/>
      <c r="JX249" s="50"/>
      <c r="JY249" s="50"/>
      <c r="JZ249" s="50"/>
      <c r="KA249" s="50"/>
      <c r="KB249" s="50"/>
      <c r="KC249" s="50"/>
      <c r="KD249" s="50"/>
      <c r="KE249" s="50"/>
      <c r="KF249" s="50"/>
      <c r="KG249" s="50"/>
      <c r="KH249" s="50"/>
      <c r="KI249" s="50"/>
      <c r="KJ249" s="50"/>
      <c r="KK249" s="50"/>
      <c r="KL249" s="50"/>
      <c r="KM249" s="50"/>
      <c r="KN249" s="50"/>
      <c r="KO249" s="50"/>
      <c r="KP249" s="50"/>
      <c r="KQ249" s="50"/>
      <c r="KR249" s="50"/>
      <c r="KS249" s="50"/>
      <c r="KT249" s="50"/>
      <c r="KU249" s="50"/>
      <c r="KV249" s="50"/>
      <c r="KW249" s="50"/>
      <c r="KX249" s="50"/>
      <c r="KY249" s="50"/>
      <c r="KZ249" s="50"/>
      <c r="LA249" s="50"/>
      <c r="LB249" s="50"/>
      <c r="LC249" s="50"/>
      <c r="LD249" s="50"/>
      <c r="LE249" s="50"/>
      <c r="LF249" s="50"/>
      <c r="LG249" s="50"/>
      <c r="LH249" s="50"/>
      <c r="LI249" s="50"/>
      <c r="LJ249" s="50"/>
      <c r="LK249" s="50"/>
      <c r="LL249" s="50"/>
      <c r="LM249" s="50"/>
      <c r="LN249" s="50"/>
      <c r="LO249" s="50"/>
      <c r="LP249" s="50"/>
      <c r="LQ249" s="50"/>
      <c r="LR249" s="50"/>
      <c r="LS249" s="50"/>
      <c r="LT249" s="50"/>
      <c r="LU249" s="50"/>
      <c r="LV249" s="50"/>
      <c r="LW249" s="50"/>
      <c r="LX249" s="50"/>
      <c r="LY249" s="50"/>
      <c r="LZ249" s="50"/>
      <c r="MA249" s="50"/>
      <c r="MB249" s="50"/>
      <c r="MC249" s="50"/>
      <c r="MD249" s="50"/>
      <c r="ME249" s="50"/>
      <c r="MF249" s="50"/>
      <c r="MG249" s="50"/>
      <c r="MH249" s="50"/>
      <c r="MI249" s="50"/>
      <c r="MJ249" s="50"/>
      <c r="MK249" s="50"/>
      <c r="ML249" s="50"/>
      <c r="MM249" s="50"/>
      <c r="MN249" s="50"/>
      <c r="MO249" s="50"/>
      <c r="MP249" s="50"/>
      <c r="MQ249" s="50"/>
      <c r="MR249" s="50"/>
      <c r="MS249" s="50"/>
      <c r="MT249" s="50"/>
      <c r="MU249" s="50"/>
      <c r="MV249" s="50"/>
      <c r="MW249" s="50"/>
      <c r="MX249" s="50"/>
      <c r="MY249" s="50"/>
      <c r="MZ249" s="50"/>
      <c r="NA249" s="50"/>
      <c r="NB249" s="50"/>
      <c r="NC249" s="50"/>
      <c r="ND249" s="50"/>
      <c r="NE249" s="50"/>
      <c r="NF249" s="50"/>
      <c r="NG249" s="50"/>
      <c r="NH249" s="50"/>
      <c r="NI249" s="50"/>
      <c r="NJ249" s="50"/>
      <c r="NK249" s="50"/>
      <c r="NL249" s="50"/>
      <c r="NM249" s="50"/>
      <c r="NN249" s="50"/>
      <c r="NO249" s="50"/>
      <c r="NP249" s="50"/>
      <c r="NQ249" s="50"/>
      <c r="NR249" s="50"/>
      <c r="NS249" s="50"/>
      <c r="NT249" s="50"/>
      <c r="NU249" s="50"/>
      <c r="NV249" s="50"/>
      <c r="NW249" s="50"/>
      <c r="NX249" s="50"/>
      <c r="NY249" s="50"/>
      <c r="NZ249" s="50"/>
      <c r="OA249" s="50"/>
      <c r="OB249" s="50"/>
      <c r="OC249" s="50"/>
      <c r="OD249" s="50"/>
      <c r="OE249" s="50"/>
      <c r="OF249" s="50"/>
      <c r="OG249" s="50"/>
      <c r="OH249" s="50"/>
      <c r="OI249" s="50"/>
      <c r="OJ249" s="50"/>
      <c r="OK249" s="50"/>
      <c r="OL249" s="50"/>
      <c r="OM249" s="50"/>
      <c r="ON249" s="50"/>
      <c r="OO249" s="50"/>
      <c r="OP249" s="50"/>
      <c r="OQ249" s="50"/>
      <c r="OR249" s="50"/>
      <c r="OS249" s="50"/>
      <c r="OT249" s="50"/>
      <c r="OU249" s="50"/>
      <c r="OV249" s="50"/>
      <c r="OW249" s="50"/>
      <c r="OX249" s="50"/>
      <c r="OY249" s="50"/>
      <c r="OZ249" s="50"/>
      <c r="PA249" s="50"/>
      <c r="PB249" s="50"/>
      <c r="PC249" s="50"/>
      <c r="PD249" s="50"/>
      <c r="PE249" s="50"/>
      <c r="PF249" s="50"/>
      <c r="PG249" s="50"/>
      <c r="PH249" s="50"/>
      <c r="PI249" s="50"/>
      <c r="PJ249" s="50"/>
      <c r="PK249" s="50"/>
      <c r="PL249" s="50"/>
      <c r="PM249" s="50"/>
      <c r="PN249" s="50"/>
      <c r="PO249" s="50"/>
      <c r="PP249" s="50"/>
      <c r="PQ249" s="50"/>
      <c r="PR249" s="50"/>
      <c r="PS249" s="50"/>
      <c r="PT249" s="50"/>
      <c r="PU249" s="50"/>
      <c r="PV249" s="50"/>
      <c r="PW249" s="50"/>
      <c r="PX249" s="50"/>
      <c r="PY249" s="50"/>
      <c r="PZ249" s="50"/>
      <c r="QA249" s="50"/>
      <c r="QB249" s="50"/>
      <c r="QC249" s="50"/>
      <c r="QD249" s="50"/>
      <c r="QE249" s="50"/>
      <c r="QF249" s="50"/>
      <c r="QG249" s="50"/>
      <c r="QH249" s="50"/>
      <c r="QI249" s="50"/>
      <c r="QJ249" s="50"/>
      <c r="QK249" s="50"/>
      <c r="QL249" s="50"/>
      <c r="QM249" s="50"/>
      <c r="QN249" s="50"/>
      <c r="QO249" s="50"/>
      <c r="QP249" s="50"/>
      <c r="QQ249" s="50"/>
      <c r="QR249" s="50"/>
      <c r="QS249" s="50"/>
      <c r="QT249" s="50"/>
      <c r="QU249" s="50"/>
      <c r="QV249" s="50"/>
      <c r="QW249" s="50"/>
      <c r="QX249" s="50"/>
      <c r="QY249" s="50"/>
      <c r="QZ249" s="50"/>
      <c r="RA249" s="50"/>
      <c r="RB249" s="50"/>
      <c r="RC249" s="50"/>
      <c r="RD249" s="50"/>
      <c r="RE249" s="50"/>
      <c r="RF249" s="50"/>
      <c r="RG249" s="50"/>
      <c r="RH249" s="50"/>
      <c r="RI249" s="50"/>
      <c r="RJ249" s="50"/>
      <c r="RK249" s="50"/>
      <c r="RL249" s="50"/>
      <c r="RM249" s="50"/>
      <c r="RN249" s="50"/>
      <c r="RO249" s="50"/>
      <c r="RP249" s="50"/>
      <c r="RQ249" s="50"/>
      <c r="RR249" s="50"/>
      <c r="RS249" s="50"/>
      <c r="RT249" s="50"/>
      <c r="RU249" s="50"/>
      <c r="RV249" s="50"/>
      <c r="RW249" s="50"/>
      <c r="RX249" s="50"/>
      <c r="RY249" s="50"/>
      <c r="RZ249" s="50"/>
      <c r="SA249" s="50"/>
      <c r="SB249" s="50"/>
      <c r="SC249" s="50"/>
      <c r="SD249" s="50"/>
      <c r="SE249" s="50"/>
      <c r="SF249" s="50"/>
      <c r="SG249" s="50"/>
      <c r="SH249" s="50"/>
      <c r="SI249" s="50"/>
      <c r="SJ249" s="50"/>
      <c r="SK249" s="50"/>
      <c r="SL249" s="50"/>
      <c r="SM249" s="50"/>
      <c r="SN249" s="50"/>
      <c r="SO249" s="50"/>
      <c r="SP249" s="50"/>
      <c r="SQ249" s="50"/>
      <c r="SR249" s="50"/>
      <c r="SS249" s="50"/>
      <c r="ST249" s="50"/>
      <c r="SU249" s="50"/>
      <c r="SV249" s="50"/>
      <c r="SW249" s="50"/>
      <c r="SX249" s="50"/>
      <c r="SY249" s="50"/>
      <c r="SZ249" s="50"/>
      <c r="TA249" s="50"/>
      <c r="TB249" s="50"/>
      <c r="TC249" s="50"/>
      <c r="TD249" s="50"/>
      <c r="TE249" s="50"/>
      <c r="TF249" s="50"/>
      <c r="TG249" s="50"/>
      <c r="TH249" s="50"/>
      <c r="TI249" s="50"/>
      <c r="TJ249" s="50"/>
      <c r="TK249" s="50"/>
      <c r="TL249" s="50"/>
      <c r="TM249" s="50"/>
      <c r="TN249" s="50"/>
      <c r="TO249" s="50"/>
      <c r="TP249" s="50"/>
      <c r="TQ249" s="50"/>
      <c r="TR249" s="50"/>
      <c r="TS249" s="50"/>
      <c r="TT249" s="50"/>
      <c r="TU249" s="50"/>
      <c r="TV249" s="50"/>
      <c r="TW249" s="50"/>
      <c r="TX249" s="50"/>
      <c r="TY249" s="50"/>
      <c r="TZ249" s="50"/>
      <c r="UA249" s="50"/>
      <c r="UB249" s="50"/>
      <c r="UC249" s="50"/>
      <c r="UD249" s="50"/>
      <c r="UE249" s="50"/>
      <c r="UF249" s="50"/>
      <c r="UG249" s="50"/>
      <c r="UH249" s="50"/>
      <c r="UI249" s="50"/>
      <c r="UJ249" s="50"/>
      <c r="UK249" s="50"/>
      <c r="UL249" s="50"/>
      <c r="UM249" s="50"/>
      <c r="UN249" s="50"/>
      <c r="UO249" s="50"/>
      <c r="UP249" s="50"/>
      <c r="UQ249" s="50"/>
      <c r="UR249" s="50"/>
      <c r="US249" s="50"/>
      <c r="UT249" s="50"/>
      <c r="UU249" s="50"/>
      <c r="UV249" s="50"/>
      <c r="UW249" s="50"/>
      <c r="UX249" s="50"/>
      <c r="UY249" s="50"/>
      <c r="UZ249" s="50"/>
      <c r="VA249" s="50"/>
      <c r="VB249" s="50"/>
      <c r="VC249" s="50"/>
      <c r="VD249" s="50"/>
      <c r="VE249" s="50"/>
      <c r="VF249" s="50"/>
      <c r="VG249" s="50"/>
      <c r="VH249" s="50"/>
      <c r="VI249" s="50"/>
      <c r="VJ249" s="50"/>
      <c r="VK249" s="50"/>
      <c r="VL249" s="50"/>
      <c r="VM249" s="50"/>
      <c r="VN249" s="50"/>
      <c r="VO249" s="50"/>
      <c r="VP249" s="50"/>
      <c r="VQ249" s="50"/>
      <c r="VR249" s="50"/>
      <c r="VS249" s="50"/>
      <c r="VT249" s="50"/>
      <c r="VU249" s="50"/>
      <c r="VV249" s="50"/>
      <c r="VW249" s="50"/>
      <c r="VX249" s="50"/>
      <c r="VY249" s="50"/>
      <c r="VZ249" s="50"/>
      <c r="WA249" s="50"/>
      <c r="WB249" s="50"/>
      <c r="WC249" s="50"/>
      <c r="WD249" s="50"/>
      <c r="WE249" s="50"/>
      <c r="WF249" s="50"/>
      <c r="WG249" s="50"/>
      <c r="WH249" s="50"/>
      <c r="WI249" s="50"/>
      <c r="WJ249" s="50"/>
      <c r="WK249" s="50"/>
      <c r="WL249" s="50"/>
      <c r="WM249" s="50"/>
      <c r="WN249" s="50"/>
      <c r="WO249" s="50"/>
      <c r="WP249" s="50"/>
      <c r="WQ249" s="50"/>
      <c r="WR249" s="50"/>
      <c r="WS249" s="50"/>
      <c r="WT249" s="50"/>
      <c r="WU249" s="50"/>
      <c r="WV249" s="50"/>
      <c r="WW249" s="50"/>
      <c r="WX249" s="50"/>
      <c r="WY249" s="50"/>
      <c r="WZ249" s="50"/>
      <c r="XA249" s="50"/>
      <c r="XB249" s="50"/>
      <c r="XC249" s="50"/>
      <c r="XD249" s="50"/>
      <c r="XE249" s="50"/>
      <c r="XF249" s="50"/>
      <c r="XG249" s="50"/>
      <c r="XH249" s="50"/>
      <c r="XI249" s="50"/>
      <c r="XJ249" s="50"/>
      <c r="XK249" s="50"/>
      <c r="XL249" s="50"/>
      <c r="XM249" s="50"/>
      <c r="XN249" s="50"/>
      <c r="XO249" s="50"/>
      <c r="XP249" s="50"/>
      <c r="XQ249" s="50"/>
      <c r="XR249" s="50"/>
      <c r="XS249" s="50"/>
      <c r="XT249" s="50"/>
      <c r="XU249" s="50"/>
      <c r="XV249" s="50"/>
      <c r="XW249" s="50"/>
      <c r="XX249" s="50"/>
      <c r="XY249" s="50"/>
      <c r="XZ249" s="50"/>
      <c r="YA249" s="50"/>
      <c r="YB249" s="50"/>
      <c r="YC249" s="50"/>
      <c r="YD249" s="50"/>
      <c r="YE249" s="50"/>
      <c r="YF249" s="50"/>
      <c r="YG249" s="50"/>
      <c r="YH249" s="50"/>
      <c r="YI249" s="50"/>
      <c r="YJ249" s="50"/>
      <c r="YK249" s="50"/>
      <c r="YL249" s="50"/>
      <c r="YM249" s="50"/>
      <c r="YN249" s="50"/>
      <c r="YO249" s="50"/>
      <c r="YP249" s="50"/>
      <c r="YQ249" s="50"/>
      <c r="YR249" s="50"/>
      <c r="YS249" s="50"/>
      <c r="YT249" s="50"/>
      <c r="YU249" s="50"/>
      <c r="YV249" s="50"/>
      <c r="YW249" s="50"/>
      <c r="YX249" s="50"/>
      <c r="YY249" s="50"/>
      <c r="YZ249" s="50"/>
      <c r="ZA249" s="50"/>
      <c r="ZB249" s="50"/>
      <c r="ZC249" s="50"/>
      <c r="ZD249" s="50"/>
      <c r="ZE249" s="50"/>
      <c r="ZF249" s="50"/>
      <c r="ZG249" s="50"/>
      <c r="ZH249" s="50"/>
      <c r="ZI249" s="50"/>
      <c r="ZJ249" s="50"/>
      <c r="ZK249" s="50"/>
      <c r="ZL249" s="50"/>
      <c r="ZM249" s="50"/>
      <c r="ZN249" s="50"/>
      <c r="ZO249" s="50"/>
      <c r="ZP249" s="50"/>
      <c r="ZQ249" s="50"/>
      <c r="ZR249" s="50"/>
      <c r="ZS249" s="50"/>
      <c r="ZT249" s="50"/>
      <c r="ZU249" s="50"/>
      <c r="ZV249" s="50"/>
      <c r="ZW249" s="50"/>
      <c r="ZX249" s="50"/>
      <c r="ZY249" s="618"/>
      <c r="ZZ249" s="36"/>
      <c r="AAA249" s="588"/>
      <c r="AAD249" s="112"/>
      <c r="AAE249" s="551" t="s">
        <v>26</v>
      </c>
      <c r="AAF249" s="583" t="s">
        <v>174</v>
      </c>
      <c r="AAG249" s="63"/>
      <c r="AAH249" s="63"/>
      <c r="AAI249" s="77"/>
      <c r="AAJ249" s="77"/>
      <c r="AAK249" s="77"/>
      <c r="AAL249" s="80"/>
      <c r="AAM249" s="112"/>
      <c r="AAN249"/>
      <c r="AAT249" s="23"/>
      <c r="AAU249" s="44"/>
    </row>
    <row r="250" spans="1:732" s="23" customFormat="1" ht="18" customHeight="1">
      <c r="A250" s="558"/>
      <c r="B250" s="765" t="str">
        <f>AAL25</f>
        <v>4-Public Notice WITH hearing</v>
      </c>
      <c r="C250" s="765"/>
      <c r="D250" s="765"/>
      <c r="E250" s="765"/>
      <c r="F250" s="765"/>
      <c r="G250" s="765"/>
      <c r="H250" s="765"/>
      <c r="I250" s="588"/>
      <c r="J250" s="632"/>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19"/>
      <c r="ZZ250" s="119"/>
      <c r="AAA250" s="588"/>
      <c r="AAB250"/>
      <c r="AAC250"/>
      <c r="AAD250" s="112"/>
      <c r="AAE250" s="551" t="s">
        <v>27</v>
      </c>
      <c r="AAF250" s="583" t="s">
        <v>174</v>
      </c>
      <c r="AAG250" s="112"/>
      <c r="AAH250" s="112"/>
      <c r="AAI250" s="77"/>
      <c r="AAJ250" s="90"/>
      <c r="AAK250" s="90"/>
      <c r="AAL250" s="76"/>
      <c r="AAM250" s="112"/>
      <c r="AAU250" s="44"/>
    </row>
    <row r="251" spans="1:732" s="23" customFormat="1" ht="18" customHeight="1">
      <c r="A251" s="558"/>
      <c r="B251" s="272" t="s">
        <v>15</v>
      </c>
      <c r="C251" s="703"/>
      <c r="D251" s="150" t="s">
        <v>241</v>
      </c>
      <c r="E251" s="151" t="s">
        <v>15</v>
      </c>
      <c r="F251" s="235" t="s">
        <v>2</v>
      </c>
      <c r="G251" s="152" t="s">
        <v>85</v>
      </c>
      <c r="H251" s="152" t="s">
        <v>86</v>
      </c>
      <c r="I251" s="627"/>
      <c r="J251" s="593"/>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c r="BJ251" s="48"/>
      <c r="BK251" s="48"/>
      <c r="BL251" s="48"/>
      <c r="BM251" s="48"/>
      <c r="BN251" s="48"/>
      <c r="BO251" s="48"/>
      <c r="BP251" s="48"/>
      <c r="BQ251" s="48"/>
      <c r="BR251" s="48"/>
      <c r="BS251" s="48"/>
      <c r="BT251" s="48"/>
      <c r="BU251" s="48"/>
      <c r="BV251" s="48"/>
      <c r="BW251" s="48"/>
      <c r="BX251" s="48"/>
      <c r="BY251" s="48"/>
      <c r="BZ251" s="48"/>
      <c r="CA251" s="48"/>
      <c r="CB251" s="48"/>
      <c r="CC251" s="48"/>
      <c r="CD251" s="48"/>
      <c r="CE251" s="48"/>
      <c r="CF251" s="48"/>
      <c r="CG251" s="48"/>
      <c r="CH251" s="48"/>
      <c r="CI251" s="48"/>
      <c r="CJ251" s="48"/>
      <c r="CK251" s="48"/>
      <c r="CL251" s="48"/>
      <c r="CM251" s="48"/>
      <c r="CN251" s="48"/>
      <c r="CO251" s="48"/>
      <c r="CP251" s="48"/>
      <c r="CQ251" s="48"/>
      <c r="CR251" s="48"/>
      <c r="CS251" s="48"/>
      <c r="CT251" s="48"/>
      <c r="CU251" s="48"/>
      <c r="CV251" s="48"/>
      <c r="CW251" s="48"/>
      <c r="CX251" s="48"/>
      <c r="CY251" s="48"/>
      <c r="CZ251" s="48"/>
      <c r="DA251" s="48"/>
      <c r="DB251" s="48"/>
      <c r="DC251" s="48"/>
      <c r="DD251" s="48"/>
      <c r="DE251" s="48"/>
      <c r="DF251" s="48"/>
      <c r="DG251" s="48"/>
      <c r="DH251" s="48"/>
      <c r="DI251" s="48"/>
      <c r="DJ251" s="48"/>
      <c r="DK251" s="48"/>
      <c r="DL251" s="48"/>
      <c r="DM251" s="48"/>
      <c r="DN251" s="48"/>
      <c r="DO251" s="48"/>
      <c r="DP251" s="48"/>
      <c r="DQ251" s="48"/>
      <c r="DR251" s="48"/>
      <c r="DS251" s="48"/>
      <c r="DT251" s="48"/>
      <c r="DU251" s="48"/>
      <c r="DV251" s="48"/>
      <c r="DW251" s="48"/>
      <c r="DX251" s="48"/>
      <c r="DY251" s="48"/>
      <c r="DZ251" s="48"/>
      <c r="EA251" s="48"/>
      <c r="EB251" s="48"/>
      <c r="EC251" s="48"/>
      <c r="ED251" s="48"/>
      <c r="EE251" s="48"/>
      <c r="EF251" s="48"/>
      <c r="EG251" s="48"/>
      <c r="EH251" s="48"/>
      <c r="EI251" s="48"/>
      <c r="EJ251" s="48"/>
      <c r="EK251" s="48"/>
      <c r="EL251" s="48"/>
      <c r="EM251" s="48"/>
      <c r="EN251" s="48"/>
      <c r="EO251" s="48"/>
      <c r="EP251" s="48"/>
      <c r="EQ251" s="48"/>
      <c r="ER251" s="48"/>
      <c r="ES251" s="48"/>
      <c r="ET251" s="48"/>
      <c r="EU251" s="48"/>
      <c r="EV251" s="48"/>
      <c r="EW251" s="48"/>
      <c r="EX251" s="48"/>
      <c r="EY251" s="48"/>
      <c r="EZ251" s="48"/>
      <c r="FA251" s="48"/>
      <c r="FB251" s="48"/>
      <c r="FC251" s="48"/>
      <c r="FD251" s="48"/>
      <c r="FE251" s="48"/>
      <c r="FF251" s="48"/>
      <c r="FG251" s="48"/>
      <c r="FH251" s="48"/>
      <c r="FI251" s="48"/>
      <c r="FJ251" s="48"/>
      <c r="FK251" s="48"/>
      <c r="FL251" s="48"/>
      <c r="FM251" s="48"/>
      <c r="FN251" s="48"/>
      <c r="FO251" s="48"/>
      <c r="FP251" s="48"/>
      <c r="FQ251" s="48"/>
      <c r="FR251" s="48"/>
      <c r="FS251" s="48"/>
      <c r="FT251" s="48"/>
      <c r="FU251" s="48"/>
      <c r="FV251" s="48"/>
      <c r="FW251" s="48"/>
      <c r="FX251" s="48"/>
      <c r="FY251" s="48"/>
      <c r="FZ251" s="48"/>
      <c r="GA251" s="48"/>
      <c r="GB251" s="48"/>
      <c r="GC251" s="48"/>
      <c r="GD251" s="48"/>
      <c r="GE251" s="48"/>
      <c r="GF251" s="48"/>
      <c r="GG251" s="48"/>
      <c r="GH251" s="48"/>
      <c r="GI251" s="48"/>
      <c r="GJ251" s="48"/>
      <c r="GK251" s="48"/>
      <c r="GL251" s="48"/>
      <c r="GM251" s="48"/>
      <c r="GN251" s="48"/>
      <c r="GO251" s="48"/>
      <c r="GP251" s="48"/>
      <c r="GQ251" s="48"/>
      <c r="GR251" s="48"/>
      <c r="GS251" s="48"/>
      <c r="GT251" s="48"/>
      <c r="GU251" s="48"/>
      <c r="GV251" s="48"/>
      <c r="GW251" s="48"/>
      <c r="GX251" s="48"/>
      <c r="GY251" s="48"/>
      <c r="GZ251" s="48"/>
      <c r="HA251" s="48"/>
      <c r="HB251" s="48"/>
      <c r="HC251" s="48"/>
      <c r="HD251" s="48"/>
      <c r="HE251" s="48"/>
      <c r="HF251" s="48"/>
      <c r="HG251" s="48"/>
      <c r="HH251" s="48"/>
      <c r="HI251" s="48"/>
      <c r="HJ251" s="48"/>
      <c r="HK251" s="48"/>
      <c r="HL251" s="48"/>
      <c r="HM251" s="48"/>
      <c r="HN251" s="48"/>
      <c r="HO251" s="48"/>
      <c r="HP251" s="48"/>
      <c r="HQ251" s="48"/>
      <c r="HR251" s="48"/>
      <c r="HS251" s="48"/>
      <c r="HT251" s="48"/>
      <c r="HU251" s="48"/>
      <c r="HV251" s="48"/>
      <c r="HW251" s="48"/>
      <c r="HX251" s="48"/>
      <c r="HY251" s="48"/>
      <c r="HZ251" s="48"/>
      <c r="IA251" s="48"/>
      <c r="IB251" s="48"/>
      <c r="IC251" s="48"/>
      <c r="ID251" s="48"/>
      <c r="IE251" s="48"/>
      <c r="IF251" s="48"/>
      <c r="IG251" s="48"/>
      <c r="IH251" s="48"/>
      <c r="II251" s="48"/>
      <c r="IJ251" s="48"/>
      <c r="IK251" s="48"/>
      <c r="IL251" s="48"/>
      <c r="IM251" s="48"/>
      <c r="IN251" s="48"/>
      <c r="IO251" s="48"/>
      <c r="IP251" s="48"/>
      <c r="IQ251" s="48"/>
      <c r="IR251" s="48"/>
      <c r="IS251" s="48"/>
      <c r="IT251" s="48"/>
      <c r="IU251" s="48"/>
      <c r="IV251" s="48"/>
      <c r="IW251" s="48"/>
      <c r="IX251" s="48"/>
      <c r="IY251" s="48"/>
      <c r="IZ251" s="48"/>
      <c r="JA251" s="48"/>
      <c r="JB251" s="48"/>
      <c r="JC251" s="48"/>
      <c r="JD251" s="48"/>
      <c r="JE251" s="48"/>
      <c r="JF251" s="48"/>
      <c r="JG251" s="48"/>
      <c r="JH251" s="48"/>
      <c r="JI251" s="48"/>
      <c r="JJ251" s="48"/>
      <c r="JK251" s="48"/>
      <c r="JL251" s="48"/>
      <c r="JM251" s="48"/>
      <c r="JN251" s="48"/>
      <c r="JO251" s="48"/>
      <c r="JP251" s="48"/>
      <c r="JQ251" s="48"/>
      <c r="JR251" s="48"/>
      <c r="JS251" s="48"/>
      <c r="JT251" s="48"/>
      <c r="JU251" s="48"/>
      <c r="JV251" s="48"/>
      <c r="JW251" s="48"/>
      <c r="JX251" s="48"/>
      <c r="JY251" s="48"/>
      <c r="JZ251" s="48"/>
      <c r="KA251" s="48"/>
      <c r="KB251" s="48"/>
      <c r="KC251" s="48"/>
      <c r="KD251" s="48"/>
      <c r="KE251" s="48"/>
      <c r="KF251" s="48"/>
      <c r="KG251" s="48"/>
      <c r="KH251" s="48"/>
      <c r="KI251" s="48"/>
      <c r="KJ251" s="48"/>
      <c r="KK251" s="48"/>
      <c r="KL251" s="48"/>
      <c r="KM251" s="48"/>
      <c r="KN251" s="48"/>
      <c r="KO251" s="48"/>
      <c r="KP251" s="48"/>
      <c r="KQ251" s="48"/>
      <c r="KR251" s="48"/>
      <c r="KS251" s="48"/>
      <c r="KT251" s="48"/>
      <c r="KU251" s="48"/>
      <c r="KV251" s="48"/>
      <c r="KW251" s="48"/>
      <c r="KX251" s="48"/>
      <c r="KY251" s="48"/>
      <c r="KZ251" s="48"/>
      <c r="LA251" s="48"/>
      <c r="LB251" s="48"/>
      <c r="LC251" s="48"/>
      <c r="LD251" s="48"/>
      <c r="LE251" s="48"/>
      <c r="LF251" s="48"/>
      <c r="LG251" s="48"/>
      <c r="LH251" s="48"/>
      <c r="LI251" s="48"/>
      <c r="LJ251" s="48"/>
      <c r="LK251" s="48"/>
      <c r="LL251" s="48"/>
      <c r="LM251" s="48"/>
      <c r="LN251" s="48"/>
      <c r="LO251" s="48"/>
      <c r="LP251" s="48"/>
      <c r="LQ251" s="48"/>
      <c r="LR251" s="48"/>
      <c r="LS251" s="48"/>
      <c r="LT251" s="48"/>
      <c r="LU251" s="48"/>
      <c r="LV251" s="48"/>
      <c r="LW251" s="48"/>
      <c r="LX251" s="48"/>
      <c r="LY251" s="48"/>
      <c r="LZ251" s="48"/>
      <c r="MA251" s="48"/>
      <c r="MB251" s="48"/>
      <c r="MC251" s="48"/>
      <c r="MD251" s="48"/>
      <c r="ME251" s="48"/>
      <c r="MF251" s="48"/>
      <c r="MG251" s="48"/>
      <c r="MH251" s="48"/>
      <c r="MI251" s="48"/>
      <c r="MJ251" s="48"/>
      <c r="MK251" s="48"/>
      <c r="ML251" s="48"/>
      <c r="MM251" s="48"/>
      <c r="MN251" s="48"/>
      <c r="MO251" s="48"/>
      <c r="MP251" s="48"/>
      <c r="MQ251" s="48"/>
      <c r="MR251" s="48"/>
      <c r="MS251" s="48"/>
      <c r="MT251" s="48"/>
      <c r="MU251" s="48"/>
      <c r="MV251" s="48"/>
      <c r="MW251" s="48"/>
      <c r="MX251" s="48"/>
      <c r="MY251" s="48"/>
      <c r="MZ251" s="48"/>
      <c r="NA251" s="48"/>
      <c r="NB251" s="48"/>
      <c r="NC251" s="48"/>
      <c r="ND251" s="48"/>
      <c r="NE251" s="48"/>
      <c r="NF251" s="48"/>
      <c r="NG251" s="48"/>
      <c r="NH251" s="48"/>
      <c r="NI251" s="48"/>
      <c r="NJ251" s="48"/>
      <c r="NK251" s="48"/>
      <c r="NL251" s="48"/>
      <c r="NM251" s="48"/>
      <c r="NN251" s="48"/>
      <c r="NO251" s="48"/>
      <c r="NP251" s="48"/>
      <c r="NQ251" s="48"/>
      <c r="NR251" s="48"/>
      <c r="NS251" s="48"/>
      <c r="NT251" s="48"/>
      <c r="NU251" s="48"/>
      <c r="NV251" s="48"/>
      <c r="NW251" s="48"/>
      <c r="NX251" s="48"/>
      <c r="NY251" s="48"/>
      <c r="NZ251" s="48"/>
      <c r="OA251" s="48"/>
      <c r="OB251" s="48"/>
      <c r="OC251" s="48"/>
      <c r="OD251" s="48"/>
      <c r="OE251" s="48"/>
      <c r="OF251" s="48"/>
      <c r="OG251" s="48"/>
      <c r="OH251" s="48"/>
      <c r="OI251" s="48"/>
      <c r="OJ251" s="48"/>
      <c r="OK251" s="48"/>
      <c r="OL251" s="48"/>
      <c r="OM251" s="48"/>
      <c r="ON251" s="48"/>
      <c r="OO251" s="48"/>
      <c r="OP251" s="48"/>
      <c r="OQ251" s="48"/>
      <c r="OR251" s="48"/>
      <c r="OS251" s="48"/>
      <c r="OT251" s="48"/>
      <c r="OU251" s="48"/>
      <c r="OV251" s="48"/>
      <c r="OW251" s="48"/>
      <c r="OX251" s="48"/>
      <c r="OY251" s="48"/>
      <c r="OZ251" s="48"/>
      <c r="PA251" s="48"/>
      <c r="PB251" s="48"/>
      <c r="PC251" s="48"/>
      <c r="PD251" s="48"/>
      <c r="PE251" s="48"/>
      <c r="PF251" s="48"/>
      <c r="PG251" s="48"/>
      <c r="PH251" s="48"/>
      <c r="PI251" s="48"/>
      <c r="PJ251" s="48"/>
      <c r="PK251" s="48"/>
      <c r="PL251" s="48"/>
      <c r="PM251" s="48"/>
      <c r="PN251" s="48"/>
      <c r="PO251" s="48"/>
      <c r="PP251" s="48"/>
      <c r="PQ251" s="48"/>
      <c r="PR251" s="48"/>
      <c r="PS251" s="48"/>
      <c r="PT251" s="48"/>
      <c r="PU251" s="48"/>
      <c r="PV251" s="48"/>
      <c r="PW251" s="48"/>
      <c r="PX251" s="48"/>
      <c r="PY251" s="48"/>
      <c r="PZ251" s="48"/>
      <c r="QA251" s="48"/>
      <c r="QB251" s="48"/>
      <c r="QC251" s="48"/>
      <c r="QD251" s="48"/>
      <c r="QE251" s="48"/>
      <c r="QF251" s="48"/>
      <c r="QG251" s="48"/>
      <c r="QH251" s="48"/>
      <c r="QI251" s="48"/>
      <c r="QJ251" s="48"/>
      <c r="QK251" s="48"/>
      <c r="QL251" s="48"/>
      <c r="QM251" s="48"/>
      <c r="QN251" s="48"/>
      <c r="QO251" s="48"/>
      <c r="QP251" s="48"/>
      <c r="QQ251" s="48"/>
      <c r="QR251" s="48"/>
      <c r="QS251" s="48"/>
      <c r="QT251" s="48"/>
      <c r="QU251" s="48"/>
      <c r="QV251" s="48"/>
      <c r="QW251" s="48"/>
      <c r="QX251" s="48"/>
      <c r="QY251" s="48"/>
      <c r="QZ251" s="48"/>
      <c r="RA251" s="48"/>
      <c r="RB251" s="48"/>
      <c r="RC251" s="48"/>
      <c r="RD251" s="48"/>
      <c r="RE251" s="48"/>
      <c r="RF251" s="48"/>
      <c r="RG251" s="48"/>
      <c r="RH251" s="48"/>
      <c r="RI251" s="48"/>
      <c r="RJ251" s="48"/>
      <c r="RK251" s="48"/>
      <c r="RL251" s="48"/>
      <c r="RM251" s="48"/>
      <c r="RN251" s="48"/>
      <c r="RO251" s="48"/>
      <c r="RP251" s="48"/>
      <c r="RQ251" s="48"/>
      <c r="RR251" s="48"/>
      <c r="RS251" s="48"/>
      <c r="RT251" s="48"/>
      <c r="RU251" s="48"/>
      <c r="RV251" s="48"/>
      <c r="RW251" s="48"/>
      <c r="RX251" s="48"/>
      <c r="RY251" s="48"/>
      <c r="RZ251" s="48"/>
      <c r="SA251" s="48"/>
      <c r="SB251" s="48"/>
      <c r="SC251" s="48"/>
      <c r="SD251" s="48"/>
      <c r="SE251" s="48"/>
      <c r="SF251" s="48"/>
      <c r="SG251" s="48"/>
      <c r="SH251" s="48"/>
      <c r="SI251" s="48"/>
      <c r="SJ251" s="48"/>
      <c r="SK251" s="48"/>
      <c r="SL251" s="48"/>
      <c r="SM251" s="48"/>
      <c r="SN251" s="48"/>
      <c r="SO251" s="48"/>
      <c r="SP251" s="48"/>
      <c r="SQ251" s="48"/>
      <c r="SR251" s="48"/>
      <c r="SS251" s="48"/>
      <c r="ST251" s="48"/>
      <c r="SU251" s="48"/>
      <c r="SV251" s="48"/>
      <c r="SW251" s="48"/>
      <c r="SX251" s="48"/>
      <c r="SY251" s="48"/>
      <c r="SZ251" s="48"/>
      <c r="TA251" s="48"/>
      <c r="TB251" s="48"/>
      <c r="TC251" s="48"/>
      <c r="TD251" s="48"/>
      <c r="TE251" s="48"/>
      <c r="TF251" s="48"/>
      <c r="TG251" s="48"/>
      <c r="TH251" s="48"/>
      <c r="TI251" s="48"/>
      <c r="TJ251" s="48"/>
      <c r="TK251" s="48"/>
      <c r="TL251" s="48"/>
      <c r="TM251" s="48"/>
      <c r="TN251" s="48"/>
      <c r="TO251" s="48"/>
      <c r="TP251" s="48"/>
      <c r="TQ251" s="48"/>
      <c r="TR251" s="48"/>
      <c r="TS251" s="48"/>
      <c r="TT251" s="48"/>
      <c r="TU251" s="48"/>
      <c r="TV251" s="48"/>
      <c r="TW251" s="48"/>
      <c r="TX251" s="48"/>
      <c r="TY251" s="48"/>
      <c r="TZ251" s="48"/>
      <c r="UA251" s="48"/>
      <c r="UB251" s="48"/>
      <c r="UC251" s="48"/>
      <c r="UD251" s="48"/>
      <c r="UE251" s="48"/>
      <c r="UF251" s="48"/>
      <c r="UG251" s="48"/>
      <c r="UH251" s="48"/>
      <c r="UI251" s="48"/>
      <c r="UJ251" s="48"/>
      <c r="UK251" s="48"/>
      <c r="UL251" s="48"/>
      <c r="UM251" s="48"/>
      <c r="UN251" s="48"/>
      <c r="UO251" s="48"/>
      <c r="UP251" s="48"/>
      <c r="UQ251" s="48"/>
      <c r="UR251" s="48"/>
      <c r="US251" s="48"/>
      <c r="UT251" s="48"/>
      <c r="UU251" s="48"/>
      <c r="UV251" s="48"/>
      <c r="UW251" s="48"/>
      <c r="UX251" s="48"/>
      <c r="UY251" s="48"/>
      <c r="UZ251" s="48"/>
      <c r="VA251" s="48"/>
      <c r="VB251" s="48"/>
      <c r="VC251" s="48"/>
      <c r="VD251" s="48"/>
      <c r="VE251" s="48"/>
      <c r="VF251" s="48"/>
      <c r="VG251" s="48"/>
      <c r="VH251" s="48"/>
      <c r="VI251" s="48"/>
      <c r="VJ251" s="48"/>
      <c r="VK251" s="48"/>
      <c r="VL251" s="48"/>
      <c r="VM251" s="48"/>
      <c r="VN251" s="48"/>
      <c r="VO251" s="48"/>
      <c r="VP251" s="48"/>
      <c r="VQ251" s="48"/>
      <c r="VR251" s="48"/>
      <c r="VS251" s="48"/>
      <c r="VT251" s="48"/>
      <c r="VU251" s="48"/>
      <c r="VV251" s="48"/>
      <c r="VW251" s="48"/>
      <c r="VX251" s="48"/>
      <c r="VY251" s="48"/>
      <c r="VZ251" s="48"/>
      <c r="WA251" s="48"/>
      <c r="WB251" s="48"/>
      <c r="WC251" s="48"/>
      <c r="WD251" s="48"/>
      <c r="WE251" s="48"/>
      <c r="WF251" s="48"/>
      <c r="WG251" s="48"/>
      <c r="WH251" s="48"/>
      <c r="WI251" s="48"/>
      <c r="WJ251" s="48"/>
      <c r="WK251" s="48"/>
      <c r="WL251" s="48"/>
      <c r="WM251" s="48"/>
      <c r="WN251" s="48"/>
      <c r="WO251" s="48"/>
      <c r="WP251" s="48"/>
      <c r="WQ251" s="48"/>
      <c r="WR251" s="48"/>
      <c r="WS251" s="48"/>
      <c r="WT251" s="48"/>
      <c r="WU251" s="48"/>
      <c r="WV251" s="48"/>
      <c r="WW251" s="48"/>
      <c r="WX251" s="48"/>
      <c r="WY251" s="48"/>
      <c r="WZ251" s="48"/>
      <c r="XA251" s="48"/>
      <c r="XB251" s="48"/>
      <c r="XC251" s="48"/>
      <c r="XD251" s="48"/>
      <c r="XE251" s="48"/>
      <c r="XF251" s="48"/>
      <c r="XG251" s="48"/>
      <c r="XH251" s="48"/>
      <c r="XI251" s="48"/>
      <c r="XJ251" s="48"/>
      <c r="XK251" s="48"/>
      <c r="XL251" s="48"/>
      <c r="XM251" s="48"/>
      <c r="XN251" s="48"/>
      <c r="XO251" s="48"/>
      <c r="XP251" s="48"/>
      <c r="XQ251" s="48"/>
      <c r="XR251" s="48"/>
      <c r="XS251" s="48"/>
      <c r="XT251" s="48"/>
      <c r="XU251" s="48"/>
      <c r="XV251" s="48"/>
      <c r="XW251" s="48"/>
      <c r="XX251" s="48"/>
      <c r="XY251" s="48"/>
      <c r="XZ251" s="48"/>
      <c r="YA251" s="48"/>
      <c r="YB251" s="48"/>
      <c r="YC251" s="48"/>
      <c r="YD251" s="48"/>
      <c r="YE251" s="48"/>
      <c r="YF251" s="48"/>
      <c r="YG251" s="48"/>
      <c r="YH251" s="48"/>
      <c r="YI251" s="48"/>
      <c r="YJ251" s="48"/>
      <c r="YK251" s="48"/>
      <c r="YL251" s="48"/>
      <c r="YM251" s="48"/>
      <c r="YN251" s="48"/>
      <c r="YO251" s="48"/>
      <c r="YP251" s="48"/>
      <c r="YQ251" s="48"/>
      <c r="YR251" s="48"/>
      <c r="YS251" s="48"/>
      <c r="YT251" s="48"/>
      <c r="YU251" s="48"/>
      <c r="YV251" s="48"/>
      <c r="YW251" s="48"/>
      <c r="YX251" s="48"/>
      <c r="YY251" s="48"/>
      <c r="YZ251" s="48"/>
      <c r="ZA251" s="48"/>
      <c r="ZB251" s="48"/>
      <c r="ZC251" s="48"/>
      <c r="ZD251" s="48"/>
      <c r="ZE251" s="48"/>
      <c r="ZF251" s="48"/>
      <c r="ZG251" s="48"/>
      <c r="ZH251" s="48"/>
      <c r="ZI251" s="48"/>
      <c r="ZJ251" s="48"/>
      <c r="ZK251" s="48"/>
      <c r="ZL251" s="48"/>
      <c r="ZM251" s="48"/>
      <c r="ZN251" s="48"/>
      <c r="ZO251" s="48"/>
      <c r="ZP251" s="48"/>
      <c r="ZQ251" s="48"/>
      <c r="ZR251" s="48"/>
      <c r="ZS251" s="48"/>
      <c r="ZT251" s="48"/>
      <c r="ZU251" s="48"/>
      <c r="ZV251" s="48"/>
      <c r="ZW251" s="48"/>
      <c r="ZX251" s="48"/>
      <c r="ZY251" s="619"/>
      <c r="ZZ251" s="119"/>
      <c r="AAA251" s="588"/>
      <c r="AAB251"/>
      <c r="AAC251"/>
      <c r="AAD251" s="112"/>
      <c r="AAE251" s="551" t="s">
        <v>245</v>
      </c>
      <c r="AAF251" s="583" t="s">
        <v>174</v>
      </c>
      <c r="AAG251" s="112"/>
      <c r="AAH251" s="112"/>
      <c r="AAI251" s="77"/>
      <c r="AAJ251" s="90"/>
      <c r="AAK251" s="90"/>
      <c r="AAL251" s="76"/>
      <c r="AAM251" s="112"/>
      <c r="AAU251" s="44"/>
    </row>
    <row r="252" spans="1:732" ht="18" customHeight="1">
      <c r="A252" s="558"/>
      <c r="B252" s="273"/>
      <c r="C252" s="704"/>
      <c r="D252" s="236"/>
      <c r="E252" s="236"/>
      <c r="F252" s="405">
        <f>NETWORKDAYS(S.BANNER.NoticeStart,S.BANNER.NoticeEnd,S.DDL_DEQClosed)</f>
        <v>155</v>
      </c>
      <c r="G252" s="253">
        <f>AAG252</f>
        <v>41369</v>
      </c>
      <c r="H252" s="663">
        <f>AAH252</f>
        <v>41593</v>
      </c>
      <c r="I252" s="627"/>
      <c r="J252" s="629"/>
      <c r="K252" s="635"/>
      <c r="L252" s="635"/>
      <c r="M252" s="635"/>
      <c r="N252" s="635"/>
      <c r="O252" s="635"/>
      <c r="P252" s="635"/>
      <c r="Q252" s="635"/>
      <c r="R252" s="635"/>
      <c r="S252" s="635"/>
      <c r="T252" s="635"/>
      <c r="U252" s="635"/>
      <c r="V252" s="635"/>
      <c r="W252" s="635"/>
      <c r="X252" s="635"/>
      <c r="Y252" s="635"/>
      <c r="Z252" s="635"/>
      <c r="AA252" s="635"/>
      <c r="AB252" s="635"/>
      <c r="AC252" s="635"/>
      <c r="AD252" s="635"/>
      <c r="AE252" s="635"/>
      <c r="AF252" s="635"/>
      <c r="AG252" s="635"/>
      <c r="AH252" s="635"/>
      <c r="AI252" s="635"/>
      <c r="AJ252" s="635"/>
      <c r="AK252" s="635"/>
      <c r="AL252" s="635"/>
      <c r="AM252" s="635"/>
      <c r="AN252" s="635"/>
      <c r="AO252" s="635"/>
      <c r="AP252" s="635"/>
      <c r="AQ252" s="635"/>
      <c r="AR252" s="635"/>
      <c r="AS252" s="635"/>
      <c r="AT252" s="635"/>
      <c r="AU252" s="635"/>
      <c r="AV252" s="635"/>
      <c r="AW252" s="635"/>
      <c r="AX252" s="635"/>
      <c r="AY252" s="635"/>
      <c r="AZ252" s="635"/>
      <c r="BA252" s="635"/>
      <c r="BB252" s="635"/>
      <c r="BC252" s="635"/>
      <c r="BD252" s="635"/>
      <c r="BE252" s="635"/>
      <c r="BF252" s="635"/>
      <c r="BG252" s="635"/>
      <c r="BH252" s="635"/>
      <c r="BI252" s="635"/>
      <c r="BJ252" s="635"/>
      <c r="BK252" s="635"/>
      <c r="BL252" s="635"/>
      <c r="BM252" s="635"/>
      <c r="BN252" s="635"/>
      <c r="BO252" s="635"/>
      <c r="BP252" s="635"/>
      <c r="BQ252" s="635"/>
      <c r="BR252" s="635"/>
      <c r="BS252" s="635"/>
      <c r="BT252" s="635"/>
      <c r="BU252" s="635"/>
      <c r="BV252" s="635"/>
      <c r="BW252" s="635"/>
      <c r="BX252" s="635"/>
      <c r="BY252" s="635"/>
      <c r="BZ252" s="635"/>
      <c r="CA252" s="635"/>
      <c r="CB252" s="635"/>
      <c r="CC252" s="635"/>
      <c r="CD252" s="635"/>
      <c r="CE252" s="635"/>
      <c r="CF252" s="635"/>
      <c r="CG252" s="635"/>
      <c r="CH252" s="635"/>
      <c r="CI252" s="635"/>
      <c r="CJ252" s="635"/>
      <c r="CK252" s="635"/>
      <c r="CL252" s="635"/>
      <c r="CM252" s="635"/>
      <c r="CN252" s="635"/>
      <c r="CO252" s="635"/>
      <c r="CP252" s="635"/>
      <c r="CQ252" s="635"/>
      <c r="CR252" s="635"/>
      <c r="CS252" s="635"/>
      <c r="CT252" s="635"/>
      <c r="CU252" s="635"/>
      <c r="CV252" s="635"/>
      <c r="CW252" s="635"/>
      <c r="CX252" s="635"/>
      <c r="CY252" s="635"/>
      <c r="CZ252" s="635"/>
      <c r="DA252" s="635"/>
      <c r="DB252" s="635"/>
      <c r="DC252" s="635"/>
      <c r="DD252" s="635"/>
      <c r="DE252" s="635"/>
      <c r="DF252" s="635"/>
      <c r="DG252" s="635"/>
      <c r="DH252" s="635"/>
      <c r="DI252" s="635"/>
      <c r="DJ252" s="635"/>
      <c r="DK252" s="635"/>
      <c r="DL252" s="635"/>
      <c r="DM252" s="635"/>
      <c r="DN252" s="635"/>
      <c r="DO252" s="635"/>
      <c r="DP252" s="635"/>
      <c r="DQ252" s="635"/>
      <c r="DR252" s="635"/>
      <c r="DS252" s="635"/>
      <c r="DT252" s="635"/>
      <c r="DU252" s="635"/>
      <c r="DV252" s="635"/>
      <c r="DW252" s="635"/>
      <c r="DX252" s="635"/>
      <c r="DY252" s="635"/>
      <c r="DZ252" s="635"/>
      <c r="EA252" s="635"/>
      <c r="EB252" s="635"/>
      <c r="EC252" s="635"/>
      <c r="ED252" s="635"/>
      <c r="EE252" s="635"/>
      <c r="EF252" s="635"/>
      <c r="EG252" s="635"/>
      <c r="EH252" s="635"/>
      <c r="EI252" s="635"/>
      <c r="EJ252" s="635"/>
      <c r="EK252" s="635"/>
      <c r="EL252" s="635"/>
      <c r="EM252" s="635"/>
      <c r="EN252" s="635"/>
      <c r="EO252" s="635"/>
      <c r="EP252" s="635"/>
      <c r="EQ252" s="635"/>
      <c r="ER252" s="635"/>
      <c r="ES252" s="635"/>
      <c r="ET252" s="635"/>
      <c r="EU252" s="635"/>
      <c r="EV252" s="635"/>
      <c r="EW252" s="635"/>
      <c r="EX252" s="635"/>
      <c r="EY252" s="635"/>
      <c r="EZ252" s="635"/>
      <c r="FA252" s="635"/>
      <c r="FB252" s="635"/>
      <c r="FC252" s="635"/>
      <c r="FD252" s="635"/>
      <c r="FE252" s="635"/>
      <c r="FF252" s="635"/>
      <c r="FG252" s="635"/>
      <c r="FH252" s="635"/>
      <c r="FI252" s="635"/>
      <c r="FJ252" s="635"/>
      <c r="FK252" s="635"/>
      <c r="FL252" s="635"/>
      <c r="FM252" s="635"/>
      <c r="FN252" s="635"/>
      <c r="FO252" s="635"/>
      <c r="FP252" s="635"/>
      <c r="FQ252" s="635"/>
      <c r="FR252" s="635"/>
      <c r="FS252" s="635"/>
      <c r="FT252" s="635"/>
      <c r="FU252" s="635"/>
      <c r="FV252" s="635"/>
      <c r="FW252" s="635"/>
      <c r="FX252" s="635"/>
      <c r="FY252" s="635"/>
      <c r="FZ252" s="635"/>
      <c r="GA252" s="635"/>
      <c r="GB252" s="635"/>
      <c r="GC252" s="635"/>
      <c r="GD252" s="635"/>
      <c r="GE252" s="635"/>
      <c r="GF252" s="635"/>
      <c r="GG252" s="635"/>
      <c r="GH252" s="635"/>
      <c r="GI252" s="635"/>
      <c r="GJ252" s="635"/>
      <c r="GK252" s="635"/>
      <c r="GL252" s="635"/>
      <c r="GM252" s="635"/>
      <c r="GN252" s="635"/>
      <c r="GO252" s="635"/>
      <c r="GP252" s="635"/>
      <c r="GQ252" s="635"/>
      <c r="GR252" s="635"/>
      <c r="GS252" s="635"/>
      <c r="GT252" s="635"/>
      <c r="GU252" s="635"/>
      <c r="GV252" s="635"/>
      <c r="GW252" s="635"/>
      <c r="GX252" s="635"/>
      <c r="GY252" s="635"/>
      <c r="GZ252" s="635"/>
      <c r="HA252" s="635"/>
      <c r="HB252" s="635"/>
      <c r="HC252" s="635"/>
      <c r="HD252" s="635"/>
      <c r="HE252" s="635"/>
      <c r="HF252" s="635"/>
      <c r="HG252" s="635"/>
      <c r="HH252" s="635"/>
      <c r="HI252" s="635"/>
      <c r="HJ252" s="635"/>
      <c r="HK252" s="635"/>
      <c r="HL252" s="635"/>
      <c r="HM252" s="635"/>
      <c r="HN252" s="635"/>
      <c r="HO252" s="635"/>
      <c r="HP252" s="635"/>
      <c r="HQ252" s="635"/>
      <c r="HR252" s="635"/>
      <c r="HS252" s="635"/>
      <c r="HT252" s="635"/>
      <c r="HU252" s="635"/>
      <c r="HV252" s="635"/>
      <c r="HW252" s="635"/>
      <c r="HX252" s="635"/>
      <c r="HY252" s="635"/>
      <c r="HZ252" s="635"/>
      <c r="IA252" s="635"/>
      <c r="IB252" s="635"/>
      <c r="IC252" s="635"/>
      <c r="ID252" s="635"/>
      <c r="IE252" s="635"/>
      <c r="IF252" s="635"/>
      <c r="IG252" s="635"/>
      <c r="IH252" s="635"/>
      <c r="II252" s="635"/>
      <c r="IJ252" s="635"/>
      <c r="IK252" s="635"/>
      <c r="IL252" s="635"/>
      <c r="IM252" s="635"/>
      <c r="IN252" s="635"/>
      <c r="IO252" s="635"/>
      <c r="IP252" s="635"/>
      <c r="IQ252" s="635"/>
      <c r="IR252" s="635"/>
      <c r="IS252" s="635"/>
      <c r="IT252" s="635"/>
      <c r="IU252" s="635"/>
      <c r="IV252" s="635"/>
      <c r="IW252" s="635"/>
      <c r="IX252" s="635"/>
      <c r="IY252" s="635"/>
      <c r="IZ252" s="635"/>
      <c r="JA252" s="635"/>
      <c r="JB252" s="635"/>
      <c r="JC252" s="635"/>
      <c r="JD252" s="635"/>
      <c r="JE252" s="635"/>
      <c r="JF252" s="635"/>
      <c r="JG252" s="635"/>
      <c r="JH252" s="635"/>
      <c r="JI252" s="635"/>
      <c r="JJ252" s="635"/>
      <c r="JK252" s="635"/>
      <c r="JL252" s="635"/>
      <c r="JM252" s="635"/>
      <c r="JN252" s="635"/>
      <c r="JO252" s="635"/>
      <c r="JP252" s="635"/>
      <c r="JQ252" s="635"/>
      <c r="JR252" s="635"/>
      <c r="JS252" s="635"/>
      <c r="JT252" s="635"/>
      <c r="JU252" s="635"/>
      <c r="JV252" s="635"/>
      <c r="JW252" s="635"/>
      <c r="JX252" s="635"/>
      <c r="JY252" s="635"/>
      <c r="JZ252" s="635"/>
      <c r="KA252" s="635"/>
      <c r="KB252" s="635"/>
      <c r="KC252" s="635"/>
      <c r="KD252" s="635"/>
      <c r="KE252" s="635"/>
      <c r="KF252" s="635"/>
      <c r="KG252" s="635"/>
      <c r="KH252" s="635"/>
      <c r="KI252" s="635"/>
      <c r="KJ252" s="635"/>
      <c r="KK252" s="635"/>
      <c r="KL252" s="635"/>
      <c r="KM252" s="635"/>
      <c r="KN252" s="635"/>
      <c r="KO252" s="635"/>
      <c r="KP252" s="635"/>
      <c r="KQ252" s="635"/>
      <c r="KR252" s="635"/>
      <c r="KS252" s="635"/>
      <c r="KT252" s="635"/>
      <c r="KU252" s="635"/>
      <c r="KV252" s="635"/>
      <c r="KW252" s="635"/>
      <c r="KX252" s="635"/>
      <c r="KY252" s="635"/>
      <c r="KZ252" s="635"/>
      <c r="LA252" s="635"/>
      <c r="LB252" s="635"/>
      <c r="LC252" s="635"/>
      <c r="LD252" s="635"/>
      <c r="LE252" s="635"/>
      <c r="LF252" s="635"/>
      <c r="LG252" s="635"/>
      <c r="LH252" s="635"/>
      <c r="LI252" s="635"/>
      <c r="LJ252" s="635"/>
      <c r="LK252" s="635"/>
      <c r="LL252" s="635"/>
      <c r="LM252" s="635"/>
      <c r="LN252" s="635"/>
      <c r="LO252" s="635"/>
      <c r="LP252" s="635"/>
      <c r="LQ252" s="635"/>
      <c r="LR252" s="635"/>
      <c r="LS252" s="635"/>
      <c r="LT252" s="635"/>
      <c r="LU252" s="635"/>
      <c r="LV252" s="635"/>
      <c r="LW252" s="635"/>
      <c r="LX252" s="635"/>
      <c r="LY252" s="635"/>
      <c r="LZ252" s="635"/>
      <c r="MA252" s="635"/>
      <c r="MB252" s="635"/>
      <c r="MC252" s="635"/>
      <c r="MD252" s="635"/>
      <c r="ME252" s="635"/>
      <c r="MF252" s="635"/>
      <c r="MG252" s="635"/>
      <c r="MH252" s="635"/>
      <c r="MI252" s="635"/>
      <c r="MJ252" s="635"/>
      <c r="MK252" s="635"/>
      <c r="ML252" s="635"/>
      <c r="MM252" s="635"/>
      <c r="MN252" s="635"/>
      <c r="MO252" s="635"/>
      <c r="MP252" s="635"/>
      <c r="MQ252" s="635"/>
      <c r="MR252" s="635"/>
      <c r="MS252" s="635"/>
      <c r="MT252" s="635"/>
      <c r="MU252" s="635"/>
      <c r="MV252" s="635"/>
      <c r="MW252" s="635"/>
      <c r="MX252" s="635"/>
      <c r="MY252" s="635"/>
      <c r="MZ252" s="635"/>
      <c r="NA252" s="635"/>
      <c r="NB252" s="635"/>
      <c r="NC252" s="635"/>
      <c r="ND252" s="635"/>
      <c r="NE252" s="635"/>
      <c r="NF252" s="635"/>
      <c r="NG252" s="635"/>
      <c r="NH252" s="635"/>
      <c r="NI252" s="635"/>
      <c r="NJ252" s="635"/>
      <c r="NK252" s="635"/>
      <c r="NL252" s="635"/>
      <c r="NM252" s="635"/>
      <c r="NN252" s="635"/>
      <c r="NO252" s="635"/>
      <c r="NP252" s="635"/>
      <c r="NQ252" s="635"/>
      <c r="NR252" s="635"/>
      <c r="NS252" s="635"/>
      <c r="NT252" s="635"/>
      <c r="NU252" s="635"/>
      <c r="NV252" s="635"/>
      <c r="NW252" s="635"/>
      <c r="NX252" s="635"/>
      <c r="NY252" s="635"/>
      <c r="NZ252" s="635"/>
      <c r="OA252" s="635"/>
      <c r="OB252" s="635"/>
      <c r="OC252" s="635"/>
      <c r="OD252" s="635"/>
      <c r="OE252" s="635"/>
      <c r="OF252" s="635"/>
      <c r="OG252" s="635"/>
      <c r="OH252" s="635"/>
      <c r="OI252" s="635"/>
      <c r="OJ252" s="635"/>
      <c r="OK252" s="635"/>
      <c r="OL252" s="635"/>
      <c r="OM252" s="635"/>
      <c r="ON252" s="635"/>
      <c r="OO252" s="635"/>
      <c r="OP252" s="635"/>
      <c r="OQ252" s="635"/>
      <c r="OR252" s="635"/>
      <c r="OS252" s="635"/>
      <c r="OT252" s="635"/>
      <c r="OU252" s="635"/>
      <c r="OV252" s="635"/>
      <c r="OW252" s="635"/>
      <c r="OX252" s="635"/>
      <c r="OY252" s="635"/>
      <c r="OZ252" s="635"/>
      <c r="PA252" s="635"/>
      <c r="PB252" s="635"/>
      <c r="PC252" s="635"/>
      <c r="PD252" s="635"/>
      <c r="PE252" s="635"/>
      <c r="PF252" s="635"/>
      <c r="PG252" s="635"/>
      <c r="PH252" s="635"/>
      <c r="PI252" s="635"/>
      <c r="PJ252" s="635"/>
      <c r="PK252" s="635"/>
      <c r="PL252" s="635"/>
      <c r="PM252" s="635"/>
      <c r="PN252" s="635"/>
      <c r="PO252" s="635"/>
      <c r="PP252" s="635"/>
      <c r="PQ252" s="635"/>
      <c r="PR252" s="635"/>
      <c r="PS252" s="635"/>
      <c r="PT252" s="635"/>
      <c r="PU252" s="635"/>
      <c r="PV252" s="635"/>
      <c r="PW252" s="635"/>
      <c r="PX252" s="635"/>
      <c r="PY252" s="635"/>
      <c r="PZ252" s="635"/>
      <c r="QA252" s="635"/>
      <c r="QB252" s="635"/>
      <c r="QC252" s="635"/>
      <c r="QD252" s="635"/>
      <c r="QE252" s="635"/>
      <c r="QF252" s="635"/>
      <c r="QG252" s="635"/>
      <c r="QH252" s="635"/>
      <c r="QI252" s="635"/>
      <c r="QJ252" s="635"/>
      <c r="QK252" s="635"/>
      <c r="QL252" s="635"/>
      <c r="QM252" s="635"/>
      <c r="QN252" s="635"/>
      <c r="QO252" s="635"/>
      <c r="QP252" s="635"/>
      <c r="QQ252" s="635"/>
      <c r="QR252" s="635"/>
      <c r="QS252" s="635"/>
      <c r="QT252" s="635"/>
      <c r="QU252" s="635"/>
      <c r="QV252" s="635"/>
      <c r="QW252" s="635"/>
      <c r="QX252" s="635"/>
      <c r="QY252" s="635"/>
      <c r="QZ252" s="635"/>
      <c r="RA252" s="635"/>
      <c r="RB252" s="635"/>
      <c r="RC252" s="635"/>
      <c r="RD252" s="635"/>
      <c r="RE252" s="635"/>
      <c r="RF252" s="635"/>
      <c r="RG252" s="635"/>
      <c r="RH252" s="635"/>
      <c r="RI252" s="635"/>
      <c r="RJ252" s="635"/>
      <c r="RK252" s="635"/>
      <c r="RL252" s="635"/>
      <c r="RM252" s="635"/>
      <c r="RN252" s="635"/>
      <c r="RO252" s="635"/>
      <c r="RP252" s="635"/>
      <c r="RQ252" s="635"/>
      <c r="RR252" s="635"/>
      <c r="RS252" s="635"/>
      <c r="RT252" s="635"/>
      <c r="RU252" s="635"/>
      <c r="RV252" s="635"/>
      <c r="RW252" s="635"/>
      <c r="RX252" s="635"/>
      <c r="RY252" s="635"/>
      <c r="RZ252" s="635"/>
      <c r="SA252" s="635"/>
      <c r="SB252" s="635"/>
      <c r="SC252" s="635"/>
      <c r="SD252" s="635"/>
      <c r="SE252" s="635"/>
      <c r="SF252" s="635"/>
      <c r="SG252" s="635"/>
      <c r="SH252" s="635"/>
      <c r="SI252" s="635"/>
      <c r="SJ252" s="635"/>
      <c r="SK252" s="635"/>
      <c r="SL252" s="635"/>
      <c r="SM252" s="635"/>
      <c r="SN252" s="635"/>
      <c r="SO252" s="635"/>
      <c r="SP252" s="635"/>
      <c r="SQ252" s="635"/>
      <c r="SR252" s="635"/>
      <c r="SS252" s="635"/>
      <c r="ST252" s="635"/>
      <c r="SU252" s="635"/>
      <c r="SV252" s="635"/>
      <c r="SW252" s="635"/>
      <c r="SX252" s="635"/>
      <c r="SY252" s="635"/>
      <c r="SZ252" s="635"/>
      <c r="TA252" s="635"/>
      <c r="TB252" s="635"/>
      <c r="TC252" s="635"/>
      <c r="TD252" s="635"/>
      <c r="TE252" s="635"/>
      <c r="TF252" s="635"/>
      <c r="TG252" s="635"/>
      <c r="TH252" s="635"/>
      <c r="TI252" s="635"/>
      <c r="TJ252" s="635"/>
      <c r="TK252" s="635"/>
      <c r="TL252" s="635"/>
      <c r="TM252" s="635"/>
      <c r="TN252" s="635"/>
      <c r="TO252" s="635"/>
      <c r="TP252" s="635"/>
      <c r="TQ252" s="635"/>
      <c r="TR252" s="635"/>
      <c r="TS252" s="635"/>
      <c r="TT252" s="635"/>
      <c r="TU252" s="635"/>
      <c r="TV252" s="635"/>
      <c r="TW252" s="635"/>
      <c r="TX252" s="635"/>
      <c r="TY252" s="635"/>
      <c r="TZ252" s="635"/>
      <c r="UA252" s="635"/>
      <c r="UB252" s="635"/>
      <c r="UC252" s="635"/>
      <c r="UD252" s="635"/>
      <c r="UE252" s="635"/>
      <c r="UF252" s="635"/>
      <c r="UG252" s="635"/>
      <c r="UH252" s="635"/>
      <c r="UI252" s="635"/>
      <c r="UJ252" s="635"/>
      <c r="UK252" s="635"/>
      <c r="UL252" s="635"/>
      <c r="UM252" s="635"/>
      <c r="UN252" s="635"/>
      <c r="UO252" s="635"/>
      <c r="UP252" s="635"/>
      <c r="UQ252" s="635"/>
      <c r="UR252" s="635"/>
      <c r="US252" s="635"/>
      <c r="UT252" s="635"/>
      <c r="UU252" s="635"/>
      <c r="UV252" s="635"/>
      <c r="UW252" s="635"/>
      <c r="UX252" s="635"/>
      <c r="UY252" s="635"/>
      <c r="UZ252" s="635"/>
      <c r="VA252" s="635"/>
      <c r="VB252" s="635"/>
      <c r="VC252" s="635"/>
      <c r="VD252" s="635"/>
      <c r="VE252" s="635"/>
      <c r="VF252" s="635"/>
      <c r="VG252" s="635"/>
      <c r="VH252" s="635"/>
      <c r="VI252" s="635"/>
      <c r="VJ252" s="635"/>
      <c r="VK252" s="635"/>
      <c r="VL252" s="635"/>
      <c r="VM252" s="635"/>
      <c r="VN252" s="635"/>
      <c r="VO252" s="635"/>
      <c r="VP252" s="635"/>
      <c r="VQ252" s="635"/>
      <c r="VR252" s="635"/>
      <c r="VS252" s="635"/>
      <c r="VT252" s="635"/>
      <c r="VU252" s="635"/>
      <c r="VV252" s="635"/>
      <c r="VW252" s="635"/>
      <c r="VX252" s="635"/>
      <c r="VY252" s="635"/>
      <c r="VZ252" s="635"/>
      <c r="WA252" s="635"/>
      <c r="WB252" s="635"/>
      <c r="WC252" s="635"/>
      <c r="WD252" s="635"/>
      <c r="WE252" s="635"/>
      <c r="WF252" s="635"/>
      <c r="WG252" s="635"/>
      <c r="WH252" s="635"/>
      <c r="WI252" s="635"/>
      <c r="WJ252" s="635"/>
      <c r="WK252" s="635"/>
      <c r="WL252" s="635"/>
      <c r="WM252" s="635"/>
      <c r="WN252" s="635"/>
      <c r="WO252" s="635"/>
      <c r="WP252" s="635"/>
      <c r="WQ252" s="635"/>
      <c r="WR252" s="635"/>
      <c r="WS252" s="635"/>
      <c r="WT252" s="635"/>
      <c r="WU252" s="635"/>
      <c r="WV252" s="635"/>
      <c r="WW252" s="635"/>
      <c r="WX252" s="635"/>
      <c r="WY252" s="635"/>
      <c r="WZ252" s="635"/>
      <c r="XA252" s="635"/>
      <c r="XB252" s="635"/>
      <c r="XC252" s="635"/>
      <c r="XD252" s="635"/>
      <c r="XE252" s="635"/>
      <c r="XF252" s="635"/>
      <c r="XG252" s="635"/>
      <c r="XH252" s="635"/>
      <c r="XI252" s="635"/>
      <c r="XJ252" s="635"/>
      <c r="XK252" s="635"/>
      <c r="XL252" s="635"/>
      <c r="XM252" s="635"/>
      <c r="XN252" s="635"/>
      <c r="XO252" s="635"/>
      <c r="XP252" s="635"/>
      <c r="XQ252" s="635"/>
      <c r="XR252" s="635"/>
      <c r="XS252" s="635"/>
      <c r="XT252" s="635"/>
      <c r="XU252" s="635"/>
      <c r="XV252" s="635"/>
      <c r="XW252" s="635"/>
      <c r="XX252" s="635"/>
      <c r="XY252" s="635"/>
      <c r="XZ252" s="635"/>
      <c r="YA252" s="635"/>
      <c r="YB252" s="635"/>
      <c r="YC252" s="635"/>
      <c r="YD252" s="635"/>
      <c r="YE252" s="635"/>
      <c r="YF252" s="635"/>
      <c r="YG252" s="635"/>
      <c r="YH252" s="635"/>
      <c r="YI252" s="635"/>
      <c r="YJ252" s="635"/>
      <c r="YK252" s="635"/>
      <c r="YL252" s="635"/>
      <c r="YM252" s="635"/>
      <c r="YN252" s="635"/>
      <c r="YO252" s="635"/>
      <c r="YP252" s="635"/>
      <c r="YQ252" s="635"/>
      <c r="YR252" s="635"/>
      <c r="YS252" s="635"/>
      <c r="YT252" s="635"/>
      <c r="YU252" s="635"/>
      <c r="YV252" s="635"/>
      <c r="YW252" s="635"/>
      <c r="YX252" s="635"/>
      <c r="YY252" s="635"/>
      <c r="YZ252" s="635"/>
      <c r="ZA252" s="635"/>
      <c r="ZB252" s="635"/>
      <c r="ZC252" s="635"/>
      <c r="ZD252" s="635"/>
      <c r="ZE252" s="635"/>
      <c r="ZF252" s="635"/>
      <c r="ZG252" s="635"/>
      <c r="ZH252" s="635"/>
      <c r="ZI252" s="635"/>
      <c r="ZJ252" s="635"/>
      <c r="ZK252" s="635"/>
      <c r="ZL252" s="635"/>
      <c r="ZM252" s="635"/>
      <c r="ZN252" s="635"/>
      <c r="ZO252" s="635"/>
      <c r="ZP252" s="635"/>
      <c r="ZQ252" s="635"/>
      <c r="ZR252" s="635"/>
      <c r="ZS252" s="635"/>
      <c r="ZT252" s="635"/>
      <c r="ZU252" s="635"/>
      <c r="ZV252" s="635"/>
      <c r="ZW252" s="635"/>
      <c r="ZX252" s="635"/>
      <c r="ZY252" s="638"/>
      <c r="ZZ252" s="119"/>
      <c r="AAA252" s="588"/>
      <c r="AAD252" s="112"/>
      <c r="AAE252" s="551" t="s">
        <v>245</v>
      </c>
      <c r="AAF252" s="583" t="s">
        <v>174</v>
      </c>
      <c r="AAG252" s="78">
        <f>S.BANNER.PlanningStart</f>
        <v>41369</v>
      </c>
      <c r="AAH252" s="78">
        <f>S.CloseComment</f>
        <v>41593</v>
      </c>
      <c r="AAI252" s="77"/>
      <c r="AAJ252" s="77"/>
      <c r="AAK252" s="77"/>
      <c r="AAL252" s="79"/>
      <c r="AAM252" s="112"/>
      <c r="AAN252"/>
      <c r="AAT252" s="23"/>
      <c r="AAU252" s="44"/>
      <c r="AAV252" s="23"/>
      <c r="AAW252" s="23"/>
      <c r="AAX252" s="23"/>
      <c r="AAY252" s="23"/>
      <c r="AAZ252" s="23"/>
      <c r="ABA252" s="23"/>
      <c r="ABB252" s="23"/>
      <c r="ABC252" s="23"/>
      <c r="ABD252" s="23"/>
    </row>
    <row r="253" spans="1:732" ht="6" customHeight="1">
      <c r="A253" s="558">
        <v>111</v>
      </c>
      <c r="B253" s="275"/>
      <c r="C253" s="688"/>
      <c r="D253" s="180"/>
      <c r="E253" s="181"/>
      <c r="F253" s="181"/>
      <c r="G253" s="180"/>
      <c r="H253" s="180"/>
      <c r="I253" s="588"/>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32"/>
      <c r="BG253" s="32"/>
      <c r="BH253" s="32"/>
      <c r="BI253" s="32"/>
      <c r="BJ253" s="32"/>
      <c r="BK253" s="32"/>
      <c r="BL253" s="32"/>
      <c r="BM253" s="32"/>
      <c r="BN253" s="32"/>
      <c r="BO253" s="32"/>
      <c r="BP253" s="32"/>
      <c r="BQ253" s="32"/>
      <c r="BR253" s="32"/>
      <c r="BS253" s="32"/>
      <c r="BT253" s="32"/>
      <c r="BU253" s="32"/>
      <c r="BV253" s="32"/>
      <c r="BW253" s="32"/>
      <c r="BX253" s="32"/>
      <c r="BY253" s="32"/>
      <c r="BZ253" s="32"/>
      <c r="CA253" s="32"/>
      <c r="CB253" s="32"/>
      <c r="CC253" s="32"/>
      <c r="CD253" s="32"/>
      <c r="CE253" s="32"/>
      <c r="CF253" s="32"/>
      <c r="CG253" s="32"/>
      <c r="CH253" s="32"/>
      <c r="CI253" s="32"/>
      <c r="CJ253" s="32"/>
      <c r="CK253" s="32"/>
      <c r="CL253" s="32"/>
      <c r="CM253" s="32"/>
      <c r="CN253" s="32"/>
      <c r="CO253" s="32"/>
      <c r="CP253" s="32"/>
      <c r="CQ253" s="32"/>
      <c r="CR253" s="32"/>
      <c r="CS253" s="32"/>
      <c r="CT253" s="32"/>
      <c r="CU253" s="32"/>
      <c r="CV253" s="32"/>
      <c r="CW253" s="32"/>
      <c r="CX253" s="32"/>
      <c r="CY253" s="32"/>
      <c r="CZ253" s="32"/>
      <c r="DA253" s="32"/>
      <c r="DB253" s="32"/>
      <c r="DC253" s="32"/>
      <c r="DD253" s="32"/>
      <c r="DE253" s="32"/>
      <c r="DF253" s="32"/>
      <c r="DG253" s="32"/>
      <c r="DH253" s="32"/>
      <c r="DI253" s="32"/>
      <c r="DJ253" s="32"/>
      <c r="DK253" s="32"/>
      <c r="DL253" s="32"/>
      <c r="DM253" s="32"/>
      <c r="DN253" s="32"/>
      <c r="DO253" s="32"/>
      <c r="DP253" s="32"/>
      <c r="DQ253" s="32"/>
      <c r="DR253" s="32"/>
      <c r="DS253" s="32"/>
      <c r="DT253" s="32"/>
      <c r="DU253" s="32"/>
      <c r="DV253" s="32"/>
      <c r="DW253" s="32"/>
      <c r="DX253" s="32"/>
      <c r="DY253" s="32"/>
      <c r="DZ253" s="32"/>
      <c r="EA253" s="32"/>
      <c r="EB253" s="32"/>
      <c r="EC253" s="32"/>
      <c r="ED253" s="32"/>
      <c r="EE253" s="32"/>
      <c r="EF253" s="32"/>
      <c r="EG253" s="32"/>
      <c r="EH253" s="32"/>
      <c r="EI253" s="32"/>
      <c r="EJ253" s="32"/>
      <c r="EK253" s="32"/>
      <c r="EL253" s="32"/>
      <c r="EM253" s="32"/>
      <c r="EN253" s="32"/>
      <c r="EO253" s="32"/>
      <c r="EP253" s="32"/>
      <c r="EQ253" s="32"/>
      <c r="ER253" s="32"/>
      <c r="ES253" s="32"/>
      <c r="ET253" s="32"/>
      <c r="EU253" s="32"/>
      <c r="EV253" s="32"/>
      <c r="EW253" s="32"/>
      <c r="EX253" s="32"/>
      <c r="EY253" s="32"/>
      <c r="EZ253" s="32"/>
      <c r="FA253" s="32"/>
      <c r="FB253" s="32"/>
      <c r="FC253" s="32"/>
      <c r="FD253" s="32"/>
      <c r="FE253" s="32"/>
      <c r="FF253" s="32"/>
      <c r="FG253" s="32"/>
      <c r="FH253" s="32"/>
      <c r="FI253" s="32"/>
      <c r="FJ253" s="32"/>
      <c r="FK253" s="32"/>
      <c r="FL253" s="32"/>
      <c r="FM253" s="32"/>
      <c r="FN253" s="32"/>
      <c r="FO253" s="32"/>
      <c r="FP253" s="32"/>
      <c r="FQ253" s="32"/>
      <c r="FR253" s="32"/>
      <c r="FS253" s="32"/>
      <c r="FT253" s="32"/>
      <c r="FU253" s="32"/>
      <c r="FV253" s="32"/>
      <c r="FW253" s="32"/>
      <c r="FX253" s="32"/>
      <c r="FY253" s="32"/>
      <c r="FZ253" s="32"/>
      <c r="GA253" s="32"/>
      <c r="GB253" s="32"/>
      <c r="GC253" s="32"/>
      <c r="GD253" s="32"/>
      <c r="GE253" s="32"/>
      <c r="GF253" s="32"/>
      <c r="GG253" s="32"/>
      <c r="GH253" s="32"/>
      <c r="GI253" s="32"/>
      <c r="GJ253" s="32"/>
      <c r="GK253" s="32"/>
      <c r="GL253" s="32"/>
      <c r="GM253" s="32"/>
      <c r="GN253" s="32"/>
      <c r="GO253" s="32"/>
      <c r="GP253" s="32"/>
      <c r="GQ253" s="32"/>
      <c r="GR253" s="32"/>
      <c r="GS253" s="32"/>
      <c r="GT253" s="32"/>
      <c r="GU253" s="32"/>
      <c r="GV253" s="32"/>
      <c r="GW253" s="32"/>
      <c r="GX253" s="32"/>
      <c r="GY253" s="32"/>
      <c r="GZ253" s="32"/>
      <c r="HA253" s="32"/>
      <c r="HB253" s="32"/>
      <c r="HC253" s="32"/>
      <c r="HD253" s="32"/>
      <c r="HE253" s="32"/>
      <c r="HF253" s="32"/>
      <c r="HG253" s="32"/>
      <c r="HH253" s="32"/>
      <c r="HI253" s="32"/>
      <c r="HJ253" s="32"/>
      <c r="HK253" s="32"/>
      <c r="HL253" s="32"/>
      <c r="HM253" s="32"/>
      <c r="HN253" s="32"/>
      <c r="HO253" s="32"/>
      <c r="HP253" s="32"/>
      <c r="HQ253" s="32"/>
      <c r="HR253" s="32"/>
      <c r="HS253" s="32"/>
      <c r="HT253" s="32"/>
      <c r="HU253" s="32"/>
      <c r="HV253" s="32"/>
      <c r="HW253" s="32"/>
      <c r="HX253" s="32"/>
      <c r="HY253" s="32"/>
      <c r="HZ253" s="32"/>
      <c r="IA253" s="32"/>
      <c r="IB253" s="32"/>
      <c r="IC253" s="32"/>
      <c r="ID253" s="32"/>
      <c r="IE253" s="32"/>
      <c r="IF253" s="32"/>
      <c r="IG253" s="32"/>
      <c r="IH253" s="32"/>
      <c r="II253" s="32"/>
      <c r="IJ253" s="32"/>
      <c r="IK253" s="32"/>
      <c r="IL253" s="32"/>
      <c r="IM253" s="32"/>
      <c r="IN253" s="32"/>
      <c r="IO253" s="32"/>
      <c r="IP253" s="32"/>
      <c r="IQ253" s="32"/>
      <c r="IR253" s="32"/>
      <c r="IS253" s="32"/>
      <c r="IT253" s="32"/>
      <c r="IU253" s="32"/>
      <c r="IV253" s="32"/>
      <c r="IW253" s="32"/>
      <c r="IX253" s="32"/>
      <c r="IY253" s="32"/>
      <c r="IZ253" s="32"/>
      <c r="JA253" s="32"/>
      <c r="JB253" s="32"/>
      <c r="JC253" s="32"/>
      <c r="JD253" s="32"/>
      <c r="JE253" s="32"/>
      <c r="JF253" s="32"/>
      <c r="JG253" s="32"/>
      <c r="JH253" s="32"/>
      <c r="JI253" s="32"/>
      <c r="JJ253" s="32"/>
      <c r="JK253" s="32"/>
      <c r="JL253" s="32"/>
      <c r="JM253" s="32"/>
      <c r="JN253" s="32"/>
      <c r="JO253" s="32"/>
      <c r="JP253" s="32"/>
      <c r="JQ253" s="32"/>
      <c r="JR253" s="32"/>
      <c r="JS253" s="32"/>
      <c r="JT253" s="32"/>
      <c r="JU253" s="32"/>
      <c r="JV253" s="32"/>
      <c r="JW253" s="32"/>
      <c r="JX253" s="32"/>
      <c r="JY253" s="32"/>
      <c r="JZ253" s="32"/>
      <c r="KA253" s="32"/>
      <c r="KB253" s="32"/>
      <c r="KC253" s="32"/>
      <c r="KD253" s="32"/>
      <c r="KE253" s="32"/>
      <c r="KF253" s="32"/>
      <c r="KG253" s="32"/>
      <c r="KH253" s="32"/>
      <c r="KI253" s="32"/>
      <c r="KJ253" s="32"/>
      <c r="KK253" s="32"/>
      <c r="KL253" s="32"/>
      <c r="KM253" s="32"/>
      <c r="KN253" s="32"/>
      <c r="KO253" s="32"/>
      <c r="KP253" s="32"/>
      <c r="KQ253" s="32"/>
      <c r="KR253" s="32"/>
      <c r="KS253" s="32"/>
      <c r="KT253" s="32"/>
      <c r="KU253" s="32"/>
      <c r="KV253" s="32"/>
      <c r="KW253" s="32"/>
      <c r="KX253" s="32"/>
      <c r="KY253" s="32"/>
      <c r="KZ253" s="32"/>
      <c r="LA253" s="32"/>
      <c r="LB253" s="32"/>
      <c r="LC253" s="32"/>
      <c r="LD253" s="32"/>
      <c r="LE253" s="32"/>
      <c r="LF253" s="32"/>
      <c r="LG253" s="32"/>
      <c r="LH253" s="32"/>
      <c r="LI253" s="32"/>
      <c r="LJ253" s="32"/>
      <c r="LK253" s="32"/>
      <c r="LL253" s="32"/>
      <c r="LM253" s="32"/>
      <c r="LN253" s="32"/>
      <c r="LO253" s="32"/>
      <c r="LP253" s="32"/>
      <c r="LQ253" s="32"/>
      <c r="LR253" s="32"/>
      <c r="LS253" s="32"/>
      <c r="LT253" s="32"/>
      <c r="LU253" s="32"/>
      <c r="LV253" s="32"/>
      <c r="LW253" s="32"/>
      <c r="LX253" s="32"/>
      <c r="LY253" s="32"/>
      <c r="LZ253" s="32"/>
      <c r="MA253" s="32"/>
      <c r="MB253" s="32"/>
      <c r="MC253" s="32"/>
      <c r="MD253" s="32"/>
      <c r="ME253" s="32"/>
      <c r="MF253" s="32"/>
      <c r="MG253" s="32"/>
      <c r="MH253" s="32"/>
      <c r="MI253" s="32"/>
      <c r="MJ253" s="32"/>
      <c r="MK253" s="32"/>
      <c r="ML253" s="32"/>
      <c r="MM253" s="32"/>
      <c r="MN253" s="32"/>
      <c r="MO253" s="32"/>
      <c r="MP253" s="32"/>
      <c r="MQ253" s="32"/>
      <c r="MR253" s="32"/>
      <c r="MS253" s="32"/>
      <c r="MT253" s="32"/>
      <c r="MU253" s="32"/>
      <c r="MV253" s="32"/>
      <c r="MW253" s="32"/>
      <c r="MX253" s="32"/>
      <c r="MY253" s="32"/>
      <c r="MZ253" s="32"/>
      <c r="NA253" s="32"/>
      <c r="NB253" s="32"/>
      <c r="NC253" s="32"/>
      <c r="ND253" s="32"/>
      <c r="NE253" s="32"/>
      <c r="NF253" s="32"/>
      <c r="NG253" s="32"/>
      <c r="NH253" s="32"/>
      <c r="NI253" s="32"/>
      <c r="NJ253" s="32"/>
      <c r="NK253" s="32"/>
      <c r="NL253" s="32"/>
      <c r="NM253" s="32"/>
      <c r="NN253" s="32"/>
      <c r="NO253" s="32"/>
      <c r="NP253" s="32"/>
      <c r="NQ253" s="32"/>
      <c r="NR253" s="32"/>
      <c r="NS253" s="32"/>
      <c r="NT253" s="32"/>
      <c r="NU253" s="32"/>
      <c r="NV253" s="32"/>
      <c r="NW253" s="32"/>
      <c r="NX253" s="32"/>
      <c r="NY253" s="32"/>
      <c r="NZ253" s="32"/>
      <c r="OA253" s="32"/>
      <c r="OB253" s="32"/>
      <c r="OC253" s="32"/>
      <c r="OD253" s="32"/>
      <c r="OE253" s="32"/>
      <c r="OF253" s="32"/>
      <c r="OG253" s="32"/>
      <c r="OH253" s="32"/>
      <c r="OI253" s="32"/>
      <c r="OJ253" s="32"/>
      <c r="OK253" s="32"/>
      <c r="OL253" s="32"/>
      <c r="OM253" s="32"/>
      <c r="ON253" s="32"/>
      <c r="OO253" s="32"/>
      <c r="OP253" s="32"/>
      <c r="OQ253" s="32"/>
      <c r="OR253" s="32"/>
      <c r="OS253" s="32"/>
      <c r="OT253" s="32"/>
      <c r="OU253" s="32"/>
      <c r="OV253" s="32"/>
      <c r="OW253" s="32"/>
      <c r="OX253" s="32"/>
      <c r="OY253" s="32"/>
      <c r="OZ253" s="32"/>
      <c r="PA253" s="32"/>
      <c r="PB253" s="32"/>
      <c r="PC253" s="32"/>
      <c r="PD253" s="32"/>
      <c r="PE253" s="32"/>
      <c r="PF253" s="32"/>
      <c r="PG253" s="32"/>
      <c r="PH253" s="32"/>
      <c r="PI253" s="32"/>
      <c r="PJ253" s="32"/>
      <c r="PK253" s="32"/>
      <c r="PL253" s="32"/>
      <c r="PM253" s="32"/>
      <c r="PN253" s="32"/>
      <c r="PO253" s="32"/>
      <c r="PP253" s="32"/>
      <c r="PQ253" s="32"/>
      <c r="PR253" s="32"/>
      <c r="PS253" s="32"/>
      <c r="PT253" s="32"/>
      <c r="PU253" s="32"/>
      <c r="PV253" s="32"/>
      <c r="PW253" s="32"/>
      <c r="PX253" s="32"/>
      <c r="PY253" s="32"/>
      <c r="PZ253" s="32"/>
      <c r="QA253" s="32"/>
      <c r="QB253" s="32"/>
      <c r="QC253" s="32"/>
      <c r="QD253" s="32"/>
      <c r="QE253" s="32"/>
      <c r="QF253" s="32"/>
      <c r="QG253" s="32"/>
      <c r="QH253" s="32"/>
      <c r="QI253" s="32"/>
      <c r="QJ253" s="32"/>
      <c r="QK253" s="32"/>
      <c r="QL253" s="32"/>
      <c r="QM253" s="32"/>
      <c r="QN253" s="32"/>
      <c r="QO253" s="32"/>
      <c r="QP253" s="32"/>
      <c r="QQ253" s="32"/>
      <c r="QR253" s="32"/>
      <c r="QS253" s="32"/>
      <c r="QT253" s="32"/>
      <c r="QU253" s="32"/>
      <c r="QV253" s="32"/>
      <c r="QW253" s="32"/>
      <c r="QX253" s="32"/>
      <c r="QY253" s="32"/>
      <c r="QZ253" s="32"/>
      <c r="RA253" s="32"/>
      <c r="RB253" s="32"/>
      <c r="RC253" s="32"/>
      <c r="RD253" s="32"/>
      <c r="RE253" s="32"/>
      <c r="RF253" s="32"/>
      <c r="RG253" s="32"/>
      <c r="RH253" s="32"/>
      <c r="RI253" s="32"/>
      <c r="RJ253" s="32"/>
      <c r="RK253" s="32"/>
      <c r="RL253" s="32"/>
      <c r="RM253" s="32"/>
      <c r="RN253" s="32"/>
      <c r="RO253" s="32"/>
      <c r="RP253" s="32"/>
      <c r="RQ253" s="32"/>
      <c r="RR253" s="32"/>
      <c r="RS253" s="32"/>
      <c r="RT253" s="32"/>
      <c r="RU253" s="32"/>
      <c r="RV253" s="32"/>
      <c r="RW253" s="32"/>
      <c r="RX253" s="32"/>
      <c r="RY253" s="32"/>
      <c r="RZ253" s="32"/>
      <c r="SA253" s="32"/>
      <c r="SB253" s="32"/>
      <c r="SC253" s="32"/>
      <c r="SD253" s="32"/>
      <c r="SE253" s="32"/>
      <c r="SF253" s="32"/>
      <c r="SG253" s="32"/>
      <c r="SH253" s="32"/>
      <c r="SI253" s="32"/>
      <c r="SJ253" s="32"/>
      <c r="SK253" s="32"/>
      <c r="SL253" s="32"/>
      <c r="SM253" s="32"/>
      <c r="SN253" s="32"/>
      <c r="SO253" s="32"/>
      <c r="SP253" s="32"/>
      <c r="SQ253" s="32"/>
      <c r="SR253" s="32"/>
      <c r="SS253" s="32"/>
      <c r="ST253" s="32"/>
      <c r="SU253" s="32"/>
      <c r="SV253" s="32"/>
      <c r="SW253" s="32"/>
      <c r="SX253" s="32"/>
      <c r="SY253" s="32"/>
      <c r="SZ253" s="32"/>
      <c r="TA253" s="32"/>
      <c r="TB253" s="32"/>
      <c r="TC253" s="32"/>
      <c r="TD253" s="32"/>
      <c r="TE253" s="32"/>
      <c r="TF253" s="32"/>
      <c r="TG253" s="32"/>
      <c r="TH253" s="32"/>
      <c r="TI253" s="32"/>
      <c r="TJ253" s="32"/>
      <c r="TK253" s="32"/>
      <c r="TL253" s="32"/>
      <c r="TM253" s="32"/>
      <c r="TN253" s="32"/>
      <c r="TO253" s="32"/>
      <c r="TP253" s="32"/>
      <c r="TQ253" s="32"/>
      <c r="TR253" s="32"/>
      <c r="TS253" s="32"/>
      <c r="TT253" s="32"/>
      <c r="TU253" s="32"/>
      <c r="TV253" s="32"/>
      <c r="TW253" s="32"/>
      <c r="TX253" s="32"/>
      <c r="TY253" s="32"/>
      <c r="TZ253" s="32"/>
      <c r="UA253" s="32"/>
      <c r="UB253" s="32"/>
      <c r="UC253" s="32"/>
      <c r="UD253" s="32"/>
      <c r="UE253" s="32"/>
      <c r="UF253" s="32"/>
      <c r="UG253" s="32"/>
      <c r="UH253" s="32"/>
      <c r="UI253" s="32"/>
      <c r="UJ253" s="32"/>
      <c r="UK253" s="32"/>
      <c r="UL253" s="32"/>
      <c r="UM253" s="32"/>
      <c r="UN253" s="32"/>
      <c r="UO253" s="32"/>
      <c r="UP253" s="32"/>
      <c r="UQ253" s="32"/>
      <c r="UR253" s="32"/>
      <c r="US253" s="32"/>
      <c r="UT253" s="32"/>
      <c r="UU253" s="32"/>
      <c r="UV253" s="32"/>
      <c r="UW253" s="32"/>
      <c r="UX253" s="32"/>
      <c r="UY253" s="32"/>
      <c r="UZ253" s="32"/>
      <c r="VA253" s="32"/>
      <c r="VB253" s="32"/>
      <c r="VC253" s="32"/>
      <c r="VD253" s="32"/>
      <c r="VE253" s="32"/>
      <c r="VF253" s="32"/>
      <c r="VG253" s="32"/>
      <c r="VH253" s="32"/>
      <c r="VI253" s="32"/>
      <c r="VJ253" s="32"/>
      <c r="VK253" s="32"/>
      <c r="VL253" s="32"/>
      <c r="VM253" s="32"/>
      <c r="VN253" s="32"/>
      <c r="VO253" s="32"/>
      <c r="VP253" s="32"/>
      <c r="VQ253" s="32"/>
      <c r="VR253" s="32"/>
      <c r="VS253" s="32"/>
      <c r="VT253" s="32"/>
      <c r="VU253" s="32"/>
      <c r="VV253" s="32"/>
      <c r="VW253" s="32"/>
      <c r="VX253" s="32"/>
      <c r="VY253" s="32"/>
      <c r="VZ253" s="32"/>
      <c r="WA253" s="32"/>
      <c r="WB253" s="32"/>
      <c r="WC253" s="32"/>
      <c r="WD253" s="32"/>
      <c r="WE253" s="32"/>
      <c r="WF253" s="32"/>
      <c r="WG253" s="32"/>
      <c r="WH253" s="32"/>
      <c r="WI253" s="32"/>
      <c r="WJ253" s="32"/>
      <c r="WK253" s="32"/>
      <c r="WL253" s="32"/>
      <c r="WM253" s="32"/>
      <c r="WN253" s="32"/>
      <c r="WO253" s="32"/>
      <c r="WP253" s="32"/>
      <c r="WQ253" s="32"/>
      <c r="WR253" s="32"/>
      <c r="WS253" s="32"/>
      <c r="WT253" s="32"/>
      <c r="WU253" s="32"/>
      <c r="WV253" s="32"/>
      <c r="WW253" s="32"/>
      <c r="WX253" s="32"/>
      <c r="WY253" s="32"/>
      <c r="WZ253" s="32"/>
      <c r="XA253" s="32"/>
      <c r="XB253" s="32"/>
      <c r="XC253" s="32"/>
      <c r="XD253" s="32"/>
      <c r="XE253" s="32"/>
      <c r="XF253" s="32"/>
      <c r="XG253" s="32"/>
      <c r="XH253" s="32"/>
      <c r="XI253" s="32"/>
      <c r="XJ253" s="32"/>
      <c r="XK253" s="32"/>
      <c r="XL253" s="32"/>
      <c r="XM253" s="32"/>
      <c r="XN253" s="32"/>
      <c r="XO253" s="32"/>
      <c r="XP253" s="32"/>
      <c r="XQ253" s="32"/>
      <c r="XR253" s="32"/>
      <c r="XS253" s="32"/>
      <c r="XT253" s="32"/>
      <c r="XU253" s="32"/>
      <c r="XV253" s="32"/>
      <c r="XW253" s="32"/>
      <c r="XX253" s="32"/>
      <c r="XY253" s="32"/>
      <c r="XZ253" s="32"/>
      <c r="YA253" s="32"/>
      <c r="YB253" s="32"/>
      <c r="YC253" s="32"/>
      <c r="YD253" s="32"/>
      <c r="YE253" s="32"/>
      <c r="YF253" s="32"/>
      <c r="YG253" s="32"/>
      <c r="YH253" s="32"/>
      <c r="YI253" s="32"/>
      <c r="YJ253" s="32"/>
      <c r="YK253" s="32"/>
      <c r="YL253" s="32"/>
      <c r="YM253" s="32"/>
      <c r="YN253" s="32"/>
      <c r="YO253" s="32"/>
      <c r="YP253" s="32"/>
      <c r="YQ253" s="32"/>
      <c r="YR253" s="32"/>
      <c r="YS253" s="32"/>
      <c r="YT253" s="32"/>
      <c r="YU253" s="32"/>
      <c r="YV253" s="32"/>
      <c r="YW253" s="32"/>
      <c r="YX253" s="32"/>
      <c r="YY253" s="32"/>
      <c r="YZ253" s="32"/>
      <c r="ZA253" s="32"/>
      <c r="ZB253" s="32"/>
      <c r="ZC253" s="32"/>
      <c r="ZD253" s="32"/>
      <c r="ZE253" s="32"/>
      <c r="ZF253" s="32"/>
      <c r="ZG253" s="32"/>
      <c r="ZH253" s="32"/>
      <c r="ZI253" s="32"/>
      <c r="ZJ253" s="32"/>
      <c r="ZK253" s="32"/>
      <c r="ZL253" s="32"/>
      <c r="ZM253" s="32"/>
      <c r="ZN253" s="32"/>
      <c r="ZO253" s="32"/>
      <c r="ZP253" s="32"/>
      <c r="ZQ253" s="32"/>
      <c r="ZR253" s="32"/>
      <c r="ZS253" s="32"/>
      <c r="ZT253" s="32"/>
      <c r="ZU253" s="32"/>
      <c r="ZV253" s="32"/>
      <c r="ZW253" s="32"/>
      <c r="ZX253" s="32"/>
      <c r="ZY253" s="32"/>
      <c r="ZZ253" s="32"/>
      <c r="AAA253" s="588"/>
      <c r="AAD253" s="112"/>
      <c r="AAE253" s="551" t="s">
        <v>20</v>
      </c>
      <c r="AAF253" s="583" t="s">
        <v>174</v>
      </c>
      <c r="AAG253" s="63"/>
      <c r="AAH253" s="63"/>
      <c r="AAI253" s="63"/>
      <c r="AAJ253" s="57"/>
      <c r="AAK253" s="57"/>
      <c r="AAL253" s="57"/>
      <c r="AAM253" s="112"/>
      <c r="AAN253"/>
      <c r="AAT253" s="23"/>
      <c r="AAU253" s="44"/>
      <c r="AAV253" s="23"/>
      <c r="AAW253" s="23"/>
      <c r="AAX253" s="23"/>
      <c r="AAY253" s="23"/>
      <c r="AAZ253" s="23"/>
      <c r="ABA253" s="23"/>
      <c r="ABB253" s="23"/>
      <c r="ABC253" s="23"/>
      <c r="ABD253" s="23"/>
    </row>
    <row r="254" spans="1:732" s="23" customFormat="1" ht="23.25" customHeight="1">
      <c r="A254" s="558"/>
      <c r="B254" s="276" t="str">
        <f>AAL254</f>
        <v>Enter hearing dates</v>
      </c>
      <c r="C254" s="713"/>
      <c r="D254" s="122"/>
      <c r="E254" s="122"/>
      <c r="F254" s="122"/>
      <c r="G254" s="122"/>
      <c r="H254" s="122"/>
      <c r="I254" s="588"/>
      <c r="J254" s="637"/>
      <c r="K254" s="636"/>
      <c r="L254" s="636"/>
      <c r="M254" s="636"/>
      <c r="N254" s="636"/>
      <c r="O254" s="636"/>
      <c r="P254" s="636"/>
      <c r="Q254" s="636"/>
      <c r="R254" s="636"/>
      <c r="S254" s="636"/>
      <c r="T254" s="636"/>
      <c r="U254" s="636"/>
      <c r="V254" s="636"/>
      <c r="W254" s="636"/>
      <c r="X254" s="636"/>
      <c r="Y254" s="636"/>
      <c r="Z254" s="636"/>
      <c r="AA254" s="636"/>
      <c r="AB254" s="636"/>
      <c r="AC254" s="636"/>
      <c r="AD254" s="636"/>
      <c r="AE254" s="636"/>
      <c r="AF254" s="636"/>
      <c r="AG254" s="636"/>
      <c r="AH254" s="636"/>
      <c r="AI254" s="636"/>
      <c r="AJ254" s="636"/>
      <c r="AK254" s="636"/>
      <c r="AL254" s="636"/>
      <c r="AM254" s="636"/>
      <c r="AN254" s="636"/>
      <c r="AO254" s="636"/>
      <c r="AP254" s="636"/>
      <c r="AQ254" s="636"/>
      <c r="AR254" s="636"/>
      <c r="AS254" s="636"/>
      <c r="AT254" s="636"/>
      <c r="AU254" s="636"/>
      <c r="AV254" s="636"/>
      <c r="AW254" s="636"/>
      <c r="AX254" s="636"/>
      <c r="AY254" s="636"/>
      <c r="AZ254" s="636"/>
      <c r="BA254" s="636"/>
      <c r="BB254" s="636"/>
      <c r="BC254" s="636"/>
      <c r="BD254" s="636"/>
      <c r="BE254" s="636"/>
      <c r="BF254" s="636"/>
      <c r="BG254" s="636"/>
      <c r="BH254" s="636"/>
      <c r="BI254" s="636"/>
      <c r="BJ254" s="636"/>
      <c r="BK254" s="636"/>
      <c r="BL254" s="636"/>
      <c r="BM254" s="636"/>
      <c r="BN254" s="636"/>
      <c r="BO254" s="636"/>
      <c r="BP254" s="636"/>
      <c r="BQ254" s="636"/>
      <c r="BR254" s="636"/>
      <c r="BS254" s="636"/>
      <c r="BT254" s="636"/>
      <c r="BU254" s="636"/>
      <c r="BV254" s="636"/>
      <c r="BW254" s="636"/>
      <c r="BX254" s="636"/>
      <c r="BY254" s="636"/>
      <c r="BZ254" s="636"/>
      <c r="CA254" s="636"/>
      <c r="CB254" s="636"/>
      <c r="CC254" s="636"/>
      <c r="CD254" s="636"/>
      <c r="CE254" s="636"/>
      <c r="CF254" s="636"/>
      <c r="CG254" s="636"/>
      <c r="CH254" s="636"/>
      <c r="CI254" s="636"/>
      <c r="CJ254" s="636"/>
      <c r="CK254" s="636"/>
      <c r="CL254" s="636"/>
      <c r="CM254" s="636"/>
      <c r="CN254" s="636"/>
      <c r="CO254" s="636"/>
      <c r="CP254" s="636"/>
      <c r="CQ254" s="636"/>
      <c r="CR254" s="636"/>
      <c r="CS254" s="636"/>
      <c r="CT254" s="636"/>
      <c r="CU254" s="636"/>
      <c r="CV254" s="636"/>
      <c r="CW254" s="636"/>
      <c r="CX254" s="636"/>
      <c r="CY254" s="636"/>
      <c r="CZ254" s="636"/>
      <c r="DA254" s="636"/>
      <c r="DB254" s="636"/>
      <c r="DC254" s="636"/>
      <c r="DD254" s="636"/>
      <c r="DE254" s="636"/>
      <c r="DF254" s="636"/>
      <c r="DG254" s="636"/>
      <c r="DH254" s="636"/>
      <c r="DI254" s="636"/>
      <c r="DJ254" s="636"/>
      <c r="DK254" s="636"/>
      <c r="DL254" s="636"/>
      <c r="DM254" s="636"/>
      <c r="DN254" s="636"/>
      <c r="DO254" s="636"/>
      <c r="DP254" s="636"/>
      <c r="DQ254" s="636"/>
      <c r="DR254" s="636"/>
      <c r="DS254" s="636"/>
      <c r="DT254" s="636"/>
      <c r="DU254" s="636"/>
      <c r="DV254" s="636"/>
      <c r="DW254" s="636"/>
      <c r="DX254" s="636"/>
      <c r="DY254" s="636"/>
      <c r="DZ254" s="636"/>
      <c r="EA254" s="636"/>
      <c r="EB254" s="636"/>
      <c r="EC254" s="636"/>
      <c r="ED254" s="636"/>
      <c r="EE254" s="636"/>
      <c r="EF254" s="636"/>
      <c r="EG254" s="636"/>
      <c r="EH254" s="636"/>
      <c r="EI254" s="636"/>
      <c r="EJ254" s="636"/>
      <c r="EK254" s="636"/>
      <c r="EL254" s="636"/>
      <c r="EM254" s="636"/>
      <c r="EN254" s="636"/>
      <c r="EO254" s="636"/>
      <c r="EP254" s="636"/>
      <c r="EQ254" s="636"/>
      <c r="ER254" s="636"/>
      <c r="ES254" s="636"/>
      <c r="ET254" s="636"/>
      <c r="EU254" s="636"/>
      <c r="EV254" s="636"/>
      <c r="EW254" s="636"/>
      <c r="EX254" s="636"/>
      <c r="EY254" s="636"/>
      <c r="EZ254" s="636"/>
      <c r="FA254" s="636"/>
      <c r="FB254" s="636"/>
      <c r="FC254" s="636"/>
      <c r="FD254" s="636"/>
      <c r="FE254" s="636"/>
      <c r="FF254" s="636"/>
      <c r="FG254" s="636"/>
      <c r="FH254" s="636"/>
      <c r="FI254" s="636"/>
      <c r="FJ254" s="636"/>
      <c r="FK254" s="636"/>
      <c r="FL254" s="636"/>
      <c r="FM254" s="636"/>
      <c r="FN254" s="636"/>
      <c r="FO254" s="636"/>
      <c r="FP254" s="636"/>
      <c r="FQ254" s="636"/>
      <c r="FR254" s="636"/>
      <c r="FS254" s="636"/>
      <c r="FT254" s="636"/>
      <c r="FU254" s="636"/>
      <c r="FV254" s="636"/>
      <c r="FW254" s="636"/>
      <c r="FX254" s="636"/>
      <c r="FY254" s="636"/>
      <c r="FZ254" s="636"/>
      <c r="GA254" s="636"/>
      <c r="GB254" s="636"/>
      <c r="GC254" s="636"/>
      <c r="GD254" s="636"/>
      <c r="GE254" s="636"/>
      <c r="GF254" s="636"/>
      <c r="GG254" s="636"/>
      <c r="GH254" s="636"/>
      <c r="GI254" s="636"/>
      <c r="GJ254" s="636"/>
      <c r="GK254" s="636"/>
      <c r="GL254" s="636"/>
      <c r="GM254" s="636"/>
      <c r="GN254" s="636"/>
      <c r="GO254" s="636"/>
      <c r="GP254" s="636"/>
      <c r="GQ254" s="636"/>
      <c r="GR254" s="636"/>
      <c r="GS254" s="636"/>
      <c r="GT254" s="636"/>
      <c r="GU254" s="636"/>
      <c r="GV254" s="636"/>
      <c r="GW254" s="636"/>
      <c r="GX254" s="636"/>
      <c r="GY254" s="636"/>
      <c r="GZ254" s="636"/>
      <c r="HA254" s="636"/>
      <c r="HB254" s="636"/>
      <c r="HC254" s="636"/>
      <c r="HD254" s="636"/>
      <c r="HE254" s="636"/>
      <c r="HF254" s="636"/>
      <c r="HG254" s="636"/>
      <c r="HH254" s="636"/>
      <c r="HI254" s="636"/>
      <c r="HJ254" s="636"/>
      <c r="HK254" s="636"/>
      <c r="HL254" s="636"/>
      <c r="HM254" s="636"/>
      <c r="HN254" s="636"/>
      <c r="HO254" s="636"/>
      <c r="HP254" s="636"/>
      <c r="HQ254" s="636"/>
      <c r="HR254" s="636"/>
      <c r="HS254" s="636"/>
      <c r="HT254" s="636"/>
      <c r="HU254" s="636"/>
      <c r="HV254" s="636"/>
      <c r="HW254" s="636"/>
      <c r="HX254" s="636"/>
      <c r="HY254" s="636"/>
      <c r="HZ254" s="636"/>
      <c r="IA254" s="636"/>
      <c r="IB254" s="636"/>
      <c r="IC254" s="636"/>
      <c r="ID254" s="636"/>
      <c r="IE254" s="636"/>
      <c r="IF254" s="636"/>
      <c r="IG254" s="636"/>
      <c r="IH254" s="636"/>
      <c r="II254" s="636"/>
      <c r="IJ254" s="636"/>
      <c r="IK254" s="636"/>
      <c r="IL254" s="636"/>
      <c r="IM254" s="636"/>
      <c r="IN254" s="636"/>
      <c r="IO254" s="636"/>
      <c r="IP254" s="636"/>
      <c r="IQ254" s="636"/>
      <c r="IR254" s="636"/>
      <c r="IS254" s="636"/>
      <c r="IT254" s="636"/>
      <c r="IU254" s="636"/>
      <c r="IV254" s="636"/>
      <c r="IW254" s="636"/>
      <c r="IX254" s="636"/>
      <c r="IY254" s="636"/>
      <c r="IZ254" s="636"/>
      <c r="JA254" s="636"/>
      <c r="JB254" s="636"/>
      <c r="JC254" s="636"/>
      <c r="JD254" s="636"/>
      <c r="JE254" s="636"/>
      <c r="JF254" s="636"/>
      <c r="JG254" s="636"/>
      <c r="JH254" s="636"/>
      <c r="JI254" s="636"/>
      <c r="JJ254" s="636"/>
      <c r="JK254" s="636"/>
      <c r="JL254" s="636"/>
      <c r="JM254" s="636"/>
      <c r="JN254" s="636"/>
      <c r="JO254" s="636"/>
      <c r="JP254" s="636"/>
      <c r="JQ254" s="636"/>
      <c r="JR254" s="636"/>
      <c r="JS254" s="636"/>
      <c r="JT254" s="636"/>
      <c r="JU254" s="636"/>
      <c r="JV254" s="636"/>
      <c r="JW254" s="636"/>
      <c r="JX254" s="636"/>
      <c r="JY254" s="636"/>
      <c r="JZ254" s="636"/>
      <c r="KA254" s="636"/>
      <c r="KB254" s="636"/>
      <c r="KC254" s="636"/>
      <c r="KD254" s="636"/>
      <c r="KE254" s="636"/>
      <c r="KF254" s="636"/>
      <c r="KG254" s="636"/>
      <c r="KH254" s="636"/>
      <c r="KI254" s="636"/>
      <c r="KJ254" s="636"/>
      <c r="KK254" s="636"/>
      <c r="KL254" s="636"/>
      <c r="KM254" s="636"/>
      <c r="KN254" s="636"/>
      <c r="KO254" s="636"/>
      <c r="KP254" s="636"/>
      <c r="KQ254" s="636"/>
      <c r="KR254" s="636"/>
      <c r="KS254" s="636"/>
      <c r="KT254" s="636"/>
      <c r="KU254" s="636"/>
      <c r="KV254" s="636"/>
      <c r="KW254" s="636"/>
      <c r="KX254" s="636"/>
      <c r="KY254" s="636"/>
      <c r="KZ254" s="636"/>
      <c r="LA254" s="636"/>
      <c r="LB254" s="636"/>
      <c r="LC254" s="636"/>
      <c r="LD254" s="636"/>
      <c r="LE254" s="636"/>
      <c r="LF254" s="636"/>
      <c r="LG254" s="636"/>
      <c r="LH254" s="636"/>
      <c r="LI254" s="636"/>
      <c r="LJ254" s="636"/>
      <c r="LK254" s="636"/>
      <c r="LL254" s="636"/>
      <c r="LM254" s="636"/>
      <c r="LN254" s="636"/>
      <c r="LO254" s="636"/>
      <c r="LP254" s="636"/>
      <c r="LQ254" s="636"/>
      <c r="LR254" s="636"/>
      <c r="LS254" s="636"/>
      <c r="LT254" s="636"/>
      <c r="LU254" s="636"/>
      <c r="LV254" s="636"/>
      <c r="LW254" s="636"/>
      <c r="LX254" s="636"/>
      <c r="LY254" s="636"/>
      <c r="LZ254" s="636"/>
      <c r="MA254" s="636"/>
      <c r="MB254" s="636"/>
      <c r="MC254" s="636"/>
      <c r="MD254" s="636"/>
      <c r="ME254" s="636"/>
      <c r="MF254" s="636"/>
      <c r="MG254" s="636"/>
      <c r="MH254" s="636"/>
      <c r="MI254" s="636"/>
      <c r="MJ254" s="636"/>
      <c r="MK254" s="636"/>
      <c r="ML254" s="636"/>
      <c r="MM254" s="636"/>
      <c r="MN254" s="636"/>
      <c r="MO254" s="636"/>
      <c r="MP254" s="636"/>
      <c r="MQ254" s="636"/>
      <c r="MR254" s="636"/>
      <c r="MS254" s="636"/>
      <c r="MT254" s="636"/>
      <c r="MU254" s="636"/>
      <c r="MV254" s="636"/>
      <c r="MW254" s="636"/>
      <c r="MX254" s="636"/>
      <c r="MY254" s="636"/>
      <c r="MZ254" s="636"/>
      <c r="NA254" s="636"/>
      <c r="NB254" s="636"/>
      <c r="NC254" s="636"/>
      <c r="ND254" s="636"/>
      <c r="NE254" s="636"/>
      <c r="NF254" s="636"/>
      <c r="NG254" s="636"/>
      <c r="NH254" s="636"/>
      <c r="NI254" s="636"/>
      <c r="NJ254" s="636"/>
      <c r="NK254" s="636"/>
      <c r="NL254" s="636"/>
      <c r="NM254" s="636"/>
      <c r="NN254" s="636"/>
      <c r="NO254" s="636"/>
      <c r="NP254" s="636"/>
      <c r="NQ254" s="636"/>
      <c r="NR254" s="636"/>
      <c r="NS254" s="636"/>
      <c r="NT254" s="636"/>
      <c r="NU254" s="636"/>
      <c r="NV254" s="636"/>
      <c r="NW254" s="636"/>
      <c r="NX254" s="636"/>
      <c r="NY254" s="636"/>
      <c r="NZ254" s="636"/>
      <c r="OA254" s="636"/>
      <c r="OB254" s="636"/>
      <c r="OC254" s="636"/>
      <c r="OD254" s="636"/>
      <c r="OE254" s="636"/>
      <c r="OF254" s="636"/>
      <c r="OG254" s="636"/>
      <c r="OH254" s="636"/>
      <c r="OI254" s="636"/>
      <c r="OJ254" s="636"/>
      <c r="OK254" s="636"/>
      <c r="OL254" s="636"/>
      <c r="OM254" s="636"/>
      <c r="ON254" s="636"/>
      <c r="OO254" s="636"/>
      <c r="OP254" s="636"/>
      <c r="OQ254" s="636"/>
      <c r="OR254" s="636"/>
      <c r="OS254" s="636"/>
      <c r="OT254" s="636"/>
      <c r="OU254" s="636"/>
      <c r="OV254" s="636"/>
      <c r="OW254" s="636"/>
      <c r="OX254" s="636"/>
      <c r="OY254" s="636"/>
      <c r="OZ254" s="636"/>
      <c r="PA254" s="636"/>
      <c r="PB254" s="636"/>
      <c r="PC254" s="636"/>
      <c r="PD254" s="636"/>
      <c r="PE254" s="636"/>
      <c r="PF254" s="636"/>
      <c r="PG254" s="636"/>
      <c r="PH254" s="636"/>
      <c r="PI254" s="636"/>
      <c r="PJ254" s="636"/>
      <c r="PK254" s="636"/>
      <c r="PL254" s="636"/>
      <c r="PM254" s="636"/>
      <c r="PN254" s="636"/>
      <c r="PO254" s="636"/>
      <c r="PP254" s="636"/>
      <c r="PQ254" s="636"/>
      <c r="PR254" s="636"/>
      <c r="PS254" s="636"/>
      <c r="PT254" s="636"/>
      <c r="PU254" s="636"/>
      <c r="PV254" s="636"/>
      <c r="PW254" s="636"/>
      <c r="PX254" s="636"/>
      <c r="PY254" s="636"/>
      <c r="PZ254" s="636"/>
      <c r="QA254" s="636"/>
      <c r="QB254" s="636"/>
      <c r="QC254" s="636"/>
      <c r="QD254" s="636"/>
      <c r="QE254" s="636"/>
      <c r="QF254" s="636"/>
      <c r="QG254" s="636"/>
      <c r="QH254" s="636"/>
      <c r="QI254" s="636"/>
      <c r="QJ254" s="636"/>
      <c r="QK254" s="636"/>
      <c r="QL254" s="636"/>
      <c r="QM254" s="636"/>
      <c r="QN254" s="636"/>
      <c r="QO254" s="636"/>
      <c r="QP254" s="636"/>
      <c r="QQ254" s="636"/>
      <c r="QR254" s="636"/>
      <c r="QS254" s="636"/>
      <c r="QT254" s="636"/>
      <c r="QU254" s="636"/>
      <c r="QV254" s="636"/>
      <c r="QW254" s="636"/>
      <c r="QX254" s="636"/>
      <c r="QY254" s="636"/>
      <c r="QZ254" s="636"/>
      <c r="RA254" s="636"/>
      <c r="RB254" s="636"/>
      <c r="RC254" s="636"/>
      <c r="RD254" s="636"/>
      <c r="RE254" s="636"/>
      <c r="RF254" s="636"/>
      <c r="RG254" s="636"/>
      <c r="RH254" s="636"/>
      <c r="RI254" s="636"/>
      <c r="RJ254" s="636"/>
      <c r="RK254" s="636"/>
      <c r="RL254" s="636"/>
      <c r="RM254" s="636"/>
      <c r="RN254" s="636"/>
      <c r="RO254" s="636"/>
      <c r="RP254" s="636"/>
      <c r="RQ254" s="636"/>
      <c r="RR254" s="636"/>
      <c r="RS254" s="636"/>
      <c r="RT254" s="636"/>
      <c r="RU254" s="636"/>
      <c r="RV254" s="636"/>
      <c r="RW254" s="636"/>
      <c r="RX254" s="636"/>
      <c r="RY254" s="636"/>
      <c r="RZ254" s="636"/>
      <c r="SA254" s="636"/>
      <c r="SB254" s="636"/>
      <c r="SC254" s="636"/>
      <c r="SD254" s="636"/>
      <c r="SE254" s="636"/>
      <c r="SF254" s="636"/>
      <c r="SG254" s="636"/>
      <c r="SH254" s="636"/>
      <c r="SI254" s="636"/>
      <c r="SJ254" s="636"/>
      <c r="SK254" s="636"/>
      <c r="SL254" s="636"/>
      <c r="SM254" s="636"/>
      <c r="SN254" s="636"/>
      <c r="SO254" s="636"/>
      <c r="SP254" s="636"/>
      <c r="SQ254" s="636"/>
      <c r="SR254" s="636"/>
      <c r="SS254" s="636"/>
      <c r="ST254" s="636"/>
      <c r="SU254" s="636"/>
      <c r="SV254" s="636"/>
      <c r="SW254" s="636"/>
      <c r="SX254" s="636"/>
      <c r="SY254" s="636"/>
      <c r="SZ254" s="636"/>
      <c r="TA254" s="636"/>
      <c r="TB254" s="636"/>
      <c r="TC254" s="636"/>
      <c r="TD254" s="636"/>
      <c r="TE254" s="636"/>
      <c r="TF254" s="636"/>
      <c r="TG254" s="636"/>
      <c r="TH254" s="636"/>
      <c r="TI254" s="636"/>
      <c r="TJ254" s="636"/>
      <c r="TK254" s="636"/>
      <c r="TL254" s="636"/>
      <c r="TM254" s="636"/>
      <c r="TN254" s="636"/>
      <c r="TO254" s="636"/>
      <c r="TP254" s="636"/>
      <c r="TQ254" s="636"/>
      <c r="TR254" s="636"/>
      <c r="TS254" s="636"/>
      <c r="TT254" s="636"/>
      <c r="TU254" s="636"/>
      <c r="TV254" s="636"/>
      <c r="TW254" s="636"/>
      <c r="TX254" s="636"/>
      <c r="TY254" s="636"/>
      <c r="TZ254" s="636"/>
      <c r="UA254" s="636"/>
      <c r="UB254" s="636"/>
      <c r="UC254" s="636"/>
      <c r="UD254" s="636"/>
      <c r="UE254" s="636"/>
      <c r="UF254" s="636"/>
      <c r="UG254" s="636"/>
      <c r="UH254" s="636"/>
      <c r="UI254" s="636"/>
      <c r="UJ254" s="636"/>
      <c r="UK254" s="636"/>
      <c r="UL254" s="636"/>
      <c r="UM254" s="636"/>
      <c r="UN254" s="636"/>
      <c r="UO254" s="636"/>
      <c r="UP254" s="636"/>
      <c r="UQ254" s="636"/>
      <c r="UR254" s="636"/>
      <c r="US254" s="636"/>
      <c r="UT254" s="636"/>
      <c r="UU254" s="636"/>
      <c r="UV254" s="636"/>
      <c r="UW254" s="636"/>
      <c r="UX254" s="636"/>
      <c r="UY254" s="636"/>
      <c r="UZ254" s="636"/>
      <c r="VA254" s="636"/>
      <c r="VB254" s="636"/>
      <c r="VC254" s="636"/>
      <c r="VD254" s="636"/>
      <c r="VE254" s="636"/>
      <c r="VF254" s="636"/>
      <c r="VG254" s="636"/>
      <c r="VH254" s="636"/>
      <c r="VI254" s="636"/>
      <c r="VJ254" s="636"/>
      <c r="VK254" s="636"/>
      <c r="VL254" s="636"/>
      <c r="VM254" s="636"/>
      <c r="VN254" s="636"/>
      <c r="VO254" s="636"/>
      <c r="VP254" s="636"/>
      <c r="VQ254" s="636"/>
      <c r="VR254" s="636"/>
      <c r="VS254" s="636"/>
      <c r="VT254" s="636"/>
      <c r="VU254" s="636"/>
      <c r="VV254" s="636"/>
      <c r="VW254" s="636"/>
      <c r="VX254" s="636"/>
      <c r="VY254" s="636"/>
      <c r="VZ254" s="636"/>
      <c r="WA254" s="636"/>
      <c r="WB254" s="636"/>
      <c r="WC254" s="636"/>
      <c r="WD254" s="636"/>
      <c r="WE254" s="636"/>
      <c r="WF254" s="636"/>
      <c r="WG254" s="636"/>
      <c r="WH254" s="636"/>
      <c r="WI254" s="636"/>
      <c r="WJ254" s="636"/>
      <c r="WK254" s="636"/>
      <c r="WL254" s="636"/>
      <c r="WM254" s="636"/>
      <c r="WN254" s="636"/>
      <c r="WO254" s="636"/>
      <c r="WP254" s="636"/>
      <c r="WQ254" s="636"/>
      <c r="WR254" s="636"/>
      <c r="WS254" s="636"/>
      <c r="WT254" s="636"/>
      <c r="WU254" s="636"/>
      <c r="WV254" s="636"/>
      <c r="WW254" s="636"/>
      <c r="WX254" s="636"/>
      <c r="WY254" s="636"/>
      <c r="WZ254" s="636"/>
      <c r="XA254" s="636"/>
      <c r="XB254" s="636"/>
      <c r="XC254" s="636"/>
      <c r="XD254" s="636"/>
      <c r="XE254" s="636"/>
      <c r="XF254" s="636"/>
      <c r="XG254" s="636"/>
      <c r="XH254" s="636"/>
      <c r="XI254" s="636"/>
      <c r="XJ254" s="636"/>
      <c r="XK254" s="636"/>
      <c r="XL254" s="636"/>
      <c r="XM254" s="636"/>
      <c r="XN254" s="636"/>
      <c r="XO254" s="636"/>
      <c r="XP254" s="636"/>
      <c r="XQ254" s="636"/>
      <c r="XR254" s="636"/>
      <c r="XS254" s="636"/>
      <c r="XT254" s="636"/>
      <c r="XU254" s="636"/>
      <c r="XV254" s="636"/>
      <c r="XW254" s="636"/>
      <c r="XX254" s="636"/>
      <c r="XY254" s="636"/>
      <c r="XZ254" s="636"/>
      <c r="YA254" s="636"/>
      <c r="YB254" s="636"/>
      <c r="YC254" s="636"/>
      <c r="YD254" s="636"/>
      <c r="YE254" s="636"/>
      <c r="YF254" s="636"/>
      <c r="YG254" s="636"/>
      <c r="YH254" s="636"/>
      <c r="YI254" s="636"/>
      <c r="YJ254" s="636"/>
      <c r="YK254" s="636"/>
      <c r="YL254" s="636"/>
      <c r="YM254" s="636"/>
      <c r="YN254" s="636"/>
      <c r="YO254" s="636"/>
      <c r="YP254" s="636"/>
      <c r="YQ254" s="636"/>
      <c r="YR254" s="636"/>
      <c r="YS254" s="636"/>
      <c r="YT254" s="636"/>
      <c r="YU254" s="636"/>
      <c r="YV254" s="636"/>
      <c r="YW254" s="636"/>
      <c r="YX254" s="636"/>
      <c r="YY254" s="636"/>
      <c r="YZ254" s="636"/>
      <c r="ZA254" s="636"/>
      <c r="ZB254" s="636"/>
      <c r="ZC254" s="636"/>
      <c r="ZD254" s="636"/>
      <c r="ZE254" s="636"/>
      <c r="ZF254" s="636"/>
      <c r="ZG254" s="636"/>
      <c r="ZH254" s="636"/>
      <c r="ZI254" s="636"/>
      <c r="ZJ254" s="636"/>
      <c r="ZK254" s="636"/>
      <c r="ZL254" s="636"/>
      <c r="ZM254" s="636"/>
      <c r="ZN254" s="636"/>
      <c r="ZO254" s="636"/>
      <c r="ZP254" s="636"/>
      <c r="ZQ254" s="636"/>
      <c r="ZR254" s="636"/>
      <c r="ZS254" s="636"/>
      <c r="ZT254" s="636"/>
      <c r="ZU254" s="636"/>
      <c r="ZV254" s="636"/>
      <c r="ZW254" s="636"/>
      <c r="ZX254" s="636"/>
      <c r="ZY254" s="639"/>
      <c r="ZZ254" s="622"/>
      <c r="AAA254" s="588"/>
      <c r="AAB254"/>
      <c r="AAC254"/>
      <c r="AAD254" s="112"/>
      <c r="AAE254" s="551">
        <f t="shared" ref="AAE254:AAE263" si="909">IF(S.InvolveHearing=TRUE,1,0)</f>
        <v>1</v>
      </c>
      <c r="AAF254" s="583" t="s">
        <v>174</v>
      </c>
      <c r="AAG254" s="77"/>
      <c r="AAH254" s="77"/>
      <c r="AAI254" s="77"/>
      <c r="AAJ254" s="77"/>
      <c r="AAK254" s="77"/>
      <c r="AAL254" s="83" t="str">
        <f>IF(S.InvolveHearing=TRUE,"Enter hearing dates","No hearings planned")</f>
        <v>Enter hearing dates</v>
      </c>
      <c r="AAM254" s="112"/>
      <c r="AAU254" s="44"/>
    </row>
    <row r="255" spans="1:732" s="23" customFormat="1" ht="18" customHeight="1">
      <c r="A255" s="558"/>
      <c r="B255" s="428" t="s">
        <v>279</v>
      </c>
      <c r="C255" s="168"/>
      <c r="D255" s="750" t="s">
        <v>280</v>
      </c>
      <c r="E255" s="750"/>
      <c r="F255" s="750"/>
      <c r="G255" s="668">
        <f>AAG255</f>
        <v>41585</v>
      </c>
      <c r="H255" s="527" t="s">
        <v>274</v>
      </c>
      <c r="I255" s="627"/>
      <c r="J255" s="591"/>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47"/>
      <c r="AW255" s="47"/>
      <c r="AX255" s="47"/>
      <c r="AY255" s="47"/>
      <c r="AZ255" s="47"/>
      <c r="BA255" s="47"/>
      <c r="BB255" s="47"/>
      <c r="BC255" s="47"/>
      <c r="BD255" s="47"/>
      <c r="BE255" s="47"/>
      <c r="BF255" s="47"/>
      <c r="BG255" s="47"/>
      <c r="BH255" s="47"/>
      <c r="BI255" s="47"/>
      <c r="BJ255" s="47"/>
      <c r="BK255" s="47"/>
      <c r="BL255" s="47"/>
      <c r="BM255" s="47"/>
      <c r="BN255" s="47"/>
      <c r="BO255" s="47"/>
      <c r="BP255" s="47"/>
      <c r="BQ255" s="47"/>
      <c r="BR255" s="47"/>
      <c r="BS255" s="47"/>
      <c r="BT255" s="47"/>
      <c r="BU255" s="47"/>
      <c r="BV255" s="47"/>
      <c r="BW255" s="47"/>
      <c r="BX255" s="47"/>
      <c r="BY255" s="47"/>
      <c r="BZ255" s="47"/>
      <c r="CA255" s="47"/>
      <c r="CB255" s="47"/>
      <c r="CC255" s="47"/>
      <c r="CD255" s="47"/>
      <c r="CE255" s="47"/>
      <c r="CF255" s="47"/>
      <c r="CG255" s="47"/>
      <c r="CH255" s="47"/>
      <c r="CI255" s="47"/>
      <c r="CJ255" s="47"/>
      <c r="CK255" s="47"/>
      <c r="CL255" s="47"/>
      <c r="CM255" s="47"/>
      <c r="CN255" s="47"/>
      <c r="CO255" s="47"/>
      <c r="CP255" s="47"/>
      <c r="CQ255" s="47"/>
      <c r="CR255" s="47"/>
      <c r="CS255" s="47"/>
      <c r="CT255" s="47"/>
      <c r="CU255" s="47"/>
      <c r="CV255" s="47"/>
      <c r="CW255" s="47"/>
      <c r="CX255" s="47"/>
      <c r="CY255" s="47"/>
      <c r="CZ255" s="47"/>
      <c r="DA255" s="47"/>
      <c r="DB255" s="47"/>
      <c r="DC255" s="47"/>
      <c r="DD255" s="47"/>
      <c r="DE255" s="47"/>
      <c r="DF255" s="47"/>
      <c r="DG255" s="47"/>
      <c r="DH255" s="47"/>
      <c r="DI255" s="47"/>
      <c r="DJ255" s="47"/>
      <c r="DK255" s="47"/>
      <c r="DL255" s="47"/>
      <c r="DM255" s="47"/>
      <c r="DN255" s="47"/>
      <c r="DO255" s="47"/>
      <c r="DP255" s="47"/>
      <c r="DQ255" s="47"/>
      <c r="DR255" s="47"/>
      <c r="DS255" s="47"/>
      <c r="DT255" s="47"/>
      <c r="DU255" s="47"/>
      <c r="DV255" s="47"/>
      <c r="DW255" s="47"/>
      <c r="DX255" s="47"/>
      <c r="DY255" s="47"/>
      <c r="DZ255" s="47"/>
      <c r="EA255" s="47"/>
      <c r="EB255" s="47"/>
      <c r="EC255" s="47"/>
      <c r="ED255" s="47"/>
      <c r="EE255" s="47"/>
      <c r="EF255" s="47"/>
      <c r="EG255" s="47"/>
      <c r="EH255" s="47"/>
      <c r="EI255" s="47"/>
      <c r="EJ255" s="47"/>
      <c r="EK255" s="47"/>
      <c r="EL255" s="47"/>
      <c r="EM255" s="47"/>
      <c r="EN255" s="47"/>
      <c r="EO255" s="47"/>
      <c r="EP255" s="47"/>
      <c r="EQ255" s="47"/>
      <c r="ER255" s="47"/>
      <c r="ES255" s="47"/>
      <c r="ET255" s="47"/>
      <c r="EU255" s="47"/>
      <c r="EV255" s="47"/>
      <c r="EW255" s="47"/>
      <c r="EX255" s="47"/>
      <c r="EY255" s="47"/>
      <c r="EZ255" s="47"/>
      <c r="FA255" s="47"/>
      <c r="FB255" s="47"/>
      <c r="FC255" s="47"/>
      <c r="FD255" s="47"/>
      <c r="FE255" s="47"/>
      <c r="FF255" s="47"/>
      <c r="FG255" s="47"/>
      <c r="FH255" s="47"/>
      <c r="FI255" s="47"/>
      <c r="FJ255" s="47"/>
      <c r="FK255" s="47"/>
      <c r="FL255" s="47"/>
      <c r="FM255" s="47"/>
      <c r="FN255" s="47"/>
      <c r="FO255" s="47"/>
      <c r="FP255" s="47"/>
      <c r="FQ255" s="47"/>
      <c r="FR255" s="47"/>
      <c r="FS255" s="47"/>
      <c r="FT255" s="47"/>
      <c r="FU255" s="47"/>
      <c r="FV255" s="47"/>
      <c r="FW255" s="47"/>
      <c r="FX255" s="47"/>
      <c r="FY255" s="47"/>
      <c r="FZ255" s="47"/>
      <c r="GA255" s="47"/>
      <c r="GB255" s="47"/>
      <c r="GC255" s="47"/>
      <c r="GD255" s="47"/>
      <c r="GE255" s="47"/>
      <c r="GF255" s="47"/>
      <c r="GG255" s="47"/>
      <c r="GH255" s="47"/>
      <c r="GI255" s="47"/>
      <c r="GJ255" s="47"/>
      <c r="GK255" s="47"/>
      <c r="GL255" s="47"/>
      <c r="GM255" s="47"/>
      <c r="GN255" s="47"/>
      <c r="GO255" s="47"/>
      <c r="GP255" s="47"/>
      <c r="GQ255" s="47"/>
      <c r="GR255" s="47"/>
      <c r="GS255" s="47"/>
      <c r="GT255" s="47"/>
      <c r="GU255" s="47"/>
      <c r="GV255" s="47"/>
      <c r="GW255" s="47"/>
      <c r="GX255" s="47"/>
      <c r="GY255" s="47"/>
      <c r="GZ255" s="47"/>
      <c r="HA255" s="47"/>
      <c r="HB255" s="47"/>
      <c r="HC255" s="47"/>
      <c r="HD255" s="47"/>
      <c r="HE255" s="47"/>
      <c r="HF255" s="47"/>
      <c r="HG255" s="47"/>
      <c r="HH255" s="47"/>
      <c r="HI255" s="47"/>
      <c r="HJ255" s="47"/>
      <c r="HK255" s="47"/>
      <c r="HL255" s="47"/>
      <c r="HM255" s="47"/>
      <c r="HN255" s="47"/>
      <c r="HO255" s="47"/>
      <c r="HP255" s="47"/>
      <c r="HQ255" s="47"/>
      <c r="HR255" s="47"/>
      <c r="HS255" s="47"/>
      <c r="HT255" s="47"/>
      <c r="HU255" s="47"/>
      <c r="HV255" s="47"/>
      <c r="HW255" s="47"/>
      <c r="HX255" s="47"/>
      <c r="HY255" s="47"/>
      <c r="HZ255" s="47"/>
      <c r="IA255" s="47"/>
      <c r="IB255" s="47"/>
      <c r="IC255" s="47"/>
      <c r="ID255" s="47"/>
      <c r="IE255" s="47"/>
      <c r="IF255" s="47"/>
      <c r="IG255" s="47"/>
      <c r="IH255" s="47"/>
      <c r="II255" s="47"/>
      <c r="IJ255" s="47"/>
      <c r="IK255" s="47"/>
      <c r="IL255" s="47"/>
      <c r="IM255" s="47"/>
      <c r="IN255" s="47"/>
      <c r="IO255" s="47"/>
      <c r="IP255" s="47"/>
      <c r="IQ255" s="47"/>
      <c r="IR255" s="47"/>
      <c r="IS255" s="47"/>
      <c r="IT255" s="47"/>
      <c r="IU255" s="47"/>
      <c r="IV255" s="47"/>
      <c r="IW255" s="47"/>
      <c r="IX255" s="47"/>
      <c r="IY255" s="47"/>
      <c r="IZ255" s="47"/>
      <c r="JA255" s="47"/>
      <c r="JB255" s="47"/>
      <c r="JC255" s="47"/>
      <c r="JD255" s="47"/>
      <c r="JE255" s="47"/>
      <c r="JF255" s="47"/>
      <c r="JG255" s="47"/>
      <c r="JH255" s="47"/>
      <c r="JI255" s="47"/>
      <c r="JJ255" s="47"/>
      <c r="JK255" s="47"/>
      <c r="JL255" s="47"/>
      <c r="JM255" s="47"/>
      <c r="JN255" s="47"/>
      <c r="JO255" s="47"/>
      <c r="JP255" s="47"/>
      <c r="JQ255" s="47"/>
      <c r="JR255" s="47"/>
      <c r="JS255" s="47"/>
      <c r="JT255" s="47"/>
      <c r="JU255" s="47"/>
      <c r="JV255" s="47"/>
      <c r="JW255" s="47"/>
      <c r="JX255" s="47"/>
      <c r="JY255" s="47"/>
      <c r="JZ255" s="47"/>
      <c r="KA255" s="47"/>
      <c r="KB255" s="47"/>
      <c r="KC255" s="47"/>
      <c r="KD255" s="47"/>
      <c r="KE255" s="47"/>
      <c r="KF255" s="47"/>
      <c r="KG255" s="47"/>
      <c r="KH255" s="47"/>
      <c r="KI255" s="47"/>
      <c r="KJ255" s="47"/>
      <c r="KK255" s="47"/>
      <c r="KL255" s="47"/>
      <c r="KM255" s="47"/>
      <c r="KN255" s="47"/>
      <c r="KO255" s="47"/>
      <c r="KP255" s="47"/>
      <c r="KQ255" s="47"/>
      <c r="KR255" s="47"/>
      <c r="KS255" s="47"/>
      <c r="KT255" s="47"/>
      <c r="KU255" s="47"/>
      <c r="KV255" s="47"/>
      <c r="KW255" s="47"/>
      <c r="KX255" s="47"/>
      <c r="KY255" s="47"/>
      <c r="KZ255" s="47"/>
      <c r="LA255" s="47"/>
      <c r="LB255" s="47"/>
      <c r="LC255" s="47"/>
      <c r="LD255" s="47"/>
      <c r="LE255" s="47"/>
      <c r="LF255" s="47"/>
      <c r="LG255" s="47"/>
      <c r="LH255" s="47"/>
      <c r="LI255" s="47"/>
      <c r="LJ255" s="47"/>
      <c r="LK255" s="47"/>
      <c r="LL255" s="47"/>
      <c r="LM255" s="47"/>
      <c r="LN255" s="47"/>
      <c r="LO255" s="47"/>
      <c r="LP255" s="47"/>
      <c r="LQ255" s="47"/>
      <c r="LR255" s="47"/>
      <c r="LS255" s="47"/>
      <c r="LT255" s="47"/>
      <c r="LU255" s="47"/>
      <c r="LV255" s="47"/>
      <c r="LW255" s="47"/>
      <c r="LX255" s="47"/>
      <c r="LY255" s="47"/>
      <c r="LZ255" s="47"/>
      <c r="MA255" s="47"/>
      <c r="MB255" s="47"/>
      <c r="MC255" s="47"/>
      <c r="MD255" s="47"/>
      <c r="ME255" s="47"/>
      <c r="MF255" s="47"/>
      <c r="MG255" s="47"/>
      <c r="MH255" s="47"/>
      <c r="MI255" s="47"/>
      <c r="MJ255" s="47"/>
      <c r="MK255" s="47"/>
      <c r="ML255" s="47"/>
      <c r="MM255" s="47"/>
      <c r="MN255" s="47"/>
      <c r="MO255" s="47"/>
      <c r="MP255" s="47"/>
      <c r="MQ255" s="47"/>
      <c r="MR255" s="47"/>
      <c r="MS255" s="47"/>
      <c r="MT255" s="47"/>
      <c r="MU255" s="47"/>
      <c r="MV255" s="47"/>
      <c r="MW255" s="47"/>
      <c r="MX255" s="47"/>
      <c r="MY255" s="47"/>
      <c r="MZ255" s="47"/>
      <c r="NA255" s="47"/>
      <c r="NB255" s="47"/>
      <c r="NC255" s="47"/>
      <c r="ND255" s="47"/>
      <c r="NE255" s="47"/>
      <c r="NF255" s="47"/>
      <c r="NG255" s="47"/>
      <c r="NH255" s="47"/>
      <c r="NI255" s="47"/>
      <c r="NJ255" s="47"/>
      <c r="NK255" s="47"/>
      <c r="NL255" s="47"/>
      <c r="NM255" s="47"/>
      <c r="NN255" s="47"/>
      <c r="NO255" s="47"/>
      <c r="NP255" s="47"/>
      <c r="NQ255" s="47"/>
      <c r="NR255" s="47"/>
      <c r="NS255" s="47"/>
      <c r="NT255" s="47"/>
      <c r="NU255" s="47"/>
      <c r="NV255" s="47"/>
      <c r="NW255" s="47"/>
      <c r="NX255" s="47"/>
      <c r="NY255" s="47"/>
      <c r="NZ255" s="47"/>
      <c r="OA255" s="47"/>
      <c r="OB255" s="47"/>
      <c r="OC255" s="47"/>
      <c r="OD255" s="47"/>
      <c r="OE255" s="47"/>
      <c r="OF255" s="47"/>
      <c r="OG255" s="47"/>
      <c r="OH255" s="47"/>
      <c r="OI255" s="47"/>
      <c r="OJ255" s="47"/>
      <c r="OK255" s="47"/>
      <c r="OL255" s="47"/>
      <c r="OM255" s="47"/>
      <c r="ON255" s="47"/>
      <c r="OO255" s="47"/>
      <c r="OP255" s="47"/>
      <c r="OQ255" s="47"/>
      <c r="OR255" s="47"/>
      <c r="OS255" s="47"/>
      <c r="OT255" s="47"/>
      <c r="OU255" s="47"/>
      <c r="OV255" s="47"/>
      <c r="OW255" s="47"/>
      <c r="OX255" s="47"/>
      <c r="OY255" s="47"/>
      <c r="OZ255" s="47"/>
      <c r="PA255" s="47"/>
      <c r="PB255" s="47"/>
      <c r="PC255" s="47"/>
      <c r="PD255" s="47"/>
      <c r="PE255" s="47"/>
      <c r="PF255" s="47"/>
      <c r="PG255" s="47"/>
      <c r="PH255" s="47"/>
      <c r="PI255" s="47"/>
      <c r="PJ255" s="47"/>
      <c r="PK255" s="47"/>
      <c r="PL255" s="47"/>
      <c r="PM255" s="47"/>
      <c r="PN255" s="47"/>
      <c r="PO255" s="47"/>
      <c r="PP255" s="47"/>
      <c r="PQ255" s="47"/>
      <c r="PR255" s="47"/>
      <c r="PS255" s="47"/>
      <c r="PT255" s="47"/>
      <c r="PU255" s="47"/>
      <c r="PV255" s="47"/>
      <c r="PW255" s="47"/>
      <c r="PX255" s="47"/>
      <c r="PY255" s="47"/>
      <c r="PZ255" s="47"/>
      <c r="QA255" s="47"/>
      <c r="QB255" s="47"/>
      <c r="QC255" s="47"/>
      <c r="QD255" s="47"/>
      <c r="QE255" s="47"/>
      <c r="QF255" s="47"/>
      <c r="QG255" s="47"/>
      <c r="QH255" s="47"/>
      <c r="QI255" s="47"/>
      <c r="QJ255" s="47"/>
      <c r="QK255" s="47"/>
      <c r="QL255" s="47"/>
      <c r="QM255" s="47"/>
      <c r="QN255" s="47"/>
      <c r="QO255" s="47"/>
      <c r="QP255" s="47"/>
      <c r="QQ255" s="47"/>
      <c r="QR255" s="47"/>
      <c r="QS255" s="47"/>
      <c r="QT255" s="47"/>
      <c r="QU255" s="47"/>
      <c r="QV255" s="47"/>
      <c r="QW255" s="47"/>
      <c r="QX255" s="47"/>
      <c r="QY255" s="47"/>
      <c r="QZ255" s="47"/>
      <c r="RA255" s="47"/>
      <c r="RB255" s="47"/>
      <c r="RC255" s="47"/>
      <c r="RD255" s="47"/>
      <c r="RE255" s="47"/>
      <c r="RF255" s="47"/>
      <c r="RG255" s="47"/>
      <c r="RH255" s="47"/>
      <c r="RI255" s="47"/>
      <c r="RJ255" s="47"/>
      <c r="RK255" s="47"/>
      <c r="RL255" s="47"/>
      <c r="RM255" s="47"/>
      <c r="RN255" s="47"/>
      <c r="RO255" s="47"/>
      <c r="RP255" s="47"/>
      <c r="RQ255" s="47"/>
      <c r="RR255" s="47"/>
      <c r="RS255" s="47"/>
      <c r="RT255" s="47"/>
      <c r="RU255" s="47"/>
      <c r="RV255" s="47"/>
      <c r="RW255" s="47"/>
      <c r="RX255" s="47"/>
      <c r="RY255" s="47"/>
      <c r="RZ255" s="47"/>
      <c r="SA255" s="47"/>
      <c r="SB255" s="47"/>
      <c r="SC255" s="47"/>
      <c r="SD255" s="47"/>
      <c r="SE255" s="47"/>
      <c r="SF255" s="47"/>
      <c r="SG255" s="47"/>
      <c r="SH255" s="47"/>
      <c r="SI255" s="47"/>
      <c r="SJ255" s="47"/>
      <c r="SK255" s="47"/>
      <c r="SL255" s="47"/>
      <c r="SM255" s="47"/>
      <c r="SN255" s="47"/>
      <c r="SO255" s="47"/>
      <c r="SP255" s="47"/>
      <c r="SQ255" s="47"/>
      <c r="SR255" s="47"/>
      <c r="SS255" s="47"/>
      <c r="ST255" s="47"/>
      <c r="SU255" s="47"/>
      <c r="SV255" s="47"/>
      <c r="SW255" s="47"/>
      <c r="SX255" s="47"/>
      <c r="SY255" s="47"/>
      <c r="SZ255" s="47"/>
      <c r="TA255" s="47"/>
      <c r="TB255" s="47"/>
      <c r="TC255" s="47"/>
      <c r="TD255" s="47"/>
      <c r="TE255" s="47"/>
      <c r="TF255" s="47"/>
      <c r="TG255" s="47"/>
      <c r="TH255" s="47"/>
      <c r="TI255" s="47"/>
      <c r="TJ255" s="47"/>
      <c r="TK255" s="47"/>
      <c r="TL255" s="47"/>
      <c r="TM255" s="47"/>
      <c r="TN255" s="47"/>
      <c r="TO255" s="47"/>
      <c r="TP255" s="47"/>
      <c r="TQ255" s="47"/>
      <c r="TR255" s="47"/>
      <c r="TS255" s="47"/>
      <c r="TT255" s="47"/>
      <c r="TU255" s="47"/>
      <c r="TV255" s="47"/>
      <c r="TW255" s="47"/>
      <c r="TX255" s="47"/>
      <c r="TY255" s="47"/>
      <c r="TZ255" s="47"/>
      <c r="UA255" s="47"/>
      <c r="UB255" s="47"/>
      <c r="UC255" s="47"/>
      <c r="UD255" s="47"/>
      <c r="UE255" s="47"/>
      <c r="UF255" s="47"/>
      <c r="UG255" s="47"/>
      <c r="UH255" s="47"/>
      <c r="UI255" s="47"/>
      <c r="UJ255" s="47"/>
      <c r="UK255" s="47"/>
      <c r="UL255" s="47"/>
      <c r="UM255" s="47"/>
      <c r="UN255" s="47"/>
      <c r="UO255" s="47"/>
      <c r="UP255" s="47"/>
      <c r="UQ255" s="47"/>
      <c r="UR255" s="47"/>
      <c r="US255" s="47"/>
      <c r="UT255" s="47"/>
      <c r="UU255" s="47"/>
      <c r="UV255" s="47"/>
      <c r="UW255" s="47"/>
      <c r="UX255" s="47"/>
      <c r="UY255" s="47"/>
      <c r="UZ255" s="47"/>
      <c r="VA255" s="47"/>
      <c r="VB255" s="47"/>
      <c r="VC255" s="47"/>
      <c r="VD255" s="47"/>
      <c r="VE255" s="47"/>
      <c r="VF255" s="47"/>
      <c r="VG255" s="47"/>
      <c r="VH255" s="47"/>
      <c r="VI255" s="47"/>
      <c r="VJ255" s="47"/>
      <c r="VK255" s="47"/>
      <c r="VL255" s="47"/>
      <c r="VM255" s="47"/>
      <c r="VN255" s="47"/>
      <c r="VO255" s="47"/>
      <c r="VP255" s="47"/>
      <c r="VQ255" s="47"/>
      <c r="VR255" s="47"/>
      <c r="VS255" s="47"/>
      <c r="VT255" s="47"/>
      <c r="VU255" s="47"/>
      <c r="VV255" s="47"/>
      <c r="VW255" s="47"/>
      <c r="VX255" s="47"/>
      <c r="VY255" s="47"/>
      <c r="VZ255" s="47"/>
      <c r="WA255" s="47"/>
      <c r="WB255" s="47"/>
      <c r="WC255" s="47"/>
      <c r="WD255" s="47"/>
      <c r="WE255" s="47"/>
      <c r="WF255" s="47"/>
      <c r="WG255" s="47"/>
      <c r="WH255" s="47"/>
      <c r="WI255" s="47"/>
      <c r="WJ255" s="47"/>
      <c r="WK255" s="47"/>
      <c r="WL255" s="47"/>
      <c r="WM255" s="47"/>
      <c r="WN255" s="47"/>
      <c r="WO255" s="47"/>
      <c r="WP255" s="47"/>
      <c r="WQ255" s="47"/>
      <c r="WR255" s="47"/>
      <c r="WS255" s="47"/>
      <c r="WT255" s="47"/>
      <c r="WU255" s="47"/>
      <c r="WV255" s="47"/>
      <c r="WW255" s="47"/>
      <c r="WX255" s="47"/>
      <c r="WY255" s="47"/>
      <c r="WZ255" s="47"/>
      <c r="XA255" s="47"/>
      <c r="XB255" s="47"/>
      <c r="XC255" s="47"/>
      <c r="XD255" s="47"/>
      <c r="XE255" s="47"/>
      <c r="XF255" s="47"/>
      <c r="XG255" s="47"/>
      <c r="XH255" s="47"/>
      <c r="XI255" s="47"/>
      <c r="XJ255" s="47"/>
      <c r="XK255" s="47"/>
      <c r="XL255" s="47"/>
      <c r="XM255" s="47"/>
      <c r="XN255" s="47"/>
      <c r="XO255" s="47"/>
      <c r="XP255" s="47"/>
      <c r="XQ255" s="47"/>
      <c r="XR255" s="47"/>
      <c r="XS255" s="47"/>
      <c r="XT255" s="47"/>
      <c r="XU255" s="47"/>
      <c r="XV255" s="47"/>
      <c r="XW255" s="47"/>
      <c r="XX255" s="47"/>
      <c r="XY255" s="47"/>
      <c r="XZ255" s="47"/>
      <c r="YA255" s="47"/>
      <c r="YB255" s="47"/>
      <c r="YC255" s="47"/>
      <c r="YD255" s="47"/>
      <c r="YE255" s="47"/>
      <c r="YF255" s="47"/>
      <c r="YG255" s="47"/>
      <c r="YH255" s="47"/>
      <c r="YI255" s="47"/>
      <c r="YJ255" s="47"/>
      <c r="YK255" s="47"/>
      <c r="YL255" s="47"/>
      <c r="YM255" s="47"/>
      <c r="YN255" s="47"/>
      <c r="YO255" s="47"/>
      <c r="YP255" s="47"/>
      <c r="YQ255" s="47"/>
      <c r="YR255" s="47"/>
      <c r="YS255" s="47"/>
      <c r="YT255" s="47"/>
      <c r="YU255" s="47"/>
      <c r="YV255" s="47"/>
      <c r="YW255" s="47"/>
      <c r="YX255" s="47"/>
      <c r="YY255" s="47"/>
      <c r="YZ255" s="47"/>
      <c r="ZA255" s="47"/>
      <c r="ZB255" s="47"/>
      <c r="ZC255" s="47"/>
      <c r="ZD255" s="47"/>
      <c r="ZE255" s="47"/>
      <c r="ZF255" s="47"/>
      <c r="ZG255" s="47"/>
      <c r="ZH255" s="47"/>
      <c r="ZI255" s="47"/>
      <c r="ZJ255" s="47"/>
      <c r="ZK255" s="47"/>
      <c r="ZL255" s="47"/>
      <c r="ZM255" s="47"/>
      <c r="ZN255" s="47"/>
      <c r="ZO255" s="47"/>
      <c r="ZP255" s="47"/>
      <c r="ZQ255" s="47"/>
      <c r="ZR255" s="47"/>
      <c r="ZS255" s="47"/>
      <c r="ZT255" s="47"/>
      <c r="ZU255" s="47"/>
      <c r="ZV255" s="47"/>
      <c r="ZW255" s="47"/>
      <c r="ZX255" s="47"/>
      <c r="ZY255" s="617"/>
      <c r="ZZ255" s="50"/>
      <c r="AAA255" s="588"/>
      <c r="AAB255"/>
      <c r="AAC255"/>
      <c r="AAD255" s="112"/>
      <c r="AAE255" s="551">
        <f t="shared" si="909"/>
        <v>1</v>
      </c>
      <c r="AAF255" s="583" t="s">
        <v>174</v>
      </c>
      <c r="AAG255" s="78">
        <f>S.FirstHearingDate</f>
        <v>41585</v>
      </c>
      <c r="AAH255" s="39" t="s">
        <v>0</v>
      </c>
      <c r="AAI255" s="39"/>
      <c r="AAJ255" s="56"/>
      <c r="AAK255" s="56"/>
      <c r="AAL255" s="56"/>
      <c r="AAM255" s="112"/>
      <c r="AAU255" s="44"/>
    </row>
    <row r="256" spans="1:732" s="23" customFormat="1" ht="15" outlineLevel="1">
      <c r="A256" s="558"/>
      <c r="B256" s="488" t="s">
        <v>201</v>
      </c>
      <c r="C256" s="168"/>
      <c r="D256" s="750" t="s">
        <v>280</v>
      </c>
      <c r="E256" s="750"/>
      <c r="F256" s="750"/>
      <c r="G256" s="528">
        <f>AAG256</f>
        <v>41585</v>
      </c>
      <c r="H256" s="528" t="str">
        <f>AAH256</f>
        <v>5 p.m.</v>
      </c>
      <c r="I256" s="627"/>
      <c r="J256" s="592"/>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18"/>
      <c r="ZZ256" s="50"/>
      <c r="AAA256" s="588"/>
      <c r="AAB256"/>
      <c r="AAC256"/>
      <c r="AAD256" s="112"/>
      <c r="AAE256" s="551">
        <f t="shared" si="909"/>
        <v>1</v>
      </c>
      <c r="AAF256" s="583" t="s">
        <v>174</v>
      </c>
      <c r="AAG256" s="78">
        <f>G255</f>
        <v>41585</v>
      </c>
      <c r="AAH256" s="530" t="str">
        <f>H255</f>
        <v>5 p.m.</v>
      </c>
      <c r="AAI256" s="77"/>
      <c r="AAJ256" s="77"/>
      <c r="AAK256" s="77"/>
      <c r="AAL256" s="79"/>
      <c r="AAM256" s="112"/>
      <c r="AAU256" s="44"/>
    </row>
    <row r="257" spans="1:732" s="23" customFormat="1" ht="15" outlineLevel="1">
      <c r="A257" s="558"/>
      <c r="B257" s="488" t="s">
        <v>202</v>
      </c>
      <c r="C257" s="168"/>
      <c r="D257" s="750" t="s">
        <v>280</v>
      </c>
      <c r="E257" s="750"/>
      <c r="F257" s="750"/>
      <c r="G257" s="528">
        <f t="shared" ref="G257:G262" si="910">AAG257</f>
        <v>41585</v>
      </c>
      <c r="H257" s="528" t="str">
        <f t="shared" ref="H257:H261" si="911">AAH257</f>
        <v>5 p.m.</v>
      </c>
      <c r="I257" s="627"/>
      <c r="J257" s="592"/>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18"/>
      <c r="ZZ257" s="50"/>
      <c r="AAA257" s="588"/>
      <c r="AAB257"/>
      <c r="AAC257"/>
      <c r="AAD257" s="112"/>
      <c r="AAE257" s="551">
        <f t="shared" si="909"/>
        <v>1</v>
      </c>
      <c r="AAF257" s="583" t="s">
        <v>174</v>
      </c>
      <c r="AAG257" s="78">
        <f>G255</f>
        <v>41585</v>
      </c>
      <c r="AAH257" s="530" t="str">
        <f>H255</f>
        <v>5 p.m.</v>
      </c>
      <c r="AAI257" s="77"/>
      <c r="AAJ257" s="57"/>
      <c r="AAK257" s="57"/>
      <c r="AAL257" s="80"/>
      <c r="AAM257" s="112"/>
      <c r="AAU257" s="44"/>
    </row>
    <row r="258" spans="1:732" s="23" customFormat="1" ht="15" outlineLevel="1">
      <c r="A258" s="558"/>
      <c r="B258" s="488" t="s">
        <v>203</v>
      </c>
      <c r="C258" s="168"/>
      <c r="D258" s="750" t="s">
        <v>280</v>
      </c>
      <c r="E258" s="750"/>
      <c r="F258" s="750"/>
      <c r="G258" s="528">
        <f t="shared" si="910"/>
        <v>41585</v>
      </c>
      <c r="H258" s="528" t="str">
        <f t="shared" si="911"/>
        <v>5 p.m.</v>
      </c>
      <c r="I258" s="627"/>
      <c r="J258" s="592"/>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18"/>
      <c r="ZZ258" s="50"/>
      <c r="AAA258" s="588"/>
      <c r="AAB258"/>
      <c r="AAC258"/>
      <c r="AAD258" s="112"/>
      <c r="AAE258" s="551">
        <f t="shared" si="909"/>
        <v>1</v>
      </c>
      <c r="AAF258" s="583" t="s">
        <v>174</v>
      </c>
      <c r="AAG258" s="78">
        <f>G255</f>
        <v>41585</v>
      </c>
      <c r="AAH258" s="530" t="str">
        <f>H255</f>
        <v>5 p.m.</v>
      </c>
      <c r="AAI258" s="77"/>
      <c r="AAJ258" s="57"/>
      <c r="AAK258" s="57"/>
      <c r="AAL258" s="80"/>
      <c r="AAM258" s="112"/>
      <c r="AAU258" s="44"/>
    </row>
    <row r="259" spans="1:732" s="23" customFormat="1" ht="15" outlineLevel="1">
      <c r="A259" s="558"/>
      <c r="B259" s="488" t="s">
        <v>204</v>
      </c>
      <c r="C259" s="168"/>
      <c r="D259" s="750" t="s">
        <v>280</v>
      </c>
      <c r="E259" s="750"/>
      <c r="F259" s="750"/>
      <c r="G259" s="528">
        <f t="shared" si="910"/>
        <v>41585</v>
      </c>
      <c r="H259" s="528" t="str">
        <f t="shared" si="911"/>
        <v>5 p.m.</v>
      </c>
      <c r="I259" s="627"/>
      <c r="J259" s="592"/>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18"/>
      <c r="ZZ259" s="50"/>
      <c r="AAA259" s="588"/>
      <c r="AAB259"/>
      <c r="AAC259"/>
      <c r="AAD259" s="112"/>
      <c r="AAE259" s="551">
        <f t="shared" si="909"/>
        <v>1</v>
      </c>
      <c r="AAF259" s="583" t="s">
        <v>174</v>
      </c>
      <c r="AAG259" s="78">
        <f>G255</f>
        <v>41585</v>
      </c>
      <c r="AAH259" s="530" t="str">
        <f>H255</f>
        <v>5 p.m.</v>
      </c>
      <c r="AAI259" s="77"/>
      <c r="AAJ259" s="57"/>
      <c r="AAK259" s="57"/>
      <c r="AAL259" s="80"/>
      <c r="AAM259" s="112"/>
      <c r="AAU259" s="44"/>
    </row>
    <row r="260" spans="1:732" s="23" customFormat="1" ht="15" outlineLevel="1">
      <c r="A260" s="558"/>
      <c r="B260" s="488" t="s">
        <v>205</v>
      </c>
      <c r="C260" s="168"/>
      <c r="D260" s="750" t="s">
        <v>280</v>
      </c>
      <c r="E260" s="750"/>
      <c r="F260" s="750"/>
      <c r="G260" s="528">
        <f t="shared" si="910"/>
        <v>41585</v>
      </c>
      <c r="H260" s="528" t="str">
        <f t="shared" si="911"/>
        <v>5 p.m.</v>
      </c>
      <c r="I260" s="627"/>
      <c r="J260" s="592"/>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18"/>
      <c r="ZZ260" s="50"/>
      <c r="AAA260" s="588"/>
      <c r="AAB260"/>
      <c r="AAC260"/>
      <c r="AAD260" s="112"/>
      <c r="AAE260" s="551">
        <f t="shared" si="909"/>
        <v>1</v>
      </c>
      <c r="AAF260" s="583" t="s">
        <v>174</v>
      </c>
      <c r="AAG260" s="78">
        <f>G255</f>
        <v>41585</v>
      </c>
      <c r="AAH260" s="530" t="str">
        <f>H255</f>
        <v>5 p.m.</v>
      </c>
      <c r="AAI260" s="77"/>
      <c r="AAJ260" s="57"/>
      <c r="AAK260" s="57"/>
      <c r="AAL260" s="80"/>
      <c r="AAM260" s="112"/>
      <c r="AAU260" s="44"/>
    </row>
    <row r="261" spans="1:732" s="23" customFormat="1" ht="15" outlineLevel="1">
      <c r="A261" s="558"/>
      <c r="B261" s="488" t="s">
        <v>206</v>
      </c>
      <c r="C261" s="168"/>
      <c r="D261" s="750" t="s">
        <v>280</v>
      </c>
      <c r="E261" s="750"/>
      <c r="F261" s="750"/>
      <c r="G261" s="528">
        <f t="shared" si="910"/>
        <v>41585</v>
      </c>
      <c r="H261" s="528" t="str">
        <f t="shared" si="911"/>
        <v>5 p.m.</v>
      </c>
      <c r="I261" s="627"/>
      <c r="J261" s="592"/>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18"/>
      <c r="ZZ261" s="50"/>
      <c r="AAA261" s="588"/>
      <c r="AAB261"/>
      <c r="AAC261"/>
      <c r="AAD261" s="112"/>
      <c r="AAE261" s="551">
        <f t="shared" si="909"/>
        <v>1</v>
      </c>
      <c r="AAF261" s="583" t="s">
        <v>174</v>
      </c>
      <c r="AAG261" s="78">
        <f>G255</f>
        <v>41585</v>
      </c>
      <c r="AAH261" s="530" t="str">
        <f>H255</f>
        <v>5 p.m.</v>
      </c>
      <c r="AAI261" s="77"/>
      <c r="AAJ261" s="57"/>
      <c r="AAK261" s="57"/>
      <c r="AAL261" s="80"/>
      <c r="AAM261" s="112"/>
      <c r="AAU261" s="44"/>
    </row>
    <row r="262" spans="1:732" s="23" customFormat="1" ht="15">
      <c r="A262" s="558"/>
      <c r="B262" s="489" t="s">
        <v>207</v>
      </c>
      <c r="C262" s="168"/>
      <c r="D262" s="750" t="s">
        <v>280</v>
      </c>
      <c r="E262" s="750"/>
      <c r="F262" s="750"/>
      <c r="G262" s="528">
        <f t="shared" si="910"/>
        <v>41585</v>
      </c>
      <c r="H262" s="529" t="str">
        <f>H255</f>
        <v>5 p.m.</v>
      </c>
      <c r="I262" s="627"/>
      <c r="J262" s="592"/>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18"/>
      <c r="ZZ262" s="50"/>
      <c r="AAA262" s="588"/>
      <c r="AAB262"/>
      <c r="AAC262"/>
      <c r="AAD262" s="112"/>
      <c r="AAE262" s="551">
        <f t="shared" si="909"/>
        <v>1</v>
      </c>
      <c r="AAF262" s="583" t="s">
        <v>174</v>
      </c>
      <c r="AAG262" s="78">
        <f>G255</f>
        <v>41585</v>
      </c>
      <c r="AAH262" s="530" t="str">
        <f>H255</f>
        <v>5 p.m.</v>
      </c>
      <c r="AAI262" s="77"/>
      <c r="AAJ262" s="57"/>
      <c r="AAK262" s="57"/>
      <c r="AAL262" s="80"/>
      <c r="AAM262" s="112"/>
      <c r="AAU262" s="44"/>
      <c r="AAV262"/>
      <c r="AAW262"/>
      <c r="AAX262"/>
      <c r="AAY262"/>
      <c r="AAZ262"/>
      <c r="ABA262"/>
      <c r="ABB262"/>
      <c r="ABC262"/>
      <c r="ABD262"/>
    </row>
    <row r="263" spans="1:732" s="23" customFormat="1" ht="15" outlineLevel="1">
      <c r="A263" s="558"/>
      <c r="B263" s="410" t="s">
        <v>169</v>
      </c>
      <c r="C263" s="168"/>
      <c r="D263" s="277" t="s">
        <v>157</v>
      </c>
      <c r="E263" s="368">
        <f>NETWORKDAYS(G263,H263,S.DDL_DEQClosed)</f>
        <v>1</v>
      </c>
      <c r="F263" s="492">
        <f t="shared" ref="F263" ca="1" si="912">NETWORKDAYS(TODAY(),H263)</f>
        <v>-202</v>
      </c>
      <c r="G263" s="526">
        <f t="shared" ref="G263:H276" si="913">AAG263</f>
        <v>41369</v>
      </c>
      <c r="H263" s="526">
        <f t="shared" si="913"/>
        <v>41369</v>
      </c>
      <c r="I263" s="627"/>
      <c r="J263" s="592"/>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18"/>
      <c r="ZZ263" s="50"/>
      <c r="AAA263" s="588"/>
      <c r="AAB263"/>
      <c r="AAC263"/>
      <c r="AAD263" s="112"/>
      <c r="AAE263" s="551">
        <f t="shared" si="909"/>
        <v>1</v>
      </c>
      <c r="AAF263" s="112"/>
      <c r="AAG263" s="78">
        <f t="shared" ref="AAG263" si="914">S.BANNER.NoticeStart</f>
        <v>41369</v>
      </c>
      <c r="AAH263" s="78">
        <f>G263</f>
        <v>41369</v>
      </c>
      <c r="AAI263" s="63"/>
      <c r="AAJ263" s="57"/>
      <c r="AAK263" s="57"/>
      <c r="AAL263" s="57"/>
      <c r="AAM263" s="112"/>
      <c r="AAU263" s="44"/>
      <c r="AAV263"/>
      <c r="AAW263"/>
      <c r="AAX263"/>
      <c r="AAY263"/>
      <c r="AAZ263"/>
      <c r="ABA263"/>
      <c r="ABB263"/>
      <c r="ABC263"/>
      <c r="ABD263"/>
    </row>
    <row r="264" spans="1:732" ht="15" outlineLevel="2">
      <c r="A264" s="558"/>
      <c r="B264" s="429" t="s">
        <v>166</v>
      </c>
      <c r="C264" s="714"/>
      <c r="D264" s="177" t="s">
        <v>0</v>
      </c>
      <c r="E264" s="345" t="s">
        <v>0</v>
      </c>
      <c r="F264" s="214" t="s">
        <v>0</v>
      </c>
      <c r="G264" s="502"/>
      <c r="H264" s="356"/>
      <c r="I264" s="588"/>
      <c r="J264" s="592"/>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18"/>
      <c r="ZZ264" s="36"/>
      <c r="AAA264" s="588"/>
      <c r="AAD264" s="112"/>
      <c r="AAE264" s="551">
        <f t="shared" ref="AAE264:AAE282" si="915">IF(S.InvolveNotice=TRUE,1,0)</f>
        <v>1</v>
      </c>
      <c r="AAF264" s="583" t="s">
        <v>174</v>
      </c>
      <c r="AAG264" s="76" t="s">
        <v>0</v>
      </c>
      <c r="AAH264" s="76"/>
      <c r="AAI264" s="76"/>
      <c r="AAJ264" s="87"/>
      <c r="AAK264" s="87"/>
      <c r="AAL264" s="57"/>
      <c r="AAM264" s="112"/>
      <c r="AAN264"/>
      <c r="AAT264" s="23"/>
      <c r="AAU264" s="44"/>
    </row>
    <row r="265" spans="1:732" ht="15" outlineLevel="2">
      <c r="A265" s="558"/>
      <c r="B265" s="430" t="s">
        <v>338</v>
      </c>
      <c r="C265" s="490"/>
      <c r="D265" s="278" t="s">
        <v>361</v>
      </c>
      <c r="E265" s="368">
        <f t="shared" ref="E265:E270" si="916">NETWORKDAYS(G265,H265,S.DDL_DEQClosed)</f>
        <v>1</v>
      </c>
      <c r="F265" s="492">
        <f t="shared" ref="F265:F270" ca="1" si="917">NETWORKDAYS(TODAY(),H265)</f>
        <v>-202</v>
      </c>
      <c r="G265" s="526">
        <f t="shared" si="913"/>
        <v>41369</v>
      </c>
      <c r="H265" s="369">
        <f t="shared" ref="H265:H270" si="918">AAH265</f>
        <v>41369</v>
      </c>
      <c r="I265" s="627"/>
      <c r="J265" s="592"/>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18"/>
      <c r="ZZ265" s="50"/>
      <c r="AAA265" s="588"/>
      <c r="AAD265" s="112"/>
      <c r="AAE265" s="551">
        <f t="shared" si="915"/>
        <v>1</v>
      </c>
      <c r="AAF265" s="112"/>
      <c r="AAG265" s="78">
        <f>H263</f>
        <v>41369</v>
      </c>
      <c r="AAH265" s="78">
        <f>G265</f>
        <v>41369</v>
      </c>
      <c r="AAI265" s="63"/>
      <c r="AAJ265" s="57"/>
      <c r="AAK265" s="57"/>
      <c r="AAL265" s="57" t="s">
        <v>0</v>
      </c>
      <c r="AAM265" s="112"/>
      <c r="AAN265"/>
      <c r="AAT265" s="23"/>
      <c r="AAU265" s="44"/>
    </row>
    <row r="266" spans="1:732" ht="22.5" outlineLevel="2">
      <c r="A266" s="558"/>
      <c r="B266" s="430" t="s">
        <v>96</v>
      </c>
      <c r="C266" s="490"/>
      <c r="D266" s="278" t="s">
        <v>389</v>
      </c>
      <c r="E266" s="368">
        <f t="shared" si="916"/>
        <v>1</v>
      </c>
      <c r="F266" s="492">
        <f t="shared" ca="1" si="917"/>
        <v>-202</v>
      </c>
      <c r="G266" s="526">
        <f t="shared" si="913"/>
        <v>41369</v>
      </c>
      <c r="H266" s="369">
        <f t="shared" si="918"/>
        <v>41369</v>
      </c>
      <c r="I266" s="627"/>
      <c r="J266" s="592"/>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18"/>
      <c r="ZZ266" s="50"/>
      <c r="AAA266" s="588"/>
      <c r="AAD266" s="112"/>
      <c r="AAE266" s="551">
        <f t="shared" si="915"/>
        <v>1</v>
      </c>
      <c r="AAF266" s="112"/>
      <c r="AAG266" s="78">
        <f>H265</f>
        <v>41369</v>
      </c>
      <c r="AAH266" s="78">
        <f t="shared" ref="AAH266:AAH270" si="919">G266</f>
        <v>41369</v>
      </c>
      <c r="AAI266" s="63"/>
      <c r="AAJ266" s="57"/>
      <c r="AAK266" s="57"/>
      <c r="AAL266" s="57"/>
      <c r="AAM266" s="112"/>
      <c r="AAN266"/>
      <c r="AAT266" s="23"/>
      <c r="AAU266" s="44"/>
    </row>
    <row r="267" spans="1:732" ht="15" outlineLevel="2">
      <c r="A267" s="558"/>
      <c r="B267" s="431" t="s">
        <v>97</v>
      </c>
      <c r="C267" s="490"/>
      <c r="D267" s="279" t="s">
        <v>378</v>
      </c>
      <c r="E267" s="368">
        <f t="shared" si="916"/>
        <v>1</v>
      </c>
      <c r="F267" s="492">
        <f t="shared" ca="1" si="917"/>
        <v>-202</v>
      </c>
      <c r="G267" s="526">
        <f t="shared" si="913"/>
        <v>41369</v>
      </c>
      <c r="H267" s="369">
        <f t="shared" si="918"/>
        <v>41369</v>
      </c>
      <c r="I267" s="627"/>
      <c r="J267" s="592"/>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18"/>
      <c r="ZZ267" s="50"/>
      <c r="AAA267" s="588"/>
      <c r="AAD267" s="112"/>
      <c r="AAE267" s="551">
        <f t="shared" si="915"/>
        <v>1</v>
      </c>
      <c r="AAF267" s="112"/>
      <c r="AAG267" s="78">
        <f t="shared" ref="AAG267:AAG270" si="920">H266</f>
        <v>41369</v>
      </c>
      <c r="AAH267" s="78">
        <f t="shared" si="919"/>
        <v>41369</v>
      </c>
      <c r="AAI267" s="63"/>
      <c r="AAJ267" s="57"/>
      <c r="AAK267" s="57"/>
      <c r="AAL267" s="57"/>
      <c r="AAM267" s="112"/>
      <c r="AAN267"/>
      <c r="AAT267" s="23"/>
      <c r="AAU267" s="44"/>
    </row>
    <row r="268" spans="1:732" ht="15" outlineLevel="2">
      <c r="A268" s="558"/>
      <c r="B268" s="432" t="s">
        <v>98</v>
      </c>
      <c r="C268" s="490"/>
      <c r="D268" s="279" t="s">
        <v>378</v>
      </c>
      <c r="E268" s="368">
        <f t="shared" si="916"/>
        <v>1</v>
      </c>
      <c r="F268" s="492">
        <f t="shared" ca="1" si="917"/>
        <v>-202</v>
      </c>
      <c r="G268" s="526">
        <f t="shared" si="913"/>
        <v>41369</v>
      </c>
      <c r="H268" s="369">
        <f t="shared" si="918"/>
        <v>41369</v>
      </c>
      <c r="I268" s="627"/>
      <c r="J268" s="592"/>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18"/>
      <c r="ZZ268" s="50"/>
      <c r="AAA268" s="588"/>
      <c r="AAD268" s="112"/>
      <c r="AAE268" s="551">
        <f t="shared" si="915"/>
        <v>1</v>
      </c>
      <c r="AAF268" s="112"/>
      <c r="AAG268" s="78">
        <f t="shared" si="920"/>
        <v>41369</v>
      </c>
      <c r="AAH268" s="78">
        <f t="shared" si="919"/>
        <v>41369</v>
      </c>
      <c r="AAI268" s="63"/>
      <c r="AAJ268" s="57"/>
      <c r="AAK268" s="57"/>
      <c r="AAL268" s="57"/>
      <c r="AAM268" s="112"/>
      <c r="AAN268"/>
      <c r="AAT268" s="23"/>
      <c r="AAU268" s="44"/>
    </row>
    <row r="269" spans="1:732" ht="15" outlineLevel="2">
      <c r="A269" s="558"/>
      <c r="B269" s="433" t="s">
        <v>99</v>
      </c>
      <c r="C269" s="490"/>
      <c r="D269" s="279" t="s">
        <v>378</v>
      </c>
      <c r="E269" s="368">
        <f t="shared" si="916"/>
        <v>1</v>
      </c>
      <c r="F269" s="492">
        <f t="shared" ca="1" si="917"/>
        <v>-202</v>
      </c>
      <c r="G269" s="526">
        <f t="shared" si="913"/>
        <v>41369</v>
      </c>
      <c r="H269" s="369">
        <f t="shared" si="918"/>
        <v>41369</v>
      </c>
      <c r="I269" s="627"/>
      <c r="J269" s="592"/>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18"/>
      <c r="ZZ269" s="50"/>
      <c r="AAA269" s="588"/>
      <c r="AAD269" s="112"/>
      <c r="AAE269" s="551">
        <f t="shared" si="915"/>
        <v>1</v>
      </c>
      <c r="AAF269" s="112"/>
      <c r="AAG269" s="78">
        <f t="shared" si="920"/>
        <v>41369</v>
      </c>
      <c r="AAH269" s="78">
        <f t="shared" si="919"/>
        <v>41369</v>
      </c>
      <c r="AAI269" s="63"/>
      <c r="AAJ269" s="57"/>
      <c r="AAK269" s="57"/>
      <c r="AAL269" s="57"/>
      <c r="AAM269" s="112"/>
      <c r="AAN269"/>
      <c r="AAT269" s="23"/>
      <c r="AAU269" s="44"/>
    </row>
    <row r="270" spans="1:732" ht="15" outlineLevel="2">
      <c r="A270" s="558"/>
      <c r="B270" s="434" t="s">
        <v>100</v>
      </c>
      <c r="C270" s="490"/>
      <c r="D270" s="279" t="s">
        <v>378</v>
      </c>
      <c r="E270" s="368">
        <f t="shared" si="916"/>
        <v>1</v>
      </c>
      <c r="F270" s="492">
        <f t="shared" ca="1" si="917"/>
        <v>-202</v>
      </c>
      <c r="G270" s="526">
        <f t="shared" si="913"/>
        <v>41369</v>
      </c>
      <c r="H270" s="369">
        <f t="shared" si="918"/>
        <v>41369</v>
      </c>
      <c r="I270" s="627"/>
      <c r="J270" s="592"/>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18"/>
      <c r="ZZ270" s="50"/>
      <c r="AAA270" s="588"/>
      <c r="AAD270" s="112"/>
      <c r="AAE270" s="551">
        <f t="shared" si="915"/>
        <v>1</v>
      </c>
      <c r="AAF270" s="112"/>
      <c r="AAG270" s="78">
        <f t="shared" si="920"/>
        <v>41369</v>
      </c>
      <c r="AAH270" s="78">
        <f t="shared" si="919"/>
        <v>41369</v>
      </c>
      <c r="AAI270" s="63"/>
      <c r="AAJ270" s="57"/>
      <c r="AAK270" s="57"/>
      <c r="AAL270" s="57"/>
      <c r="AAM270" s="112"/>
      <c r="AAN270"/>
      <c r="AAT270" s="23"/>
      <c r="AAU270" s="44"/>
    </row>
    <row r="271" spans="1:732" ht="15" outlineLevel="2">
      <c r="A271" s="558"/>
      <c r="B271" s="435" t="s">
        <v>165</v>
      </c>
      <c r="C271" s="714"/>
      <c r="D271" s="195"/>
      <c r="E271" s="345"/>
      <c r="F271" s="366"/>
      <c r="G271" s="452"/>
      <c r="H271" s="367"/>
      <c r="I271" s="588"/>
      <c r="J271" s="592"/>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18"/>
      <c r="ZZ271" s="36"/>
      <c r="AAA271" s="588"/>
      <c r="AAD271" s="112"/>
      <c r="AAE271" s="551">
        <f t="shared" si="915"/>
        <v>1</v>
      </c>
      <c r="AAF271" s="583" t="s">
        <v>174</v>
      </c>
      <c r="AAG271" s="63"/>
      <c r="AAH271" s="63"/>
      <c r="AAI271" s="63"/>
      <c r="AAJ271" s="57"/>
      <c r="AAK271" s="57"/>
      <c r="AAL271" s="57"/>
      <c r="AAM271" s="112"/>
      <c r="AAN271"/>
      <c r="AAT271" s="23"/>
      <c r="AAU271" s="44"/>
    </row>
    <row r="272" spans="1:732" ht="15" outlineLevel="1">
      <c r="A272" s="558"/>
      <c r="B272" s="415" t="s">
        <v>270</v>
      </c>
      <c r="C272" s="168"/>
      <c r="D272" s="277" t="s">
        <v>151</v>
      </c>
      <c r="E272" s="368">
        <f>NETWORKDAYS(G272,H272,S.DDL_DEQClosed)</f>
        <v>91</v>
      </c>
      <c r="F272" s="492">
        <f t="shared" ref="F272:F289" ca="1" si="921">NETWORKDAYS(TODAY(),H272)</f>
        <v>-108</v>
      </c>
      <c r="G272" s="369">
        <f t="shared" si="913"/>
        <v>41369</v>
      </c>
      <c r="H272" s="369">
        <f>AAH272</f>
        <v>41501</v>
      </c>
      <c r="I272" s="627"/>
      <c r="J272" s="592"/>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18"/>
      <c r="ZZ272" s="50"/>
      <c r="AAA272" s="588"/>
      <c r="AAD272" s="112"/>
      <c r="AAE272" s="551">
        <f t="shared" si="915"/>
        <v>1</v>
      </c>
      <c r="AAF272" s="112"/>
      <c r="AAG272" s="78">
        <f>S.BANNER.NoticeStart</f>
        <v>41369</v>
      </c>
      <c r="AAH272" s="78">
        <f>G301</f>
        <v>41501</v>
      </c>
      <c r="AAI272" s="63"/>
      <c r="AAJ272" s="57"/>
      <c r="AAK272" s="57"/>
      <c r="AAL272" s="57"/>
      <c r="AAM272" s="112"/>
      <c r="AAN272"/>
      <c r="AAT272" s="23"/>
      <c r="AAU272" s="44"/>
    </row>
    <row r="273" spans="1:732" ht="87.75" customHeight="1" outlineLevel="1">
      <c r="A273" s="558"/>
      <c r="B273" s="755" t="s">
        <v>341</v>
      </c>
      <c r="C273" s="755"/>
      <c r="D273" s="755"/>
      <c r="E273" s="755"/>
      <c r="F273" s="755"/>
      <c r="G273" s="755"/>
      <c r="H273" s="755"/>
      <c r="I273" s="588"/>
      <c r="J273" s="592"/>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18"/>
      <c r="ZZ273" s="36"/>
      <c r="AAA273" s="588"/>
      <c r="AAD273" s="112"/>
      <c r="AAE273" s="551">
        <f t="shared" si="915"/>
        <v>1</v>
      </c>
      <c r="AAF273" s="583" t="s">
        <v>174</v>
      </c>
      <c r="AAG273" s="63"/>
      <c r="AAH273" s="63"/>
      <c r="AAI273" s="63"/>
      <c r="AAJ273" s="57"/>
      <c r="AAK273" s="57"/>
      <c r="AAL273" s="95"/>
      <c r="AAM273" s="112"/>
      <c r="AAN273"/>
      <c r="AAT273" s="23"/>
      <c r="AAU273" s="44"/>
    </row>
    <row r="274" spans="1:732" ht="15" outlineLevel="1">
      <c r="A274" s="558"/>
      <c r="B274" s="410" t="str">
        <f>AAL274</f>
        <v>a. INVITATION.TO.COMMENT (blank in folder 4)</v>
      </c>
      <c r="C274" s="168"/>
      <c r="D274" s="277" t="s">
        <v>359</v>
      </c>
      <c r="E274" s="368">
        <f t="shared" ref="E274:E277" si="922">NETWORKDAYS(G274,H274,S.DDL_DEQClosed)</f>
        <v>33</v>
      </c>
      <c r="F274" s="492">
        <f t="shared" ca="1" si="921"/>
        <v>-108</v>
      </c>
      <c r="G274" s="369">
        <v>41456</v>
      </c>
      <c r="H274" s="369">
        <v>41501</v>
      </c>
      <c r="I274" s="627"/>
      <c r="J274" s="592"/>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18"/>
      <c r="ZZ274" s="50"/>
      <c r="AAA274" s="588"/>
      <c r="AAD274" s="112"/>
      <c r="AAE274" s="551">
        <f t="shared" si="915"/>
        <v>1</v>
      </c>
      <c r="AAF274" s="112"/>
      <c r="AAG274" s="78">
        <f>G272</f>
        <v>41369</v>
      </c>
      <c r="AAH274" s="78">
        <f>H272</f>
        <v>41501</v>
      </c>
      <c r="AAI274" s="77"/>
      <c r="AAJ274" s="77"/>
      <c r="AAK274" s="77"/>
      <c r="AAL274" s="89" t="str">
        <f>"a. "&amp;S.CodeName&amp;"INVITATION.TO.COMMENT (blank in folder 4)"</f>
        <v>a. INVITATION.TO.COMMENT (blank in folder 4)</v>
      </c>
      <c r="AAM274" s="112"/>
      <c r="AAN274"/>
      <c r="AAT274" s="23"/>
      <c r="AAU274" s="44"/>
      <c r="AAV274" s="23"/>
      <c r="AAW274" s="23"/>
      <c r="AAX274" s="23"/>
      <c r="AAY274" s="23"/>
      <c r="AAZ274" s="23"/>
      <c r="ABA274" s="23"/>
      <c r="ABB274" s="23"/>
      <c r="ABC274" s="23"/>
      <c r="ABD274" s="23"/>
    </row>
    <row r="275" spans="1:732" ht="15" outlineLevel="1">
      <c r="A275" s="558"/>
      <c r="B275" s="410" t="str">
        <f>AAL275</f>
        <v>b. PROPOSED.RULES</v>
      </c>
      <c r="C275" s="231" t="s">
        <v>69</v>
      </c>
      <c r="D275" s="277" t="s">
        <v>151</v>
      </c>
      <c r="E275" s="368">
        <f t="shared" si="922"/>
        <v>91</v>
      </c>
      <c r="F275" s="492">
        <f t="shared" ca="1" si="921"/>
        <v>-108</v>
      </c>
      <c r="G275" s="369">
        <f t="shared" si="913"/>
        <v>41369</v>
      </c>
      <c r="H275" s="369">
        <f>AAH275</f>
        <v>41501</v>
      </c>
      <c r="I275" s="627"/>
      <c r="J275" s="592"/>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18"/>
      <c r="ZZ275" s="50"/>
      <c r="AAA275" s="588"/>
      <c r="AAD275" s="112"/>
      <c r="AAE275" s="551">
        <f t="shared" si="915"/>
        <v>1</v>
      </c>
      <c r="AAF275" s="112"/>
      <c r="AAG275" s="78">
        <f>G272</f>
        <v>41369</v>
      </c>
      <c r="AAH275" s="78">
        <f>H272</f>
        <v>41501</v>
      </c>
      <c r="AAI275" s="77"/>
      <c r="AAJ275" s="77"/>
      <c r="AAK275" s="77"/>
      <c r="AAL275" s="89" t="str">
        <f>"b. "&amp;S.CodeName&amp;"PROPOSED.RULES"</f>
        <v>b. PROPOSED.RULES</v>
      </c>
      <c r="AAM275" s="112"/>
      <c r="AAN275"/>
      <c r="AAT275" s="23"/>
      <c r="AAU275" s="44"/>
    </row>
    <row r="276" spans="1:732" s="23" customFormat="1" ht="15" outlineLevel="1">
      <c r="A276" s="558"/>
      <c r="B276" s="417" t="s">
        <v>177</v>
      </c>
      <c r="C276" s="168"/>
      <c r="D276" s="278" t="s">
        <v>151</v>
      </c>
      <c r="E276" s="368">
        <f t="shared" si="922"/>
        <v>91</v>
      </c>
      <c r="F276" s="492">
        <f t="shared" ref="F276" ca="1" si="923">NETWORKDAYS(TODAY(),H276)</f>
        <v>-108</v>
      </c>
      <c r="G276" s="369">
        <f t="shared" si="913"/>
        <v>41369</v>
      </c>
      <c r="H276" s="369">
        <f>AAH276</f>
        <v>41501</v>
      </c>
      <c r="I276" s="627"/>
      <c r="J276" s="592"/>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18"/>
      <c r="ZZ276" s="50"/>
      <c r="AAA276" s="588"/>
      <c r="AAB276"/>
      <c r="AAC276"/>
      <c r="AAD276" s="112"/>
      <c r="AAE276" s="551">
        <f t="shared" si="915"/>
        <v>1</v>
      </c>
      <c r="AAF276" s="112"/>
      <c r="AAG276" s="78">
        <f>G272</f>
        <v>41369</v>
      </c>
      <c r="AAH276" s="78">
        <f>H272</f>
        <v>41501</v>
      </c>
      <c r="AAI276" s="77"/>
      <c r="AAJ276" s="77"/>
      <c r="AAK276" s="77"/>
      <c r="AAL276" s="57"/>
      <c r="AAM276" s="112"/>
      <c r="AAU276" s="44"/>
      <c r="AAV276"/>
      <c r="AAW276"/>
      <c r="AAX276"/>
      <c r="AAY276"/>
      <c r="AAZ276"/>
      <c r="ABA276"/>
      <c r="ABB276"/>
      <c r="ABC276"/>
      <c r="ABD276"/>
    </row>
    <row r="277" spans="1:732" ht="15" outlineLevel="1">
      <c r="A277" s="558"/>
      <c r="B277" s="418" t="s">
        <v>369</v>
      </c>
      <c r="C277" s="168"/>
      <c r="D277" s="277" t="s">
        <v>359</v>
      </c>
      <c r="E277" s="368">
        <f t="shared" si="922"/>
        <v>33</v>
      </c>
      <c r="F277" s="492">
        <f t="shared" ca="1" si="921"/>
        <v>-108</v>
      </c>
      <c r="G277" s="369">
        <v>41456</v>
      </c>
      <c r="H277" s="369">
        <f>AAH277</f>
        <v>41501</v>
      </c>
      <c r="I277" s="627"/>
      <c r="J277" s="592"/>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18"/>
      <c r="ZZ277" s="50"/>
      <c r="AAA277" s="588"/>
      <c r="AAD277" s="112"/>
      <c r="AAE277" s="551">
        <f t="shared" si="915"/>
        <v>1</v>
      </c>
      <c r="AAF277" s="112"/>
      <c r="AAG277" s="78">
        <f>G272</f>
        <v>41369</v>
      </c>
      <c r="AAH277" s="78">
        <f>H272</f>
        <v>41501</v>
      </c>
      <c r="AAI277" s="77"/>
      <c r="AAJ277" s="77"/>
      <c r="AAK277" s="77"/>
      <c r="AAL277" s="57"/>
      <c r="AAM277" s="112"/>
      <c r="AAN277"/>
      <c r="AAT277" s="23"/>
      <c r="AAU277" s="44"/>
    </row>
    <row r="278" spans="1:732" ht="15" outlineLevel="1">
      <c r="A278" s="558"/>
      <c r="B278" s="327" t="s">
        <v>35</v>
      </c>
      <c r="C278" s="168"/>
      <c r="D278" s="174"/>
      <c r="E278" s="182"/>
      <c r="F278" s="182"/>
      <c r="G278" s="174"/>
      <c r="H278" s="174"/>
      <c r="I278" s="588"/>
      <c r="J278" s="592"/>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18"/>
      <c r="ZZ278" s="36"/>
      <c r="AAA278" s="588"/>
      <c r="AAD278" s="112"/>
      <c r="AAE278" s="551">
        <f t="shared" si="915"/>
        <v>1</v>
      </c>
      <c r="AAF278" s="583" t="s">
        <v>174</v>
      </c>
      <c r="AAG278" s="76"/>
      <c r="AAH278" s="76"/>
      <c r="AAI278" s="77"/>
      <c r="AAJ278" s="77"/>
      <c r="AAK278" s="77"/>
      <c r="AAL278" s="57"/>
      <c r="AAM278" s="112"/>
      <c r="AAN278"/>
      <c r="AAT278" s="23"/>
      <c r="AAU278" s="44"/>
    </row>
    <row r="279" spans="1:732" ht="15" outlineLevel="1">
      <c r="A279" s="558"/>
      <c r="B279" s="327" t="s">
        <v>39</v>
      </c>
      <c r="C279" s="168"/>
      <c r="D279" s="174"/>
      <c r="E279" s="182"/>
      <c r="F279" s="182"/>
      <c r="G279" s="174"/>
      <c r="H279" s="174"/>
      <c r="I279" s="588"/>
      <c r="J279" s="592"/>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18"/>
      <c r="ZZ279" s="36"/>
      <c r="AAA279" s="588"/>
      <c r="AAD279" s="112"/>
      <c r="AAE279" s="551">
        <f t="shared" si="915"/>
        <v>1</v>
      </c>
      <c r="AAF279" s="583" t="s">
        <v>174</v>
      </c>
      <c r="AAG279" s="76"/>
      <c r="AAH279" s="76"/>
      <c r="AAI279" s="76"/>
      <c r="AAJ279" s="57"/>
      <c r="AAK279" s="57"/>
      <c r="AAL279" s="57"/>
      <c r="AAM279" s="112"/>
      <c r="AAN279"/>
      <c r="AAT279" s="23"/>
      <c r="AAU279" s="44"/>
    </row>
    <row r="280" spans="1:732" ht="15" outlineLevel="1">
      <c r="A280" s="558"/>
      <c r="B280" s="327" t="s">
        <v>38</v>
      </c>
      <c r="C280" s="168"/>
      <c r="D280" s="174"/>
      <c r="E280" s="182"/>
      <c r="F280" s="182"/>
      <c r="G280" s="174"/>
      <c r="H280" s="174"/>
      <c r="I280" s="588"/>
      <c r="J280" s="592"/>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18"/>
      <c r="ZZ280" s="36"/>
      <c r="AAA280" s="588"/>
      <c r="AAD280" s="112"/>
      <c r="AAE280" s="551">
        <f t="shared" si="915"/>
        <v>1</v>
      </c>
      <c r="AAF280" s="583" t="s">
        <v>174</v>
      </c>
      <c r="AAG280" s="76"/>
      <c r="AAH280" s="76"/>
      <c r="AAI280" s="76"/>
      <c r="AAJ280" s="57"/>
      <c r="AAK280" s="57"/>
      <c r="AAL280" s="57"/>
      <c r="AAM280" s="112"/>
      <c r="AAN280"/>
      <c r="AAT280" s="23"/>
      <c r="AAU280" s="44"/>
    </row>
    <row r="281" spans="1:732" ht="16.5" customHeight="1" outlineLevel="1">
      <c r="A281" s="558"/>
      <c r="B281" s="327" t="s">
        <v>150</v>
      </c>
      <c r="C281" s="168"/>
      <c r="D281" s="174"/>
      <c r="E281" s="182"/>
      <c r="F281" s="182"/>
      <c r="G281" s="174"/>
      <c r="H281" s="174"/>
      <c r="I281" s="588"/>
      <c r="J281" s="592"/>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18"/>
      <c r="ZZ281" s="36"/>
      <c r="AAA281" s="588"/>
      <c r="AAD281" s="112"/>
      <c r="AAE281" s="551">
        <f t="shared" si="915"/>
        <v>1</v>
      </c>
      <c r="AAF281" s="583" t="s">
        <v>174</v>
      </c>
      <c r="AAG281" s="76"/>
      <c r="AAH281" s="76"/>
      <c r="AAI281" s="76" t="s">
        <v>0</v>
      </c>
      <c r="AAJ281" s="57"/>
      <c r="AAK281" s="57"/>
      <c r="AAL281" s="57"/>
      <c r="AAM281" s="112"/>
      <c r="AAN281"/>
      <c r="AAT281" s="23"/>
      <c r="AAU281" s="44"/>
    </row>
    <row r="282" spans="1:732" ht="15" outlineLevel="1">
      <c r="A282" s="558"/>
      <c r="B282" s="327" t="s">
        <v>119</v>
      </c>
      <c r="C282" s="168"/>
      <c r="D282" s="174"/>
      <c r="E282" s="182"/>
      <c r="F282" s="182"/>
      <c r="G282" s="174"/>
      <c r="H282" s="174"/>
      <c r="I282" s="588"/>
      <c r="J282" s="592"/>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18"/>
      <c r="ZZ282" s="36"/>
      <c r="AAA282" s="588"/>
      <c r="AAD282" s="112"/>
      <c r="AAE282" s="551">
        <f t="shared" si="915"/>
        <v>1</v>
      </c>
      <c r="AAF282" s="583" t="s">
        <v>174</v>
      </c>
      <c r="AAG282" s="76"/>
      <c r="AAH282" s="76"/>
      <c r="AAI282" s="76"/>
      <c r="AAJ282" s="57"/>
      <c r="AAK282" s="57"/>
      <c r="AAL282" s="57"/>
      <c r="AAM282" s="112"/>
      <c r="AAN282"/>
      <c r="AAT282" s="23"/>
      <c r="AAU282" s="44"/>
    </row>
    <row r="283" spans="1:732" ht="15" outlineLevel="1">
      <c r="A283" s="558"/>
      <c r="B283" s="419" t="s">
        <v>347</v>
      </c>
      <c r="C283" s="168"/>
      <c r="D283" s="174"/>
      <c r="E283" s="182"/>
      <c r="F283" s="182"/>
      <c r="G283" s="174"/>
      <c r="H283" s="174"/>
      <c r="I283" s="588"/>
      <c r="J283" s="592"/>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18"/>
      <c r="ZZ283" s="36"/>
      <c r="AAA283" s="588"/>
      <c r="AAD283" s="112"/>
      <c r="AAE283" s="551">
        <f>IF(S.InvolveFee=TRUE,1,0)</f>
        <v>0</v>
      </c>
      <c r="AAF283" s="583" t="s">
        <v>174</v>
      </c>
      <c r="AAG283" s="76"/>
      <c r="AAH283" s="76"/>
      <c r="AAI283" s="76"/>
      <c r="AAJ283" s="57"/>
      <c r="AAK283" s="57"/>
      <c r="AAL283" s="88" t="str">
        <f>IF(S.InvolveFee=TRUE,"Integrate FEE.INSERT","Delete Fee section")</f>
        <v>Delete Fee section</v>
      </c>
      <c r="AAM283" s="112"/>
      <c r="AAN283"/>
      <c r="AAT283" s="23"/>
      <c r="AAU283" s="44"/>
    </row>
    <row r="284" spans="1:732" ht="15" outlineLevel="1">
      <c r="A284" s="558"/>
      <c r="B284" s="420" t="s">
        <v>36</v>
      </c>
      <c r="C284" s="168"/>
      <c r="D284" s="174"/>
      <c r="E284" s="182"/>
      <c r="F284" s="182"/>
      <c r="G284" s="174"/>
      <c r="H284" s="174"/>
      <c r="I284" s="588"/>
      <c r="J284" s="592"/>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18"/>
      <c r="ZZ284" s="36"/>
      <c r="AAA284" s="588"/>
      <c r="AAD284" s="112"/>
      <c r="AAE284" s="551">
        <f>IF(S.InvolveNotice=TRUE,1,0)</f>
        <v>1</v>
      </c>
      <c r="AAF284" s="583" t="s">
        <v>174</v>
      </c>
      <c r="AAG284" s="76"/>
      <c r="AAH284" s="76"/>
      <c r="AAI284" s="76"/>
      <c r="AAJ284" s="57"/>
      <c r="AAK284" s="57"/>
      <c r="AAL284" s="57"/>
      <c r="AAM284" s="112"/>
      <c r="AAN284"/>
      <c r="AAT284" s="23"/>
      <c r="AAU284" s="44"/>
    </row>
    <row r="285" spans="1:732" ht="15" outlineLevel="1">
      <c r="A285" s="558"/>
      <c r="B285" s="410" t="str">
        <f>AAL285</f>
        <v>d. SUPPORTING.DOCS</v>
      </c>
      <c r="C285" s="168"/>
      <c r="D285" s="277" t="s">
        <v>359</v>
      </c>
      <c r="E285" s="368">
        <f>NETWORKDAYS(G285,H285,S.DDL_DEQClosed)</f>
        <v>91</v>
      </c>
      <c r="F285" s="492">
        <f t="shared" ca="1" si="921"/>
        <v>-108</v>
      </c>
      <c r="G285" s="369">
        <f t="shared" ref="G285" si="924">AAG285</f>
        <v>41369</v>
      </c>
      <c r="H285" s="369">
        <f>AAH285</f>
        <v>41501</v>
      </c>
      <c r="I285" s="627"/>
      <c r="J285" s="592"/>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18"/>
      <c r="ZZ285" s="50"/>
      <c r="AAA285" s="588"/>
      <c r="AAD285" s="112"/>
      <c r="AAE285" s="551">
        <f>IF(S.InvolveNotice=TRUE,1,0)</f>
        <v>1</v>
      </c>
      <c r="AAF285" s="112"/>
      <c r="AAG285" s="78">
        <f>G272</f>
        <v>41369</v>
      </c>
      <c r="AAH285" s="78">
        <f>H272</f>
        <v>41501</v>
      </c>
      <c r="AAI285" s="77"/>
      <c r="AAJ285" s="77"/>
      <c r="AAK285" s="77"/>
      <c r="AAL285" s="89" t="str">
        <f>"d. "&amp;S.CodeName&amp;"SUPPORTING.DOCS"</f>
        <v>d. SUPPORTING.DOCS</v>
      </c>
      <c r="AAM285" s="112"/>
      <c r="AAN285"/>
      <c r="AAT285" s="23"/>
      <c r="AAU285" s="44"/>
    </row>
    <row r="286" spans="1:732" ht="15" outlineLevel="1">
      <c r="A286" s="558"/>
      <c r="B286" s="410" t="str">
        <f>AAL286</f>
        <v>e. SIP</v>
      </c>
      <c r="C286" s="168"/>
      <c r="D286" s="277" t="s">
        <v>392</v>
      </c>
      <c r="E286" s="368">
        <f t="shared" ref="E286:E289" si="925">NETWORKDAYS(G286,H286,S.DDL_DEQClosed)</f>
        <v>91</v>
      </c>
      <c r="F286" s="492">
        <f t="shared" ca="1" si="921"/>
        <v>-108</v>
      </c>
      <c r="G286" s="369">
        <f t="shared" ref="G286:G288" si="926">AAG286</f>
        <v>41369</v>
      </c>
      <c r="H286" s="369">
        <f>AAH286</f>
        <v>41501</v>
      </c>
      <c r="I286" s="627"/>
      <c r="J286" s="592"/>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18"/>
      <c r="ZZ286" s="50"/>
      <c r="AAA286" s="588"/>
      <c r="AAD286" s="112"/>
      <c r="AAE286" s="551">
        <f>IF(S.InvolveSIP=TRUE,1,0)</f>
        <v>1</v>
      </c>
      <c r="AAF286" s="112"/>
      <c r="AAG286" s="78">
        <f>G272</f>
        <v>41369</v>
      </c>
      <c r="AAH286" s="78">
        <f>H272</f>
        <v>41501</v>
      </c>
      <c r="AAI286" s="77"/>
      <c r="AAJ286" s="77"/>
      <c r="AAK286" s="77"/>
      <c r="AAL286" s="89" t="str">
        <f>IF(S.InvolveSIP=TRUE,"e. "&amp;S.CodeName&amp;"SIP","SIP not involved")</f>
        <v>e. SIP</v>
      </c>
      <c r="AAM286" s="112"/>
      <c r="AAN286"/>
      <c r="AAT286" s="23"/>
      <c r="AAU286" s="44"/>
    </row>
    <row r="287" spans="1:732" ht="15" outlineLevel="1">
      <c r="A287" s="558"/>
      <c r="B287" s="416" t="str">
        <f>AAL287</f>
        <v>Draft ##AD if needed</v>
      </c>
      <c r="C287" s="231" t="s">
        <v>69</v>
      </c>
      <c r="D287" s="277" t="s">
        <v>362</v>
      </c>
      <c r="E287" s="368">
        <f t="shared" si="925"/>
        <v>91</v>
      </c>
      <c r="F287" s="492">
        <f t="shared" ca="1" si="921"/>
        <v>-108</v>
      </c>
      <c r="G287" s="369">
        <f t="shared" si="926"/>
        <v>41369</v>
      </c>
      <c r="H287" s="369">
        <f>AAH287</f>
        <v>41501</v>
      </c>
      <c r="I287" s="627"/>
      <c r="J287" s="592"/>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18"/>
      <c r="ZZ287" s="50"/>
      <c r="AAA287" s="588"/>
      <c r="AAD287" s="112"/>
      <c r="AAE287" s="551">
        <f>IF(S.InvolveNotice=TRUE,1,0)</f>
        <v>1</v>
      </c>
      <c r="AAF287" s="112"/>
      <c r="AAG287" s="78">
        <f>G272</f>
        <v>41369</v>
      </c>
      <c r="AAH287" s="78">
        <f>H272</f>
        <v>41501</v>
      </c>
      <c r="AAI287" s="77"/>
      <c r="AAJ287" s="77"/>
      <c r="AAK287" s="77"/>
      <c r="AAL287" s="89" t="str">
        <f>"Draft "&amp;S.CodeName&amp;"##AD if needed"</f>
        <v>Draft ##AD if needed</v>
      </c>
      <c r="AAM287" s="112"/>
      <c r="AAN287"/>
      <c r="AAT287" s="23"/>
      <c r="AAU287" s="44"/>
    </row>
    <row r="288" spans="1:732" ht="15" outlineLevel="1">
      <c r="A288" s="558"/>
      <c r="B288" s="416" t="s">
        <v>101</v>
      </c>
      <c r="C288" s="168"/>
      <c r="D288" s="278" t="s">
        <v>151</v>
      </c>
      <c r="E288" s="368">
        <f t="shared" si="925"/>
        <v>91</v>
      </c>
      <c r="F288" s="492">
        <f t="shared" ca="1" si="921"/>
        <v>-108</v>
      </c>
      <c r="G288" s="369">
        <f t="shared" si="926"/>
        <v>41369</v>
      </c>
      <c r="H288" s="369">
        <f>AAH288</f>
        <v>41501</v>
      </c>
      <c r="I288" s="627"/>
      <c r="J288" s="592"/>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18"/>
      <c r="ZZ288" s="50"/>
      <c r="AAA288" s="588"/>
      <c r="AAD288" s="112"/>
      <c r="AAE288" s="551">
        <f>IF(S.InvolveHearing=TRUE,1,0)</f>
        <v>1</v>
      </c>
      <c r="AAF288" s="112"/>
      <c r="AAG288" s="78">
        <f>G272</f>
        <v>41369</v>
      </c>
      <c r="AAH288" s="78">
        <f>H272</f>
        <v>41501</v>
      </c>
      <c r="AAI288" s="77"/>
      <c r="AAJ288" s="77"/>
      <c r="AAK288" s="77"/>
      <c r="AAL288" s="88" t="str">
        <f>IF(S.InvolveHearing=TRUE,"Display advertisements, if needed","Display advertisements not involved")</f>
        <v>Display advertisements, if needed</v>
      </c>
      <c r="AAM288" s="112"/>
      <c r="AAN288"/>
      <c r="AAT288" s="23"/>
      <c r="AAU288" s="44"/>
    </row>
    <row r="289" spans="1:732" ht="15.75" customHeight="1" outlineLevel="1">
      <c r="A289" s="558"/>
      <c r="B289" s="421" t="s">
        <v>300</v>
      </c>
      <c r="C289" s="239"/>
      <c r="D289" s="277" t="s">
        <v>151</v>
      </c>
      <c r="E289" s="368">
        <f t="shared" si="925"/>
        <v>91</v>
      </c>
      <c r="F289" s="492">
        <f t="shared" ca="1" si="921"/>
        <v>-108</v>
      </c>
      <c r="G289" s="369">
        <f t="shared" ref="G289" si="927">AAG289</f>
        <v>41369</v>
      </c>
      <c r="H289" s="369">
        <f>AAH289</f>
        <v>41501</v>
      </c>
      <c r="I289" s="627"/>
      <c r="J289" s="592"/>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18"/>
      <c r="ZZ289" s="50"/>
      <c r="AAA289" s="588"/>
      <c r="AAD289" s="112"/>
      <c r="AAE289" s="551">
        <f>IF(S.InvolveNotice=TRUE,1,0)</f>
        <v>1</v>
      </c>
      <c r="AAF289" s="112"/>
      <c r="AAG289" s="78">
        <f>G272</f>
        <v>41369</v>
      </c>
      <c r="AAH289" s="78">
        <f>H272</f>
        <v>41501</v>
      </c>
      <c r="AAI289" s="77"/>
      <c r="AAJ289" s="662" t="s">
        <v>0</v>
      </c>
      <c r="AAK289" s="77"/>
      <c r="AAL289" s="57"/>
      <c r="AAM289" s="112"/>
      <c r="AAN289"/>
      <c r="AAT289" s="23"/>
      <c r="AAU289" s="44"/>
    </row>
    <row r="290" spans="1:732" ht="15.75" customHeight="1" outlineLevel="1">
      <c r="A290" s="558"/>
      <c r="B290" s="422" t="s">
        <v>267</v>
      </c>
      <c r="C290" s="183"/>
      <c r="D290" s="153"/>
      <c r="E290" s="154"/>
      <c r="F290" s="154"/>
      <c r="G290" s="153"/>
      <c r="H290" s="153"/>
      <c r="I290" s="588"/>
      <c r="J290" s="592"/>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18"/>
      <c r="ZZ290" s="36"/>
      <c r="AAA290" s="588"/>
      <c r="AAD290" s="112"/>
      <c r="AAE290" s="551">
        <f>IF(S.InvolveCommittee=TRUE,1,0)</f>
        <v>1</v>
      </c>
      <c r="AAF290" s="583" t="s">
        <v>174</v>
      </c>
      <c r="AAG290" s="76"/>
      <c r="AAH290" s="76"/>
      <c r="AAI290" s="77"/>
      <c r="AAJ290" s="77"/>
      <c r="AAK290" s="77"/>
      <c r="AAL290" s="96" t="str">
        <f>IF(S.InvolveHearing=TRUE,"Proposal, invitation to comment, notice, display ads","Proposal, invitation to comment, notice")</f>
        <v>Proposal, invitation to comment, notice, display ads</v>
      </c>
      <c r="AAM290" s="112"/>
      <c r="AAN290"/>
      <c r="AAT290" s="23"/>
      <c r="AAU290" s="44"/>
    </row>
    <row r="291" spans="1:732" ht="15.75" customHeight="1" outlineLevel="1">
      <c r="A291" s="558"/>
      <c r="B291" s="422" t="s">
        <v>397</v>
      </c>
      <c r="C291" s="183" t="s">
        <v>0</v>
      </c>
      <c r="D291" s="153"/>
      <c r="E291" s="154"/>
      <c r="F291" s="154"/>
      <c r="G291" s="153"/>
      <c r="H291" s="153"/>
      <c r="I291" s="588"/>
      <c r="J291" s="592"/>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18"/>
      <c r="ZZ291" s="36"/>
      <c r="AAA291" s="588"/>
      <c r="AAD291" s="112"/>
      <c r="AAE291" s="551">
        <f>IF(S.InvolveNotice=TRUE,1,0)</f>
        <v>1</v>
      </c>
      <c r="AAF291" s="583" t="s">
        <v>174</v>
      </c>
      <c r="AAG291" s="76"/>
      <c r="AAH291" s="76"/>
      <c r="AAI291" s="77"/>
      <c r="AAJ291" s="77"/>
      <c r="AAK291" s="77"/>
      <c r="AAL291" s="96" t="str">
        <f>IF(S.InvolveCommittee=TRUE,"2. Fiscal impact statement","Fiscal impact statement")</f>
        <v>2. Fiscal impact statement</v>
      </c>
      <c r="AAM291" s="112"/>
      <c r="AAN291"/>
      <c r="AAT291" s="23"/>
      <c r="AAU291" s="44"/>
    </row>
    <row r="292" spans="1:732" ht="15.75" customHeight="1" outlineLevel="1">
      <c r="A292" s="558"/>
      <c r="B292" s="422" t="s">
        <v>268</v>
      </c>
      <c r="C292" s="183"/>
      <c r="D292" s="153"/>
      <c r="E292" s="154"/>
      <c r="F292" s="154"/>
      <c r="G292" s="153"/>
      <c r="H292" s="153"/>
      <c r="I292" s="588"/>
      <c r="J292" s="592"/>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18"/>
      <c r="ZZ292" s="36"/>
      <c r="AAA292" s="588"/>
      <c r="AAD292" s="112"/>
      <c r="AAE292" s="551">
        <f>IF(S.InvolveSIP=TRUE,1,0)</f>
        <v>1</v>
      </c>
      <c r="AAF292" s="583" t="s">
        <v>174</v>
      </c>
      <c r="AAG292" s="76"/>
      <c r="AAH292" s="76"/>
      <c r="AAI292" s="77"/>
      <c r="AAJ292" s="77"/>
      <c r="AAK292" s="77"/>
      <c r="AAL292" s="96" t="str">
        <f>IF(S.InvolveHearing=TRUE,"Proposal, invitation to comment, notice, display ads","Proposal, invitation to comment, notice")</f>
        <v>Proposal, invitation to comment, notice, display ads</v>
      </c>
      <c r="AAM292" s="112"/>
      <c r="AAN292"/>
      <c r="AAT292" s="23"/>
      <c r="AAU292" s="44"/>
    </row>
    <row r="293" spans="1:732" ht="15.75" customHeight="1" outlineLevel="1">
      <c r="A293" s="558"/>
      <c r="B293" s="422" t="s">
        <v>269</v>
      </c>
      <c r="C293" s="183"/>
      <c r="D293" s="153"/>
      <c r="E293" s="154"/>
      <c r="F293" s="154"/>
      <c r="G293" s="153"/>
      <c r="H293" s="153"/>
      <c r="I293" s="588"/>
      <c r="J293" s="592"/>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18"/>
      <c r="ZZ293" s="36"/>
      <c r="AAA293" s="588"/>
      <c r="AAD293" s="112"/>
      <c r="AAE293" s="551">
        <f t="shared" ref="AAE293:AAE311" si="928">IF(S.InvolveNotice=TRUE,1,0)</f>
        <v>1</v>
      </c>
      <c r="AAF293" s="583" t="s">
        <v>174</v>
      </c>
      <c r="AAG293" s="76"/>
      <c r="AAH293" s="76"/>
      <c r="AAI293" s="77"/>
      <c r="AAJ293" s="77"/>
      <c r="AAK293" s="77"/>
      <c r="AAL293" s="96" t="str">
        <f>IF(S.InvolveHearing=TRUE,"Proposal, invitation to comment, notice, display ads","Proposal, invitation to comment, notice")</f>
        <v>Proposal, invitation to comment, notice, display ads</v>
      </c>
      <c r="AAM293" s="112"/>
      <c r="AAN293"/>
      <c r="AAT293" s="23"/>
      <c r="AAU293" s="44"/>
    </row>
    <row r="294" spans="1:732" ht="15.75" customHeight="1" outlineLevel="1">
      <c r="A294" s="558"/>
      <c r="B294" s="423" t="s">
        <v>299</v>
      </c>
      <c r="C294" s="184"/>
      <c r="D294" s="153"/>
      <c r="E294" s="154"/>
      <c r="F294" s="154"/>
      <c r="G294" s="153"/>
      <c r="H294" s="153"/>
      <c r="I294" s="588"/>
      <c r="J294" s="592"/>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18"/>
      <c r="ZZ294" s="36"/>
      <c r="AAA294" s="588"/>
      <c r="AAD294" s="112"/>
      <c r="AAE294" s="551">
        <f t="shared" si="928"/>
        <v>1</v>
      </c>
      <c r="AAF294" s="583" t="s">
        <v>174</v>
      </c>
      <c r="AAG294" s="76"/>
      <c r="AAH294" s="76"/>
      <c r="AAI294" s="77"/>
      <c r="AAJ294" s="77"/>
      <c r="AAK294" s="77"/>
      <c r="AAL294" s="80"/>
      <c r="AAM294" s="112"/>
      <c r="AAN294"/>
      <c r="AAT294" s="23"/>
      <c r="AAU294" s="44"/>
    </row>
    <row r="295" spans="1:732" ht="15.75" customHeight="1" outlineLevel="1">
      <c r="A295" s="558"/>
      <c r="B295" s="424" t="s">
        <v>396</v>
      </c>
      <c r="C295" s="239"/>
      <c r="D295" s="279" t="s">
        <v>378</v>
      </c>
      <c r="E295" s="368">
        <f>NETWORKDAYS(G295,H295,S.DDL_DEQClosed)</f>
        <v>1</v>
      </c>
      <c r="F295" s="492">
        <f ca="1">NETWORKDAYS(TODAY(),H295)</f>
        <v>-108</v>
      </c>
      <c r="G295" s="369">
        <f t="shared" ref="G295:G298" si="929">AAG295</f>
        <v>41501</v>
      </c>
      <c r="H295" s="369">
        <f>AAH295</f>
        <v>41501</v>
      </c>
      <c r="I295" s="627"/>
      <c r="J295" s="592"/>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18"/>
      <c r="ZZ295" s="50"/>
      <c r="AAA295" s="588"/>
      <c r="AAD295" s="112"/>
      <c r="AAE295" s="551">
        <f t="shared" si="928"/>
        <v>1</v>
      </c>
      <c r="AAF295" s="112"/>
      <c r="AAG295" s="78">
        <f>H289</f>
        <v>41501</v>
      </c>
      <c r="AAH295" s="78">
        <f t="shared" ref="AAH295:AAH298" si="930">G295</f>
        <v>41501</v>
      </c>
      <c r="AAI295" s="77"/>
      <c r="AAJ295" s="77"/>
      <c r="AAK295" s="77"/>
      <c r="AAL295" s="57"/>
      <c r="AAM295" s="112"/>
      <c r="AAN295"/>
      <c r="AAT295" s="23"/>
      <c r="AAU295" s="44"/>
    </row>
    <row r="296" spans="1:732" ht="15.75" customHeight="1" outlineLevel="1">
      <c r="A296" s="558"/>
      <c r="B296" s="425" t="s">
        <v>76</v>
      </c>
      <c r="C296" s="239"/>
      <c r="D296" s="279" t="s">
        <v>378</v>
      </c>
      <c r="E296" s="368">
        <f>NETWORKDAYS(G296,H296,S.DDL_DEQClosed)</f>
        <v>1</v>
      </c>
      <c r="F296" s="492">
        <f ca="1">NETWORKDAYS(TODAY(),H296)</f>
        <v>-108</v>
      </c>
      <c r="G296" s="369">
        <f t="shared" si="929"/>
        <v>41501</v>
      </c>
      <c r="H296" s="369">
        <f>AAH296</f>
        <v>41501</v>
      </c>
      <c r="I296" s="627"/>
      <c r="J296" s="592"/>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18"/>
      <c r="ZZ296" s="50"/>
      <c r="AAA296" s="588"/>
      <c r="AAD296" s="112"/>
      <c r="AAE296" s="551">
        <f t="shared" si="928"/>
        <v>1</v>
      </c>
      <c r="AAF296" s="112"/>
      <c r="AAG296" s="78">
        <f>H295</f>
        <v>41501</v>
      </c>
      <c r="AAH296" s="78">
        <f t="shared" si="930"/>
        <v>41501</v>
      </c>
      <c r="AAI296" s="77"/>
      <c r="AAJ296" s="77"/>
      <c r="AAK296" s="77"/>
      <c r="AAL296" s="57"/>
      <c r="AAM296" s="112"/>
      <c r="AAN296"/>
      <c r="AAT296" s="23"/>
      <c r="AAU296" s="44"/>
    </row>
    <row r="297" spans="1:732" ht="15.75" customHeight="1" outlineLevel="1">
      <c r="A297" s="558"/>
      <c r="B297" s="426" t="s">
        <v>77</v>
      </c>
      <c r="C297" s="239"/>
      <c r="D297" s="279" t="s">
        <v>378</v>
      </c>
      <c r="E297" s="368">
        <f>NETWORKDAYS(G297,H297,S.DDL_DEQClosed)</f>
        <v>1</v>
      </c>
      <c r="F297" s="492">
        <f ca="1">NETWORKDAYS(TODAY(),H297)</f>
        <v>-108</v>
      </c>
      <c r="G297" s="369">
        <f t="shared" si="929"/>
        <v>41501</v>
      </c>
      <c r="H297" s="369">
        <f>AAH297</f>
        <v>41501</v>
      </c>
      <c r="I297" s="627"/>
      <c r="J297" s="592"/>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18"/>
      <c r="ZZ297" s="50"/>
      <c r="AAA297" s="588"/>
      <c r="AAD297" s="112"/>
      <c r="AAE297" s="551">
        <f t="shared" si="928"/>
        <v>1</v>
      </c>
      <c r="AAF297" s="112"/>
      <c r="AAG297" s="78">
        <f>H296</f>
        <v>41501</v>
      </c>
      <c r="AAH297" s="78">
        <f t="shared" si="930"/>
        <v>41501</v>
      </c>
      <c r="AAI297" s="77"/>
      <c r="AAJ297" s="77"/>
      <c r="AAK297" s="77"/>
      <c r="AAL297" s="57"/>
      <c r="AAM297" s="112"/>
      <c r="AAN297"/>
      <c r="AAT297" s="23"/>
      <c r="AAU297" s="44"/>
    </row>
    <row r="298" spans="1:732" ht="15.75" customHeight="1" outlineLevel="1">
      <c r="A298" s="558"/>
      <c r="B298" s="427" t="s">
        <v>395</v>
      </c>
      <c r="C298" s="239"/>
      <c r="D298" s="279" t="s">
        <v>378</v>
      </c>
      <c r="E298" s="368">
        <f>NETWORKDAYS(G298,H298,S.DDL_DEQClosed)</f>
        <v>1</v>
      </c>
      <c r="F298" s="492">
        <f ca="1">NETWORKDAYS(TODAY(),H298)</f>
        <v>-108</v>
      </c>
      <c r="G298" s="369">
        <f t="shared" si="929"/>
        <v>41501</v>
      </c>
      <c r="H298" s="369">
        <f>AAH298</f>
        <v>41501</v>
      </c>
      <c r="I298" s="627"/>
      <c r="J298" s="592"/>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18"/>
      <c r="ZZ298" s="50"/>
      <c r="AAA298" s="588"/>
      <c r="AAD298" s="112"/>
      <c r="AAE298" s="551">
        <f t="shared" si="928"/>
        <v>1</v>
      </c>
      <c r="AAF298" s="112"/>
      <c r="AAG298" s="78">
        <f>H297</f>
        <v>41501</v>
      </c>
      <c r="AAH298" s="78">
        <f t="shared" si="930"/>
        <v>41501</v>
      </c>
      <c r="AAI298" s="77"/>
      <c r="AAJ298" s="77"/>
      <c r="AAK298" s="77"/>
      <c r="AAL298" s="57"/>
      <c r="AAM298" s="112"/>
      <c r="AAN298"/>
      <c r="AAT298" s="23"/>
      <c r="AAU298" s="44"/>
    </row>
    <row r="299" spans="1:732" ht="86.25" customHeight="1" outlineLevel="1">
      <c r="A299" s="558"/>
      <c r="B299" s="756" t="s">
        <v>340</v>
      </c>
      <c r="C299" s="756"/>
      <c r="D299" s="756"/>
      <c r="E299" s="756"/>
      <c r="F299" s="756"/>
      <c r="G299" s="756"/>
      <c r="H299" s="756"/>
      <c r="I299" s="588"/>
      <c r="J299" s="592"/>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18"/>
      <c r="ZZ299" s="36"/>
      <c r="AAA299" s="588"/>
      <c r="AAD299" s="112"/>
      <c r="AAE299" s="551">
        <f t="shared" si="928"/>
        <v>1</v>
      </c>
      <c r="AAF299" s="583" t="s">
        <v>174</v>
      </c>
      <c r="AAG299" s="63"/>
      <c r="AAH299" s="63"/>
      <c r="AAI299" s="77"/>
      <c r="AAJ299" s="77"/>
      <c r="AAK299" s="77"/>
      <c r="AAL299" s="57"/>
      <c r="AAM299" s="112"/>
      <c r="AAN299"/>
      <c r="AAT299" s="23"/>
      <c r="AAU299" s="44"/>
    </row>
    <row r="300" spans="1:732" ht="15.75" outlineLevel="1">
      <c r="A300" s="558"/>
      <c r="B300" s="395" t="s">
        <v>49</v>
      </c>
      <c r="C300" s="240"/>
      <c r="D300" s="281" t="s">
        <v>0</v>
      </c>
      <c r="E300" s="282"/>
      <c r="F300" s="282"/>
      <c r="G300" s="283"/>
      <c r="H300" s="283"/>
      <c r="I300" s="588"/>
      <c r="J300" s="592"/>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18"/>
      <c r="ZZ300" s="36"/>
      <c r="AAA300" s="588"/>
      <c r="AAD300" s="112"/>
      <c r="AAE300" s="551">
        <f t="shared" si="928"/>
        <v>1</v>
      </c>
      <c r="AAF300" s="583" t="s">
        <v>174</v>
      </c>
      <c r="AAG300" s="63"/>
      <c r="AAH300" s="63"/>
      <c r="AAI300" s="77"/>
      <c r="AAJ300" s="77"/>
      <c r="AAK300" s="77"/>
      <c r="AAL300" s="57"/>
      <c r="AAM300" s="112"/>
      <c r="AAN300"/>
      <c r="AAT300" s="23"/>
      <c r="AAU300" s="44"/>
      <c r="AAV300" s="23"/>
      <c r="AAW300" s="23"/>
      <c r="AAX300" s="23"/>
      <c r="AAY300" s="23"/>
      <c r="AAZ300" s="23"/>
      <c r="ABA300" s="23"/>
      <c r="ABB300" s="23"/>
      <c r="ABC300" s="23"/>
      <c r="ABD300" s="23"/>
    </row>
    <row r="301" spans="1:732" ht="15" outlineLevel="1">
      <c r="A301" s="558"/>
      <c r="B301" s="375" t="s">
        <v>393</v>
      </c>
      <c r="C301" s="168"/>
      <c r="D301" s="279" t="s">
        <v>382</v>
      </c>
      <c r="E301" s="368">
        <f>NETWORKDAYS(G301,H301,S.DDL_DEQClosed)</f>
        <v>1</v>
      </c>
      <c r="F301" s="492">
        <f ca="1">NETWORKDAYS(TODAY(),H301)</f>
        <v>-108</v>
      </c>
      <c r="G301" s="740">
        <f t="shared" ref="G301:H301" si="931">AAG301</f>
        <v>41501</v>
      </c>
      <c r="H301" s="370">
        <f t="shared" si="931"/>
        <v>41501</v>
      </c>
      <c r="I301" s="627"/>
      <c r="J301" s="592"/>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18"/>
      <c r="ZZ301" s="50"/>
      <c r="AAA301" s="588"/>
      <c r="AAD301" s="112"/>
      <c r="AAE301" s="551">
        <f t="shared" si="928"/>
        <v>1</v>
      </c>
      <c r="AAF301" s="112"/>
      <c r="AAG301" s="78">
        <f>G302</f>
        <v>41501</v>
      </c>
      <c r="AAH301" s="78">
        <f>G301</f>
        <v>41501</v>
      </c>
      <c r="AAI301" s="77"/>
      <c r="AAJ301" s="662" t="s">
        <v>0</v>
      </c>
      <c r="AAK301" s="77"/>
      <c r="AAL301" s="57"/>
      <c r="AAM301" s="112"/>
      <c r="AAN301"/>
      <c r="AAT301" s="23"/>
      <c r="AAU301" s="44"/>
    </row>
    <row r="302" spans="1:732" s="23" customFormat="1" ht="15" outlineLevel="1">
      <c r="A302" s="558"/>
      <c r="B302" s="412" t="s">
        <v>164</v>
      </c>
      <c r="C302" s="168"/>
      <c r="D302" s="277" t="s">
        <v>383</v>
      </c>
      <c r="E302" s="368">
        <f>NETWORKDAYS(G302,H302,S.DDL_DEQClosed)</f>
        <v>1</v>
      </c>
      <c r="F302" s="492">
        <f ca="1">NETWORKDAYS(TODAY(),H302)</f>
        <v>-108</v>
      </c>
      <c r="G302" s="496">
        <f>AAG302</f>
        <v>41501</v>
      </c>
      <c r="H302" s="497">
        <f>AAH302</f>
        <v>41501</v>
      </c>
      <c r="I302" s="627"/>
      <c r="J302" s="592"/>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18"/>
      <c r="ZZ302" s="50"/>
      <c r="AAA302" s="588"/>
      <c r="AAB302"/>
      <c r="AAC302"/>
      <c r="AAD302" s="112"/>
      <c r="AAE302" s="551">
        <f t="shared" si="928"/>
        <v>1</v>
      </c>
      <c r="AAF302" s="112"/>
      <c r="AAG302" s="78">
        <f>WORKDAY(S.SubmitNoticeToSOS,-20,S.DDL_DEQClosed)</f>
        <v>41501</v>
      </c>
      <c r="AAH302" s="78">
        <f>G302</f>
        <v>41501</v>
      </c>
      <c r="AAI302" s="77"/>
      <c r="AAJ302" s="77"/>
      <c r="AAK302" s="77"/>
      <c r="AAL302" s="57"/>
      <c r="AAM302" s="112"/>
      <c r="AAU302" s="44"/>
      <c r="AAV302"/>
      <c r="AAW302"/>
      <c r="AAX302"/>
      <c r="AAY302"/>
      <c r="AAZ302"/>
      <c r="ABA302"/>
      <c r="ABB302"/>
      <c r="ABC302"/>
      <c r="ABD302"/>
    </row>
    <row r="303" spans="1:732" ht="15" outlineLevel="1">
      <c r="A303" s="558"/>
      <c r="B303" s="413" t="s">
        <v>31</v>
      </c>
      <c r="C303" s="691"/>
      <c r="D303" s="153"/>
      <c r="E303" s="660"/>
      <c r="F303" s="660"/>
      <c r="G303" s="661"/>
      <c r="H303" s="661"/>
      <c r="I303" s="588"/>
      <c r="J303" s="592"/>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18"/>
      <c r="ZZ303" s="36"/>
      <c r="AAA303" s="588"/>
      <c r="AAD303" s="112"/>
      <c r="AAE303" s="551">
        <f t="shared" si="928"/>
        <v>1</v>
      </c>
      <c r="AAF303" s="583" t="s">
        <v>174</v>
      </c>
      <c r="AAG303" s="76"/>
      <c r="AAH303" s="76"/>
      <c r="AAI303" s="77"/>
      <c r="AAJ303" s="77"/>
      <c r="AAK303" s="77"/>
      <c r="AAL303" s="57"/>
      <c r="AAM303" s="112"/>
      <c r="AAN303"/>
      <c r="AAT303" s="23"/>
      <c r="AAU303" s="44"/>
    </row>
    <row r="304" spans="1:732" ht="15.75" customHeight="1" outlineLevel="1">
      <c r="A304" s="558"/>
      <c r="B304" s="413" t="s">
        <v>148</v>
      </c>
      <c r="C304" s="691"/>
      <c r="D304" s="153"/>
      <c r="E304" s="660"/>
      <c r="F304" s="660"/>
      <c r="G304" s="661"/>
      <c r="H304" s="661"/>
      <c r="I304" s="588"/>
      <c r="J304" s="592"/>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18"/>
      <c r="ZZ304" s="36"/>
      <c r="AAA304" s="588"/>
      <c r="AAD304" s="112"/>
      <c r="AAE304" s="551">
        <f t="shared" si="928"/>
        <v>1</v>
      </c>
      <c r="AAF304" s="583" t="s">
        <v>174</v>
      </c>
      <c r="AAG304" s="76"/>
      <c r="AAH304" s="76"/>
      <c r="AAI304" s="77" t="s">
        <v>0</v>
      </c>
      <c r="AAJ304" s="77"/>
      <c r="AAK304" s="77"/>
      <c r="AAL304" s="57"/>
      <c r="AAM304" s="112"/>
      <c r="AAN304"/>
      <c r="AAT304" s="23"/>
      <c r="AAU304" s="44"/>
    </row>
    <row r="305" spans="1:732" ht="15" outlineLevel="1">
      <c r="A305" s="558"/>
      <c r="B305" s="414" t="s">
        <v>394</v>
      </c>
      <c r="C305" s="168"/>
      <c r="D305" s="278" t="s">
        <v>151</v>
      </c>
      <c r="E305" s="368">
        <f>NETWORKDAYS(G305,H305,S.DDL_DEQClosed)</f>
        <v>1</v>
      </c>
      <c r="F305" s="492">
        <f ca="1">NETWORKDAYS(TODAY(),H305)</f>
        <v>-103</v>
      </c>
      <c r="G305" s="497">
        <f t="shared" ref="G305:H307" si="932">AAG305</f>
        <v>41508</v>
      </c>
      <c r="H305" s="741">
        <f t="shared" si="932"/>
        <v>41508</v>
      </c>
      <c r="I305" s="627"/>
      <c r="J305" s="592"/>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18"/>
      <c r="ZZ305" s="50"/>
      <c r="AAA305" s="588"/>
      <c r="AAD305" s="112"/>
      <c r="AAE305" s="551">
        <f t="shared" si="928"/>
        <v>1</v>
      </c>
      <c r="AAF305" s="112"/>
      <c r="AAG305" s="78">
        <f>H305</f>
        <v>41508</v>
      </c>
      <c r="AAH305" s="78">
        <f>WORKDAY(G302,5,S.DDL_DEQClosed)</f>
        <v>41508</v>
      </c>
      <c r="AAI305" s="77"/>
      <c r="AAJ305" s="77"/>
      <c r="AAK305" s="77"/>
      <c r="AAL305" s="57"/>
      <c r="AAM305" s="112"/>
      <c r="AAN305"/>
      <c r="AAT305" s="23"/>
      <c r="AAU305" s="44"/>
    </row>
    <row r="306" spans="1:732" ht="15" outlineLevel="1">
      <c r="A306" s="558"/>
      <c r="B306" s="415" t="s">
        <v>65</v>
      </c>
      <c r="C306" s="168"/>
      <c r="D306" s="277" t="s">
        <v>359</v>
      </c>
      <c r="E306" s="368">
        <f>NETWORKDAYS(G306,H306,S.DDL_DEQClosed)</f>
        <v>12</v>
      </c>
      <c r="F306" s="492">
        <f ca="1">NETWORKDAYS(TODAY(),H306)</f>
        <v>-91</v>
      </c>
      <c r="G306" s="496">
        <f t="shared" si="932"/>
        <v>41508</v>
      </c>
      <c r="H306" s="496">
        <f t="shared" si="932"/>
        <v>41526</v>
      </c>
      <c r="I306" s="627"/>
      <c r="J306" s="592"/>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18"/>
      <c r="ZZ306" s="50"/>
      <c r="AAA306" s="588"/>
      <c r="AAD306" s="112"/>
      <c r="AAE306" s="551">
        <f t="shared" si="928"/>
        <v>1</v>
      </c>
      <c r="AAF306" s="112"/>
      <c r="AAG306" s="78">
        <f>H305</f>
        <v>41508</v>
      </c>
      <c r="AAH306" s="78">
        <f>G309</f>
        <v>41526</v>
      </c>
      <c r="AAI306" s="77"/>
      <c r="AAJ306" s="77"/>
      <c r="AAK306" s="77"/>
      <c r="AAL306" s="57"/>
      <c r="AAM306" s="112"/>
      <c r="AAN306"/>
      <c r="AAT306" s="23"/>
      <c r="AAU306" s="44"/>
    </row>
    <row r="307" spans="1:732" ht="15" outlineLevel="1">
      <c r="A307" s="558"/>
      <c r="B307" s="415" t="s">
        <v>48</v>
      </c>
      <c r="C307" s="168"/>
      <c r="D307" s="277" t="s">
        <v>151</v>
      </c>
      <c r="E307" s="368">
        <f>NETWORKDAYS(G307,H307,S.DDL_DEQClosed)</f>
        <v>12</v>
      </c>
      <c r="F307" s="492">
        <f ca="1">NETWORKDAYS(TODAY(),H307)</f>
        <v>-91</v>
      </c>
      <c r="G307" s="496">
        <f t="shared" si="932"/>
        <v>41508</v>
      </c>
      <c r="H307" s="496">
        <f t="shared" si="932"/>
        <v>41526</v>
      </c>
      <c r="I307" s="627"/>
      <c r="J307" s="592"/>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18"/>
      <c r="ZZ307" s="50"/>
      <c r="AAA307" s="588"/>
      <c r="AAD307" s="112"/>
      <c r="AAE307" s="551">
        <f t="shared" si="928"/>
        <v>1</v>
      </c>
      <c r="AAF307" s="112"/>
      <c r="AAG307" s="78">
        <f>H305</f>
        <v>41508</v>
      </c>
      <c r="AAH307" s="78">
        <f>G310</f>
        <v>41526</v>
      </c>
      <c r="AAI307" s="77"/>
      <c r="AAJ307" s="77"/>
      <c r="AAK307" s="77"/>
      <c r="AAL307" s="57"/>
      <c r="AAM307" s="112"/>
      <c r="AAN307"/>
      <c r="AAT307" s="23"/>
      <c r="AAU307" s="44"/>
    </row>
    <row r="308" spans="1:732" ht="25.5" outlineLevel="1">
      <c r="A308" s="558"/>
      <c r="B308" s="734" t="s">
        <v>373</v>
      </c>
      <c r="C308" s="168"/>
      <c r="D308" s="277" t="s">
        <v>151</v>
      </c>
      <c r="E308" s="368">
        <f t="shared" ref="E308:E310" si="933">NETWORKDAYS(G308,H308,S.DDL_DEQClosed)</f>
        <v>3</v>
      </c>
      <c r="F308" s="492">
        <f t="shared" ref="F308:F313" ca="1" si="934">NETWORKDAYS(TODAY(),H308)</f>
        <v>-89</v>
      </c>
      <c r="G308" s="369">
        <f t="shared" ref="G308:H310" si="935">AAG308</f>
        <v>41526</v>
      </c>
      <c r="H308" s="369">
        <f>AAH308</f>
        <v>41528</v>
      </c>
      <c r="I308" s="627"/>
      <c r="J308" s="592"/>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18"/>
      <c r="ZZ308" s="50"/>
      <c r="AAA308" s="588"/>
      <c r="AAD308" s="112"/>
      <c r="AAE308" s="551">
        <f t="shared" si="928"/>
        <v>1</v>
      </c>
      <c r="AAF308" s="112"/>
      <c r="AAG308" s="78">
        <f>WORKDAY(S.MgrNoticeApproval,-2,S.DDL_DEQClosed)</f>
        <v>41526</v>
      </c>
      <c r="AAH308" s="78">
        <f>S.MgrNoticeApproval</f>
        <v>41528</v>
      </c>
      <c r="AAI308" s="77"/>
      <c r="AAJ308" s="77"/>
      <c r="AAK308" s="77"/>
      <c r="AAL308" s="89" t="str">
        <f>"Obtain "&amp;S.CodeName&amp;" BUDGET-REVIEW.FISCAL.4.00"</f>
        <v>Obtain  BUDGET-REVIEW.FISCAL.4.00</v>
      </c>
      <c r="AAM308" s="112"/>
      <c r="AAN308"/>
      <c r="AAT308" s="23"/>
      <c r="AAU308" s="44"/>
    </row>
    <row r="309" spans="1:732" ht="15" outlineLevel="1">
      <c r="A309" s="558"/>
      <c r="B309" s="416" t="s">
        <v>324</v>
      </c>
      <c r="C309" s="168"/>
      <c r="D309" s="277" t="s">
        <v>151</v>
      </c>
      <c r="E309" s="368">
        <f t="shared" si="933"/>
        <v>1</v>
      </c>
      <c r="F309" s="492">
        <f t="shared" ca="1" si="934"/>
        <v>-91</v>
      </c>
      <c r="G309" s="369">
        <f t="shared" si="935"/>
        <v>41526</v>
      </c>
      <c r="H309" s="370">
        <f t="shared" si="935"/>
        <v>41526</v>
      </c>
      <c r="I309" s="627"/>
      <c r="J309" s="592"/>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18"/>
      <c r="ZZ309" s="50"/>
      <c r="AAA309" s="588"/>
      <c r="AAD309" s="112"/>
      <c r="AAE309" s="551">
        <f t="shared" si="928"/>
        <v>1</v>
      </c>
      <c r="AAF309" s="112"/>
      <c r="AAG309" s="78">
        <f>AAG308</f>
        <v>41526</v>
      </c>
      <c r="AAH309" s="78">
        <f t="shared" ref="AAH309:AAH311" si="936">G309</f>
        <v>41526</v>
      </c>
      <c r="AAI309" s="77"/>
      <c r="AAJ309" s="77"/>
      <c r="AAK309" s="77"/>
      <c r="AAL309" s="89" t="str">
        <f>"Verify "&amp;S.CodeName&amp;"compilation of PROPOSED.RULES"</f>
        <v>Verify compilation of PROPOSED.RULES</v>
      </c>
      <c r="AAM309" s="112"/>
      <c r="AAN309"/>
      <c r="AAT309" s="23"/>
      <c r="AAU309" s="44"/>
    </row>
    <row r="310" spans="1:732" ht="22.5" outlineLevel="1">
      <c r="A310" s="558"/>
      <c r="B310" s="659" t="s">
        <v>301</v>
      </c>
      <c r="C310" s="168"/>
      <c r="D310" s="279" t="s">
        <v>374</v>
      </c>
      <c r="E310" s="368">
        <f t="shared" si="933"/>
        <v>3</v>
      </c>
      <c r="F310" s="492">
        <f t="shared" ca="1" si="934"/>
        <v>-89</v>
      </c>
      <c r="G310" s="369">
        <f>AAG310</f>
        <v>41526</v>
      </c>
      <c r="H310" s="369">
        <f t="shared" si="935"/>
        <v>41528</v>
      </c>
      <c r="I310" s="627"/>
      <c r="J310" s="592"/>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18"/>
      <c r="ZZ310" s="50"/>
      <c r="AAA310" s="588"/>
      <c r="AAD310" s="112"/>
      <c r="AAE310" s="551">
        <f t="shared" si="928"/>
        <v>1</v>
      </c>
      <c r="AAF310" s="112"/>
      <c r="AAG310" s="78">
        <f>WORKDAY(AAG311,-2,S.DDL_DEQClosed)</f>
        <v>41526</v>
      </c>
      <c r="AAH310" s="78">
        <f>G311</f>
        <v>41528</v>
      </c>
      <c r="AAI310" s="77"/>
      <c r="AAJ310" s="77"/>
      <c r="AAK310" s="77"/>
      <c r="AAL310" s="57"/>
      <c r="AAM310" s="112"/>
      <c r="AAN310"/>
      <c r="AAT310" s="23"/>
      <c r="AAU310" s="44"/>
    </row>
    <row r="311" spans="1:732" ht="15.75" customHeight="1" outlineLevel="1">
      <c r="A311" s="558"/>
      <c r="B311" s="415" t="s">
        <v>275</v>
      </c>
      <c r="C311" s="168"/>
      <c r="D311" s="277" t="s">
        <v>151</v>
      </c>
      <c r="E311" s="448">
        <f>NETWORKDAYS(G311,H311,S.DDL_DEQClosed)</f>
        <v>1</v>
      </c>
      <c r="F311" s="492">
        <f t="shared" ca="1" si="934"/>
        <v>-89</v>
      </c>
      <c r="G311" s="369">
        <f>AAG311</f>
        <v>41528</v>
      </c>
      <c r="H311" s="370">
        <f>AAH311</f>
        <v>41528</v>
      </c>
      <c r="I311" s="627"/>
      <c r="J311" s="592"/>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18"/>
      <c r="ZZ311" s="50"/>
      <c r="AAA311" s="588"/>
      <c r="AAD311" s="112"/>
      <c r="AAE311" s="551">
        <f t="shared" si="928"/>
        <v>1</v>
      </c>
      <c r="AAF311" s="112"/>
      <c r="AAG311" s="78">
        <f>WORKDAY(S.SubmitNoticeToSOS,-2,S.DDL_DEQClosed)</f>
        <v>41528</v>
      </c>
      <c r="AAH311" s="78">
        <f t="shared" si="936"/>
        <v>41528</v>
      </c>
      <c r="AAI311" s="77"/>
      <c r="AAJ311" s="77"/>
      <c r="AAK311" s="77"/>
      <c r="AAL311" s="57"/>
      <c r="AAM311" s="112"/>
      <c r="AAN311"/>
      <c r="AAT311" s="23"/>
      <c r="AAU311" s="44"/>
    </row>
    <row r="312" spans="1:732" ht="15" outlineLevel="1">
      <c r="A312" s="558"/>
      <c r="B312" s="343" t="s">
        <v>47</v>
      </c>
      <c r="C312" s="168"/>
      <c r="D312" s="277" t="s">
        <v>392</v>
      </c>
      <c r="E312" s="448">
        <f t="shared" ref="E312" si="937">NETWORKDAYS(G312,H312,S.DDL_DEQClosed)</f>
        <v>1</v>
      </c>
      <c r="F312" s="492">
        <f t="shared" ca="1" si="934"/>
        <v>-89</v>
      </c>
      <c r="G312" s="472">
        <f t="shared" ref="G312:H313" si="938">AAG312</f>
        <v>41528</v>
      </c>
      <c r="H312" s="369">
        <f t="shared" si="938"/>
        <v>41528</v>
      </c>
      <c r="I312" s="627"/>
      <c r="J312" s="592"/>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18"/>
      <c r="ZZ312" s="50"/>
      <c r="AAA312" s="588"/>
      <c r="AAD312" s="112"/>
      <c r="AAE312" s="551">
        <f>IF(S.InvolveSIP=TRUE,1,0)</f>
        <v>1</v>
      </c>
      <c r="AAF312" s="112"/>
      <c r="AAG312" s="78">
        <f>H311</f>
        <v>41528</v>
      </c>
      <c r="AAH312" s="78">
        <f t="shared" ref="AAH312" si="939">G312</f>
        <v>41528</v>
      </c>
      <c r="AAI312" s="77"/>
      <c r="AAJ312" s="77"/>
      <c r="AAK312" s="77"/>
      <c r="AAL312" s="57" t="s">
        <v>0</v>
      </c>
      <c r="AAM312" s="112"/>
      <c r="AAN312"/>
      <c r="AAT312" s="23"/>
      <c r="AAU312" s="44"/>
    </row>
    <row r="313" spans="1:732" ht="15" outlineLevel="1">
      <c r="A313" s="558"/>
      <c r="B313" s="343" t="s">
        <v>215</v>
      </c>
      <c r="C313" s="168"/>
      <c r="D313" s="277" t="s">
        <v>365</v>
      </c>
      <c r="E313" s="448">
        <f>NETWORKDAYS(G313,H313,S.DDL_DEQClosed)</f>
        <v>3</v>
      </c>
      <c r="F313" s="492">
        <f t="shared" ca="1" si="934"/>
        <v>-87</v>
      </c>
      <c r="G313" s="369">
        <f t="shared" si="938"/>
        <v>41528</v>
      </c>
      <c r="H313" s="656">
        <f t="shared" si="938"/>
        <v>41530</v>
      </c>
      <c r="I313" s="627"/>
      <c r="J313" s="592"/>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18"/>
      <c r="ZZ313" s="50"/>
      <c r="AAA313" s="588"/>
      <c r="AAD313" s="112"/>
      <c r="AAE313" s="551">
        <f t="shared" ref="AAE313:AAE320" si="940">IF(S.InvolveNotice=TRUE,1,0)</f>
        <v>1</v>
      </c>
      <c r="AAF313" s="112"/>
      <c r="AAG313" s="78">
        <f>G311</f>
        <v>41528</v>
      </c>
      <c r="AAH313" s="78">
        <f>S.SubmitNoticeToSOS</f>
        <v>41530</v>
      </c>
      <c r="AAI313" s="77"/>
      <c r="AAJ313" s="77"/>
      <c r="AAK313" s="77"/>
      <c r="AAL313" s="57"/>
      <c r="AAM313" s="112"/>
      <c r="AAN313"/>
      <c r="AAT313" s="23"/>
      <c r="AAU313" s="44"/>
      <c r="AAV313" s="23"/>
      <c r="AAW313" s="23"/>
      <c r="AAX313" s="23"/>
      <c r="AAY313" s="23"/>
      <c r="AAZ313" s="23"/>
      <c r="ABA313" s="23"/>
      <c r="ABB313" s="23"/>
      <c r="ABC313" s="23"/>
      <c r="ABD313" s="23"/>
    </row>
    <row r="314" spans="1:732" ht="18" outlineLevel="1">
      <c r="A314" s="558"/>
      <c r="B314" s="284" t="s">
        <v>46</v>
      </c>
      <c r="C314" s="285"/>
      <c r="D314" s="281" t="s">
        <v>0</v>
      </c>
      <c r="E314" s="400"/>
      <c r="F314" s="400"/>
      <c r="G314" s="493"/>
      <c r="H314" s="470"/>
      <c r="I314" s="588"/>
      <c r="J314" s="592"/>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c r="BA314" s="50"/>
      <c r="BB314" s="50"/>
      <c r="BC314" s="50"/>
      <c r="BD314" s="50"/>
      <c r="BE314" s="50"/>
      <c r="BF314" s="50"/>
      <c r="BG314" s="50"/>
      <c r="BH314" s="50"/>
      <c r="BI314" s="50"/>
      <c r="BJ314" s="50"/>
      <c r="BK314" s="50"/>
      <c r="BL314" s="50"/>
      <c r="BM314" s="50"/>
      <c r="BN314" s="50"/>
      <c r="BO314" s="50"/>
      <c r="BP314" s="50"/>
      <c r="BQ314" s="50"/>
      <c r="BR314" s="50"/>
      <c r="BS314" s="50"/>
      <c r="BT314" s="50"/>
      <c r="BU314" s="50"/>
      <c r="BV314" s="50"/>
      <c r="BW314" s="50"/>
      <c r="BX314" s="50"/>
      <c r="BY314" s="50"/>
      <c r="BZ314" s="50"/>
      <c r="CA314" s="50"/>
      <c r="CB314" s="50"/>
      <c r="CC314" s="50"/>
      <c r="CD314" s="50"/>
      <c r="CE314" s="50"/>
      <c r="CF314" s="50"/>
      <c r="CG314" s="50"/>
      <c r="CH314" s="50"/>
      <c r="CI314" s="50"/>
      <c r="CJ314" s="50"/>
      <c r="CK314" s="50"/>
      <c r="CL314" s="50"/>
      <c r="CM314" s="50"/>
      <c r="CN314" s="50"/>
      <c r="CO314" s="50"/>
      <c r="CP314" s="50"/>
      <c r="CQ314" s="50"/>
      <c r="CR314" s="50"/>
      <c r="CS314" s="50"/>
      <c r="CT314" s="50"/>
      <c r="CU314" s="50"/>
      <c r="CV314" s="50"/>
      <c r="CW314" s="50"/>
      <c r="CX314" s="50"/>
      <c r="CY314" s="50"/>
      <c r="CZ314" s="50"/>
      <c r="DA314" s="50"/>
      <c r="DB314" s="50"/>
      <c r="DC314" s="50"/>
      <c r="DD314" s="50"/>
      <c r="DE314" s="50"/>
      <c r="DF314" s="50"/>
      <c r="DG314" s="50"/>
      <c r="DH314" s="50"/>
      <c r="DI314" s="50"/>
      <c r="DJ314" s="50"/>
      <c r="DK314" s="50"/>
      <c r="DL314" s="50"/>
      <c r="DM314" s="50"/>
      <c r="DN314" s="50"/>
      <c r="DO314" s="50"/>
      <c r="DP314" s="50"/>
      <c r="DQ314" s="50"/>
      <c r="DR314" s="50"/>
      <c r="DS314" s="50"/>
      <c r="DT314" s="50"/>
      <c r="DU314" s="50"/>
      <c r="DV314" s="50"/>
      <c r="DW314" s="50"/>
      <c r="DX314" s="50"/>
      <c r="DY314" s="50"/>
      <c r="DZ314" s="50"/>
      <c r="EA314" s="50"/>
      <c r="EB314" s="50"/>
      <c r="EC314" s="50"/>
      <c r="ED314" s="50"/>
      <c r="EE314" s="50"/>
      <c r="EF314" s="50"/>
      <c r="EG314" s="50"/>
      <c r="EH314" s="50"/>
      <c r="EI314" s="50"/>
      <c r="EJ314" s="50"/>
      <c r="EK314" s="50"/>
      <c r="EL314" s="50"/>
      <c r="EM314" s="50"/>
      <c r="EN314" s="50"/>
      <c r="EO314" s="50"/>
      <c r="EP314" s="50"/>
      <c r="EQ314" s="50"/>
      <c r="ER314" s="50"/>
      <c r="ES314" s="50"/>
      <c r="ET314" s="50"/>
      <c r="EU314" s="50"/>
      <c r="EV314" s="50"/>
      <c r="EW314" s="50"/>
      <c r="EX314" s="50"/>
      <c r="EY314" s="50"/>
      <c r="EZ314" s="50"/>
      <c r="FA314" s="50"/>
      <c r="FB314" s="50"/>
      <c r="FC314" s="50"/>
      <c r="FD314" s="50"/>
      <c r="FE314" s="50"/>
      <c r="FF314" s="50"/>
      <c r="FG314" s="50"/>
      <c r="FH314" s="50"/>
      <c r="FI314" s="50"/>
      <c r="FJ314" s="50"/>
      <c r="FK314" s="50"/>
      <c r="FL314" s="50"/>
      <c r="FM314" s="50"/>
      <c r="FN314" s="50"/>
      <c r="FO314" s="50"/>
      <c r="FP314" s="50"/>
      <c r="FQ314" s="50"/>
      <c r="FR314" s="50"/>
      <c r="FS314" s="50"/>
      <c r="FT314" s="50"/>
      <c r="FU314" s="50"/>
      <c r="FV314" s="50"/>
      <c r="FW314" s="50"/>
      <c r="FX314" s="50"/>
      <c r="FY314" s="50"/>
      <c r="FZ314" s="50"/>
      <c r="GA314" s="50"/>
      <c r="GB314" s="50"/>
      <c r="GC314" s="50"/>
      <c r="GD314" s="50"/>
      <c r="GE314" s="50"/>
      <c r="GF314" s="50"/>
      <c r="GG314" s="50"/>
      <c r="GH314" s="50"/>
      <c r="GI314" s="50"/>
      <c r="GJ314" s="50"/>
      <c r="GK314" s="50"/>
      <c r="GL314" s="50"/>
      <c r="GM314" s="50"/>
      <c r="GN314" s="50"/>
      <c r="GO314" s="50"/>
      <c r="GP314" s="50"/>
      <c r="GQ314" s="50"/>
      <c r="GR314" s="50"/>
      <c r="GS314" s="50"/>
      <c r="GT314" s="50"/>
      <c r="GU314" s="50"/>
      <c r="GV314" s="50"/>
      <c r="GW314" s="50"/>
      <c r="GX314" s="50"/>
      <c r="GY314" s="50"/>
      <c r="GZ314" s="50"/>
      <c r="HA314" s="50"/>
      <c r="HB314" s="50"/>
      <c r="HC314" s="50"/>
      <c r="HD314" s="50"/>
      <c r="HE314" s="50"/>
      <c r="HF314" s="50"/>
      <c r="HG314" s="50"/>
      <c r="HH314" s="50"/>
      <c r="HI314" s="50"/>
      <c r="HJ314" s="50"/>
      <c r="HK314" s="50"/>
      <c r="HL314" s="50"/>
      <c r="HM314" s="50"/>
      <c r="HN314" s="50"/>
      <c r="HO314" s="50"/>
      <c r="HP314" s="50"/>
      <c r="HQ314" s="50"/>
      <c r="HR314" s="50"/>
      <c r="HS314" s="50"/>
      <c r="HT314" s="50"/>
      <c r="HU314" s="50"/>
      <c r="HV314" s="50"/>
      <c r="HW314" s="50"/>
      <c r="HX314" s="50"/>
      <c r="HY314" s="50"/>
      <c r="HZ314" s="50"/>
      <c r="IA314" s="50"/>
      <c r="IB314" s="50"/>
      <c r="IC314" s="50"/>
      <c r="ID314" s="50"/>
      <c r="IE314" s="50"/>
      <c r="IF314" s="50"/>
      <c r="IG314" s="50"/>
      <c r="IH314" s="50"/>
      <c r="II314" s="50"/>
      <c r="IJ314" s="50"/>
      <c r="IK314" s="50"/>
      <c r="IL314" s="50"/>
      <c r="IM314" s="50"/>
      <c r="IN314" s="50"/>
      <c r="IO314" s="50"/>
      <c r="IP314" s="50"/>
      <c r="IQ314" s="50"/>
      <c r="IR314" s="50"/>
      <c r="IS314" s="50"/>
      <c r="IT314" s="50"/>
      <c r="IU314" s="50"/>
      <c r="IV314" s="50"/>
      <c r="IW314" s="50"/>
      <c r="IX314" s="50"/>
      <c r="IY314" s="50"/>
      <c r="IZ314" s="50"/>
      <c r="JA314" s="50"/>
      <c r="JB314" s="50"/>
      <c r="JC314" s="50"/>
      <c r="JD314" s="50"/>
      <c r="JE314" s="50"/>
      <c r="JF314" s="50"/>
      <c r="JG314" s="50"/>
      <c r="JH314" s="50"/>
      <c r="JI314" s="50"/>
      <c r="JJ314" s="50"/>
      <c r="JK314" s="50"/>
      <c r="JL314" s="50"/>
      <c r="JM314" s="50"/>
      <c r="JN314" s="50"/>
      <c r="JO314" s="50"/>
      <c r="JP314" s="50"/>
      <c r="JQ314" s="50"/>
      <c r="JR314" s="50"/>
      <c r="JS314" s="50"/>
      <c r="JT314" s="50"/>
      <c r="JU314" s="50"/>
      <c r="JV314" s="50"/>
      <c r="JW314" s="50"/>
      <c r="JX314" s="50"/>
      <c r="JY314" s="50"/>
      <c r="JZ314" s="50"/>
      <c r="KA314" s="50"/>
      <c r="KB314" s="50"/>
      <c r="KC314" s="50"/>
      <c r="KD314" s="50"/>
      <c r="KE314" s="50"/>
      <c r="KF314" s="50"/>
      <c r="KG314" s="50"/>
      <c r="KH314" s="50"/>
      <c r="KI314" s="50"/>
      <c r="KJ314" s="50"/>
      <c r="KK314" s="50"/>
      <c r="KL314" s="50"/>
      <c r="KM314" s="50"/>
      <c r="KN314" s="50"/>
      <c r="KO314" s="50"/>
      <c r="KP314" s="50"/>
      <c r="KQ314" s="50"/>
      <c r="KR314" s="50"/>
      <c r="KS314" s="50"/>
      <c r="KT314" s="50"/>
      <c r="KU314" s="50"/>
      <c r="KV314" s="50"/>
      <c r="KW314" s="50"/>
      <c r="KX314" s="50"/>
      <c r="KY314" s="50"/>
      <c r="KZ314" s="50"/>
      <c r="LA314" s="50"/>
      <c r="LB314" s="50"/>
      <c r="LC314" s="50"/>
      <c r="LD314" s="50"/>
      <c r="LE314" s="50"/>
      <c r="LF314" s="50"/>
      <c r="LG314" s="50"/>
      <c r="LH314" s="50"/>
      <c r="LI314" s="50"/>
      <c r="LJ314" s="50"/>
      <c r="LK314" s="50"/>
      <c r="LL314" s="50"/>
      <c r="LM314" s="50"/>
      <c r="LN314" s="50"/>
      <c r="LO314" s="50"/>
      <c r="LP314" s="50"/>
      <c r="LQ314" s="50"/>
      <c r="LR314" s="50"/>
      <c r="LS314" s="50"/>
      <c r="LT314" s="50"/>
      <c r="LU314" s="50"/>
      <c r="LV314" s="50"/>
      <c r="LW314" s="50"/>
      <c r="LX314" s="50"/>
      <c r="LY314" s="50"/>
      <c r="LZ314" s="50"/>
      <c r="MA314" s="50"/>
      <c r="MB314" s="50"/>
      <c r="MC314" s="50"/>
      <c r="MD314" s="50"/>
      <c r="ME314" s="50"/>
      <c r="MF314" s="50"/>
      <c r="MG314" s="50"/>
      <c r="MH314" s="50"/>
      <c r="MI314" s="50"/>
      <c r="MJ314" s="50"/>
      <c r="MK314" s="50"/>
      <c r="ML314" s="50"/>
      <c r="MM314" s="50"/>
      <c r="MN314" s="50"/>
      <c r="MO314" s="50"/>
      <c r="MP314" s="50"/>
      <c r="MQ314" s="50"/>
      <c r="MR314" s="50"/>
      <c r="MS314" s="50"/>
      <c r="MT314" s="50"/>
      <c r="MU314" s="50"/>
      <c r="MV314" s="50"/>
      <c r="MW314" s="50"/>
      <c r="MX314" s="50"/>
      <c r="MY314" s="50"/>
      <c r="MZ314" s="50"/>
      <c r="NA314" s="50"/>
      <c r="NB314" s="50"/>
      <c r="NC314" s="50"/>
      <c r="ND314" s="50"/>
      <c r="NE314" s="50"/>
      <c r="NF314" s="50"/>
      <c r="NG314" s="50"/>
      <c r="NH314" s="50"/>
      <c r="NI314" s="50"/>
      <c r="NJ314" s="50"/>
      <c r="NK314" s="50"/>
      <c r="NL314" s="50"/>
      <c r="NM314" s="50"/>
      <c r="NN314" s="50"/>
      <c r="NO314" s="50"/>
      <c r="NP314" s="50"/>
      <c r="NQ314" s="50"/>
      <c r="NR314" s="50"/>
      <c r="NS314" s="50"/>
      <c r="NT314" s="50"/>
      <c r="NU314" s="50"/>
      <c r="NV314" s="50"/>
      <c r="NW314" s="50"/>
      <c r="NX314" s="50"/>
      <c r="NY314" s="50"/>
      <c r="NZ314" s="50"/>
      <c r="OA314" s="50"/>
      <c r="OB314" s="50"/>
      <c r="OC314" s="50"/>
      <c r="OD314" s="50"/>
      <c r="OE314" s="50"/>
      <c r="OF314" s="50"/>
      <c r="OG314" s="50"/>
      <c r="OH314" s="50"/>
      <c r="OI314" s="50"/>
      <c r="OJ314" s="50"/>
      <c r="OK314" s="50"/>
      <c r="OL314" s="50"/>
      <c r="OM314" s="50"/>
      <c r="ON314" s="50"/>
      <c r="OO314" s="50"/>
      <c r="OP314" s="50"/>
      <c r="OQ314" s="50"/>
      <c r="OR314" s="50"/>
      <c r="OS314" s="50"/>
      <c r="OT314" s="50"/>
      <c r="OU314" s="50"/>
      <c r="OV314" s="50"/>
      <c r="OW314" s="50"/>
      <c r="OX314" s="50"/>
      <c r="OY314" s="50"/>
      <c r="OZ314" s="50"/>
      <c r="PA314" s="50"/>
      <c r="PB314" s="50"/>
      <c r="PC314" s="50"/>
      <c r="PD314" s="50"/>
      <c r="PE314" s="50"/>
      <c r="PF314" s="50"/>
      <c r="PG314" s="50"/>
      <c r="PH314" s="50"/>
      <c r="PI314" s="50"/>
      <c r="PJ314" s="50"/>
      <c r="PK314" s="50"/>
      <c r="PL314" s="50"/>
      <c r="PM314" s="50"/>
      <c r="PN314" s="50"/>
      <c r="PO314" s="50"/>
      <c r="PP314" s="50"/>
      <c r="PQ314" s="50"/>
      <c r="PR314" s="50"/>
      <c r="PS314" s="50"/>
      <c r="PT314" s="50"/>
      <c r="PU314" s="50"/>
      <c r="PV314" s="50"/>
      <c r="PW314" s="50"/>
      <c r="PX314" s="50"/>
      <c r="PY314" s="50"/>
      <c r="PZ314" s="50"/>
      <c r="QA314" s="50"/>
      <c r="QB314" s="50"/>
      <c r="QC314" s="50"/>
      <c r="QD314" s="50"/>
      <c r="QE314" s="50"/>
      <c r="QF314" s="50"/>
      <c r="QG314" s="50"/>
      <c r="QH314" s="50"/>
      <c r="QI314" s="50"/>
      <c r="QJ314" s="50"/>
      <c r="QK314" s="50"/>
      <c r="QL314" s="50"/>
      <c r="QM314" s="50"/>
      <c r="QN314" s="50"/>
      <c r="QO314" s="50"/>
      <c r="QP314" s="50"/>
      <c r="QQ314" s="50"/>
      <c r="QR314" s="50"/>
      <c r="QS314" s="50"/>
      <c r="QT314" s="50"/>
      <c r="QU314" s="50"/>
      <c r="QV314" s="50"/>
      <c r="QW314" s="50"/>
      <c r="QX314" s="50"/>
      <c r="QY314" s="50"/>
      <c r="QZ314" s="50"/>
      <c r="RA314" s="50"/>
      <c r="RB314" s="50"/>
      <c r="RC314" s="50"/>
      <c r="RD314" s="50"/>
      <c r="RE314" s="50"/>
      <c r="RF314" s="50"/>
      <c r="RG314" s="50"/>
      <c r="RH314" s="50"/>
      <c r="RI314" s="50"/>
      <c r="RJ314" s="50"/>
      <c r="RK314" s="50"/>
      <c r="RL314" s="50"/>
      <c r="RM314" s="50"/>
      <c r="RN314" s="50"/>
      <c r="RO314" s="50"/>
      <c r="RP314" s="50"/>
      <c r="RQ314" s="50"/>
      <c r="RR314" s="50"/>
      <c r="RS314" s="50"/>
      <c r="RT314" s="50"/>
      <c r="RU314" s="50"/>
      <c r="RV314" s="50"/>
      <c r="RW314" s="50"/>
      <c r="RX314" s="50"/>
      <c r="RY314" s="50"/>
      <c r="RZ314" s="50"/>
      <c r="SA314" s="50"/>
      <c r="SB314" s="50"/>
      <c r="SC314" s="50"/>
      <c r="SD314" s="50"/>
      <c r="SE314" s="50"/>
      <c r="SF314" s="50"/>
      <c r="SG314" s="50"/>
      <c r="SH314" s="50"/>
      <c r="SI314" s="50"/>
      <c r="SJ314" s="50"/>
      <c r="SK314" s="50"/>
      <c r="SL314" s="50"/>
      <c r="SM314" s="50"/>
      <c r="SN314" s="50"/>
      <c r="SO314" s="50"/>
      <c r="SP314" s="50"/>
      <c r="SQ314" s="50"/>
      <c r="SR314" s="50"/>
      <c r="SS314" s="50"/>
      <c r="ST314" s="50"/>
      <c r="SU314" s="50"/>
      <c r="SV314" s="50"/>
      <c r="SW314" s="50"/>
      <c r="SX314" s="50"/>
      <c r="SY314" s="50"/>
      <c r="SZ314" s="50"/>
      <c r="TA314" s="50"/>
      <c r="TB314" s="50"/>
      <c r="TC314" s="50"/>
      <c r="TD314" s="50"/>
      <c r="TE314" s="50"/>
      <c r="TF314" s="50"/>
      <c r="TG314" s="50"/>
      <c r="TH314" s="50"/>
      <c r="TI314" s="50"/>
      <c r="TJ314" s="50"/>
      <c r="TK314" s="50"/>
      <c r="TL314" s="50"/>
      <c r="TM314" s="50"/>
      <c r="TN314" s="50"/>
      <c r="TO314" s="50"/>
      <c r="TP314" s="50"/>
      <c r="TQ314" s="50"/>
      <c r="TR314" s="50"/>
      <c r="TS314" s="50"/>
      <c r="TT314" s="50"/>
      <c r="TU314" s="50"/>
      <c r="TV314" s="50"/>
      <c r="TW314" s="50"/>
      <c r="TX314" s="50"/>
      <c r="TY314" s="50"/>
      <c r="TZ314" s="50"/>
      <c r="UA314" s="50"/>
      <c r="UB314" s="50"/>
      <c r="UC314" s="50"/>
      <c r="UD314" s="50"/>
      <c r="UE314" s="50"/>
      <c r="UF314" s="50"/>
      <c r="UG314" s="50"/>
      <c r="UH314" s="50"/>
      <c r="UI314" s="50"/>
      <c r="UJ314" s="50"/>
      <c r="UK314" s="50"/>
      <c r="UL314" s="50"/>
      <c r="UM314" s="50"/>
      <c r="UN314" s="50"/>
      <c r="UO314" s="50"/>
      <c r="UP314" s="50"/>
      <c r="UQ314" s="50"/>
      <c r="UR314" s="50"/>
      <c r="US314" s="50"/>
      <c r="UT314" s="50"/>
      <c r="UU314" s="50"/>
      <c r="UV314" s="50"/>
      <c r="UW314" s="50"/>
      <c r="UX314" s="50"/>
      <c r="UY314" s="50"/>
      <c r="UZ314" s="50"/>
      <c r="VA314" s="50"/>
      <c r="VB314" s="50"/>
      <c r="VC314" s="50"/>
      <c r="VD314" s="50"/>
      <c r="VE314" s="50"/>
      <c r="VF314" s="50"/>
      <c r="VG314" s="50"/>
      <c r="VH314" s="50"/>
      <c r="VI314" s="50"/>
      <c r="VJ314" s="50"/>
      <c r="VK314" s="50"/>
      <c r="VL314" s="50"/>
      <c r="VM314" s="50"/>
      <c r="VN314" s="50"/>
      <c r="VO314" s="50"/>
      <c r="VP314" s="50"/>
      <c r="VQ314" s="50"/>
      <c r="VR314" s="50"/>
      <c r="VS314" s="50"/>
      <c r="VT314" s="50"/>
      <c r="VU314" s="50"/>
      <c r="VV314" s="50"/>
      <c r="VW314" s="50"/>
      <c r="VX314" s="50"/>
      <c r="VY314" s="50"/>
      <c r="VZ314" s="50"/>
      <c r="WA314" s="50"/>
      <c r="WB314" s="50"/>
      <c r="WC314" s="50"/>
      <c r="WD314" s="50"/>
      <c r="WE314" s="50"/>
      <c r="WF314" s="50"/>
      <c r="WG314" s="50"/>
      <c r="WH314" s="50"/>
      <c r="WI314" s="50"/>
      <c r="WJ314" s="50"/>
      <c r="WK314" s="50"/>
      <c r="WL314" s="50"/>
      <c r="WM314" s="50"/>
      <c r="WN314" s="50"/>
      <c r="WO314" s="50"/>
      <c r="WP314" s="50"/>
      <c r="WQ314" s="50"/>
      <c r="WR314" s="50"/>
      <c r="WS314" s="50"/>
      <c r="WT314" s="50"/>
      <c r="WU314" s="50"/>
      <c r="WV314" s="50"/>
      <c r="WW314" s="50"/>
      <c r="WX314" s="50"/>
      <c r="WY314" s="50"/>
      <c r="WZ314" s="50"/>
      <c r="XA314" s="50"/>
      <c r="XB314" s="50"/>
      <c r="XC314" s="50"/>
      <c r="XD314" s="50"/>
      <c r="XE314" s="50"/>
      <c r="XF314" s="50"/>
      <c r="XG314" s="50"/>
      <c r="XH314" s="50"/>
      <c r="XI314" s="50"/>
      <c r="XJ314" s="50"/>
      <c r="XK314" s="50"/>
      <c r="XL314" s="50"/>
      <c r="XM314" s="50"/>
      <c r="XN314" s="50"/>
      <c r="XO314" s="50"/>
      <c r="XP314" s="50"/>
      <c r="XQ314" s="50"/>
      <c r="XR314" s="50"/>
      <c r="XS314" s="50"/>
      <c r="XT314" s="50"/>
      <c r="XU314" s="50"/>
      <c r="XV314" s="50"/>
      <c r="XW314" s="50"/>
      <c r="XX314" s="50"/>
      <c r="XY314" s="50"/>
      <c r="XZ314" s="50"/>
      <c r="YA314" s="50"/>
      <c r="YB314" s="50"/>
      <c r="YC314" s="50"/>
      <c r="YD314" s="50"/>
      <c r="YE314" s="50"/>
      <c r="YF314" s="50"/>
      <c r="YG314" s="50"/>
      <c r="YH314" s="50"/>
      <c r="YI314" s="50"/>
      <c r="YJ314" s="50"/>
      <c r="YK314" s="50"/>
      <c r="YL314" s="50"/>
      <c r="YM314" s="50"/>
      <c r="YN314" s="50"/>
      <c r="YO314" s="50"/>
      <c r="YP314" s="50"/>
      <c r="YQ314" s="50"/>
      <c r="YR314" s="50"/>
      <c r="YS314" s="50"/>
      <c r="YT314" s="50"/>
      <c r="YU314" s="50"/>
      <c r="YV314" s="50"/>
      <c r="YW314" s="50"/>
      <c r="YX314" s="50"/>
      <c r="YY314" s="50"/>
      <c r="YZ314" s="50"/>
      <c r="ZA314" s="50"/>
      <c r="ZB314" s="50"/>
      <c r="ZC314" s="50"/>
      <c r="ZD314" s="50"/>
      <c r="ZE314" s="50"/>
      <c r="ZF314" s="50"/>
      <c r="ZG314" s="50"/>
      <c r="ZH314" s="50"/>
      <c r="ZI314" s="50"/>
      <c r="ZJ314" s="50"/>
      <c r="ZK314" s="50"/>
      <c r="ZL314" s="50"/>
      <c r="ZM314" s="50"/>
      <c r="ZN314" s="50"/>
      <c r="ZO314" s="50"/>
      <c r="ZP314" s="50"/>
      <c r="ZQ314" s="50"/>
      <c r="ZR314" s="50"/>
      <c r="ZS314" s="50"/>
      <c r="ZT314" s="50"/>
      <c r="ZU314" s="50"/>
      <c r="ZV314" s="50"/>
      <c r="ZW314" s="50"/>
      <c r="ZX314" s="50"/>
      <c r="ZY314" s="618"/>
      <c r="ZZ314" s="36"/>
      <c r="AAA314" s="588"/>
      <c r="AAD314" s="112"/>
      <c r="AAE314" s="551">
        <f t="shared" si="940"/>
        <v>1</v>
      </c>
      <c r="AAF314" s="583" t="s">
        <v>174</v>
      </c>
      <c r="AAG314" s="63" t="s">
        <v>0</v>
      </c>
      <c r="AAH314" s="63" t="s">
        <v>0</v>
      </c>
      <c r="AAI314" s="63"/>
      <c r="AAJ314" s="57"/>
      <c r="AAK314" s="57"/>
      <c r="AAL314" s="97" t="s">
        <v>0</v>
      </c>
      <c r="AAM314" s="112"/>
      <c r="AAN314"/>
      <c r="AAT314" s="23"/>
      <c r="AAU314" s="44"/>
    </row>
    <row r="315" spans="1:732" s="23" customFormat="1" ht="15.75" customHeight="1" outlineLevel="1">
      <c r="A315" s="558"/>
      <c r="B315" s="132" t="s">
        <v>266</v>
      </c>
      <c r="C315" s="231" t="s">
        <v>69</v>
      </c>
      <c r="D315" s="229" t="s">
        <v>188</v>
      </c>
      <c r="E315" s="372">
        <f t="shared" ref="E315" si="941">NETWORKDAYS(G315,H315,S.DDL_DEQClosed)</f>
        <v>13</v>
      </c>
      <c r="F315" s="492">
        <f t="shared" ref="F315" ca="1" si="942">NETWORKDAYS(TODAY(),H315,S.DDL_DEQClosed)</f>
        <v>-71</v>
      </c>
      <c r="G315" s="665">
        <f>AAG315</f>
        <v>41530</v>
      </c>
      <c r="H315" s="664">
        <f>AAH315</f>
        <v>41548</v>
      </c>
      <c r="I315" s="627"/>
      <c r="J315" s="591"/>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c r="AP315" s="47"/>
      <c r="AQ315" s="47"/>
      <c r="AR315" s="47"/>
      <c r="AS315" s="47"/>
      <c r="AT315" s="47"/>
      <c r="AU315" s="47"/>
      <c r="AV315" s="47"/>
      <c r="AW315" s="47"/>
      <c r="AX315" s="47"/>
      <c r="AY315" s="47"/>
      <c r="AZ315" s="47"/>
      <c r="BA315" s="47"/>
      <c r="BB315" s="47"/>
      <c r="BC315" s="47"/>
      <c r="BD315" s="47"/>
      <c r="BE315" s="47"/>
      <c r="BF315" s="47"/>
      <c r="BG315" s="47"/>
      <c r="BH315" s="47"/>
      <c r="BI315" s="47"/>
      <c r="BJ315" s="47"/>
      <c r="BK315" s="47"/>
      <c r="BL315" s="47"/>
      <c r="BM315" s="47"/>
      <c r="BN315" s="47"/>
      <c r="BO315" s="47"/>
      <c r="BP315" s="47"/>
      <c r="BQ315" s="47"/>
      <c r="BR315" s="47"/>
      <c r="BS315" s="47"/>
      <c r="BT315" s="47"/>
      <c r="BU315" s="47"/>
      <c r="BV315" s="47"/>
      <c r="BW315" s="47"/>
      <c r="BX315" s="47"/>
      <c r="BY315" s="47"/>
      <c r="BZ315" s="47"/>
      <c r="CA315" s="47"/>
      <c r="CB315" s="47"/>
      <c r="CC315" s="47"/>
      <c r="CD315" s="47"/>
      <c r="CE315" s="47"/>
      <c r="CF315" s="47"/>
      <c r="CG315" s="47"/>
      <c r="CH315" s="47"/>
      <c r="CI315" s="47"/>
      <c r="CJ315" s="47"/>
      <c r="CK315" s="47"/>
      <c r="CL315" s="47"/>
      <c r="CM315" s="47"/>
      <c r="CN315" s="47"/>
      <c r="CO315" s="47"/>
      <c r="CP315" s="47"/>
      <c r="CQ315" s="47"/>
      <c r="CR315" s="47"/>
      <c r="CS315" s="47"/>
      <c r="CT315" s="47"/>
      <c r="CU315" s="47"/>
      <c r="CV315" s="47"/>
      <c r="CW315" s="47"/>
      <c r="CX315" s="47"/>
      <c r="CY315" s="47"/>
      <c r="CZ315" s="47"/>
      <c r="DA315" s="47"/>
      <c r="DB315" s="47"/>
      <c r="DC315" s="47"/>
      <c r="DD315" s="47"/>
      <c r="DE315" s="47"/>
      <c r="DF315" s="47"/>
      <c r="DG315" s="47"/>
      <c r="DH315" s="47"/>
      <c r="DI315" s="47"/>
      <c r="DJ315" s="47"/>
      <c r="DK315" s="47"/>
      <c r="DL315" s="47"/>
      <c r="DM315" s="47"/>
      <c r="DN315" s="47"/>
      <c r="DO315" s="47"/>
      <c r="DP315" s="47"/>
      <c r="DQ315" s="47"/>
      <c r="DR315" s="47"/>
      <c r="DS315" s="47"/>
      <c r="DT315" s="47"/>
      <c r="DU315" s="47"/>
      <c r="DV315" s="47"/>
      <c r="DW315" s="47"/>
      <c r="DX315" s="47"/>
      <c r="DY315" s="47"/>
      <c r="DZ315" s="47"/>
      <c r="EA315" s="47"/>
      <c r="EB315" s="47"/>
      <c r="EC315" s="47"/>
      <c r="ED315" s="47"/>
      <c r="EE315" s="47"/>
      <c r="EF315" s="47"/>
      <c r="EG315" s="47"/>
      <c r="EH315" s="47"/>
      <c r="EI315" s="47"/>
      <c r="EJ315" s="47"/>
      <c r="EK315" s="47"/>
      <c r="EL315" s="47"/>
      <c r="EM315" s="47"/>
      <c r="EN315" s="47"/>
      <c r="EO315" s="47"/>
      <c r="EP315" s="47"/>
      <c r="EQ315" s="47"/>
      <c r="ER315" s="47"/>
      <c r="ES315" s="47"/>
      <c r="ET315" s="47"/>
      <c r="EU315" s="47"/>
      <c r="EV315" s="47"/>
      <c r="EW315" s="47"/>
      <c r="EX315" s="47"/>
      <c r="EY315" s="47"/>
      <c r="EZ315" s="47"/>
      <c r="FA315" s="47"/>
      <c r="FB315" s="47"/>
      <c r="FC315" s="47"/>
      <c r="FD315" s="47"/>
      <c r="FE315" s="47"/>
      <c r="FF315" s="47"/>
      <c r="FG315" s="47"/>
      <c r="FH315" s="47"/>
      <c r="FI315" s="47"/>
      <c r="FJ315" s="47"/>
      <c r="FK315" s="47"/>
      <c r="FL315" s="47"/>
      <c r="FM315" s="47"/>
      <c r="FN315" s="47"/>
      <c r="FO315" s="47"/>
      <c r="FP315" s="47"/>
      <c r="FQ315" s="47"/>
      <c r="FR315" s="47"/>
      <c r="FS315" s="47"/>
      <c r="FT315" s="47"/>
      <c r="FU315" s="47"/>
      <c r="FV315" s="47"/>
      <c r="FW315" s="47"/>
      <c r="FX315" s="47"/>
      <c r="FY315" s="47"/>
      <c r="FZ315" s="47"/>
      <c r="GA315" s="47"/>
      <c r="GB315" s="47"/>
      <c r="GC315" s="47"/>
      <c r="GD315" s="47"/>
      <c r="GE315" s="47"/>
      <c r="GF315" s="47"/>
      <c r="GG315" s="47"/>
      <c r="GH315" s="47"/>
      <c r="GI315" s="47"/>
      <c r="GJ315" s="47"/>
      <c r="GK315" s="47"/>
      <c r="GL315" s="47"/>
      <c r="GM315" s="47"/>
      <c r="GN315" s="47"/>
      <c r="GO315" s="47"/>
      <c r="GP315" s="47"/>
      <c r="GQ315" s="47"/>
      <c r="GR315" s="47"/>
      <c r="GS315" s="47"/>
      <c r="GT315" s="47"/>
      <c r="GU315" s="47"/>
      <c r="GV315" s="47"/>
      <c r="GW315" s="47"/>
      <c r="GX315" s="47"/>
      <c r="GY315" s="47"/>
      <c r="GZ315" s="47"/>
      <c r="HA315" s="47"/>
      <c r="HB315" s="47"/>
      <c r="HC315" s="47"/>
      <c r="HD315" s="47"/>
      <c r="HE315" s="47"/>
      <c r="HF315" s="47"/>
      <c r="HG315" s="47"/>
      <c r="HH315" s="47"/>
      <c r="HI315" s="47"/>
      <c r="HJ315" s="47"/>
      <c r="HK315" s="47"/>
      <c r="HL315" s="47"/>
      <c r="HM315" s="47"/>
      <c r="HN315" s="47"/>
      <c r="HO315" s="47"/>
      <c r="HP315" s="47"/>
      <c r="HQ315" s="47"/>
      <c r="HR315" s="47"/>
      <c r="HS315" s="47"/>
      <c r="HT315" s="47"/>
      <c r="HU315" s="47"/>
      <c r="HV315" s="47"/>
      <c r="HW315" s="47"/>
      <c r="HX315" s="47"/>
      <c r="HY315" s="47"/>
      <c r="HZ315" s="47"/>
      <c r="IA315" s="47"/>
      <c r="IB315" s="47"/>
      <c r="IC315" s="47"/>
      <c r="ID315" s="47"/>
      <c r="IE315" s="47"/>
      <c r="IF315" s="47"/>
      <c r="IG315" s="47"/>
      <c r="IH315" s="47"/>
      <c r="II315" s="47"/>
      <c r="IJ315" s="47"/>
      <c r="IK315" s="47"/>
      <c r="IL315" s="47"/>
      <c r="IM315" s="47"/>
      <c r="IN315" s="47"/>
      <c r="IO315" s="47"/>
      <c r="IP315" s="47"/>
      <c r="IQ315" s="47"/>
      <c r="IR315" s="47"/>
      <c r="IS315" s="47"/>
      <c r="IT315" s="47"/>
      <c r="IU315" s="47"/>
      <c r="IV315" s="47"/>
      <c r="IW315" s="47"/>
      <c r="IX315" s="47"/>
      <c r="IY315" s="47"/>
      <c r="IZ315" s="47"/>
      <c r="JA315" s="47"/>
      <c r="JB315" s="47"/>
      <c r="JC315" s="47"/>
      <c r="JD315" s="47"/>
      <c r="JE315" s="47"/>
      <c r="JF315" s="47"/>
      <c r="JG315" s="47"/>
      <c r="JH315" s="47"/>
      <c r="JI315" s="47"/>
      <c r="JJ315" s="47"/>
      <c r="JK315" s="47"/>
      <c r="JL315" s="47"/>
      <c r="JM315" s="47"/>
      <c r="JN315" s="47"/>
      <c r="JO315" s="47"/>
      <c r="JP315" s="47"/>
      <c r="JQ315" s="47"/>
      <c r="JR315" s="47"/>
      <c r="JS315" s="47"/>
      <c r="JT315" s="47"/>
      <c r="JU315" s="47"/>
      <c r="JV315" s="47"/>
      <c r="JW315" s="47"/>
      <c r="JX315" s="47"/>
      <c r="JY315" s="47"/>
      <c r="JZ315" s="47"/>
      <c r="KA315" s="47"/>
      <c r="KB315" s="47"/>
      <c r="KC315" s="47"/>
      <c r="KD315" s="47"/>
      <c r="KE315" s="47"/>
      <c r="KF315" s="47"/>
      <c r="KG315" s="47"/>
      <c r="KH315" s="47"/>
      <c r="KI315" s="47"/>
      <c r="KJ315" s="47"/>
      <c r="KK315" s="47"/>
      <c r="KL315" s="47"/>
      <c r="KM315" s="47"/>
      <c r="KN315" s="47"/>
      <c r="KO315" s="47"/>
      <c r="KP315" s="47"/>
      <c r="KQ315" s="47"/>
      <c r="KR315" s="47"/>
      <c r="KS315" s="47"/>
      <c r="KT315" s="47"/>
      <c r="KU315" s="47"/>
      <c r="KV315" s="47"/>
      <c r="KW315" s="47"/>
      <c r="KX315" s="47"/>
      <c r="KY315" s="47"/>
      <c r="KZ315" s="47"/>
      <c r="LA315" s="47"/>
      <c r="LB315" s="47"/>
      <c r="LC315" s="47"/>
      <c r="LD315" s="47"/>
      <c r="LE315" s="47"/>
      <c r="LF315" s="47"/>
      <c r="LG315" s="47"/>
      <c r="LH315" s="47"/>
      <c r="LI315" s="47"/>
      <c r="LJ315" s="47"/>
      <c r="LK315" s="47"/>
      <c r="LL315" s="47"/>
      <c r="LM315" s="47"/>
      <c r="LN315" s="47"/>
      <c r="LO315" s="47"/>
      <c r="LP315" s="47"/>
      <c r="LQ315" s="47"/>
      <c r="LR315" s="47"/>
      <c r="LS315" s="47"/>
      <c r="LT315" s="47"/>
      <c r="LU315" s="47"/>
      <c r="LV315" s="47"/>
      <c r="LW315" s="47"/>
      <c r="LX315" s="47"/>
      <c r="LY315" s="47"/>
      <c r="LZ315" s="47"/>
      <c r="MA315" s="47"/>
      <c r="MB315" s="47"/>
      <c r="MC315" s="47"/>
      <c r="MD315" s="47"/>
      <c r="ME315" s="47"/>
      <c r="MF315" s="47"/>
      <c r="MG315" s="47"/>
      <c r="MH315" s="47"/>
      <c r="MI315" s="47"/>
      <c r="MJ315" s="47"/>
      <c r="MK315" s="47"/>
      <c r="ML315" s="47"/>
      <c r="MM315" s="47"/>
      <c r="MN315" s="47"/>
      <c r="MO315" s="47"/>
      <c r="MP315" s="47"/>
      <c r="MQ315" s="47"/>
      <c r="MR315" s="47"/>
      <c r="MS315" s="47"/>
      <c r="MT315" s="47"/>
      <c r="MU315" s="47"/>
      <c r="MV315" s="47"/>
      <c r="MW315" s="47"/>
      <c r="MX315" s="47"/>
      <c r="MY315" s="47"/>
      <c r="MZ315" s="47"/>
      <c r="NA315" s="47"/>
      <c r="NB315" s="47"/>
      <c r="NC315" s="47"/>
      <c r="ND315" s="47"/>
      <c r="NE315" s="47"/>
      <c r="NF315" s="47"/>
      <c r="NG315" s="47"/>
      <c r="NH315" s="47"/>
      <c r="NI315" s="47"/>
      <c r="NJ315" s="47"/>
      <c r="NK315" s="47"/>
      <c r="NL315" s="47"/>
      <c r="NM315" s="47"/>
      <c r="NN315" s="47"/>
      <c r="NO315" s="47"/>
      <c r="NP315" s="47"/>
      <c r="NQ315" s="47"/>
      <c r="NR315" s="47"/>
      <c r="NS315" s="47"/>
      <c r="NT315" s="47"/>
      <c r="NU315" s="47"/>
      <c r="NV315" s="47"/>
      <c r="NW315" s="47"/>
      <c r="NX315" s="47"/>
      <c r="NY315" s="47"/>
      <c r="NZ315" s="47"/>
      <c r="OA315" s="47"/>
      <c r="OB315" s="47"/>
      <c r="OC315" s="47"/>
      <c r="OD315" s="47"/>
      <c r="OE315" s="47"/>
      <c r="OF315" s="47"/>
      <c r="OG315" s="47"/>
      <c r="OH315" s="47"/>
      <c r="OI315" s="47"/>
      <c r="OJ315" s="47"/>
      <c r="OK315" s="47"/>
      <c r="OL315" s="47"/>
      <c r="OM315" s="47"/>
      <c r="ON315" s="47"/>
      <c r="OO315" s="47"/>
      <c r="OP315" s="47"/>
      <c r="OQ315" s="47"/>
      <c r="OR315" s="47"/>
      <c r="OS315" s="47"/>
      <c r="OT315" s="47"/>
      <c r="OU315" s="47"/>
      <c r="OV315" s="47"/>
      <c r="OW315" s="47"/>
      <c r="OX315" s="47"/>
      <c r="OY315" s="47"/>
      <c r="OZ315" s="47"/>
      <c r="PA315" s="47"/>
      <c r="PB315" s="47"/>
      <c r="PC315" s="47"/>
      <c r="PD315" s="47"/>
      <c r="PE315" s="47"/>
      <c r="PF315" s="47"/>
      <c r="PG315" s="47"/>
      <c r="PH315" s="47"/>
      <c r="PI315" s="47"/>
      <c r="PJ315" s="47"/>
      <c r="PK315" s="47"/>
      <c r="PL315" s="47"/>
      <c r="PM315" s="47"/>
      <c r="PN315" s="47"/>
      <c r="PO315" s="47"/>
      <c r="PP315" s="47"/>
      <c r="PQ315" s="47"/>
      <c r="PR315" s="47"/>
      <c r="PS315" s="47"/>
      <c r="PT315" s="47"/>
      <c r="PU315" s="47"/>
      <c r="PV315" s="47"/>
      <c r="PW315" s="47"/>
      <c r="PX315" s="47"/>
      <c r="PY315" s="47"/>
      <c r="PZ315" s="47"/>
      <c r="QA315" s="47"/>
      <c r="QB315" s="47"/>
      <c r="QC315" s="47"/>
      <c r="QD315" s="47"/>
      <c r="QE315" s="47"/>
      <c r="QF315" s="47"/>
      <c r="QG315" s="47"/>
      <c r="QH315" s="47"/>
      <c r="QI315" s="47"/>
      <c r="QJ315" s="47"/>
      <c r="QK315" s="47"/>
      <c r="QL315" s="47"/>
      <c r="QM315" s="47"/>
      <c r="QN315" s="47"/>
      <c r="QO315" s="47"/>
      <c r="QP315" s="47"/>
      <c r="QQ315" s="47"/>
      <c r="QR315" s="47"/>
      <c r="QS315" s="47"/>
      <c r="QT315" s="47"/>
      <c r="QU315" s="47"/>
      <c r="QV315" s="47"/>
      <c r="QW315" s="47"/>
      <c r="QX315" s="47"/>
      <c r="QY315" s="47"/>
      <c r="QZ315" s="47"/>
      <c r="RA315" s="47"/>
      <c r="RB315" s="47"/>
      <c r="RC315" s="47"/>
      <c r="RD315" s="47"/>
      <c r="RE315" s="47"/>
      <c r="RF315" s="47"/>
      <c r="RG315" s="47"/>
      <c r="RH315" s="47"/>
      <c r="RI315" s="47"/>
      <c r="RJ315" s="47"/>
      <c r="RK315" s="47"/>
      <c r="RL315" s="47"/>
      <c r="RM315" s="47"/>
      <c r="RN315" s="47"/>
      <c r="RO315" s="47"/>
      <c r="RP315" s="47"/>
      <c r="RQ315" s="47"/>
      <c r="RR315" s="47"/>
      <c r="RS315" s="47"/>
      <c r="RT315" s="47"/>
      <c r="RU315" s="47"/>
      <c r="RV315" s="47"/>
      <c r="RW315" s="47"/>
      <c r="RX315" s="47"/>
      <c r="RY315" s="47"/>
      <c r="RZ315" s="47"/>
      <c r="SA315" s="47"/>
      <c r="SB315" s="47"/>
      <c r="SC315" s="47"/>
      <c r="SD315" s="47"/>
      <c r="SE315" s="47"/>
      <c r="SF315" s="47"/>
      <c r="SG315" s="47"/>
      <c r="SH315" s="47"/>
      <c r="SI315" s="47"/>
      <c r="SJ315" s="47"/>
      <c r="SK315" s="47"/>
      <c r="SL315" s="47"/>
      <c r="SM315" s="47"/>
      <c r="SN315" s="47"/>
      <c r="SO315" s="47"/>
      <c r="SP315" s="47"/>
      <c r="SQ315" s="47"/>
      <c r="SR315" s="47"/>
      <c r="SS315" s="47"/>
      <c r="ST315" s="47"/>
      <c r="SU315" s="47"/>
      <c r="SV315" s="47"/>
      <c r="SW315" s="47"/>
      <c r="SX315" s="47"/>
      <c r="SY315" s="47"/>
      <c r="SZ315" s="47"/>
      <c r="TA315" s="47"/>
      <c r="TB315" s="47"/>
      <c r="TC315" s="47"/>
      <c r="TD315" s="47"/>
      <c r="TE315" s="47"/>
      <c r="TF315" s="47"/>
      <c r="TG315" s="47"/>
      <c r="TH315" s="47"/>
      <c r="TI315" s="47"/>
      <c r="TJ315" s="47"/>
      <c r="TK315" s="47"/>
      <c r="TL315" s="47"/>
      <c r="TM315" s="47"/>
      <c r="TN315" s="47"/>
      <c r="TO315" s="47"/>
      <c r="TP315" s="47"/>
      <c r="TQ315" s="47"/>
      <c r="TR315" s="47"/>
      <c r="TS315" s="47"/>
      <c r="TT315" s="47"/>
      <c r="TU315" s="47"/>
      <c r="TV315" s="47"/>
      <c r="TW315" s="47"/>
      <c r="TX315" s="47"/>
      <c r="TY315" s="47"/>
      <c r="TZ315" s="47"/>
      <c r="UA315" s="47"/>
      <c r="UB315" s="47"/>
      <c r="UC315" s="47"/>
      <c r="UD315" s="47"/>
      <c r="UE315" s="47"/>
      <c r="UF315" s="47"/>
      <c r="UG315" s="47"/>
      <c r="UH315" s="47"/>
      <c r="UI315" s="47"/>
      <c r="UJ315" s="47"/>
      <c r="UK315" s="47"/>
      <c r="UL315" s="47"/>
      <c r="UM315" s="47"/>
      <c r="UN315" s="47"/>
      <c r="UO315" s="47"/>
      <c r="UP315" s="47"/>
      <c r="UQ315" s="47"/>
      <c r="UR315" s="47"/>
      <c r="US315" s="47"/>
      <c r="UT315" s="47"/>
      <c r="UU315" s="47"/>
      <c r="UV315" s="47"/>
      <c r="UW315" s="47"/>
      <c r="UX315" s="47"/>
      <c r="UY315" s="47"/>
      <c r="UZ315" s="47"/>
      <c r="VA315" s="47"/>
      <c r="VB315" s="47"/>
      <c r="VC315" s="47"/>
      <c r="VD315" s="47"/>
      <c r="VE315" s="47"/>
      <c r="VF315" s="47"/>
      <c r="VG315" s="47"/>
      <c r="VH315" s="47"/>
      <c r="VI315" s="47"/>
      <c r="VJ315" s="47"/>
      <c r="VK315" s="47"/>
      <c r="VL315" s="47"/>
      <c r="VM315" s="47"/>
      <c r="VN315" s="47"/>
      <c r="VO315" s="47"/>
      <c r="VP315" s="47"/>
      <c r="VQ315" s="47"/>
      <c r="VR315" s="47"/>
      <c r="VS315" s="47"/>
      <c r="VT315" s="47"/>
      <c r="VU315" s="47"/>
      <c r="VV315" s="47"/>
      <c r="VW315" s="47"/>
      <c r="VX315" s="47"/>
      <c r="VY315" s="47"/>
      <c r="VZ315" s="47"/>
      <c r="WA315" s="47"/>
      <c r="WB315" s="47"/>
      <c r="WC315" s="47"/>
      <c r="WD315" s="47"/>
      <c r="WE315" s="47"/>
      <c r="WF315" s="47"/>
      <c r="WG315" s="47"/>
      <c r="WH315" s="47"/>
      <c r="WI315" s="47"/>
      <c r="WJ315" s="47"/>
      <c r="WK315" s="47"/>
      <c r="WL315" s="47"/>
      <c r="WM315" s="47"/>
      <c r="WN315" s="47"/>
      <c r="WO315" s="47"/>
      <c r="WP315" s="47"/>
      <c r="WQ315" s="47"/>
      <c r="WR315" s="47"/>
      <c r="WS315" s="47"/>
      <c r="WT315" s="47"/>
      <c r="WU315" s="47"/>
      <c r="WV315" s="47"/>
      <c r="WW315" s="47"/>
      <c r="WX315" s="47"/>
      <c r="WY315" s="47"/>
      <c r="WZ315" s="47"/>
      <c r="XA315" s="47"/>
      <c r="XB315" s="47"/>
      <c r="XC315" s="47"/>
      <c r="XD315" s="47"/>
      <c r="XE315" s="47"/>
      <c r="XF315" s="47"/>
      <c r="XG315" s="47"/>
      <c r="XH315" s="47"/>
      <c r="XI315" s="47"/>
      <c r="XJ315" s="47"/>
      <c r="XK315" s="47"/>
      <c r="XL315" s="47"/>
      <c r="XM315" s="47"/>
      <c r="XN315" s="47"/>
      <c r="XO315" s="47"/>
      <c r="XP315" s="47"/>
      <c r="XQ315" s="47"/>
      <c r="XR315" s="47"/>
      <c r="XS315" s="47"/>
      <c r="XT315" s="47"/>
      <c r="XU315" s="47"/>
      <c r="XV315" s="47"/>
      <c r="XW315" s="47"/>
      <c r="XX315" s="47"/>
      <c r="XY315" s="47"/>
      <c r="XZ315" s="47"/>
      <c r="YA315" s="47"/>
      <c r="YB315" s="47"/>
      <c r="YC315" s="47"/>
      <c r="YD315" s="47"/>
      <c r="YE315" s="47"/>
      <c r="YF315" s="47"/>
      <c r="YG315" s="47"/>
      <c r="YH315" s="47"/>
      <c r="YI315" s="47"/>
      <c r="YJ315" s="47"/>
      <c r="YK315" s="47"/>
      <c r="YL315" s="47"/>
      <c r="YM315" s="47"/>
      <c r="YN315" s="47"/>
      <c r="YO315" s="47"/>
      <c r="YP315" s="47"/>
      <c r="YQ315" s="47"/>
      <c r="YR315" s="47"/>
      <c r="YS315" s="47"/>
      <c r="YT315" s="47"/>
      <c r="YU315" s="47"/>
      <c r="YV315" s="47"/>
      <c r="YW315" s="47"/>
      <c r="YX315" s="47"/>
      <c r="YY315" s="47"/>
      <c r="YZ315" s="47"/>
      <c r="ZA315" s="47"/>
      <c r="ZB315" s="47"/>
      <c r="ZC315" s="47"/>
      <c r="ZD315" s="47"/>
      <c r="ZE315" s="47"/>
      <c r="ZF315" s="47"/>
      <c r="ZG315" s="47"/>
      <c r="ZH315" s="47"/>
      <c r="ZI315" s="47"/>
      <c r="ZJ315" s="47"/>
      <c r="ZK315" s="47"/>
      <c r="ZL315" s="47"/>
      <c r="ZM315" s="47"/>
      <c r="ZN315" s="47"/>
      <c r="ZO315" s="47"/>
      <c r="ZP315" s="47"/>
      <c r="ZQ315" s="47"/>
      <c r="ZR315" s="47"/>
      <c r="ZS315" s="47"/>
      <c r="ZT315" s="47"/>
      <c r="ZU315" s="47"/>
      <c r="ZV315" s="47"/>
      <c r="ZW315" s="47"/>
      <c r="ZX315" s="47"/>
      <c r="ZY315" s="618"/>
      <c r="ZZ315" s="50"/>
      <c r="AAA315" s="588"/>
      <c r="AAB315"/>
      <c r="AAC315"/>
      <c r="AAD315" s="112"/>
      <c r="AAE315" s="551">
        <f t="shared" si="940"/>
        <v>1</v>
      </c>
      <c r="AAF315" s="112" t="s">
        <v>0</v>
      </c>
      <c r="AAG315" s="78">
        <f>S.SubmitNoticeToSOS</f>
        <v>41530</v>
      </c>
      <c r="AAH315" s="78">
        <f>S.PublicNoticeInBulletin</f>
        <v>41548</v>
      </c>
      <c r="AAI315" s="77"/>
      <c r="AAJ315" s="77"/>
      <c r="AAK315" s="77"/>
      <c r="AAL315" s="83" t="str">
        <f>IF(S.InvolveNotice=TRUE,"Submit/publish notice in SOS Bulletin","Notice not involved")</f>
        <v>Submit/publish notice in SOS Bulletin</v>
      </c>
      <c r="AAM315" s="112"/>
      <c r="AAU315" s="44"/>
      <c r="AAV315"/>
      <c r="AAW315"/>
      <c r="AAX315"/>
      <c r="AAY315"/>
      <c r="AAZ315"/>
      <c r="ABA315"/>
      <c r="ABB315"/>
      <c r="ABC315"/>
      <c r="ABD315"/>
    </row>
    <row r="316" spans="1:732" ht="15" outlineLevel="1">
      <c r="A316" s="558"/>
      <c r="B316" s="411" t="str">
        <f>AAL316</f>
        <v>SOS.EMAIL.PROOF</v>
      </c>
      <c r="C316" s="173"/>
      <c r="D316" s="161"/>
      <c r="E316" s="160"/>
      <c r="F316" s="160"/>
      <c r="G316" s="161"/>
      <c r="H316" s="161"/>
      <c r="I316" s="588"/>
      <c r="J316" s="592"/>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18"/>
      <c r="ZZ316" s="36"/>
      <c r="AAA316" s="588"/>
      <c r="AAD316" s="112"/>
      <c r="AAE316" s="551">
        <f t="shared" si="940"/>
        <v>1</v>
      </c>
      <c r="AAF316" s="583" t="s">
        <v>174</v>
      </c>
      <c r="AAG316" s="76"/>
      <c r="AAH316" s="76"/>
      <c r="AAI316" s="77"/>
      <c r="AAJ316" s="77"/>
      <c r="AAK316" s="77"/>
      <c r="AAL316" s="89" t="str">
        <f>S.CodeName&amp;"SOS.EMAIL.PROOF"</f>
        <v>SOS.EMAIL.PROOF</v>
      </c>
      <c r="AAM316" s="112"/>
      <c r="AAN316"/>
      <c r="AAT316" s="23"/>
      <c r="AAU316" s="44"/>
    </row>
    <row r="317" spans="1:732" ht="15" outlineLevel="1">
      <c r="A317" s="558"/>
      <c r="B317" s="411" t="str">
        <f>AAL317</f>
        <v>SOS.NOTICE.PROOF</v>
      </c>
      <c r="C317" s="173"/>
      <c r="D317" s="161"/>
      <c r="E317" s="160"/>
      <c r="F317" s="160"/>
      <c r="G317" s="161"/>
      <c r="H317" s="161"/>
      <c r="I317" s="588"/>
      <c r="J317" s="592"/>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18"/>
      <c r="ZZ317" s="36"/>
      <c r="AAA317" s="588"/>
      <c r="AAD317" s="112"/>
      <c r="AAE317" s="551">
        <f t="shared" si="940"/>
        <v>1</v>
      </c>
      <c r="AAF317" s="583" t="s">
        <v>174</v>
      </c>
      <c r="AAG317" s="76"/>
      <c r="AAH317" s="76"/>
      <c r="AAI317" s="77"/>
      <c r="AAJ317" s="77"/>
      <c r="AAK317" s="77"/>
      <c r="AAL317" s="89" t="str">
        <f>S.CodeName&amp;"SOS.NOTICE.PROOF"</f>
        <v>SOS.NOTICE.PROOF</v>
      </c>
      <c r="AAM317" s="112"/>
      <c r="AAN317"/>
      <c r="AAT317" s="23"/>
      <c r="AAU317" s="44"/>
    </row>
    <row r="318" spans="1:732" ht="15" outlineLevel="1">
      <c r="A318" s="558"/>
      <c r="B318" s="411" t="str">
        <f>AAL318</f>
        <v>SOS.FISCAL.PROOF</v>
      </c>
      <c r="C318" s="173"/>
      <c r="D318" s="161"/>
      <c r="E318" s="160"/>
      <c r="F318" s="160"/>
      <c r="G318" s="161"/>
      <c r="H318" s="161"/>
      <c r="I318" s="588"/>
      <c r="J318" s="592"/>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18"/>
      <c r="ZZ318" s="36"/>
      <c r="AAA318" s="588"/>
      <c r="AAD318" s="112"/>
      <c r="AAE318" s="551">
        <f t="shared" si="940"/>
        <v>1</v>
      </c>
      <c r="AAF318" s="583" t="s">
        <v>174</v>
      </c>
      <c r="AAG318" s="76"/>
      <c r="AAH318" s="76"/>
      <c r="AAI318" s="77"/>
      <c r="AAJ318" s="77"/>
      <c r="AAK318" s="77"/>
      <c r="AAL318" s="89" t="str">
        <f>S.CodeName&amp;"SOS.FISCAL.PROOF"</f>
        <v>SOS.FISCAL.PROOF</v>
      </c>
      <c r="AAM318" s="112"/>
      <c r="AAN318"/>
      <c r="AAT318" s="23"/>
      <c r="AAU318" s="44"/>
      <c r="AAV318" s="23"/>
      <c r="AAW318" s="23"/>
      <c r="AAX318" s="23"/>
      <c r="AAY318" s="23"/>
      <c r="AAZ318" s="23"/>
      <c r="ABA318" s="23"/>
      <c r="ABB318" s="23"/>
      <c r="ABC318" s="23"/>
      <c r="ABD318" s="23"/>
    </row>
    <row r="319" spans="1:732" ht="15.75" customHeight="1" outlineLevel="1">
      <c r="A319" s="558"/>
      <c r="B319" s="411" t="str">
        <f>AAL319</f>
        <v>SOS.HOUSING.COSTS</v>
      </c>
      <c r="C319" s="713"/>
      <c r="D319" s="161"/>
      <c r="E319" s="160"/>
      <c r="F319" s="160"/>
      <c r="G319" s="161"/>
      <c r="H319" s="161"/>
      <c r="I319" s="588"/>
      <c r="J319" s="592"/>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18"/>
      <c r="ZZ319" s="36"/>
      <c r="AAA319" s="588"/>
      <c r="AAD319" s="112"/>
      <c r="AAE319" s="551">
        <f t="shared" si="940"/>
        <v>1</v>
      </c>
      <c r="AAF319" s="583" t="s">
        <v>174</v>
      </c>
      <c r="AAG319" s="76"/>
      <c r="AAH319" s="76"/>
      <c r="AAI319" s="77"/>
      <c r="AAJ319" s="77"/>
      <c r="AAK319" s="77"/>
      <c r="AAL319" s="89" t="str">
        <f>S.CodeName&amp;"SOS.HOUSING.COSTS"</f>
        <v>SOS.HOUSING.COSTS</v>
      </c>
      <c r="AAM319" s="112"/>
      <c r="AAN319"/>
      <c r="AAT319" s="23"/>
      <c r="AAU319" s="44"/>
      <c r="AAV319" s="23"/>
      <c r="AAW319" s="23"/>
      <c r="AAX319" s="23"/>
      <c r="AAY319" s="23"/>
      <c r="AAZ319" s="23"/>
      <c r="ABA319" s="23"/>
      <c r="ABB319" s="23"/>
      <c r="ABC319" s="23"/>
      <c r="ABD319" s="23"/>
    </row>
    <row r="320" spans="1:732" s="23" customFormat="1" ht="15.75" customHeight="1" outlineLevel="1">
      <c r="A320" s="558"/>
      <c r="B320" s="411" t="str">
        <f>AAL320</f>
        <v>LC.NOTICE</v>
      </c>
      <c r="C320" s="713"/>
      <c r="D320" s="161"/>
      <c r="E320" s="160"/>
      <c r="F320" s="160"/>
      <c r="G320" s="161"/>
      <c r="H320" s="161"/>
      <c r="I320" s="588"/>
      <c r="J320" s="592"/>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18"/>
      <c r="ZZ320" s="36"/>
      <c r="AAA320" s="588"/>
      <c r="AAB320"/>
      <c r="AAC320"/>
      <c r="AAD320" s="112"/>
      <c r="AAE320" s="551">
        <f t="shared" si="940"/>
        <v>1</v>
      </c>
      <c r="AAF320" s="583" t="s">
        <v>174</v>
      </c>
      <c r="AAG320" s="76"/>
      <c r="AAH320" s="76"/>
      <c r="AAI320" s="77"/>
      <c r="AAJ320" s="77"/>
      <c r="AAK320" s="77"/>
      <c r="AAL320" s="89" t="str">
        <f>S.CodeName&amp;"LC.NOTICE"</f>
        <v>LC.NOTICE</v>
      </c>
      <c r="AAM320" s="112"/>
      <c r="AAU320" s="44"/>
      <c r="AAV320"/>
      <c r="AAW320"/>
      <c r="AAX320"/>
      <c r="AAY320"/>
      <c r="AAZ320"/>
      <c r="ABA320"/>
      <c r="ABB320"/>
      <c r="ABC320"/>
      <c r="ABD320"/>
    </row>
    <row r="321" spans="1:732" s="23" customFormat="1" ht="15.75" customHeight="1" outlineLevel="1">
      <c r="A321" s="558"/>
      <c r="B321" s="533" t="str">
        <f>AAL324</f>
        <v>No DAS involvement</v>
      </c>
      <c r="C321" s="193"/>
      <c r="D321" s="161"/>
      <c r="E321" s="160"/>
      <c r="F321" s="160"/>
      <c r="G321" s="161"/>
      <c r="H321" s="161"/>
      <c r="I321" s="627"/>
      <c r="J321" s="592"/>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18"/>
      <c r="ZZ321" s="36"/>
      <c r="AAA321" s="588"/>
      <c r="AAB321"/>
      <c r="AAC321"/>
      <c r="AAD321" s="112"/>
      <c r="AAE321" s="551">
        <f>IF(AND(S.InvolveFee=TRUE,S.DASApprovalRequired=FALSE),1,0)</f>
        <v>0</v>
      </c>
      <c r="AAF321" s="583" t="s">
        <v>174</v>
      </c>
      <c r="AAG321" s="76"/>
      <c r="AAH321" s="76"/>
      <c r="AAI321" s="77"/>
      <c r="AAJ321" s="77"/>
      <c r="AAK321" s="77"/>
      <c r="AAL321" s="89" t="str">
        <f>S.CodeName&amp;"LC.NOTICE.PROOF"</f>
        <v>LC.NOTICE.PROOF</v>
      </c>
      <c r="AAM321" s="112"/>
      <c r="AAU321" s="44"/>
      <c r="AAV321"/>
      <c r="AAW321"/>
      <c r="AAX321"/>
      <c r="AAY321"/>
      <c r="AAZ321"/>
      <c r="ABA321"/>
      <c r="ABB321"/>
      <c r="ABC321"/>
      <c r="ABD321"/>
    </row>
    <row r="322" spans="1:732" ht="15" outlineLevel="1">
      <c r="A322" s="558"/>
      <c r="B322" s="328" t="str">
        <f>AAL322</f>
        <v>DAS.EXEMPT.EMAIL</v>
      </c>
      <c r="C322" s="713"/>
      <c r="D322" s="161"/>
      <c r="E322" s="160"/>
      <c r="F322" s="160"/>
      <c r="G322" s="161"/>
      <c r="H322" s="161"/>
      <c r="I322" s="627"/>
      <c r="J322" s="592"/>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618"/>
      <c r="ZZ322" s="36"/>
      <c r="AAA322" s="588"/>
      <c r="AAD322" s="112"/>
      <c r="AAE322" s="551">
        <f>IF(AND(S.InvolveFee=TRUE,S.DASApprovalRequired=FALSE),1,0)</f>
        <v>0</v>
      </c>
      <c r="AAF322" s="583" t="s">
        <v>174</v>
      </c>
      <c r="AAG322" s="76"/>
      <c r="AAH322" s="76"/>
      <c r="AAI322" s="77"/>
      <c r="AAJ322" s="77"/>
      <c r="AAK322" s="77"/>
      <c r="AAL322" s="89" t="str">
        <f>S.CodeName&amp;"DAS.EXEMPT.EMAIL"</f>
        <v>DAS.EXEMPT.EMAIL</v>
      </c>
      <c r="AAM322" s="112"/>
      <c r="AAN322"/>
      <c r="AAT322" s="23"/>
      <c r="AAU322" s="44"/>
    </row>
    <row r="323" spans="1:732" ht="15" outlineLevel="1">
      <c r="A323" s="558"/>
      <c r="B323" s="328" t="str">
        <f>AAL323</f>
        <v>DAS.EXEMPT.EMAIL.PROOF</v>
      </c>
      <c r="C323" s="173"/>
      <c r="D323" s="161"/>
      <c r="E323" s="160"/>
      <c r="F323" s="160"/>
      <c r="G323" s="161"/>
      <c r="H323" s="161"/>
      <c r="I323" s="627"/>
      <c r="J323" s="592"/>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647"/>
      <c r="ZZ323" s="36"/>
      <c r="AAA323" s="588"/>
      <c r="AAD323" s="112"/>
      <c r="AAE323" s="551">
        <f>IF(AND(S.InvolveFee=TRUE,S.DASApprovalRequired=FALSE),1,0)</f>
        <v>0</v>
      </c>
      <c r="AAF323" s="583" t="s">
        <v>174</v>
      </c>
      <c r="AAG323" s="76"/>
      <c r="AAH323" s="76"/>
      <c r="AAI323" s="77"/>
      <c r="AAJ323" s="77"/>
      <c r="AAK323" s="77"/>
      <c r="AAL323" s="89" t="str">
        <f>S.CodeName&amp;"DAS.EXEMPT.EMAIL.PROOF"</f>
        <v>DAS.EXEMPT.EMAIL.PROOF</v>
      </c>
      <c r="AAM323" s="112"/>
      <c r="AAN323"/>
      <c r="AAT323" s="23"/>
      <c r="AAU323" s="44"/>
    </row>
    <row r="324" spans="1:732" ht="15" outlineLevel="1">
      <c r="A324" s="558"/>
      <c r="B324" s="407" t="s">
        <v>163</v>
      </c>
      <c r="C324" s="168"/>
      <c r="D324" s="277" t="s">
        <v>159</v>
      </c>
      <c r="E324" s="448">
        <f t="shared" ref="E324" si="943">NETWORKDAYS(G324,H324,S.DDL_DEQClosed)</f>
        <v>1</v>
      </c>
      <c r="F324" s="492">
        <f t="shared" ref="F324" ca="1" si="944">NETWORKDAYS(TODAY(),H324)</f>
        <v>-87</v>
      </c>
      <c r="G324" s="472">
        <f t="shared" ref="G324:H324" si="945">AAG324</f>
        <v>41530</v>
      </c>
      <c r="H324" s="369">
        <f t="shared" si="945"/>
        <v>41530</v>
      </c>
      <c r="I324" s="627"/>
      <c r="J324" s="592"/>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50"/>
      <c r="ZZ324" s="50"/>
      <c r="AAA324" s="588"/>
      <c r="AAD324" s="112"/>
      <c r="AAE324" s="551">
        <f>IF(S.InvolveNotice=TRUE,1,0)</f>
        <v>1</v>
      </c>
      <c r="AAF324" s="112"/>
      <c r="AAG324" s="78">
        <f t="shared" ref="AAG324:AAG333" si="946">S.SubmitNoticeToSOS</f>
        <v>41530</v>
      </c>
      <c r="AAH324" s="78">
        <f>G324</f>
        <v>41530</v>
      </c>
      <c r="AAI324" s="77"/>
      <c r="AAJ324" s="77"/>
      <c r="AAK324" s="77"/>
      <c r="AAL324" s="89" t="str">
        <f>IF(S.DASApprovalRequired=TRUE,"No DAS involvement at this point",IF(S.InvolveFee=TRUE,"DAS notification for fees that don't require approval","No DAS involvement"))</f>
        <v>No DAS involvement</v>
      </c>
      <c r="AAM324" s="112"/>
      <c r="AAN324"/>
      <c r="AAT324" s="23"/>
      <c r="AAU324" s="44"/>
    </row>
    <row r="325" spans="1:732" ht="15" outlineLevel="1">
      <c r="A325" s="558"/>
      <c r="B325" s="362" t="s">
        <v>265</v>
      </c>
      <c r="C325" s="287" t="s">
        <v>88</v>
      </c>
      <c r="D325" s="185"/>
      <c r="E325" s="186"/>
      <c r="F325" s="186"/>
      <c r="G325" s="185"/>
      <c r="H325" s="185"/>
      <c r="I325" s="588"/>
      <c r="J325" s="592"/>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42"/>
      <c r="ZZ325" s="36"/>
      <c r="AAA325" s="588"/>
      <c r="AAD325" s="112"/>
      <c r="AAE325" s="551">
        <f>IF(S.InvolveNotice=TRUE,1,0)</f>
        <v>1</v>
      </c>
      <c r="AAF325" s="583" t="s">
        <v>174</v>
      </c>
      <c r="AAG325" s="76"/>
      <c r="AAH325" s="76"/>
      <c r="AAI325" s="77"/>
      <c r="AAJ325" s="77"/>
      <c r="AAK325" s="77"/>
      <c r="AAL325" s="57"/>
      <c r="AAM325" s="112"/>
      <c r="AAN325"/>
      <c r="AAT325" s="23"/>
      <c r="AAU325" s="44"/>
    </row>
    <row r="326" spans="1:732" ht="15" outlineLevel="1">
      <c r="A326" s="558"/>
      <c r="B326" s="408" t="s">
        <v>103</v>
      </c>
      <c r="C326" s="168"/>
      <c r="D326" s="185"/>
      <c r="E326" s="186"/>
      <c r="F326" s="186"/>
      <c r="G326" s="185"/>
      <c r="H326" s="185"/>
      <c r="I326" s="588"/>
      <c r="J326" s="592"/>
      <c r="K326" s="50"/>
      <c r="L326" s="50"/>
      <c r="M326" s="50"/>
      <c r="N326" s="50"/>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0"/>
      <c r="AP326" s="50"/>
      <c r="AQ326" s="50"/>
      <c r="AR326" s="50"/>
      <c r="AS326" s="50"/>
      <c r="AT326" s="50"/>
      <c r="AU326" s="50"/>
      <c r="AV326" s="50"/>
      <c r="AW326" s="50"/>
      <c r="AX326" s="50"/>
      <c r="AY326" s="50"/>
      <c r="AZ326" s="50"/>
      <c r="BA326" s="50"/>
      <c r="BB326" s="50"/>
      <c r="BC326" s="50"/>
      <c r="BD326" s="50"/>
      <c r="BE326" s="50"/>
      <c r="BF326" s="50"/>
      <c r="BG326" s="50"/>
      <c r="BH326" s="50"/>
      <c r="BI326" s="50"/>
      <c r="BJ326" s="50"/>
      <c r="BK326" s="50"/>
      <c r="BL326" s="50"/>
      <c r="BM326" s="50"/>
      <c r="BN326" s="50"/>
      <c r="BO326" s="50"/>
      <c r="BP326" s="50"/>
      <c r="BQ326" s="50"/>
      <c r="BR326" s="50"/>
      <c r="BS326" s="50"/>
      <c r="BT326" s="50"/>
      <c r="BU326" s="50"/>
      <c r="BV326" s="50"/>
      <c r="BW326" s="50"/>
      <c r="BX326" s="50"/>
      <c r="BY326" s="50"/>
      <c r="BZ326" s="50"/>
      <c r="CA326" s="50"/>
      <c r="CB326" s="50"/>
      <c r="CC326" s="50"/>
      <c r="CD326" s="50"/>
      <c r="CE326" s="50"/>
      <c r="CF326" s="50"/>
      <c r="CG326" s="50"/>
      <c r="CH326" s="50"/>
      <c r="CI326" s="50"/>
      <c r="CJ326" s="50"/>
      <c r="CK326" s="50"/>
      <c r="CL326" s="50"/>
      <c r="CM326" s="50"/>
      <c r="CN326" s="50"/>
      <c r="CO326" s="50"/>
      <c r="CP326" s="50"/>
      <c r="CQ326" s="50"/>
      <c r="CR326" s="50"/>
      <c r="CS326" s="50"/>
      <c r="CT326" s="50"/>
      <c r="CU326" s="50"/>
      <c r="CV326" s="50"/>
      <c r="CW326" s="50"/>
      <c r="CX326" s="50"/>
      <c r="CY326" s="50"/>
      <c r="CZ326" s="50"/>
      <c r="DA326" s="50"/>
      <c r="DB326" s="50"/>
      <c r="DC326" s="50"/>
      <c r="DD326" s="50"/>
      <c r="DE326" s="50"/>
      <c r="DF326" s="50"/>
      <c r="DG326" s="50"/>
      <c r="DH326" s="50"/>
      <c r="DI326" s="50"/>
      <c r="DJ326" s="50"/>
      <c r="DK326" s="50"/>
      <c r="DL326" s="50"/>
      <c r="DM326" s="50"/>
      <c r="DN326" s="50"/>
      <c r="DO326" s="50"/>
      <c r="DP326" s="50"/>
      <c r="DQ326" s="50"/>
      <c r="DR326" s="50"/>
      <c r="DS326" s="50"/>
      <c r="DT326" s="50"/>
      <c r="DU326" s="50"/>
      <c r="DV326" s="50"/>
      <c r="DW326" s="50"/>
      <c r="DX326" s="50"/>
      <c r="DY326" s="50"/>
      <c r="DZ326" s="50"/>
      <c r="EA326" s="50"/>
      <c r="EB326" s="50"/>
      <c r="EC326" s="50"/>
      <c r="ED326" s="50"/>
      <c r="EE326" s="50"/>
      <c r="EF326" s="50"/>
      <c r="EG326" s="50"/>
      <c r="EH326" s="50"/>
      <c r="EI326" s="50"/>
      <c r="EJ326" s="50"/>
      <c r="EK326" s="50"/>
      <c r="EL326" s="50"/>
      <c r="EM326" s="50"/>
      <c r="EN326" s="50"/>
      <c r="EO326" s="50"/>
      <c r="EP326" s="50"/>
      <c r="EQ326" s="50"/>
      <c r="ER326" s="50"/>
      <c r="ES326" s="50"/>
      <c r="ET326" s="50"/>
      <c r="EU326" s="50"/>
      <c r="EV326" s="50"/>
      <c r="EW326" s="50"/>
      <c r="EX326" s="50"/>
      <c r="EY326" s="50"/>
      <c r="EZ326" s="50"/>
      <c r="FA326" s="50"/>
      <c r="FB326" s="50"/>
      <c r="FC326" s="50"/>
      <c r="FD326" s="50"/>
      <c r="FE326" s="50"/>
      <c r="FF326" s="50"/>
      <c r="FG326" s="50"/>
      <c r="FH326" s="50"/>
      <c r="FI326" s="50"/>
      <c r="FJ326" s="50"/>
      <c r="FK326" s="50"/>
      <c r="FL326" s="50"/>
      <c r="FM326" s="50"/>
      <c r="FN326" s="50"/>
      <c r="FO326" s="50"/>
      <c r="FP326" s="50"/>
      <c r="FQ326" s="50"/>
      <c r="FR326" s="50"/>
      <c r="FS326" s="50"/>
      <c r="FT326" s="50"/>
      <c r="FU326" s="50"/>
      <c r="FV326" s="50"/>
      <c r="FW326" s="50"/>
      <c r="FX326" s="50"/>
      <c r="FY326" s="50"/>
      <c r="FZ326" s="50"/>
      <c r="GA326" s="50"/>
      <c r="GB326" s="50"/>
      <c r="GC326" s="50"/>
      <c r="GD326" s="50"/>
      <c r="GE326" s="50"/>
      <c r="GF326" s="50"/>
      <c r="GG326" s="50"/>
      <c r="GH326" s="50"/>
      <c r="GI326" s="50"/>
      <c r="GJ326" s="50"/>
      <c r="GK326" s="50"/>
      <c r="GL326" s="50"/>
      <c r="GM326" s="50"/>
      <c r="GN326" s="50"/>
      <c r="GO326" s="50"/>
      <c r="GP326" s="50"/>
      <c r="GQ326" s="50"/>
      <c r="GR326" s="50"/>
      <c r="GS326" s="50"/>
      <c r="GT326" s="50"/>
      <c r="GU326" s="50"/>
      <c r="GV326" s="50"/>
      <c r="GW326" s="50"/>
      <c r="GX326" s="50"/>
      <c r="GY326" s="50"/>
      <c r="GZ326" s="50"/>
      <c r="HA326" s="50"/>
      <c r="HB326" s="50"/>
      <c r="HC326" s="50"/>
      <c r="HD326" s="50"/>
      <c r="HE326" s="50"/>
      <c r="HF326" s="50"/>
      <c r="HG326" s="50"/>
      <c r="HH326" s="50"/>
      <c r="HI326" s="50"/>
      <c r="HJ326" s="50"/>
      <c r="HK326" s="50"/>
      <c r="HL326" s="50"/>
      <c r="HM326" s="50"/>
      <c r="HN326" s="50"/>
      <c r="HO326" s="50"/>
      <c r="HP326" s="50"/>
      <c r="HQ326" s="50"/>
      <c r="HR326" s="50"/>
      <c r="HS326" s="50"/>
      <c r="HT326" s="50"/>
      <c r="HU326" s="50"/>
      <c r="HV326" s="50"/>
      <c r="HW326" s="50"/>
      <c r="HX326" s="50"/>
      <c r="HY326" s="50"/>
      <c r="HZ326" s="50"/>
      <c r="IA326" s="50"/>
      <c r="IB326" s="50"/>
      <c r="IC326" s="50"/>
      <c r="ID326" s="50"/>
      <c r="IE326" s="50"/>
      <c r="IF326" s="50"/>
      <c r="IG326" s="50"/>
      <c r="IH326" s="50"/>
      <c r="II326" s="50"/>
      <c r="IJ326" s="50"/>
      <c r="IK326" s="50"/>
      <c r="IL326" s="50"/>
      <c r="IM326" s="50"/>
      <c r="IN326" s="50"/>
      <c r="IO326" s="50"/>
      <c r="IP326" s="50"/>
      <c r="IQ326" s="50"/>
      <c r="IR326" s="50"/>
      <c r="IS326" s="50"/>
      <c r="IT326" s="50"/>
      <c r="IU326" s="50"/>
      <c r="IV326" s="50"/>
      <c r="IW326" s="50"/>
      <c r="IX326" s="50"/>
      <c r="IY326" s="50"/>
      <c r="IZ326" s="50"/>
      <c r="JA326" s="50"/>
      <c r="JB326" s="50"/>
      <c r="JC326" s="50"/>
      <c r="JD326" s="50"/>
      <c r="JE326" s="50"/>
      <c r="JF326" s="50"/>
      <c r="JG326" s="50"/>
      <c r="JH326" s="50"/>
      <c r="JI326" s="50"/>
      <c r="JJ326" s="50"/>
      <c r="JK326" s="50"/>
      <c r="JL326" s="50"/>
      <c r="JM326" s="50"/>
      <c r="JN326" s="50"/>
      <c r="JO326" s="50"/>
      <c r="JP326" s="50"/>
      <c r="JQ326" s="50"/>
      <c r="JR326" s="50"/>
      <c r="JS326" s="50"/>
      <c r="JT326" s="50"/>
      <c r="JU326" s="50"/>
      <c r="JV326" s="50"/>
      <c r="JW326" s="50"/>
      <c r="JX326" s="50"/>
      <c r="JY326" s="50"/>
      <c r="JZ326" s="50"/>
      <c r="KA326" s="50"/>
      <c r="KB326" s="50"/>
      <c r="KC326" s="50"/>
      <c r="KD326" s="50"/>
      <c r="KE326" s="50"/>
      <c r="KF326" s="50"/>
      <c r="KG326" s="50"/>
      <c r="KH326" s="50"/>
      <c r="KI326" s="50"/>
      <c r="KJ326" s="50"/>
      <c r="KK326" s="50"/>
      <c r="KL326" s="50"/>
      <c r="KM326" s="50"/>
      <c r="KN326" s="50"/>
      <c r="KO326" s="50"/>
      <c r="KP326" s="50"/>
      <c r="KQ326" s="50"/>
      <c r="KR326" s="50"/>
      <c r="KS326" s="50"/>
      <c r="KT326" s="50"/>
      <c r="KU326" s="50"/>
      <c r="KV326" s="50"/>
      <c r="KW326" s="50"/>
      <c r="KX326" s="50"/>
      <c r="KY326" s="50"/>
      <c r="KZ326" s="50"/>
      <c r="LA326" s="50"/>
      <c r="LB326" s="50"/>
      <c r="LC326" s="50"/>
      <c r="LD326" s="50"/>
      <c r="LE326" s="50"/>
      <c r="LF326" s="50"/>
      <c r="LG326" s="50"/>
      <c r="LH326" s="50"/>
      <c r="LI326" s="50"/>
      <c r="LJ326" s="50"/>
      <c r="LK326" s="50"/>
      <c r="LL326" s="50"/>
      <c r="LM326" s="50"/>
      <c r="LN326" s="50"/>
      <c r="LO326" s="50"/>
      <c r="LP326" s="50"/>
      <c r="LQ326" s="50"/>
      <c r="LR326" s="50"/>
      <c r="LS326" s="50"/>
      <c r="LT326" s="50"/>
      <c r="LU326" s="50"/>
      <c r="LV326" s="50"/>
      <c r="LW326" s="50"/>
      <c r="LX326" s="50"/>
      <c r="LY326" s="50"/>
      <c r="LZ326" s="50"/>
      <c r="MA326" s="50"/>
      <c r="MB326" s="50"/>
      <c r="MC326" s="50"/>
      <c r="MD326" s="50"/>
      <c r="ME326" s="50"/>
      <c r="MF326" s="50"/>
      <c r="MG326" s="50"/>
      <c r="MH326" s="50"/>
      <c r="MI326" s="50"/>
      <c r="MJ326" s="50"/>
      <c r="MK326" s="50"/>
      <c r="ML326" s="50"/>
      <c r="MM326" s="50"/>
      <c r="MN326" s="50"/>
      <c r="MO326" s="50"/>
      <c r="MP326" s="50"/>
      <c r="MQ326" s="50"/>
      <c r="MR326" s="50"/>
      <c r="MS326" s="50"/>
      <c r="MT326" s="50"/>
      <c r="MU326" s="50"/>
      <c r="MV326" s="50"/>
      <c r="MW326" s="50"/>
      <c r="MX326" s="50"/>
      <c r="MY326" s="50"/>
      <c r="MZ326" s="50"/>
      <c r="NA326" s="50"/>
      <c r="NB326" s="50"/>
      <c r="NC326" s="50"/>
      <c r="ND326" s="50"/>
      <c r="NE326" s="50"/>
      <c r="NF326" s="50"/>
      <c r="NG326" s="50"/>
      <c r="NH326" s="50"/>
      <c r="NI326" s="50"/>
      <c r="NJ326" s="50"/>
      <c r="NK326" s="50"/>
      <c r="NL326" s="50"/>
      <c r="NM326" s="50"/>
      <c r="NN326" s="50"/>
      <c r="NO326" s="50"/>
      <c r="NP326" s="50"/>
      <c r="NQ326" s="50"/>
      <c r="NR326" s="50"/>
      <c r="NS326" s="50"/>
      <c r="NT326" s="50"/>
      <c r="NU326" s="50"/>
      <c r="NV326" s="50"/>
      <c r="NW326" s="50"/>
      <c r="NX326" s="50"/>
      <c r="NY326" s="50"/>
      <c r="NZ326" s="50"/>
      <c r="OA326" s="50"/>
      <c r="OB326" s="50"/>
      <c r="OC326" s="50"/>
      <c r="OD326" s="50"/>
      <c r="OE326" s="50"/>
      <c r="OF326" s="50"/>
      <c r="OG326" s="50"/>
      <c r="OH326" s="50"/>
      <c r="OI326" s="50"/>
      <c r="OJ326" s="50"/>
      <c r="OK326" s="50"/>
      <c r="OL326" s="50"/>
      <c r="OM326" s="50"/>
      <c r="ON326" s="50"/>
      <c r="OO326" s="50"/>
      <c r="OP326" s="50"/>
      <c r="OQ326" s="50"/>
      <c r="OR326" s="50"/>
      <c r="OS326" s="50"/>
      <c r="OT326" s="50"/>
      <c r="OU326" s="50"/>
      <c r="OV326" s="50"/>
      <c r="OW326" s="50"/>
      <c r="OX326" s="50"/>
      <c r="OY326" s="50"/>
      <c r="OZ326" s="50"/>
      <c r="PA326" s="50"/>
      <c r="PB326" s="50"/>
      <c r="PC326" s="50"/>
      <c r="PD326" s="50"/>
      <c r="PE326" s="50"/>
      <c r="PF326" s="50"/>
      <c r="PG326" s="50"/>
      <c r="PH326" s="50"/>
      <c r="PI326" s="50"/>
      <c r="PJ326" s="50"/>
      <c r="PK326" s="50"/>
      <c r="PL326" s="50"/>
      <c r="PM326" s="50"/>
      <c r="PN326" s="50"/>
      <c r="PO326" s="50"/>
      <c r="PP326" s="50"/>
      <c r="PQ326" s="50"/>
      <c r="PR326" s="50"/>
      <c r="PS326" s="50"/>
      <c r="PT326" s="50"/>
      <c r="PU326" s="50"/>
      <c r="PV326" s="50"/>
      <c r="PW326" s="50"/>
      <c r="PX326" s="50"/>
      <c r="PY326" s="50"/>
      <c r="PZ326" s="50"/>
      <c r="QA326" s="50"/>
      <c r="QB326" s="50"/>
      <c r="QC326" s="50"/>
      <c r="QD326" s="50"/>
      <c r="QE326" s="50"/>
      <c r="QF326" s="50"/>
      <c r="QG326" s="50"/>
      <c r="QH326" s="50"/>
      <c r="QI326" s="50"/>
      <c r="QJ326" s="50"/>
      <c r="QK326" s="50"/>
      <c r="QL326" s="50"/>
      <c r="QM326" s="50"/>
      <c r="QN326" s="50"/>
      <c r="QO326" s="50"/>
      <c r="QP326" s="50"/>
      <c r="QQ326" s="50"/>
      <c r="QR326" s="50"/>
      <c r="QS326" s="50"/>
      <c r="QT326" s="50"/>
      <c r="QU326" s="50"/>
      <c r="QV326" s="50"/>
      <c r="QW326" s="50"/>
      <c r="QX326" s="50"/>
      <c r="QY326" s="50"/>
      <c r="QZ326" s="50"/>
      <c r="RA326" s="50"/>
      <c r="RB326" s="50"/>
      <c r="RC326" s="50"/>
      <c r="RD326" s="50"/>
      <c r="RE326" s="50"/>
      <c r="RF326" s="50"/>
      <c r="RG326" s="50"/>
      <c r="RH326" s="50"/>
      <c r="RI326" s="50"/>
      <c r="RJ326" s="50"/>
      <c r="RK326" s="50"/>
      <c r="RL326" s="50"/>
      <c r="RM326" s="50"/>
      <c r="RN326" s="50"/>
      <c r="RO326" s="50"/>
      <c r="RP326" s="50"/>
      <c r="RQ326" s="50"/>
      <c r="RR326" s="50"/>
      <c r="RS326" s="50"/>
      <c r="RT326" s="50"/>
      <c r="RU326" s="50"/>
      <c r="RV326" s="50"/>
      <c r="RW326" s="50"/>
      <c r="RX326" s="50"/>
      <c r="RY326" s="50"/>
      <c r="RZ326" s="50"/>
      <c r="SA326" s="50"/>
      <c r="SB326" s="50"/>
      <c r="SC326" s="50"/>
      <c r="SD326" s="50"/>
      <c r="SE326" s="50"/>
      <c r="SF326" s="50"/>
      <c r="SG326" s="50"/>
      <c r="SH326" s="50"/>
      <c r="SI326" s="50"/>
      <c r="SJ326" s="50"/>
      <c r="SK326" s="50"/>
      <c r="SL326" s="50"/>
      <c r="SM326" s="50"/>
      <c r="SN326" s="50"/>
      <c r="SO326" s="50"/>
      <c r="SP326" s="50"/>
      <c r="SQ326" s="50"/>
      <c r="SR326" s="50"/>
      <c r="SS326" s="50"/>
      <c r="ST326" s="50"/>
      <c r="SU326" s="50"/>
      <c r="SV326" s="50"/>
      <c r="SW326" s="50"/>
      <c r="SX326" s="50"/>
      <c r="SY326" s="50"/>
      <c r="SZ326" s="50"/>
      <c r="TA326" s="50"/>
      <c r="TB326" s="50"/>
      <c r="TC326" s="50"/>
      <c r="TD326" s="50"/>
      <c r="TE326" s="50"/>
      <c r="TF326" s="50"/>
      <c r="TG326" s="50"/>
      <c r="TH326" s="50"/>
      <c r="TI326" s="50"/>
      <c r="TJ326" s="50"/>
      <c r="TK326" s="50"/>
      <c r="TL326" s="50"/>
      <c r="TM326" s="50"/>
      <c r="TN326" s="50"/>
      <c r="TO326" s="50"/>
      <c r="TP326" s="50"/>
      <c r="TQ326" s="50"/>
      <c r="TR326" s="50"/>
      <c r="TS326" s="50"/>
      <c r="TT326" s="50"/>
      <c r="TU326" s="50"/>
      <c r="TV326" s="50"/>
      <c r="TW326" s="50"/>
      <c r="TX326" s="50"/>
      <c r="TY326" s="50"/>
      <c r="TZ326" s="50"/>
      <c r="UA326" s="50"/>
      <c r="UB326" s="50"/>
      <c r="UC326" s="50"/>
      <c r="UD326" s="50"/>
      <c r="UE326" s="50"/>
      <c r="UF326" s="50"/>
      <c r="UG326" s="50"/>
      <c r="UH326" s="50"/>
      <c r="UI326" s="50"/>
      <c r="UJ326" s="50"/>
      <c r="UK326" s="50"/>
      <c r="UL326" s="50"/>
      <c r="UM326" s="50"/>
      <c r="UN326" s="50"/>
      <c r="UO326" s="50"/>
      <c r="UP326" s="50"/>
      <c r="UQ326" s="50"/>
      <c r="UR326" s="50"/>
      <c r="US326" s="50"/>
      <c r="UT326" s="50"/>
      <c r="UU326" s="50"/>
      <c r="UV326" s="50"/>
      <c r="UW326" s="50"/>
      <c r="UX326" s="50"/>
      <c r="UY326" s="50"/>
      <c r="UZ326" s="50"/>
      <c r="VA326" s="50"/>
      <c r="VB326" s="50"/>
      <c r="VC326" s="50"/>
      <c r="VD326" s="50"/>
      <c r="VE326" s="50"/>
      <c r="VF326" s="50"/>
      <c r="VG326" s="50"/>
      <c r="VH326" s="50"/>
      <c r="VI326" s="50"/>
      <c r="VJ326" s="50"/>
      <c r="VK326" s="50"/>
      <c r="VL326" s="50"/>
      <c r="VM326" s="50"/>
      <c r="VN326" s="50"/>
      <c r="VO326" s="50"/>
      <c r="VP326" s="50"/>
      <c r="VQ326" s="50"/>
      <c r="VR326" s="50"/>
      <c r="VS326" s="50"/>
      <c r="VT326" s="50"/>
      <c r="VU326" s="50"/>
      <c r="VV326" s="50"/>
      <c r="VW326" s="50"/>
      <c r="VX326" s="50"/>
      <c r="VY326" s="50"/>
      <c r="VZ326" s="50"/>
      <c r="WA326" s="50"/>
      <c r="WB326" s="50"/>
      <c r="WC326" s="50"/>
      <c r="WD326" s="50"/>
      <c r="WE326" s="50"/>
      <c r="WF326" s="50"/>
      <c r="WG326" s="50"/>
      <c r="WH326" s="50"/>
      <c r="WI326" s="50"/>
      <c r="WJ326" s="50"/>
      <c r="WK326" s="50"/>
      <c r="WL326" s="50"/>
      <c r="WM326" s="50"/>
      <c r="WN326" s="50"/>
      <c r="WO326" s="50"/>
      <c r="WP326" s="50"/>
      <c r="WQ326" s="50"/>
      <c r="WR326" s="50"/>
      <c r="WS326" s="50"/>
      <c r="WT326" s="50"/>
      <c r="WU326" s="50"/>
      <c r="WV326" s="50"/>
      <c r="WW326" s="50"/>
      <c r="WX326" s="50"/>
      <c r="WY326" s="50"/>
      <c r="WZ326" s="50"/>
      <c r="XA326" s="50"/>
      <c r="XB326" s="50"/>
      <c r="XC326" s="50"/>
      <c r="XD326" s="50"/>
      <c r="XE326" s="50"/>
      <c r="XF326" s="50"/>
      <c r="XG326" s="50"/>
      <c r="XH326" s="50"/>
      <c r="XI326" s="50"/>
      <c r="XJ326" s="50"/>
      <c r="XK326" s="50"/>
      <c r="XL326" s="50"/>
      <c r="XM326" s="50"/>
      <c r="XN326" s="50"/>
      <c r="XO326" s="50"/>
      <c r="XP326" s="50"/>
      <c r="XQ326" s="50"/>
      <c r="XR326" s="50"/>
      <c r="XS326" s="50"/>
      <c r="XT326" s="50"/>
      <c r="XU326" s="50"/>
      <c r="XV326" s="50"/>
      <c r="XW326" s="50"/>
      <c r="XX326" s="50"/>
      <c r="XY326" s="50"/>
      <c r="XZ326" s="50"/>
      <c r="YA326" s="50"/>
      <c r="YB326" s="50"/>
      <c r="YC326" s="50"/>
      <c r="YD326" s="50"/>
      <c r="YE326" s="50"/>
      <c r="YF326" s="50"/>
      <c r="YG326" s="50"/>
      <c r="YH326" s="50"/>
      <c r="YI326" s="50"/>
      <c r="YJ326" s="50"/>
      <c r="YK326" s="50"/>
      <c r="YL326" s="50"/>
      <c r="YM326" s="50"/>
      <c r="YN326" s="50"/>
      <c r="YO326" s="50"/>
      <c r="YP326" s="50"/>
      <c r="YQ326" s="50"/>
      <c r="YR326" s="50"/>
      <c r="YS326" s="50"/>
      <c r="YT326" s="50"/>
      <c r="YU326" s="50"/>
      <c r="YV326" s="50"/>
      <c r="YW326" s="50"/>
      <c r="YX326" s="50"/>
      <c r="YY326" s="50"/>
      <c r="YZ326" s="50"/>
      <c r="ZA326" s="50"/>
      <c r="ZB326" s="50"/>
      <c r="ZC326" s="50"/>
      <c r="ZD326" s="50"/>
      <c r="ZE326" s="50"/>
      <c r="ZF326" s="50"/>
      <c r="ZG326" s="50"/>
      <c r="ZH326" s="50"/>
      <c r="ZI326" s="50"/>
      <c r="ZJ326" s="50"/>
      <c r="ZK326" s="50"/>
      <c r="ZL326" s="50"/>
      <c r="ZM326" s="50"/>
      <c r="ZN326" s="50"/>
      <c r="ZO326" s="50"/>
      <c r="ZP326" s="50"/>
      <c r="ZQ326" s="50"/>
      <c r="ZR326" s="50"/>
      <c r="ZS326" s="50"/>
      <c r="ZT326" s="50"/>
      <c r="ZU326" s="50"/>
      <c r="ZV326" s="50"/>
      <c r="ZW326" s="50"/>
      <c r="ZX326" s="50"/>
      <c r="ZY326" s="618"/>
      <c r="ZZ326" s="36"/>
      <c r="AAA326" s="588"/>
      <c r="AAD326" s="112"/>
      <c r="AAE326" s="551">
        <f>IF(S.InvolveNotice=TRUE,1,0)</f>
        <v>1</v>
      </c>
      <c r="AAF326" s="583" t="s">
        <v>174</v>
      </c>
      <c r="AAG326" s="76"/>
      <c r="AAH326" s="76"/>
      <c r="AAI326" s="77"/>
      <c r="AAJ326" s="77"/>
      <c r="AAK326" s="77"/>
      <c r="AAL326" s="57"/>
      <c r="AAM326" s="112"/>
      <c r="AAN326"/>
      <c r="AAT326" s="23"/>
      <c r="AAU326" s="44"/>
    </row>
    <row r="327" spans="1:732" ht="15" outlineLevel="1">
      <c r="A327" s="558"/>
      <c r="B327" s="408" t="s">
        <v>118</v>
      </c>
      <c r="C327" s="228" t="s">
        <v>88</v>
      </c>
      <c r="D327" s="185"/>
      <c r="E327" s="186"/>
      <c r="F327" s="186"/>
      <c r="G327" s="185"/>
      <c r="H327" s="185"/>
      <c r="I327" s="588"/>
      <c r="J327" s="596"/>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20"/>
      <c r="ZZ327" s="623"/>
      <c r="AAA327" s="588"/>
      <c r="AAD327" s="112"/>
      <c r="AAE327" s="551">
        <f>IF(S.InvolveHearing=TRUE,1,0)</f>
        <v>1</v>
      </c>
      <c r="AAF327" s="583" t="s">
        <v>174</v>
      </c>
      <c r="AAG327" s="76"/>
      <c r="AAH327" s="76"/>
      <c r="AAI327" s="77"/>
      <c r="AAJ327" s="77"/>
      <c r="AAK327" s="77"/>
      <c r="AAL327" s="57"/>
      <c r="AAM327" s="112"/>
      <c r="AAN327"/>
      <c r="AAT327" s="23"/>
      <c r="AAU327" s="44"/>
    </row>
    <row r="328" spans="1:732" ht="15" outlineLevel="1">
      <c r="A328" s="558"/>
      <c r="B328" s="408" t="s">
        <v>105</v>
      </c>
      <c r="C328" s="168"/>
      <c r="D328" s="185"/>
      <c r="E328" s="186"/>
      <c r="F328" s="186"/>
      <c r="G328" s="185"/>
      <c r="H328" s="185"/>
      <c r="I328" s="588"/>
      <c r="J328" s="596"/>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52"/>
      <c r="CD328" s="52"/>
      <c r="CE328" s="52"/>
      <c r="CF328" s="52"/>
      <c r="CG328" s="52"/>
      <c r="CH328" s="52"/>
      <c r="CI328" s="52"/>
      <c r="CJ328" s="52"/>
      <c r="CK328" s="52"/>
      <c r="CL328" s="52"/>
      <c r="CM328" s="52"/>
      <c r="CN328" s="52"/>
      <c r="CO328" s="52"/>
      <c r="CP328" s="52"/>
      <c r="CQ328" s="52"/>
      <c r="CR328" s="52"/>
      <c r="CS328" s="52"/>
      <c r="CT328" s="52"/>
      <c r="CU328" s="52"/>
      <c r="CV328" s="52"/>
      <c r="CW328" s="52"/>
      <c r="CX328" s="52"/>
      <c r="CY328" s="52"/>
      <c r="CZ328" s="52"/>
      <c r="DA328" s="52"/>
      <c r="DB328" s="52"/>
      <c r="DC328" s="52"/>
      <c r="DD328" s="52"/>
      <c r="DE328" s="52"/>
      <c r="DF328" s="52"/>
      <c r="DG328" s="52"/>
      <c r="DH328" s="52"/>
      <c r="DI328" s="52"/>
      <c r="DJ328" s="52"/>
      <c r="DK328" s="52"/>
      <c r="DL328" s="52"/>
      <c r="DM328" s="52"/>
      <c r="DN328" s="52"/>
      <c r="DO328" s="52"/>
      <c r="DP328" s="52"/>
      <c r="DQ328" s="52"/>
      <c r="DR328" s="52"/>
      <c r="DS328" s="52"/>
      <c r="DT328" s="52"/>
      <c r="DU328" s="52"/>
      <c r="DV328" s="52"/>
      <c r="DW328" s="52"/>
      <c r="DX328" s="52"/>
      <c r="DY328" s="52"/>
      <c r="DZ328" s="52"/>
      <c r="EA328" s="52"/>
      <c r="EB328" s="52"/>
      <c r="EC328" s="52"/>
      <c r="ED328" s="52"/>
      <c r="EE328" s="52"/>
      <c r="EF328" s="52"/>
      <c r="EG328" s="52"/>
      <c r="EH328" s="52"/>
      <c r="EI328" s="52"/>
      <c r="EJ328" s="52"/>
      <c r="EK328" s="52"/>
      <c r="EL328" s="52"/>
      <c r="EM328" s="52"/>
      <c r="EN328" s="52"/>
      <c r="EO328" s="52"/>
      <c r="EP328" s="52"/>
      <c r="EQ328" s="52"/>
      <c r="ER328" s="52"/>
      <c r="ES328" s="52"/>
      <c r="ET328" s="52"/>
      <c r="EU328" s="52"/>
      <c r="EV328" s="52"/>
      <c r="EW328" s="52"/>
      <c r="EX328" s="52"/>
      <c r="EY328" s="52"/>
      <c r="EZ328" s="52"/>
      <c r="FA328" s="52"/>
      <c r="FB328" s="52"/>
      <c r="FC328" s="52"/>
      <c r="FD328" s="52"/>
      <c r="FE328" s="52"/>
      <c r="FF328" s="52"/>
      <c r="FG328" s="52"/>
      <c r="FH328" s="52"/>
      <c r="FI328" s="52"/>
      <c r="FJ328" s="52"/>
      <c r="FK328" s="52"/>
      <c r="FL328" s="52"/>
      <c r="FM328" s="52"/>
      <c r="FN328" s="52"/>
      <c r="FO328" s="52"/>
      <c r="FP328" s="52"/>
      <c r="FQ328" s="52"/>
      <c r="FR328" s="52"/>
      <c r="FS328" s="52"/>
      <c r="FT328" s="52"/>
      <c r="FU328" s="52"/>
      <c r="FV328" s="52"/>
      <c r="FW328" s="52"/>
      <c r="FX328" s="52"/>
      <c r="FY328" s="52"/>
      <c r="FZ328" s="52"/>
      <c r="GA328" s="52"/>
      <c r="GB328" s="52"/>
      <c r="GC328" s="52"/>
      <c r="GD328" s="52"/>
      <c r="GE328" s="52"/>
      <c r="GF328" s="52"/>
      <c r="GG328" s="52"/>
      <c r="GH328" s="52"/>
      <c r="GI328" s="52"/>
      <c r="GJ328" s="52"/>
      <c r="GK328" s="52"/>
      <c r="GL328" s="52"/>
      <c r="GM328" s="52"/>
      <c r="GN328" s="52"/>
      <c r="GO328" s="52"/>
      <c r="GP328" s="52"/>
      <c r="GQ328" s="52"/>
      <c r="GR328" s="52"/>
      <c r="GS328" s="52"/>
      <c r="GT328" s="52"/>
      <c r="GU328" s="52"/>
      <c r="GV328" s="52"/>
      <c r="GW328" s="52"/>
      <c r="GX328" s="52"/>
      <c r="GY328" s="52"/>
      <c r="GZ328" s="52"/>
      <c r="HA328" s="52"/>
      <c r="HB328" s="52"/>
      <c r="HC328" s="52"/>
      <c r="HD328" s="52"/>
      <c r="HE328" s="52"/>
      <c r="HF328" s="52"/>
      <c r="HG328" s="52"/>
      <c r="HH328" s="52"/>
      <c r="HI328" s="52"/>
      <c r="HJ328" s="52"/>
      <c r="HK328" s="52"/>
      <c r="HL328" s="52"/>
      <c r="HM328" s="52"/>
      <c r="HN328" s="52"/>
      <c r="HO328" s="52"/>
      <c r="HP328" s="52"/>
      <c r="HQ328" s="52"/>
      <c r="HR328" s="52"/>
      <c r="HS328" s="52"/>
      <c r="HT328" s="52"/>
      <c r="HU328" s="52"/>
      <c r="HV328" s="52"/>
      <c r="HW328" s="52"/>
      <c r="HX328" s="52"/>
      <c r="HY328" s="52"/>
      <c r="HZ328" s="52"/>
      <c r="IA328" s="52"/>
      <c r="IB328" s="52"/>
      <c r="IC328" s="52"/>
      <c r="ID328" s="52"/>
      <c r="IE328" s="52"/>
      <c r="IF328" s="52"/>
      <c r="IG328" s="52"/>
      <c r="IH328" s="52"/>
      <c r="II328" s="52"/>
      <c r="IJ328" s="52"/>
      <c r="IK328" s="52"/>
      <c r="IL328" s="52"/>
      <c r="IM328" s="52"/>
      <c r="IN328" s="52"/>
      <c r="IO328" s="52"/>
      <c r="IP328" s="52"/>
      <c r="IQ328" s="52"/>
      <c r="IR328" s="52"/>
      <c r="IS328" s="52"/>
      <c r="IT328" s="52"/>
      <c r="IU328" s="52"/>
      <c r="IV328" s="52"/>
      <c r="IW328" s="52"/>
      <c r="IX328" s="52"/>
      <c r="IY328" s="52"/>
      <c r="IZ328" s="52"/>
      <c r="JA328" s="52"/>
      <c r="JB328" s="52"/>
      <c r="JC328" s="52"/>
      <c r="JD328" s="52"/>
      <c r="JE328" s="52"/>
      <c r="JF328" s="52"/>
      <c r="JG328" s="52"/>
      <c r="JH328" s="52"/>
      <c r="JI328" s="52"/>
      <c r="JJ328" s="52"/>
      <c r="JK328" s="52"/>
      <c r="JL328" s="52"/>
      <c r="JM328" s="52"/>
      <c r="JN328" s="52"/>
      <c r="JO328" s="52"/>
      <c r="JP328" s="52"/>
      <c r="JQ328" s="52"/>
      <c r="JR328" s="52"/>
      <c r="JS328" s="52"/>
      <c r="JT328" s="52"/>
      <c r="JU328" s="52"/>
      <c r="JV328" s="52"/>
      <c r="JW328" s="52"/>
      <c r="JX328" s="52"/>
      <c r="JY328" s="52"/>
      <c r="JZ328" s="52"/>
      <c r="KA328" s="52"/>
      <c r="KB328" s="52"/>
      <c r="KC328" s="52"/>
      <c r="KD328" s="52"/>
      <c r="KE328" s="52"/>
      <c r="KF328" s="52"/>
      <c r="KG328" s="52"/>
      <c r="KH328" s="52"/>
      <c r="KI328" s="52"/>
      <c r="KJ328" s="52"/>
      <c r="KK328" s="52"/>
      <c r="KL328" s="52"/>
      <c r="KM328" s="52"/>
      <c r="KN328" s="52"/>
      <c r="KO328" s="52"/>
      <c r="KP328" s="52"/>
      <c r="KQ328" s="52"/>
      <c r="KR328" s="52"/>
      <c r="KS328" s="52"/>
      <c r="KT328" s="52"/>
      <c r="KU328" s="52"/>
      <c r="KV328" s="52"/>
      <c r="KW328" s="52"/>
      <c r="KX328" s="52"/>
      <c r="KY328" s="52"/>
      <c r="KZ328" s="52"/>
      <c r="LA328" s="52"/>
      <c r="LB328" s="52"/>
      <c r="LC328" s="52"/>
      <c r="LD328" s="52"/>
      <c r="LE328" s="52"/>
      <c r="LF328" s="52"/>
      <c r="LG328" s="52"/>
      <c r="LH328" s="52"/>
      <c r="LI328" s="52"/>
      <c r="LJ328" s="52"/>
      <c r="LK328" s="52"/>
      <c r="LL328" s="52"/>
      <c r="LM328" s="52"/>
      <c r="LN328" s="52"/>
      <c r="LO328" s="52"/>
      <c r="LP328" s="52"/>
      <c r="LQ328" s="52"/>
      <c r="LR328" s="52"/>
      <c r="LS328" s="52"/>
      <c r="LT328" s="52"/>
      <c r="LU328" s="52"/>
      <c r="LV328" s="52"/>
      <c r="LW328" s="52"/>
      <c r="LX328" s="52"/>
      <c r="LY328" s="52"/>
      <c r="LZ328" s="52"/>
      <c r="MA328" s="52"/>
      <c r="MB328" s="52"/>
      <c r="MC328" s="52"/>
      <c r="MD328" s="52"/>
      <c r="ME328" s="52"/>
      <c r="MF328" s="52"/>
      <c r="MG328" s="52"/>
      <c r="MH328" s="52"/>
      <c r="MI328" s="52"/>
      <c r="MJ328" s="52"/>
      <c r="MK328" s="52"/>
      <c r="ML328" s="52"/>
      <c r="MM328" s="52"/>
      <c r="MN328" s="52"/>
      <c r="MO328" s="52"/>
      <c r="MP328" s="52"/>
      <c r="MQ328" s="52"/>
      <c r="MR328" s="52"/>
      <c r="MS328" s="52"/>
      <c r="MT328" s="52"/>
      <c r="MU328" s="52"/>
      <c r="MV328" s="52"/>
      <c r="MW328" s="52"/>
      <c r="MX328" s="52"/>
      <c r="MY328" s="52"/>
      <c r="MZ328" s="52"/>
      <c r="NA328" s="52"/>
      <c r="NB328" s="52"/>
      <c r="NC328" s="52"/>
      <c r="ND328" s="52"/>
      <c r="NE328" s="52"/>
      <c r="NF328" s="52"/>
      <c r="NG328" s="52"/>
      <c r="NH328" s="52"/>
      <c r="NI328" s="52"/>
      <c r="NJ328" s="52"/>
      <c r="NK328" s="52"/>
      <c r="NL328" s="52"/>
      <c r="NM328" s="52"/>
      <c r="NN328" s="52"/>
      <c r="NO328" s="52"/>
      <c r="NP328" s="52"/>
      <c r="NQ328" s="52"/>
      <c r="NR328" s="52"/>
      <c r="NS328" s="52"/>
      <c r="NT328" s="52"/>
      <c r="NU328" s="52"/>
      <c r="NV328" s="52"/>
      <c r="NW328" s="52"/>
      <c r="NX328" s="52"/>
      <c r="NY328" s="52"/>
      <c r="NZ328" s="52"/>
      <c r="OA328" s="52"/>
      <c r="OB328" s="52"/>
      <c r="OC328" s="52"/>
      <c r="OD328" s="52"/>
      <c r="OE328" s="52"/>
      <c r="OF328" s="52"/>
      <c r="OG328" s="52"/>
      <c r="OH328" s="52"/>
      <c r="OI328" s="52"/>
      <c r="OJ328" s="52"/>
      <c r="OK328" s="52"/>
      <c r="OL328" s="52"/>
      <c r="OM328" s="52"/>
      <c r="ON328" s="52"/>
      <c r="OO328" s="52"/>
      <c r="OP328" s="52"/>
      <c r="OQ328" s="52"/>
      <c r="OR328" s="52"/>
      <c r="OS328" s="52"/>
      <c r="OT328" s="52"/>
      <c r="OU328" s="52"/>
      <c r="OV328" s="52"/>
      <c r="OW328" s="52"/>
      <c r="OX328" s="52"/>
      <c r="OY328" s="52"/>
      <c r="OZ328" s="52"/>
      <c r="PA328" s="52"/>
      <c r="PB328" s="52"/>
      <c r="PC328" s="52"/>
      <c r="PD328" s="52"/>
      <c r="PE328" s="52"/>
      <c r="PF328" s="52"/>
      <c r="PG328" s="52"/>
      <c r="PH328" s="52"/>
      <c r="PI328" s="52"/>
      <c r="PJ328" s="52"/>
      <c r="PK328" s="52"/>
      <c r="PL328" s="52"/>
      <c r="PM328" s="52"/>
      <c r="PN328" s="52"/>
      <c r="PO328" s="52"/>
      <c r="PP328" s="52"/>
      <c r="PQ328" s="52"/>
      <c r="PR328" s="52"/>
      <c r="PS328" s="52"/>
      <c r="PT328" s="52"/>
      <c r="PU328" s="52"/>
      <c r="PV328" s="52"/>
      <c r="PW328" s="52"/>
      <c r="PX328" s="52"/>
      <c r="PY328" s="52"/>
      <c r="PZ328" s="52"/>
      <c r="QA328" s="52"/>
      <c r="QB328" s="52"/>
      <c r="QC328" s="52"/>
      <c r="QD328" s="52"/>
      <c r="QE328" s="52"/>
      <c r="QF328" s="52"/>
      <c r="QG328" s="52"/>
      <c r="QH328" s="52"/>
      <c r="QI328" s="52"/>
      <c r="QJ328" s="52"/>
      <c r="QK328" s="52"/>
      <c r="QL328" s="52"/>
      <c r="QM328" s="52"/>
      <c r="QN328" s="52"/>
      <c r="QO328" s="52"/>
      <c r="QP328" s="52"/>
      <c r="QQ328" s="52"/>
      <c r="QR328" s="52"/>
      <c r="QS328" s="52"/>
      <c r="QT328" s="52"/>
      <c r="QU328" s="52"/>
      <c r="QV328" s="52"/>
      <c r="QW328" s="52"/>
      <c r="QX328" s="52"/>
      <c r="QY328" s="52"/>
      <c r="QZ328" s="52"/>
      <c r="RA328" s="52"/>
      <c r="RB328" s="52"/>
      <c r="RC328" s="52"/>
      <c r="RD328" s="52"/>
      <c r="RE328" s="52"/>
      <c r="RF328" s="52"/>
      <c r="RG328" s="52"/>
      <c r="RH328" s="52"/>
      <c r="RI328" s="52"/>
      <c r="RJ328" s="52"/>
      <c r="RK328" s="52"/>
      <c r="RL328" s="52"/>
      <c r="RM328" s="52"/>
      <c r="RN328" s="52"/>
      <c r="RO328" s="52"/>
      <c r="RP328" s="52"/>
      <c r="RQ328" s="52"/>
      <c r="RR328" s="52"/>
      <c r="RS328" s="52"/>
      <c r="RT328" s="52"/>
      <c r="RU328" s="52"/>
      <c r="RV328" s="52"/>
      <c r="RW328" s="52"/>
      <c r="RX328" s="52"/>
      <c r="RY328" s="52"/>
      <c r="RZ328" s="52"/>
      <c r="SA328" s="52"/>
      <c r="SB328" s="52"/>
      <c r="SC328" s="52"/>
      <c r="SD328" s="52"/>
      <c r="SE328" s="52"/>
      <c r="SF328" s="52"/>
      <c r="SG328" s="52"/>
      <c r="SH328" s="52"/>
      <c r="SI328" s="52"/>
      <c r="SJ328" s="52"/>
      <c r="SK328" s="52"/>
      <c r="SL328" s="52"/>
      <c r="SM328" s="52"/>
      <c r="SN328" s="52"/>
      <c r="SO328" s="52"/>
      <c r="SP328" s="52"/>
      <c r="SQ328" s="52"/>
      <c r="SR328" s="52"/>
      <c r="SS328" s="52"/>
      <c r="ST328" s="52"/>
      <c r="SU328" s="52"/>
      <c r="SV328" s="52"/>
      <c r="SW328" s="52"/>
      <c r="SX328" s="52"/>
      <c r="SY328" s="52"/>
      <c r="SZ328" s="52"/>
      <c r="TA328" s="52"/>
      <c r="TB328" s="52"/>
      <c r="TC328" s="52"/>
      <c r="TD328" s="52"/>
      <c r="TE328" s="52"/>
      <c r="TF328" s="52"/>
      <c r="TG328" s="52"/>
      <c r="TH328" s="52"/>
      <c r="TI328" s="52"/>
      <c r="TJ328" s="52"/>
      <c r="TK328" s="52"/>
      <c r="TL328" s="52"/>
      <c r="TM328" s="52"/>
      <c r="TN328" s="52"/>
      <c r="TO328" s="52"/>
      <c r="TP328" s="52"/>
      <c r="TQ328" s="52"/>
      <c r="TR328" s="52"/>
      <c r="TS328" s="52"/>
      <c r="TT328" s="52"/>
      <c r="TU328" s="52"/>
      <c r="TV328" s="52"/>
      <c r="TW328" s="52"/>
      <c r="TX328" s="52"/>
      <c r="TY328" s="52"/>
      <c r="TZ328" s="52"/>
      <c r="UA328" s="52"/>
      <c r="UB328" s="52"/>
      <c r="UC328" s="52"/>
      <c r="UD328" s="52"/>
      <c r="UE328" s="52"/>
      <c r="UF328" s="52"/>
      <c r="UG328" s="52"/>
      <c r="UH328" s="52"/>
      <c r="UI328" s="52"/>
      <c r="UJ328" s="52"/>
      <c r="UK328" s="52"/>
      <c r="UL328" s="52"/>
      <c r="UM328" s="52"/>
      <c r="UN328" s="52"/>
      <c r="UO328" s="52"/>
      <c r="UP328" s="52"/>
      <c r="UQ328" s="52"/>
      <c r="UR328" s="52"/>
      <c r="US328" s="52"/>
      <c r="UT328" s="52"/>
      <c r="UU328" s="52"/>
      <c r="UV328" s="52"/>
      <c r="UW328" s="52"/>
      <c r="UX328" s="52"/>
      <c r="UY328" s="52"/>
      <c r="UZ328" s="52"/>
      <c r="VA328" s="52"/>
      <c r="VB328" s="52"/>
      <c r="VC328" s="52"/>
      <c r="VD328" s="52"/>
      <c r="VE328" s="52"/>
      <c r="VF328" s="52"/>
      <c r="VG328" s="52"/>
      <c r="VH328" s="52"/>
      <c r="VI328" s="52"/>
      <c r="VJ328" s="52"/>
      <c r="VK328" s="52"/>
      <c r="VL328" s="52"/>
      <c r="VM328" s="52"/>
      <c r="VN328" s="52"/>
      <c r="VO328" s="52"/>
      <c r="VP328" s="52"/>
      <c r="VQ328" s="52"/>
      <c r="VR328" s="52"/>
      <c r="VS328" s="52"/>
      <c r="VT328" s="52"/>
      <c r="VU328" s="52"/>
      <c r="VV328" s="52"/>
      <c r="VW328" s="52"/>
      <c r="VX328" s="52"/>
      <c r="VY328" s="52"/>
      <c r="VZ328" s="52"/>
      <c r="WA328" s="52"/>
      <c r="WB328" s="52"/>
      <c r="WC328" s="52"/>
      <c r="WD328" s="52"/>
      <c r="WE328" s="52"/>
      <c r="WF328" s="52"/>
      <c r="WG328" s="52"/>
      <c r="WH328" s="52"/>
      <c r="WI328" s="52"/>
      <c r="WJ328" s="52"/>
      <c r="WK328" s="52"/>
      <c r="WL328" s="52"/>
      <c r="WM328" s="52"/>
      <c r="WN328" s="52"/>
      <c r="WO328" s="52"/>
      <c r="WP328" s="52"/>
      <c r="WQ328" s="52"/>
      <c r="WR328" s="52"/>
      <c r="WS328" s="52"/>
      <c r="WT328" s="52"/>
      <c r="WU328" s="52"/>
      <c r="WV328" s="52"/>
      <c r="WW328" s="52"/>
      <c r="WX328" s="52"/>
      <c r="WY328" s="52"/>
      <c r="WZ328" s="52"/>
      <c r="XA328" s="52"/>
      <c r="XB328" s="52"/>
      <c r="XC328" s="52"/>
      <c r="XD328" s="52"/>
      <c r="XE328" s="52"/>
      <c r="XF328" s="52"/>
      <c r="XG328" s="52"/>
      <c r="XH328" s="52"/>
      <c r="XI328" s="52"/>
      <c r="XJ328" s="52"/>
      <c r="XK328" s="52"/>
      <c r="XL328" s="52"/>
      <c r="XM328" s="52"/>
      <c r="XN328" s="52"/>
      <c r="XO328" s="52"/>
      <c r="XP328" s="52"/>
      <c r="XQ328" s="52"/>
      <c r="XR328" s="52"/>
      <c r="XS328" s="52"/>
      <c r="XT328" s="52"/>
      <c r="XU328" s="52"/>
      <c r="XV328" s="52"/>
      <c r="XW328" s="52"/>
      <c r="XX328" s="52"/>
      <c r="XY328" s="52"/>
      <c r="XZ328" s="52"/>
      <c r="YA328" s="52"/>
      <c r="YB328" s="52"/>
      <c r="YC328" s="52"/>
      <c r="YD328" s="52"/>
      <c r="YE328" s="52"/>
      <c r="YF328" s="52"/>
      <c r="YG328" s="52"/>
      <c r="YH328" s="52"/>
      <c r="YI328" s="52"/>
      <c r="YJ328" s="52"/>
      <c r="YK328" s="52"/>
      <c r="YL328" s="52"/>
      <c r="YM328" s="52"/>
      <c r="YN328" s="52"/>
      <c r="YO328" s="52"/>
      <c r="YP328" s="52"/>
      <c r="YQ328" s="52"/>
      <c r="YR328" s="52"/>
      <c r="YS328" s="52"/>
      <c r="YT328" s="52"/>
      <c r="YU328" s="52"/>
      <c r="YV328" s="52"/>
      <c r="YW328" s="52"/>
      <c r="YX328" s="52"/>
      <c r="YY328" s="52"/>
      <c r="YZ328" s="52"/>
      <c r="ZA328" s="52"/>
      <c r="ZB328" s="52"/>
      <c r="ZC328" s="52"/>
      <c r="ZD328" s="52"/>
      <c r="ZE328" s="52"/>
      <c r="ZF328" s="52"/>
      <c r="ZG328" s="52"/>
      <c r="ZH328" s="52"/>
      <c r="ZI328" s="52"/>
      <c r="ZJ328" s="52"/>
      <c r="ZK328" s="52"/>
      <c r="ZL328" s="52"/>
      <c r="ZM328" s="52"/>
      <c r="ZN328" s="52"/>
      <c r="ZO328" s="52"/>
      <c r="ZP328" s="52"/>
      <c r="ZQ328" s="52"/>
      <c r="ZR328" s="52"/>
      <c r="ZS328" s="52"/>
      <c r="ZT328" s="52"/>
      <c r="ZU328" s="52"/>
      <c r="ZV328" s="52"/>
      <c r="ZW328" s="52"/>
      <c r="ZX328" s="52"/>
      <c r="ZY328" s="620"/>
      <c r="ZZ328" s="623"/>
      <c r="AAA328" s="588"/>
      <c r="AAD328" s="112"/>
      <c r="AAE328" s="551">
        <f t="shared" ref="AAE328:AAE339" si="947">IF(S.InvolveNotice=TRUE,1,0)</f>
        <v>1</v>
      </c>
      <c r="AAF328" s="583" t="s">
        <v>174</v>
      </c>
      <c r="AAG328" s="76"/>
      <c r="AAH328" s="76"/>
      <c r="AAI328" s="77"/>
      <c r="AAJ328" s="77"/>
      <c r="AAK328" s="77"/>
      <c r="AAL328" s="57"/>
      <c r="AAM328" s="112"/>
      <c r="AAN328"/>
      <c r="AAT328" s="23"/>
      <c r="AAU328" s="44"/>
    </row>
    <row r="329" spans="1:732" ht="15" outlineLevel="1">
      <c r="A329" s="558"/>
      <c r="B329" s="408" t="s">
        <v>104</v>
      </c>
      <c r="C329" s="168"/>
      <c r="D329" s="161"/>
      <c r="E329" s="160"/>
      <c r="F329" s="160"/>
      <c r="G329" s="161"/>
      <c r="H329" s="161"/>
      <c r="I329" s="588"/>
      <c r="J329" s="592"/>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18"/>
      <c r="ZZ329" s="36"/>
      <c r="AAA329" s="588"/>
      <c r="AAD329" s="112"/>
      <c r="AAE329" s="551">
        <f t="shared" si="947"/>
        <v>1</v>
      </c>
      <c r="AAF329" s="583" t="s">
        <v>174</v>
      </c>
      <c r="AAG329" s="76"/>
      <c r="AAH329" s="76"/>
      <c r="AAI329" s="77"/>
      <c r="AAJ329" s="77"/>
      <c r="AAK329" s="77"/>
      <c r="AAL329" s="57"/>
      <c r="AAM329" s="112"/>
      <c r="AAN329"/>
      <c r="AAT329" s="23"/>
      <c r="AAU329" s="44"/>
    </row>
    <row r="330" spans="1:732" ht="15" outlineLevel="1">
      <c r="A330" s="558"/>
      <c r="B330" s="409" t="str">
        <f>AAL330</f>
        <v>GOV.DELIVERY.CONTENT"</v>
      </c>
      <c r="C330" s="168"/>
      <c r="D330" s="161"/>
      <c r="E330" s="160"/>
      <c r="F330" s="160"/>
      <c r="G330" s="161"/>
      <c r="H330" s="161"/>
      <c r="I330" s="588"/>
      <c r="J330" s="592"/>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18"/>
      <c r="ZZ330" s="36"/>
      <c r="AAA330" s="588"/>
      <c r="AAD330" s="112"/>
      <c r="AAE330" s="551">
        <f t="shared" si="947"/>
        <v>1</v>
      </c>
      <c r="AAF330" s="583" t="s">
        <v>174</v>
      </c>
      <c r="AAG330" s="76"/>
      <c r="AAH330" s="76"/>
      <c r="AAI330" s="77"/>
      <c r="AAJ330" s="77"/>
      <c r="AAK330" s="77"/>
      <c r="AAL330" s="89" t="s">
        <v>310</v>
      </c>
      <c r="AAM330" s="112"/>
      <c r="AAN330"/>
      <c r="AAT330" s="23"/>
      <c r="AAU330" s="44"/>
    </row>
    <row r="331" spans="1:732" ht="15" outlineLevel="1">
      <c r="A331" s="558"/>
      <c r="B331" s="409" t="str">
        <f>AAL331</f>
        <v>Save AGENCY.MAILING.LIST</v>
      </c>
      <c r="C331" s="168"/>
      <c r="D331" s="161"/>
      <c r="E331" s="160"/>
      <c r="F331" s="160"/>
      <c r="G331" s="161"/>
      <c r="H331" s="161"/>
      <c r="I331" s="588"/>
      <c r="J331" s="592"/>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18"/>
      <c r="ZZ331" s="36"/>
      <c r="AAA331" s="588"/>
      <c r="AAD331" s="112"/>
      <c r="AAE331" s="551">
        <f t="shared" si="947"/>
        <v>1</v>
      </c>
      <c r="AAF331" s="583" t="s">
        <v>174</v>
      </c>
      <c r="AAG331" s="76"/>
      <c r="AAH331" s="76"/>
      <c r="AAI331" s="77"/>
      <c r="AAJ331" s="77"/>
      <c r="AAK331" s="77"/>
      <c r="AAL331" s="89" t="str">
        <f>"Save "&amp;S.CodeName&amp;"AGENCY.MAILING.LIST"</f>
        <v>Save AGENCY.MAILING.LIST</v>
      </c>
      <c r="AAM331" s="112"/>
      <c r="AAN331"/>
      <c r="AAT331" s="23"/>
      <c r="AAU331" s="44"/>
    </row>
    <row r="332" spans="1:732" ht="15" outlineLevel="1">
      <c r="A332" s="558"/>
      <c r="B332" s="328" t="str">
        <f>AAL332</f>
        <v>Save PROOF.OF.DELIVERY</v>
      </c>
      <c r="C332" s="168"/>
      <c r="D332" s="161"/>
      <c r="E332" s="160"/>
      <c r="F332" s="160"/>
      <c r="G332" s="161"/>
      <c r="H332" s="161"/>
      <c r="I332" s="588"/>
      <c r="J332" s="592"/>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618"/>
      <c r="ZZ332" s="36"/>
      <c r="AAA332" s="588"/>
      <c r="AAD332" s="112"/>
      <c r="AAE332" s="551">
        <f t="shared" si="947"/>
        <v>1</v>
      </c>
      <c r="AAF332" s="583" t="s">
        <v>174</v>
      </c>
      <c r="AAG332" s="76"/>
      <c r="AAH332" s="76"/>
      <c r="AAI332" s="77"/>
      <c r="AAJ332" s="77"/>
      <c r="AAK332" s="77"/>
      <c r="AAL332" s="89" t="str">
        <f>"Save "&amp;S.CodeName&amp;"PROOF.OF.DELIVERY"</f>
        <v>Save PROOF.OF.DELIVERY</v>
      </c>
      <c r="AAM332" s="112"/>
      <c r="AAN332"/>
      <c r="AAT332" s="23"/>
      <c r="AAU332" s="44"/>
    </row>
    <row r="333" spans="1:732" ht="15" outlineLevel="1">
      <c r="A333" s="558"/>
      <c r="B333" s="407" t="s">
        <v>162</v>
      </c>
      <c r="C333" s="168"/>
      <c r="D333" s="277" t="s">
        <v>161</v>
      </c>
      <c r="E333" s="448">
        <f t="shared" ref="E333" si="948">NETWORKDAYS(G333,H333,S.DDL_DEQClosed)</f>
        <v>1</v>
      </c>
      <c r="F333" s="492">
        <f t="shared" ref="F333" ca="1" si="949">NETWORKDAYS(TODAY(),H333)</f>
        <v>-87</v>
      </c>
      <c r="G333" s="472">
        <f t="shared" ref="G333:H333" si="950">AAG333</f>
        <v>41530</v>
      </c>
      <c r="H333" s="369">
        <f t="shared" si="950"/>
        <v>41530</v>
      </c>
      <c r="I333" s="627"/>
      <c r="J333" s="592"/>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50"/>
      <c r="ZZ333" s="50"/>
      <c r="AAA333" s="588"/>
      <c r="AAD333" s="112"/>
      <c r="AAE333" s="551">
        <f t="shared" si="947"/>
        <v>1</v>
      </c>
      <c r="AAF333" s="112"/>
      <c r="AAG333" s="78">
        <f t="shared" si="946"/>
        <v>41530</v>
      </c>
      <c r="AAH333" s="78">
        <f>G333</f>
        <v>41530</v>
      </c>
      <c r="AAI333" s="77"/>
      <c r="AAJ333" s="77"/>
      <c r="AAK333" s="77"/>
      <c r="AAL333" s="57"/>
      <c r="AAM333" s="112"/>
      <c r="AAN333"/>
      <c r="AAT333" s="23"/>
      <c r="AAU333" s="44"/>
    </row>
    <row r="334" spans="1:732" ht="15" outlineLevel="1">
      <c r="A334" s="558"/>
      <c r="B334" s="410" t="str">
        <f>AAL334</f>
        <v>Send KEY.LEG.NOTICE</v>
      </c>
      <c r="C334" s="715"/>
      <c r="D334" s="161"/>
      <c r="E334" s="160"/>
      <c r="F334" s="160"/>
      <c r="G334" s="161"/>
      <c r="H334" s="161"/>
      <c r="I334" s="588"/>
      <c r="J334" s="592"/>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18"/>
      <c r="ZZ334" s="36"/>
      <c r="AAA334" s="588"/>
      <c r="AAD334" s="112"/>
      <c r="AAE334" s="551">
        <f t="shared" si="947"/>
        <v>1</v>
      </c>
      <c r="AAF334" s="583" t="s">
        <v>174</v>
      </c>
      <c r="AAG334" s="76"/>
      <c r="AAH334" s="76"/>
      <c r="AAI334" s="77"/>
      <c r="AAJ334" s="77"/>
      <c r="AAK334" s="77"/>
      <c r="AAL334" s="89" t="str">
        <f>"Send "&amp;S.CodeName&amp;"KEY.LEG.NOTICE"</f>
        <v>Send KEY.LEG.NOTICE</v>
      </c>
      <c r="AAM334" s="112"/>
      <c r="AAN334"/>
      <c r="AAT334" s="23"/>
      <c r="AAU334" s="44"/>
    </row>
    <row r="335" spans="1:732" ht="15" outlineLevel="1">
      <c r="A335" s="558"/>
      <c r="B335" s="328" t="str">
        <f>AAL335</f>
        <v>Save KEY.LEG.PROOF</v>
      </c>
      <c r="C335" s="168"/>
      <c r="D335" s="161"/>
      <c r="E335" s="160"/>
      <c r="F335" s="160"/>
      <c r="G335" s="161"/>
      <c r="H335" s="161"/>
      <c r="I335" s="588"/>
      <c r="J335" s="592"/>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18"/>
      <c r="ZZ335" s="36"/>
      <c r="AAA335" s="588"/>
      <c r="AAD335" s="112"/>
      <c r="AAE335" s="551">
        <f t="shared" si="947"/>
        <v>1</v>
      </c>
      <c r="AAF335" s="583" t="s">
        <v>174</v>
      </c>
      <c r="AAG335" s="76"/>
      <c r="AAH335" s="76"/>
      <c r="AAI335" s="77"/>
      <c r="AAJ335" s="77"/>
      <c r="AAK335" s="77"/>
      <c r="AAL335" s="89" t="str">
        <f>"Save "&amp;S.CodeName&amp;"KEY.LEG.PROOF"</f>
        <v>Save KEY.LEG.PROOF</v>
      </c>
      <c r="AAM335" s="112"/>
      <c r="AAN335"/>
      <c r="AAT335" s="23"/>
      <c r="AAU335" s="44"/>
    </row>
    <row r="336" spans="1:732" ht="15" outlineLevel="1">
      <c r="A336" s="558"/>
      <c r="B336" s="362" t="s">
        <v>176</v>
      </c>
      <c r="C336" s="168"/>
      <c r="D336" s="161"/>
      <c r="E336" s="160"/>
      <c r="F336" s="160"/>
      <c r="G336" s="161"/>
      <c r="H336" s="161"/>
      <c r="I336" s="588"/>
      <c r="J336" s="592"/>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18"/>
      <c r="ZZ336" s="36"/>
      <c r="AAA336" s="588"/>
      <c r="AAD336" s="112"/>
      <c r="AAE336" s="551">
        <f t="shared" si="947"/>
        <v>1</v>
      </c>
      <c r="AAF336" s="583" t="s">
        <v>174</v>
      </c>
      <c r="AAG336" s="76"/>
      <c r="AAH336" s="76"/>
      <c r="AAI336" s="77"/>
      <c r="AAJ336" s="77"/>
      <c r="AAK336" s="77"/>
      <c r="AAL336" s="57"/>
      <c r="AAM336" s="112"/>
      <c r="AAN336"/>
      <c r="AAT336" s="23"/>
      <c r="AAU336" s="44"/>
    </row>
    <row r="337" spans="1:732" ht="15" outlineLevel="1">
      <c r="A337" s="558"/>
      <c r="B337" s="328" t="str">
        <f>AAL337</f>
        <v>Save ##PRINT.PROOF</v>
      </c>
      <c r="C337" s="168"/>
      <c r="D337" s="161"/>
      <c r="E337" s="160"/>
      <c r="F337" s="160"/>
      <c r="G337" s="161"/>
      <c r="H337" s="161"/>
      <c r="I337" s="588"/>
      <c r="J337" s="592"/>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18"/>
      <c r="ZZ337" s="36"/>
      <c r="AAA337" s="588"/>
      <c r="AAD337" s="112"/>
      <c r="AAE337" s="551">
        <f t="shared" si="947"/>
        <v>1</v>
      </c>
      <c r="AAF337" s="583" t="s">
        <v>174</v>
      </c>
      <c r="AAG337" s="76"/>
      <c r="AAH337" s="76"/>
      <c r="AAI337" s="77"/>
      <c r="AAJ337" s="77"/>
      <c r="AAK337" s="77"/>
      <c r="AAL337" s="89" t="str">
        <f>"Save "&amp;S.CodeName&amp;"##PRINT.PROOF"</f>
        <v>Save ##PRINT.PROOF</v>
      </c>
      <c r="AAM337" s="112"/>
      <c r="AAN337"/>
      <c r="AAT337" s="23"/>
      <c r="AAU337" s="44"/>
    </row>
    <row r="338" spans="1:732" ht="15.75" customHeight="1" outlineLevel="1">
      <c r="A338" s="558"/>
      <c r="B338" s="408" t="s">
        <v>45</v>
      </c>
      <c r="C338" s="168"/>
      <c r="D338" s="161"/>
      <c r="E338" s="160"/>
      <c r="F338" s="160"/>
      <c r="G338" s="161"/>
      <c r="H338" s="161"/>
      <c r="I338" s="588"/>
      <c r="J338" s="592"/>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18"/>
      <c r="ZZ338" s="36"/>
      <c r="AAA338" s="588"/>
      <c r="AAD338" s="112"/>
      <c r="AAE338" s="551">
        <f t="shared" si="947"/>
        <v>1</v>
      </c>
      <c r="AAF338" s="583" t="s">
        <v>174</v>
      </c>
      <c r="AAG338" s="76"/>
      <c r="AAH338" s="76"/>
      <c r="AAI338" s="77"/>
      <c r="AAJ338" s="77"/>
      <c r="AAK338" s="77"/>
      <c r="AAL338" s="57"/>
      <c r="AAM338" s="112"/>
      <c r="AAN338"/>
      <c r="AAT338" s="23"/>
      <c r="AAU338" s="44"/>
    </row>
    <row r="339" spans="1:732" ht="15" outlineLevel="1">
      <c r="A339" s="558"/>
      <c r="B339" s="286" t="str">
        <f>AAL339</f>
        <v>Save BULLETIN.PROOF</v>
      </c>
      <c r="C339" s="168"/>
      <c r="D339" s="161"/>
      <c r="E339" s="160"/>
      <c r="F339" s="160"/>
      <c r="G339" s="161"/>
      <c r="H339" s="161"/>
      <c r="I339" s="588"/>
      <c r="J339" s="592"/>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18"/>
      <c r="ZZ339" s="36"/>
      <c r="AAA339" s="588"/>
      <c r="AAD339" s="112"/>
      <c r="AAE339" s="551">
        <f t="shared" si="947"/>
        <v>1</v>
      </c>
      <c r="AAF339" s="583" t="s">
        <v>174</v>
      </c>
      <c r="AAG339" s="76"/>
      <c r="AAH339" s="76"/>
      <c r="AAI339" s="77"/>
      <c r="AAJ339" s="77"/>
      <c r="AAK339" s="77"/>
      <c r="AAL339" s="89" t="str">
        <f>"Save "&amp;S.CodeName&amp;"BULLETIN.PROOF"</f>
        <v>Save BULLETIN.PROOF</v>
      </c>
      <c r="AAM339" s="112"/>
      <c r="AAN339"/>
      <c r="AAT339" s="23"/>
      <c r="AAU339" s="44"/>
    </row>
    <row r="340" spans="1:732" ht="6" customHeight="1">
      <c r="A340" s="558"/>
      <c r="B340" s="288"/>
      <c r="C340" s="289"/>
      <c r="D340" s="290"/>
      <c r="E340" s="291" t="s">
        <v>0</v>
      </c>
      <c r="F340" s="291" t="s">
        <v>0</v>
      </c>
      <c r="G340" s="292"/>
      <c r="H340" s="292"/>
      <c r="I340" s="588"/>
      <c r="J340" s="592"/>
      <c r="K340" s="50"/>
      <c r="L340" s="50"/>
      <c r="M340" s="50"/>
      <c r="N340" s="50"/>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c r="AS340" s="50"/>
      <c r="AT340" s="50"/>
      <c r="AU340" s="50"/>
      <c r="AV340" s="50"/>
      <c r="AW340" s="50"/>
      <c r="AX340" s="50"/>
      <c r="AY340" s="50"/>
      <c r="AZ340" s="50"/>
      <c r="BA340" s="50"/>
      <c r="BB340" s="50"/>
      <c r="BC340" s="50"/>
      <c r="BD340" s="50"/>
      <c r="BE340" s="50"/>
      <c r="BF340" s="50"/>
      <c r="BG340" s="50"/>
      <c r="BH340" s="50"/>
      <c r="BI340" s="50"/>
      <c r="BJ340" s="50"/>
      <c r="BK340" s="50"/>
      <c r="BL340" s="50"/>
      <c r="BM340" s="50"/>
      <c r="BN340" s="50"/>
      <c r="BO340" s="50"/>
      <c r="BP340" s="50"/>
      <c r="BQ340" s="50"/>
      <c r="BR340" s="50"/>
      <c r="BS340" s="50"/>
      <c r="BT340" s="50"/>
      <c r="BU340" s="50"/>
      <c r="BV340" s="50"/>
      <c r="BW340" s="50"/>
      <c r="BX340" s="50"/>
      <c r="BY340" s="50"/>
      <c r="BZ340" s="50"/>
      <c r="CA340" s="50"/>
      <c r="CB340" s="50"/>
      <c r="CC340" s="50"/>
      <c r="CD340" s="50"/>
      <c r="CE340" s="50"/>
      <c r="CF340" s="50"/>
      <c r="CG340" s="50"/>
      <c r="CH340" s="50"/>
      <c r="CI340" s="50"/>
      <c r="CJ340" s="50"/>
      <c r="CK340" s="50"/>
      <c r="CL340" s="50"/>
      <c r="CM340" s="50"/>
      <c r="CN340" s="50"/>
      <c r="CO340" s="50"/>
      <c r="CP340" s="50"/>
      <c r="CQ340" s="50"/>
      <c r="CR340" s="50"/>
      <c r="CS340" s="50"/>
      <c r="CT340" s="50"/>
      <c r="CU340" s="50"/>
      <c r="CV340" s="50"/>
      <c r="CW340" s="50"/>
      <c r="CX340" s="50"/>
      <c r="CY340" s="50"/>
      <c r="CZ340" s="50"/>
      <c r="DA340" s="50"/>
      <c r="DB340" s="50"/>
      <c r="DC340" s="50"/>
      <c r="DD340" s="50"/>
      <c r="DE340" s="50"/>
      <c r="DF340" s="50"/>
      <c r="DG340" s="50"/>
      <c r="DH340" s="50"/>
      <c r="DI340" s="50"/>
      <c r="DJ340" s="50"/>
      <c r="DK340" s="50"/>
      <c r="DL340" s="50"/>
      <c r="DM340" s="50"/>
      <c r="DN340" s="50"/>
      <c r="DO340" s="50"/>
      <c r="DP340" s="50"/>
      <c r="DQ340" s="50"/>
      <c r="DR340" s="50"/>
      <c r="DS340" s="50"/>
      <c r="DT340" s="50"/>
      <c r="DU340" s="50"/>
      <c r="DV340" s="50"/>
      <c r="DW340" s="50"/>
      <c r="DX340" s="50"/>
      <c r="DY340" s="50"/>
      <c r="DZ340" s="50"/>
      <c r="EA340" s="50"/>
      <c r="EB340" s="50"/>
      <c r="EC340" s="50"/>
      <c r="ED340" s="50"/>
      <c r="EE340" s="50"/>
      <c r="EF340" s="50"/>
      <c r="EG340" s="50"/>
      <c r="EH340" s="50"/>
      <c r="EI340" s="50"/>
      <c r="EJ340" s="50"/>
      <c r="EK340" s="50"/>
      <c r="EL340" s="50"/>
      <c r="EM340" s="50"/>
      <c r="EN340" s="50"/>
      <c r="EO340" s="50"/>
      <c r="EP340" s="50"/>
      <c r="EQ340" s="50"/>
      <c r="ER340" s="50"/>
      <c r="ES340" s="50"/>
      <c r="ET340" s="50"/>
      <c r="EU340" s="50"/>
      <c r="EV340" s="50"/>
      <c r="EW340" s="50"/>
      <c r="EX340" s="50"/>
      <c r="EY340" s="50"/>
      <c r="EZ340" s="50"/>
      <c r="FA340" s="50"/>
      <c r="FB340" s="50"/>
      <c r="FC340" s="50"/>
      <c r="FD340" s="50"/>
      <c r="FE340" s="50"/>
      <c r="FF340" s="50"/>
      <c r="FG340" s="50"/>
      <c r="FH340" s="50"/>
      <c r="FI340" s="50"/>
      <c r="FJ340" s="50"/>
      <c r="FK340" s="50"/>
      <c r="FL340" s="50"/>
      <c r="FM340" s="50"/>
      <c r="FN340" s="50"/>
      <c r="FO340" s="50"/>
      <c r="FP340" s="50"/>
      <c r="FQ340" s="50"/>
      <c r="FR340" s="50"/>
      <c r="FS340" s="50"/>
      <c r="FT340" s="50"/>
      <c r="FU340" s="50"/>
      <c r="FV340" s="50"/>
      <c r="FW340" s="50"/>
      <c r="FX340" s="50"/>
      <c r="FY340" s="50"/>
      <c r="FZ340" s="50"/>
      <c r="GA340" s="50"/>
      <c r="GB340" s="50"/>
      <c r="GC340" s="50"/>
      <c r="GD340" s="50"/>
      <c r="GE340" s="50"/>
      <c r="GF340" s="50"/>
      <c r="GG340" s="50"/>
      <c r="GH340" s="50"/>
      <c r="GI340" s="50"/>
      <c r="GJ340" s="50"/>
      <c r="GK340" s="50"/>
      <c r="GL340" s="50"/>
      <c r="GM340" s="50"/>
      <c r="GN340" s="50"/>
      <c r="GO340" s="50"/>
      <c r="GP340" s="50"/>
      <c r="GQ340" s="50"/>
      <c r="GR340" s="50"/>
      <c r="GS340" s="50"/>
      <c r="GT340" s="50"/>
      <c r="GU340" s="50"/>
      <c r="GV340" s="50"/>
      <c r="GW340" s="50"/>
      <c r="GX340" s="50"/>
      <c r="GY340" s="50"/>
      <c r="GZ340" s="50"/>
      <c r="HA340" s="50"/>
      <c r="HB340" s="50"/>
      <c r="HC340" s="50"/>
      <c r="HD340" s="50"/>
      <c r="HE340" s="50"/>
      <c r="HF340" s="50"/>
      <c r="HG340" s="50"/>
      <c r="HH340" s="50"/>
      <c r="HI340" s="50"/>
      <c r="HJ340" s="50"/>
      <c r="HK340" s="50"/>
      <c r="HL340" s="50"/>
      <c r="HM340" s="50"/>
      <c r="HN340" s="50"/>
      <c r="HO340" s="50"/>
      <c r="HP340" s="50"/>
      <c r="HQ340" s="50"/>
      <c r="HR340" s="50"/>
      <c r="HS340" s="50"/>
      <c r="HT340" s="50"/>
      <c r="HU340" s="50"/>
      <c r="HV340" s="50"/>
      <c r="HW340" s="50"/>
      <c r="HX340" s="50"/>
      <c r="HY340" s="50"/>
      <c r="HZ340" s="50"/>
      <c r="IA340" s="50"/>
      <c r="IB340" s="50"/>
      <c r="IC340" s="50"/>
      <c r="ID340" s="50"/>
      <c r="IE340" s="50"/>
      <c r="IF340" s="50"/>
      <c r="IG340" s="50"/>
      <c r="IH340" s="50"/>
      <c r="II340" s="50"/>
      <c r="IJ340" s="50"/>
      <c r="IK340" s="50"/>
      <c r="IL340" s="50"/>
      <c r="IM340" s="50"/>
      <c r="IN340" s="50"/>
      <c r="IO340" s="50"/>
      <c r="IP340" s="50"/>
      <c r="IQ340" s="50"/>
      <c r="IR340" s="50"/>
      <c r="IS340" s="50"/>
      <c r="IT340" s="50"/>
      <c r="IU340" s="50"/>
      <c r="IV340" s="50"/>
      <c r="IW340" s="50"/>
      <c r="IX340" s="50"/>
      <c r="IY340" s="50"/>
      <c r="IZ340" s="50"/>
      <c r="JA340" s="50"/>
      <c r="JB340" s="50"/>
      <c r="JC340" s="50"/>
      <c r="JD340" s="50"/>
      <c r="JE340" s="50"/>
      <c r="JF340" s="50"/>
      <c r="JG340" s="50"/>
      <c r="JH340" s="50"/>
      <c r="JI340" s="50"/>
      <c r="JJ340" s="50"/>
      <c r="JK340" s="50"/>
      <c r="JL340" s="50"/>
      <c r="JM340" s="50"/>
      <c r="JN340" s="50"/>
      <c r="JO340" s="50"/>
      <c r="JP340" s="50"/>
      <c r="JQ340" s="50"/>
      <c r="JR340" s="50"/>
      <c r="JS340" s="50"/>
      <c r="JT340" s="50"/>
      <c r="JU340" s="50"/>
      <c r="JV340" s="50"/>
      <c r="JW340" s="50"/>
      <c r="JX340" s="50"/>
      <c r="JY340" s="50"/>
      <c r="JZ340" s="50"/>
      <c r="KA340" s="50"/>
      <c r="KB340" s="50"/>
      <c r="KC340" s="50"/>
      <c r="KD340" s="50"/>
      <c r="KE340" s="50"/>
      <c r="KF340" s="50"/>
      <c r="KG340" s="50"/>
      <c r="KH340" s="50"/>
      <c r="KI340" s="50"/>
      <c r="KJ340" s="50"/>
      <c r="KK340" s="50"/>
      <c r="KL340" s="50"/>
      <c r="KM340" s="50"/>
      <c r="KN340" s="50"/>
      <c r="KO340" s="50"/>
      <c r="KP340" s="50"/>
      <c r="KQ340" s="50"/>
      <c r="KR340" s="50"/>
      <c r="KS340" s="50"/>
      <c r="KT340" s="50"/>
      <c r="KU340" s="50"/>
      <c r="KV340" s="50"/>
      <c r="KW340" s="50"/>
      <c r="KX340" s="50"/>
      <c r="KY340" s="50"/>
      <c r="KZ340" s="50"/>
      <c r="LA340" s="50"/>
      <c r="LB340" s="50"/>
      <c r="LC340" s="50"/>
      <c r="LD340" s="50"/>
      <c r="LE340" s="50"/>
      <c r="LF340" s="50"/>
      <c r="LG340" s="50"/>
      <c r="LH340" s="50"/>
      <c r="LI340" s="50"/>
      <c r="LJ340" s="50"/>
      <c r="LK340" s="50"/>
      <c r="LL340" s="50"/>
      <c r="LM340" s="50"/>
      <c r="LN340" s="50"/>
      <c r="LO340" s="50"/>
      <c r="LP340" s="50"/>
      <c r="LQ340" s="50"/>
      <c r="LR340" s="50"/>
      <c r="LS340" s="50"/>
      <c r="LT340" s="50"/>
      <c r="LU340" s="50"/>
      <c r="LV340" s="50"/>
      <c r="LW340" s="50"/>
      <c r="LX340" s="50"/>
      <c r="LY340" s="50"/>
      <c r="LZ340" s="50"/>
      <c r="MA340" s="50"/>
      <c r="MB340" s="50"/>
      <c r="MC340" s="50"/>
      <c r="MD340" s="50"/>
      <c r="ME340" s="50"/>
      <c r="MF340" s="50"/>
      <c r="MG340" s="50"/>
      <c r="MH340" s="50"/>
      <c r="MI340" s="50"/>
      <c r="MJ340" s="50"/>
      <c r="MK340" s="50"/>
      <c r="ML340" s="50"/>
      <c r="MM340" s="50"/>
      <c r="MN340" s="50"/>
      <c r="MO340" s="50"/>
      <c r="MP340" s="50"/>
      <c r="MQ340" s="50"/>
      <c r="MR340" s="50"/>
      <c r="MS340" s="50"/>
      <c r="MT340" s="50"/>
      <c r="MU340" s="50"/>
      <c r="MV340" s="50"/>
      <c r="MW340" s="50"/>
      <c r="MX340" s="50"/>
      <c r="MY340" s="50"/>
      <c r="MZ340" s="50"/>
      <c r="NA340" s="50"/>
      <c r="NB340" s="50"/>
      <c r="NC340" s="50"/>
      <c r="ND340" s="50"/>
      <c r="NE340" s="50"/>
      <c r="NF340" s="50"/>
      <c r="NG340" s="50"/>
      <c r="NH340" s="50"/>
      <c r="NI340" s="50"/>
      <c r="NJ340" s="50"/>
      <c r="NK340" s="50"/>
      <c r="NL340" s="50"/>
      <c r="NM340" s="50"/>
      <c r="NN340" s="50"/>
      <c r="NO340" s="50"/>
      <c r="NP340" s="50"/>
      <c r="NQ340" s="50"/>
      <c r="NR340" s="50"/>
      <c r="NS340" s="50"/>
      <c r="NT340" s="50"/>
      <c r="NU340" s="50"/>
      <c r="NV340" s="50"/>
      <c r="NW340" s="50"/>
      <c r="NX340" s="50"/>
      <c r="NY340" s="50"/>
      <c r="NZ340" s="50"/>
      <c r="OA340" s="50"/>
      <c r="OB340" s="50"/>
      <c r="OC340" s="50"/>
      <c r="OD340" s="50"/>
      <c r="OE340" s="50"/>
      <c r="OF340" s="50"/>
      <c r="OG340" s="50"/>
      <c r="OH340" s="50"/>
      <c r="OI340" s="50"/>
      <c r="OJ340" s="50"/>
      <c r="OK340" s="50"/>
      <c r="OL340" s="50"/>
      <c r="OM340" s="50"/>
      <c r="ON340" s="50"/>
      <c r="OO340" s="50"/>
      <c r="OP340" s="50"/>
      <c r="OQ340" s="50"/>
      <c r="OR340" s="50"/>
      <c r="OS340" s="50"/>
      <c r="OT340" s="50"/>
      <c r="OU340" s="50"/>
      <c r="OV340" s="50"/>
      <c r="OW340" s="50"/>
      <c r="OX340" s="50"/>
      <c r="OY340" s="50"/>
      <c r="OZ340" s="50"/>
      <c r="PA340" s="50"/>
      <c r="PB340" s="50"/>
      <c r="PC340" s="50"/>
      <c r="PD340" s="50"/>
      <c r="PE340" s="50"/>
      <c r="PF340" s="50"/>
      <c r="PG340" s="50"/>
      <c r="PH340" s="50"/>
      <c r="PI340" s="50"/>
      <c r="PJ340" s="50"/>
      <c r="PK340" s="50"/>
      <c r="PL340" s="50"/>
      <c r="PM340" s="50"/>
      <c r="PN340" s="50"/>
      <c r="PO340" s="50"/>
      <c r="PP340" s="50"/>
      <c r="PQ340" s="50"/>
      <c r="PR340" s="50"/>
      <c r="PS340" s="50"/>
      <c r="PT340" s="50"/>
      <c r="PU340" s="50"/>
      <c r="PV340" s="50"/>
      <c r="PW340" s="50"/>
      <c r="PX340" s="50"/>
      <c r="PY340" s="50"/>
      <c r="PZ340" s="50"/>
      <c r="QA340" s="50"/>
      <c r="QB340" s="50"/>
      <c r="QC340" s="50"/>
      <c r="QD340" s="50"/>
      <c r="QE340" s="50"/>
      <c r="QF340" s="50"/>
      <c r="QG340" s="50"/>
      <c r="QH340" s="50"/>
      <c r="QI340" s="50"/>
      <c r="QJ340" s="50"/>
      <c r="QK340" s="50"/>
      <c r="QL340" s="50"/>
      <c r="QM340" s="50"/>
      <c r="QN340" s="50"/>
      <c r="QO340" s="50"/>
      <c r="QP340" s="50"/>
      <c r="QQ340" s="50"/>
      <c r="QR340" s="50"/>
      <c r="QS340" s="50"/>
      <c r="QT340" s="50"/>
      <c r="QU340" s="50"/>
      <c r="QV340" s="50"/>
      <c r="QW340" s="50"/>
      <c r="QX340" s="50"/>
      <c r="QY340" s="50"/>
      <c r="QZ340" s="50"/>
      <c r="RA340" s="50"/>
      <c r="RB340" s="50"/>
      <c r="RC340" s="50"/>
      <c r="RD340" s="50"/>
      <c r="RE340" s="50"/>
      <c r="RF340" s="50"/>
      <c r="RG340" s="50"/>
      <c r="RH340" s="50"/>
      <c r="RI340" s="50"/>
      <c r="RJ340" s="50"/>
      <c r="RK340" s="50"/>
      <c r="RL340" s="50"/>
      <c r="RM340" s="50"/>
      <c r="RN340" s="50"/>
      <c r="RO340" s="50"/>
      <c r="RP340" s="50"/>
      <c r="RQ340" s="50"/>
      <c r="RR340" s="50"/>
      <c r="RS340" s="50"/>
      <c r="RT340" s="50"/>
      <c r="RU340" s="50"/>
      <c r="RV340" s="50"/>
      <c r="RW340" s="50"/>
      <c r="RX340" s="50"/>
      <c r="RY340" s="50"/>
      <c r="RZ340" s="50"/>
      <c r="SA340" s="50"/>
      <c r="SB340" s="50"/>
      <c r="SC340" s="50"/>
      <c r="SD340" s="50"/>
      <c r="SE340" s="50"/>
      <c r="SF340" s="50"/>
      <c r="SG340" s="50"/>
      <c r="SH340" s="50"/>
      <c r="SI340" s="50"/>
      <c r="SJ340" s="50"/>
      <c r="SK340" s="50"/>
      <c r="SL340" s="50"/>
      <c r="SM340" s="50"/>
      <c r="SN340" s="50"/>
      <c r="SO340" s="50"/>
      <c r="SP340" s="50"/>
      <c r="SQ340" s="50"/>
      <c r="SR340" s="50"/>
      <c r="SS340" s="50"/>
      <c r="ST340" s="50"/>
      <c r="SU340" s="50"/>
      <c r="SV340" s="50"/>
      <c r="SW340" s="50"/>
      <c r="SX340" s="50"/>
      <c r="SY340" s="50"/>
      <c r="SZ340" s="50"/>
      <c r="TA340" s="50"/>
      <c r="TB340" s="50"/>
      <c r="TC340" s="50"/>
      <c r="TD340" s="50"/>
      <c r="TE340" s="50"/>
      <c r="TF340" s="50"/>
      <c r="TG340" s="50"/>
      <c r="TH340" s="50"/>
      <c r="TI340" s="50"/>
      <c r="TJ340" s="50"/>
      <c r="TK340" s="50"/>
      <c r="TL340" s="50"/>
      <c r="TM340" s="50"/>
      <c r="TN340" s="50"/>
      <c r="TO340" s="50"/>
      <c r="TP340" s="50"/>
      <c r="TQ340" s="50"/>
      <c r="TR340" s="50"/>
      <c r="TS340" s="50"/>
      <c r="TT340" s="50"/>
      <c r="TU340" s="50"/>
      <c r="TV340" s="50"/>
      <c r="TW340" s="50"/>
      <c r="TX340" s="50"/>
      <c r="TY340" s="50"/>
      <c r="TZ340" s="50"/>
      <c r="UA340" s="50"/>
      <c r="UB340" s="50"/>
      <c r="UC340" s="50"/>
      <c r="UD340" s="50"/>
      <c r="UE340" s="50"/>
      <c r="UF340" s="50"/>
      <c r="UG340" s="50"/>
      <c r="UH340" s="50"/>
      <c r="UI340" s="50"/>
      <c r="UJ340" s="50"/>
      <c r="UK340" s="50"/>
      <c r="UL340" s="50"/>
      <c r="UM340" s="50"/>
      <c r="UN340" s="50"/>
      <c r="UO340" s="50"/>
      <c r="UP340" s="50"/>
      <c r="UQ340" s="50"/>
      <c r="UR340" s="50"/>
      <c r="US340" s="50"/>
      <c r="UT340" s="50"/>
      <c r="UU340" s="50"/>
      <c r="UV340" s="50"/>
      <c r="UW340" s="50"/>
      <c r="UX340" s="50"/>
      <c r="UY340" s="50"/>
      <c r="UZ340" s="50"/>
      <c r="VA340" s="50"/>
      <c r="VB340" s="50"/>
      <c r="VC340" s="50"/>
      <c r="VD340" s="50"/>
      <c r="VE340" s="50"/>
      <c r="VF340" s="50"/>
      <c r="VG340" s="50"/>
      <c r="VH340" s="50"/>
      <c r="VI340" s="50"/>
      <c r="VJ340" s="50"/>
      <c r="VK340" s="50"/>
      <c r="VL340" s="50"/>
      <c r="VM340" s="50"/>
      <c r="VN340" s="50"/>
      <c r="VO340" s="50"/>
      <c r="VP340" s="50"/>
      <c r="VQ340" s="50"/>
      <c r="VR340" s="50"/>
      <c r="VS340" s="50"/>
      <c r="VT340" s="50"/>
      <c r="VU340" s="50"/>
      <c r="VV340" s="50"/>
      <c r="VW340" s="50"/>
      <c r="VX340" s="50"/>
      <c r="VY340" s="50"/>
      <c r="VZ340" s="50"/>
      <c r="WA340" s="50"/>
      <c r="WB340" s="50"/>
      <c r="WC340" s="50"/>
      <c r="WD340" s="50"/>
      <c r="WE340" s="50"/>
      <c r="WF340" s="50"/>
      <c r="WG340" s="50"/>
      <c r="WH340" s="50"/>
      <c r="WI340" s="50"/>
      <c r="WJ340" s="50"/>
      <c r="WK340" s="50"/>
      <c r="WL340" s="50"/>
      <c r="WM340" s="50"/>
      <c r="WN340" s="50"/>
      <c r="WO340" s="50"/>
      <c r="WP340" s="50"/>
      <c r="WQ340" s="50"/>
      <c r="WR340" s="50"/>
      <c r="WS340" s="50"/>
      <c r="WT340" s="50"/>
      <c r="WU340" s="50"/>
      <c r="WV340" s="50"/>
      <c r="WW340" s="50"/>
      <c r="WX340" s="50"/>
      <c r="WY340" s="50"/>
      <c r="WZ340" s="50"/>
      <c r="XA340" s="50"/>
      <c r="XB340" s="50"/>
      <c r="XC340" s="50"/>
      <c r="XD340" s="50"/>
      <c r="XE340" s="50"/>
      <c r="XF340" s="50"/>
      <c r="XG340" s="50"/>
      <c r="XH340" s="50"/>
      <c r="XI340" s="50"/>
      <c r="XJ340" s="50"/>
      <c r="XK340" s="50"/>
      <c r="XL340" s="50"/>
      <c r="XM340" s="50"/>
      <c r="XN340" s="50"/>
      <c r="XO340" s="50"/>
      <c r="XP340" s="50"/>
      <c r="XQ340" s="50"/>
      <c r="XR340" s="50"/>
      <c r="XS340" s="50"/>
      <c r="XT340" s="50"/>
      <c r="XU340" s="50"/>
      <c r="XV340" s="50"/>
      <c r="XW340" s="50"/>
      <c r="XX340" s="50"/>
      <c r="XY340" s="50"/>
      <c r="XZ340" s="50"/>
      <c r="YA340" s="50"/>
      <c r="YB340" s="50"/>
      <c r="YC340" s="50"/>
      <c r="YD340" s="50"/>
      <c r="YE340" s="50"/>
      <c r="YF340" s="50"/>
      <c r="YG340" s="50"/>
      <c r="YH340" s="50"/>
      <c r="YI340" s="50"/>
      <c r="YJ340" s="50"/>
      <c r="YK340" s="50"/>
      <c r="YL340" s="50"/>
      <c r="YM340" s="50"/>
      <c r="YN340" s="50"/>
      <c r="YO340" s="50"/>
      <c r="YP340" s="50"/>
      <c r="YQ340" s="50"/>
      <c r="YR340" s="50"/>
      <c r="YS340" s="50"/>
      <c r="YT340" s="50"/>
      <c r="YU340" s="50"/>
      <c r="YV340" s="50"/>
      <c r="YW340" s="50"/>
      <c r="YX340" s="50"/>
      <c r="YY340" s="50"/>
      <c r="YZ340" s="50"/>
      <c r="ZA340" s="50"/>
      <c r="ZB340" s="50"/>
      <c r="ZC340" s="50"/>
      <c r="ZD340" s="50"/>
      <c r="ZE340" s="50"/>
      <c r="ZF340" s="50"/>
      <c r="ZG340" s="50"/>
      <c r="ZH340" s="50"/>
      <c r="ZI340" s="50"/>
      <c r="ZJ340" s="50"/>
      <c r="ZK340" s="50"/>
      <c r="ZL340" s="50"/>
      <c r="ZM340" s="50"/>
      <c r="ZN340" s="50"/>
      <c r="ZO340" s="50"/>
      <c r="ZP340" s="50"/>
      <c r="ZQ340" s="50"/>
      <c r="ZR340" s="50"/>
      <c r="ZS340" s="50"/>
      <c r="ZT340" s="50"/>
      <c r="ZU340" s="50"/>
      <c r="ZV340" s="50"/>
      <c r="ZW340" s="50"/>
      <c r="ZX340" s="50"/>
      <c r="ZY340" s="618"/>
      <c r="ZZ340" s="36"/>
      <c r="AAA340" s="588"/>
      <c r="AAD340" s="112"/>
      <c r="AAE340" s="551" t="s">
        <v>26</v>
      </c>
      <c r="AAF340" s="583" t="s">
        <v>174</v>
      </c>
      <c r="AAG340" s="63"/>
      <c r="AAH340" s="63"/>
      <c r="AAI340" s="77"/>
      <c r="AAJ340" s="77"/>
      <c r="AAK340" s="77"/>
      <c r="AAL340" s="57"/>
      <c r="AAM340" s="112"/>
      <c r="AAN340"/>
      <c r="AAT340" s="23"/>
      <c r="AAU340" s="44"/>
    </row>
    <row r="341" spans="1:732" s="23" customFormat="1" ht="18" customHeight="1">
      <c r="A341" s="558"/>
      <c r="B341" s="754" t="str">
        <f>AAL341</f>
        <v>5-Public Comment and Testimony</v>
      </c>
      <c r="C341" s="754"/>
      <c r="D341" s="754"/>
      <c r="E341" s="754"/>
      <c r="F341" s="754"/>
      <c r="G341" s="754"/>
      <c r="H341" s="754"/>
      <c r="I341" s="627"/>
      <c r="J341" s="593"/>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19"/>
      <c r="ZZ341" s="119"/>
      <c r="AAA341" s="588"/>
      <c r="AAB341"/>
      <c r="AAC341"/>
      <c r="AAD341" s="112"/>
      <c r="AAE341" s="551" t="s">
        <v>27</v>
      </c>
      <c r="AAF341" s="583" t="s">
        <v>174</v>
      </c>
      <c r="AAG341" s="112"/>
      <c r="AAH341" s="112"/>
      <c r="AAI341" s="77"/>
      <c r="AAJ341" s="90"/>
      <c r="AAK341" s="90"/>
      <c r="AAL341" s="89" t="str">
        <f>IF(S.InvolveNotice=TRUE,"5-Public Comment and Testimony","5-Public comment is not involved.")</f>
        <v>5-Public Comment and Testimony</v>
      </c>
      <c r="AAM341" s="112"/>
      <c r="AAU341" s="44"/>
    </row>
    <row r="342" spans="1:732" s="23" customFormat="1" ht="18" customHeight="1">
      <c r="A342" s="558"/>
      <c r="B342" s="234" t="s">
        <v>15</v>
      </c>
      <c r="C342" s="703"/>
      <c r="D342" s="150"/>
      <c r="E342" s="151" t="s">
        <v>15</v>
      </c>
      <c r="F342" s="235" t="s">
        <v>2</v>
      </c>
      <c r="G342" s="152" t="s">
        <v>85</v>
      </c>
      <c r="H342" s="152" t="s">
        <v>86</v>
      </c>
      <c r="I342" s="627"/>
      <c r="J342" s="593"/>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48"/>
      <c r="BU342" s="48"/>
      <c r="BV342" s="48"/>
      <c r="BW342" s="48"/>
      <c r="BX342" s="48"/>
      <c r="BY342" s="48"/>
      <c r="BZ342" s="48"/>
      <c r="CA342" s="48"/>
      <c r="CB342" s="48"/>
      <c r="CC342" s="48"/>
      <c r="CD342" s="48"/>
      <c r="CE342" s="48"/>
      <c r="CF342" s="48"/>
      <c r="CG342" s="48"/>
      <c r="CH342" s="48"/>
      <c r="CI342" s="48"/>
      <c r="CJ342" s="48"/>
      <c r="CK342" s="48"/>
      <c r="CL342" s="48"/>
      <c r="CM342" s="48"/>
      <c r="CN342" s="48"/>
      <c r="CO342" s="48"/>
      <c r="CP342" s="48"/>
      <c r="CQ342" s="48"/>
      <c r="CR342" s="48"/>
      <c r="CS342" s="48"/>
      <c r="CT342" s="48"/>
      <c r="CU342" s="48"/>
      <c r="CV342" s="48"/>
      <c r="CW342" s="48"/>
      <c r="CX342" s="48"/>
      <c r="CY342" s="48"/>
      <c r="CZ342" s="48"/>
      <c r="DA342" s="48"/>
      <c r="DB342" s="48"/>
      <c r="DC342" s="48"/>
      <c r="DD342" s="48"/>
      <c r="DE342" s="48"/>
      <c r="DF342" s="48"/>
      <c r="DG342" s="48"/>
      <c r="DH342" s="48"/>
      <c r="DI342" s="48"/>
      <c r="DJ342" s="48"/>
      <c r="DK342" s="48"/>
      <c r="DL342" s="48"/>
      <c r="DM342" s="48"/>
      <c r="DN342" s="48"/>
      <c r="DO342" s="48"/>
      <c r="DP342" s="48"/>
      <c r="DQ342" s="48"/>
      <c r="DR342" s="48"/>
      <c r="DS342" s="48"/>
      <c r="DT342" s="48"/>
      <c r="DU342" s="48"/>
      <c r="DV342" s="48"/>
      <c r="DW342" s="48"/>
      <c r="DX342" s="48"/>
      <c r="DY342" s="48"/>
      <c r="DZ342" s="48"/>
      <c r="EA342" s="48"/>
      <c r="EB342" s="48"/>
      <c r="EC342" s="48"/>
      <c r="ED342" s="48"/>
      <c r="EE342" s="48"/>
      <c r="EF342" s="48"/>
      <c r="EG342" s="48"/>
      <c r="EH342" s="48"/>
      <c r="EI342" s="48"/>
      <c r="EJ342" s="48"/>
      <c r="EK342" s="48"/>
      <c r="EL342" s="48"/>
      <c r="EM342" s="48"/>
      <c r="EN342" s="48"/>
      <c r="EO342" s="48"/>
      <c r="EP342" s="48"/>
      <c r="EQ342" s="48"/>
      <c r="ER342" s="48"/>
      <c r="ES342" s="48"/>
      <c r="ET342" s="48"/>
      <c r="EU342" s="48"/>
      <c r="EV342" s="48"/>
      <c r="EW342" s="48"/>
      <c r="EX342" s="48"/>
      <c r="EY342" s="48"/>
      <c r="EZ342" s="48"/>
      <c r="FA342" s="48"/>
      <c r="FB342" s="48"/>
      <c r="FC342" s="48"/>
      <c r="FD342" s="48"/>
      <c r="FE342" s="48"/>
      <c r="FF342" s="48"/>
      <c r="FG342" s="48"/>
      <c r="FH342" s="48"/>
      <c r="FI342" s="48"/>
      <c r="FJ342" s="48"/>
      <c r="FK342" s="48"/>
      <c r="FL342" s="48"/>
      <c r="FM342" s="48"/>
      <c r="FN342" s="48"/>
      <c r="FO342" s="48"/>
      <c r="FP342" s="48"/>
      <c r="FQ342" s="48"/>
      <c r="FR342" s="48"/>
      <c r="FS342" s="48"/>
      <c r="FT342" s="48"/>
      <c r="FU342" s="48"/>
      <c r="FV342" s="48"/>
      <c r="FW342" s="48"/>
      <c r="FX342" s="48"/>
      <c r="FY342" s="48"/>
      <c r="FZ342" s="48"/>
      <c r="GA342" s="48"/>
      <c r="GB342" s="48"/>
      <c r="GC342" s="48"/>
      <c r="GD342" s="48"/>
      <c r="GE342" s="48"/>
      <c r="GF342" s="48"/>
      <c r="GG342" s="48"/>
      <c r="GH342" s="48"/>
      <c r="GI342" s="48"/>
      <c r="GJ342" s="48"/>
      <c r="GK342" s="48"/>
      <c r="GL342" s="48"/>
      <c r="GM342" s="48"/>
      <c r="GN342" s="48"/>
      <c r="GO342" s="48"/>
      <c r="GP342" s="48"/>
      <c r="GQ342" s="48"/>
      <c r="GR342" s="48"/>
      <c r="GS342" s="48"/>
      <c r="GT342" s="48"/>
      <c r="GU342" s="48"/>
      <c r="GV342" s="48"/>
      <c r="GW342" s="48"/>
      <c r="GX342" s="48"/>
      <c r="GY342" s="48"/>
      <c r="GZ342" s="48"/>
      <c r="HA342" s="48"/>
      <c r="HB342" s="48"/>
      <c r="HC342" s="48"/>
      <c r="HD342" s="48"/>
      <c r="HE342" s="48"/>
      <c r="HF342" s="48"/>
      <c r="HG342" s="48"/>
      <c r="HH342" s="48"/>
      <c r="HI342" s="48"/>
      <c r="HJ342" s="48"/>
      <c r="HK342" s="48"/>
      <c r="HL342" s="48"/>
      <c r="HM342" s="48"/>
      <c r="HN342" s="48"/>
      <c r="HO342" s="48"/>
      <c r="HP342" s="48"/>
      <c r="HQ342" s="48"/>
      <c r="HR342" s="48"/>
      <c r="HS342" s="48"/>
      <c r="HT342" s="48"/>
      <c r="HU342" s="48"/>
      <c r="HV342" s="48"/>
      <c r="HW342" s="48"/>
      <c r="HX342" s="48"/>
      <c r="HY342" s="48"/>
      <c r="HZ342" s="48"/>
      <c r="IA342" s="48"/>
      <c r="IB342" s="48"/>
      <c r="IC342" s="48"/>
      <c r="ID342" s="48"/>
      <c r="IE342" s="48"/>
      <c r="IF342" s="48"/>
      <c r="IG342" s="48"/>
      <c r="IH342" s="48"/>
      <c r="II342" s="48"/>
      <c r="IJ342" s="48"/>
      <c r="IK342" s="48"/>
      <c r="IL342" s="48"/>
      <c r="IM342" s="48"/>
      <c r="IN342" s="48"/>
      <c r="IO342" s="48"/>
      <c r="IP342" s="48"/>
      <c r="IQ342" s="48"/>
      <c r="IR342" s="48"/>
      <c r="IS342" s="48"/>
      <c r="IT342" s="48"/>
      <c r="IU342" s="48"/>
      <c r="IV342" s="48"/>
      <c r="IW342" s="48"/>
      <c r="IX342" s="48"/>
      <c r="IY342" s="48"/>
      <c r="IZ342" s="48"/>
      <c r="JA342" s="48"/>
      <c r="JB342" s="48"/>
      <c r="JC342" s="48"/>
      <c r="JD342" s="48"/>
      <c r="JE342" s="48"/>
      <c r="JF342" s="48"/>
      <c r="JG342" s="48"/>
      <c r="JH342" s="48"/>
      <c r="JI342" s="48"/>
      <c r="JJ342" s="48"/>
      <c r="JK342" s="48"/>
      <c r="JL342" s="48"/>
      <c r="JM342" s="48"/>
      <c r="JN342" s="48"/>
      <c r="JO342" s="48"/>
      <c r="JP342" s="48"/>
      <c r="JQ342" s="48"/>
      <c r="JR342" s="48"/>
      <c r="JS342" s="48"/>
      <c r="JT342" s="48"/>
      <c r="JU342" s="48"/>
      <c r="JV342" s="48"/>
      <c r="JW342" s="48"/>
      <c r="JX342" s="48"/>
      <c r="JY342" s="48"/>
      <c r="JZ342" s="48"/>
      <c r="KA342" s="48"/>
      <c r="KB342" s="48"/>
      <c r="KC342" s="48"/>
      <c r="KD342" s="48"/>
      <c r="KE342" s="48"/>
      <c r="KF342" s="48"/>
      <c r="KG342" s="48"/>
      <c r="KH342" s="48"/>
      <c r="KI342" s="48"/>
      <c r="KJ342" s="48"/>
      <c r="KK342" s="48"/>
      <c r="KL342" s="48"/>
      <c r="KM342" s="48"/>
      <c r="KN342" s="48"/>
      <c r="KO342" s="48"/>
      <c r="KP342" s="48"/>
      <c r="KQ342" s="48"/>
      <c r="KR342" s="48"/>
      <c r="KS342" s="48"/>
      <c r="KT342" s="48"/>
      <c r="KU342" s="48"/>
      <c r="KV342" s="48"/>
      <c r="KW342" s="48"/>
      <c r="KX342" s="48"/>
      <c r="KY342" s="48"/>
      <c r="KZ342" s="48"/>
      <c r="LA342" s="48"/>
      <c r="LB342" s="48"/>
      <c r="LC342" s="48"/>
      <c r="LD342" s="48"/>
      <c r="LE342" s="48"/>
      <c r="LF342" s="48"/>
      <c r="LG342" s="48"/>
      <c r="LH342" s="48"/>
      <c r="LI342" s="48"/>
      <c r="LJ342" s="48"/>
      <c r="LK342" s="48"/>
      <c r="LL342" s="48"/>
      <c r="LM342" s="48"/>
      <c r="LN342" s="48"/>
      <c r="LO342" s="48"/>
      <c r="LP342" s="48"/>
      <c r="LQ342" s="48"/>
      <c r="LR342" s="48"/>
      <c r="LS342" s="48"/>
      <c r="LT342" s="48"/>
      <c r="LU342" s="48"/>
      <c r="LV342" s="48"/>
      <c r="LW342" s="48"/>
      <c r="LX342" s="48"/>
      <c r="LY342" s="48"/>
      <c r="LZ342" s="48"/>
      <c r="MA342" s="48"/>
      <c r="MB342" s="48"/>
      <c r="MC342" s="48"/>
      <c r="MD342" s="48"/>
      <c r="ME342" s="48"/>
      <c r="MF342" s="48"/>
      <c r="MG342" s="48"/>
      <c r="MH342" s="48"/>
      <c r="MI342" s="48"/>
      <c r="MJ342" s="48"/>
      <c r="MK342" s="48"/>
      <c r="ML342" s="48"/>
      <c r="MM342" s="48"/>
      <c r="MN342" s="48"/>
      <c r="MO342" s="48"/>
      <c r="MP342" s="48"/>
      <c r="MQ342" s="48"/>
      <c r="MR342" s="48"/>
      <c r="MS342" s="48"/>
      <c r="MT342" s="48"/>
      <c r="MU342" s="48"/>
      <c r="MV342" s="48"/>
      <c r="MW342" s="48"/>
      <c r="MX342" s="48"/>
      <c r="MY342" s="48"/>
      <c r="MZ342" s="48"/>
      <c r="NA342" s="48"/>
      <c r="NB342" s="48"/>
      <c r="NC342" s="48"/>
      <c r="ND342" s="48"/>
      <c r="NE342" s="48"/>
      <c r="NF342" s="48"/>
      <c r="NG342" s="48"/>
      <c r="NH342" s="48"/>
      <c r="NI342" s="48"/>
      <c r="NJ342" s="48"/>
      <c r="NK342" s="48"/>
      <c r="NL342" s="48"/>
      <c r="NM342" s="48"/>
      <c r="NN342" s="48"/>
      <c r="NO342" s="48"/>
      <c r="NP342" s="48"/>
      <c r="NQ342" s="48"/>
      <c r="NR342" s="48"/>
      <c r="NS342" s="48"/>
      <c r="NT342" s="48"/>
      <c r="NU342" s="48"/>
      <c r="NV342" s="48"/>
      <c r="NW342" s="48"/>
      <c r="NX342" s="48"/>
      <c r="NY342" s="48"/>
      <c r="NZ342" s="48"/>
      <c r="OA342" s="48"/>
      <c r="OB342" s="48"/>
      <c r="OC342" s="48"/>
      <c r="OD342" s="48"/>
      <c r="OE342" s="48"/>
      <c r="OF342" s="48"/>
      <c r="OG342" s="48"/>
      <c r="OH342" s="48"/>
      <c r="OI342" s="48"/>
      <c r="OJ342" s="48"/>
      <c r="OK342" s="48"/>
      <c r="OL342" s="48"/>
      <c r="OM342" s="48"/>
      <c r="ON342" s="48"/>
      <c r="OO342" s="48"/>
      <c r="OP342" s="48"/>
      <c r="OQ342" s="48"/>
      <c r="OR342" s="48"/>
      <c r="OS342" s="48"/>
      <c r="OT342" s="48"/>
      <c r="OU342" s="48"/>
      <c r="OV342" s="48"/>
      <c r="OW342" s="48"/>
      <c r="OX342" s="48"/>
      <c r="OY342" s="48"/>
      <c r="OZ342" s="48"/>
      <c r="PA342" s="48"/>
      <c r="PB342" s="48"/>
      <c r="PC342" s="48"/>
      <c r="PD342" s="48"/>
      <c r="PE342" s="48"/>
      <c r="PF342" s="48"/>
      <c r="PG342" s="48"/>
      <c r="PH342" s="48"/>
      <c r="PI342" s="48"/>
      <c r="PJ342" s="48"/>
      <c r="PK342" s="48"/>
      <c r="PL342" s="48"/>
      <c r="PM342" s="48"/>
      <c r="PN342" s="48"/>
      <c r="PO342" s="48"/>
      <c r="PP342" s="48"/>
      <c r="PQ342" s="48"/>
      <c r="PR342" s="48"/>
      <c r="PS342" s="48"/>
      <c r="PT342" s="48"/>
      <c r="PU342" s="48"/>
      <c r="PV342" s="48"/>
      <c r="PW342" s="48"/>
      <c r="PX342" s="48"/>
      <c r="PY342" s="48"/>
      <c r="PZ342" s="48"/>
      <c r="QA342" s="48"/>
      <c r="QB342" s="48"/>
      <c r="QC342" s="48"/>
      <c r="QD342" s="48"/>
      <c r="QE342" s="48"/>
      <c r="QF342" s="48"/>
      <c r="QG342" s="48"/>
      <c r="QH342" s="48"/>
      <c r="QI342" s="48"/>
      <c r="QJ342" s="48"/>
      <c r="QK342" s="48"/>
      <c r="QL342" s="48"/>
      <c r="QM342" s="48"/>
      <c r="QN342" s="48"/>
      <c r="QO342" s="48"/>
      <c r="QP342" s="48"/>
      <c r="QQ342" s="48"/>
      <c r="QR342" s="48"/>
      <c r="QS342" s="48"/>
      <c r="QT342" s="48"/>
      <c r="QU342" s="48"/>
      <c r="QV342" s="48"/>
      <c r="QW342" s="48"/>
      <c r="QX342" s="48"/>
      <c r="QY342" s="48"/>
      <c r="QZ342" s="48"/>
      <c r="RA342" s="48"/>
      <c r="RB342" s="48"/>
      <c r="RC342" s="48"/>
      <c r="RD342" s="48"/>
      <c r="RE342" s="48"/>
      <c r="RF342" s="48"/>
      <c r="RG342" s="48"/>
      <c r="RH342" s="48"/>
      <c r="RI342" s="48"/>
      <c r="RJ342" s="48"/>
      <c r="RK342" s="48"/>
      <c r="RL342" s="48"/>
      <c r="RM342" s="48"/>
      <c r="RN342" s="48"/>
      <c r="RO342" s="48"/>
      <c r="RP342" s="48"/>
      <c r="RQ342" s="48"/>
      <c r="RR342" s="48"/>
      <c r="RS342" s="48"/>
      <c r="RT342" s="48"/>
      <c r="RU342" s="48"/>
      <c r="RV342" s="48"/>
      <c r="RW342" s="48"/>
      <c r="RX342" s="48"/>
      <c r="RY342" s="48"/>
      <c r="RZ342" s="48"/>
      <c r="SA342" s="48"/>
      <c r="SB342" s="48"/>
      <c r="SC342" s="48"/>
      <c r="SD342" s="48"/>
      <c r="SE342" s="48"/>
      <c r="SF342" s="48"/>
      <c r="SG342" s="48"/>
      <c r="SH342" s="48"/>
      <c r="SI342" s="48"/>
      <c r="SJ342" s="48"/>
      <c r="SK342" s="48"/>
      <c r="SL342" s="48"/>
      <c r="SM342" s="48"/>
      <c r="SN342" s="48"/>
      <c r="SO342" s="48"/>
      <c r="SP342" s="48"/>
      <c r="SQ342" s="48"/>
      <c r="SR342" s="48"/>
      <c r="SS342" s="48"/>
      <c r="ST342" s="48"/>
      <c r="SU342" s="48"/>
      <c r="SV342" s="48"/>
      <c r="SW342" s="48"/>
      <c r="SX342" s="48"/>
      <c r="SY342" s="48"/>
      <c r="SZ342" s="48"/>
      <c r="TA342" s="48"/>
      <c r="TB342" s="48"/>
      <c r="TC342" s="48"/>
      <c r="TD342" s="48"/>
      <c r="TE342" s="48"/>
      <c r="TF342" s="48"/>
      <c r="TG342" s="48"/>
      <c r="TH342" s="48"/>
      <c r="TI342" s="48"/>
      <c r="TJ342" s="48"/>
      <c r="TK342" s="48"/>
      <c r="TL342" s="48"/>
      <c r="TM342" s="48"/>
      <c r="TN342" s="48"/>
      <c r="TO342" s="48"/>
      <c r="TP342" s="48"/>
      <c r="TQ342" s="48"/>
      <c r="TR342" s="48"/>
      <c r="TS342" s="48"/>
      <c r="TT342" s="48"/>
      <c r="TU342" s="48"/>
      <c r="TV342" s="48"/>
      <c r="TW342" s="48"/>
      <c r="TX342" s="48"/>
      <c r="TY342" s="48"/>
      <c r="TZ342" s="48"/>
      <c r="UA342" s="48"/>
      <c r="UB342" s="48"/>
      <c r="UC342" s="48"/>
      <c r="UD342" s="48"/>
      <c r="UE342" s="48"/>
      <c r="UF342" s="48"/>
      <c r="UG342" s="48"/>
      <c r="UH342" s="48"/>
      <c r="UI342" s="48"/>
      <c r="UJ342" s="48"/>
      <c r="UK342" s="48"/>
      <c r="UL342" s="48"/>
      <c r="UM342" s="48"/>
      <c r="UN342" s="48"/>
      <c r="UO342" s="48"/>
      <c r="UP342" s="48"/>
      <c r="UQ342" s="48"/>
      <c r="UR342" s="48"/>
      <c r="US342" s="48"/>
      <c r="UT342" s="48"/>
      <c r="UU342" s="48"/>
      <c r="UV342" s="48"/>
      <c r="UW342" s="48"/>
      <c r="UX342" s="48"/>
      <c r="UY342" s="48"/>
      <c r="UZ342" s="48"/>
      <c r="VA342" s="48"/>
      <c r="VB342" s="48"/>
      <c r="VC342" s="48"/>
      <c r="VD342" s="48"/>
      <c r="VE342" s="48"/>
      <c r="VF342" s="48"/>
      <c r="VG342" s="48"/>
      <c r="VH342" s="48"/>
      <c r="VI342" s="48"/>
      <c r="VJ342" s="48"/>
      <c r="VK342" s="48"/>
      <c r="VL342" s="48"/>
      <c r="VM342" s="48"/>
      <c r="VN342" s="48"/>
      <c r="VO342" s="48"/>
      <c r="VP342" s="48"/>
      <c r="VQ342" s="48"/>
      <c r="VR342" s="48"/>
      <c r="VS342" s="48"/>
      <c r="VT342" s="48"/>
      <c r="VU342" s="48"/>
      <c r="VV342" s="48"/>
      <c r="VW342" s="48"/>
      <c r="VX342" s="48"/>
      <c r="VY342" s="48"/>
      <c r="VZ342" s="48"/>
      <c r="WA342" s="48"/>
      <c r="WB342" s="48"/>
      <c r="WC342" s="48"/>
      <c r="WD342" s="48"/>
      <c r="WE342" s="48"/>
      <c r="WF342" s="48"/>
      <c r="WG342" s="48"/>
      <c r="WH342" s="48"/>
      <c r="WI342" s="48"/>
      <c r="WJ342" s="48"/>
      <c r="WK342" s="48"/>
      <c r="WL342" s="48"/>
      <c r="WM342" s="48"/>
      <c r="WN342" s="48"/>
      <c r="WO342" s="48"/>
      <c r="WP342" s="48"/>
      <c r="WQ342" s="48"/>
      <c r="WR342" s="48"/>
      <c r="WS342" s="48"/>
      <c r="WT342" s="48"/>
      <c r="WU342" s="48"/>
      <c r="WV342" s="48"/>
      <c r="WW342" s="48"/>
      <c r="WX342" s="48"/>
      <c r="WY342" s="48"/>
      <c r="WZ342" s="48"/>
      <c r="XA342" s="48"/>
      <c r="XB342" s="48"/>
      <c r="XC342" s="48"/>
      <c r="XD342" s="48"/>
      <c r="XE342" s="48"/>
      <c r="XF342" s="48"/>
      <c r="XG342" s="48"/>
      <c r="XH342" s="48"/>
      <c r="XI342" s="48"/>
      <c r="XJ342" s="48"/>
      <c r="XK342" s="48"/>
      <c r="XL342" s="48"/>
      <c r="XM342" s="48"/>
      <c r="XN342" s="48"/>
      <c r="XO342" s="48"/>
      <c r="XP342" s="48"/>
      <c r="XQ342" s="48"/>
      <c r="XR342" s="48"/>
      <c r="XS342" s="48"/>
      <c r="XT342" s="48"/>
      <c r="XU342" s="48"/>
      <c r="XV342" s="48"/>
      <c r="XW342" s="48"/>
      <c r="XX342" s="48"/>
      <c r="XY342" s="48"/>
      <c r="XZ342" s="48"/>
      <c r="YA342" s="48"/>
      <c r="YB342" s="48"/>
      <c r="YC342" s="48"/>
      <c r="YD342" s="48"/>
      <c r="YE342" s="48"/>
      <c r="YF342" s="48"/>
      <c r="YG342" s="48"/>
      <c r="YH342" s="48"/>
      <c r="YI342" s="48"/>
      <c r="YJ342" s="48"/>
      <c r="YK342" s="48"/>
      <c r="YL342" s="48"/>
      <c r="YM342" s="48"/>
      <c r="YN342" s="48"/>
      <c r="YO342" s="48"/>
      <c r="YP342" s="48"/>
      <c r="YQ342" s="48"/>
      <c r="YR342" s="48"/>
      <c r="YS342" s="48"/>
      <c r="YT342" s="48"/>
      <c r="YU342" s="48"/>
      <c r="YV342" s="48"/>
      <c r="YW342" s="48"/>
      <c r="YX342" s="48"/>
      <c r="YY342" s="48"/>
      <c r="YZ342" s="48"/>
      <c r="ZA342" s="48"/>
      <c r="ZB342" s="48"/>
      <c r="ZC342" s="48"/>
      <c r="ZD342" s="48"/>
      <c r="ZE342" s="48"/>
      <c r="ZF342" s="48"/>
      <c r="ZG342" s="48"/>
      <c r="ZH342" s="48"/>
      <c r="ZI342" s="48"/>
      <c r="ZJ342" s="48"/>
      <c r="ZK342" s="48"/>
      <c r="ZL342" s="48"/>
      <c r="ZM342" s="48"/>
      <c r="ZN342" s="48"/>
      <c r="ZO342" s="48"/>
      <c r="ZP342" s="48"/>
      <c r="ZQ342" s="48"/>
      <c r="ZR342" s="48"/>
      <c r="ZS342" s="48"/>
      <c r="ZT342" s="48"/>
      <c r="ZU342" s="48"/>
      <c r="ZV342" s="48"/>
      <c r="ZW342" s="48"/>
      <c r="ZX342" s="48"/>
      <c r="ZY342" s="619"/>
      <c r="ZZ342" s="119"/>
      <c r="AAA342" s="588"/>
      <c r="AAB342"/>
      <c r="AAC342"/>
      <c r="AAD342" s="112"/>
      <c r="AAE342" s="551" t="s">
        <v>245</v>
      </c>
      <c r="AAF342" s="583" t="s">
        <v>174</v>
      </c>
      <c r="AAG342" s="112"/>
      <c r="AAH342" s="112"/>
      <c r="AAI342" s="77"/>
      <c r="AAJ342" s="90"/>
      <c r="AAK342" s="90"/>
      <c r="AAL342" s="76"/>
      <c r="AAM342" s="112"/>
      <c r="AAU342" s="44"/>
    </row>
    <row r="343" spans="1:732" ht="18" customHeight="1">
      <c r="A343" s="558"/>
      <c r="B343" s="202"/>
      <c r="C343" s="716"/>
      <c r="D343" s="202"/>
      <c r="E343" s="293" t="s">
        <v>0</v>
      </c>
      <c r="F343" s="466">
        <f>NETWORKDAYS(S.BANNER.HearingStart,S.BANNER.HearingEnd,S.DDL_DEQClosed)</f>
        <v>114</v>
      </c>
      <c r="G343" s="253">
        <f>AAG343</f>
        <v>41509</v>
      </c>
      <c r="H343" s="274">
        <f>AAH343</f>
        <v>41676</v>
      </c>
      <c r="I343" s="627"/>
      <c r="J343" s="629"/>
      <c r="K343" s="635"/>
      <c r="L343" s="635"/>
      <c r="M343" s="635"/>
      <c r="N343" s="635"/>
      <c r="O343" s="635"/>
      <c r="P343" s="635"/>
      <c r="Q343" s="635"/>
      <c r="R343" s="635"/>
      <c r="S343" s="635"/>
      <c r="T343" s="635"/>
      <c r="U343" s="635"/>
      <c r="V343" s="635"/>
      <c r="W343" s="635"/>
      <c r="X343" s="635"/>
      <c r="Y343" s="635"/>
      <c r="Z343" s="635"/>
      <c r="AA343" s="635"/>
      <c r="AB343" s="635"/>
      <c r="AC343" s="635"/>
      <c r="AD343" s="635"/>
      <c r="AE343" s="635"/>
      <c r="AF343" s="635"/>
      <c r="AG343" s="635"/>
      <c r="AH343" s="635"/>
      <c r="AI343" s="635"/>
      <c r="AJ343" s="635"/>
      <c r="AK343" s="635"/>
      <c r="AL343" s="635"/>
      <c r="AM343" s="635"/>
      <c r="AN343" s="635"/>
      <c r="AO343" s="635"/>
      <c r="AP343" s="635"/>
      <c r="AQ343" s="635"/>
      <c r="AR343" s="635"/>
      <c r="AS343" s="635"/>
      <c r="AT343" s="635"/>
      <c r="AU343" s="635"/>
      <c r="AV343" s="635"/>
      <c r="AW343" s="635"/>
      <c r="AX343" s="635"/>
      <c r="AY343" s="635"/>
      <c r="AZ343" s="635"/>
      <c r="BA343" s="635"/>
      <c r="BB343" s="635"/>
      <c r="BC343" s="635"/>
      <c r="BD343" s="635"/>
      <c r="BE343" s="635"/>
      <c r="BF343" s="635"/>
      <c r="BG343" s="635"/>
      <c r="BH343" s="635"/>
      <c r="BI343" s="635"/>
      <c r="BJ343" s="635"/>
      <c r="BK343" s="635"/>
      <c r="BL343" s="635"/>
      <c r="BM343" s="635"/>
      <c r="BN343" s="635"/>
      <c r="BO343" s="635"/>
      <c r="BP343" s="635"/>
      <c r="BQ343" s="635"/>
      <c r="BR343" s="635"/>
      <c r="BS343" s="635"/>
      <c r="BT343" s="635"/>
      <c r="BU343" s="635"/>
      <c r="BV343" s="635"/>
      <c r="BW343" s="635"/>
      <c r="BX343" s="635"/>
      <c r="BY343" s="635"/>
      <c r="BZ343" s="635"/>
      <c r="CA343" s="635"/>
      <c r="CB343" s="635"/>
      <c r="CC343" s="635"/>
      <c r="CD343" s="635"/>
      <c r="CE343" s="635"/>
      <c r="CF343" s="635"/>
      <c r="CG343" s="635"/>
      <c r="CH343" s="635"/>
      <c r="CI343" s="635"/>
      <c r="CJ343" s="635"/>
      <c r="CK343" s="635"/>
      <c r="CL343" s="635"/>
      <c r="CM343" s="635"/>
      <c r="CN343" s="635"/>
      <c r="CO343" s="635"/>
      <c r="CP343" s="635"/>
      <c r="CQ343" s="635"/>
      <c r="CR343" s="635"/>
      <c r="CS343" s="635"/>
      <c r="CT343" s="635"/>
      <c r="CU343" s="635"/>
      <c r="CV343" s="635"/>
      <c r="CW343" s="635"/>
      <c r="CX343" s="635"/>
      <c r="CY343" s="635"/>
      <c r="CZ343" s="635"/>
      <c r="DA343" s="635"/>
      <c r="DB343" s="635"/>
      <c r="DC343" s="635"/>
      <c r="DD343" s="635"/>
      <c r="DE343" s="635"/>
      <c r="DF343" s="635"/>
      <c r="DG343" s="635"/>
      <c r="DH343" s="635"/>
      <c r="DI343" s="635"/>
      <c r="DJ343" s="635"/>
      <c r="DK343" s="635"/>
      <c r="DL343" s="635"/>
      <c r="DM343" s="635"/>
      <c r="DN343" s="635"/>
      <c r="DO343" s="635"/>
      <c r="DP343" s="635"/>
      <c r="DQ343" s="635"/>
      <c r="DR343" s="635"/>
      <c r="DS343" s="635"/>
      <c r="DT343" s="635"/>
      <c r="DU343" s="635"/>
      <c r="DV343" s="635"/>
      <c r="DW343" s="635"/>
      <c r="DX343" s="635"/>
      <c r="DY343" s="635"/>
      <c r="DZ343" s="635"/>
      <c r="EA343" s="635"/>
      <c r="EB343" s="635"/>
      <c r="EC343" s="635"/>
      <c r="ED343" s="635"/>
      <c r="EE343" s="635"/>
      <c r="EF343" s="635"/>
      <c r="EG343" s="635"/>
      <c r="EH343" s="635"/>
      <c r="EI343" s="635"/>
      <c r="EJ343" s="635"/>
      <c r="EK343" s="635"/>
      <c r="EL343" s="635"/>
      <c r="EM343" s="635"/>
      <c r="EN343" s="635"/>
      <c r="EO343" s="635"/>
      <c r="EP343" s="635"/>
      <c r="EQ343" s="635"/>
      <c r="ER343" s="635"/>
      <c r="ES343" s="635"/>
      <c r="ET343" s="635"/>
      <c r="EU343" s="635"/>
      <c r="EV343" s="635"/>
      <c r="EW343" s="635"/>
      <c r="EX343" s="635"/>
      <c r="EY343" s="635"/>
      <c r="EZ343" s="635"/>
      <c r="FA343" s="635"/>
      <c r="FB343" s="635"/>
      <c r="FC343" s="635"/>
      <c r="FD343" s="635"/>
      <c r="FE343" s="635"/>
      <c r="FF343" s="635"/>
      <c r="FG343" s="635"/>
      <c r="FH343" s="635"/>
      <c r="FI343" s="635"/>
      <c r="FJ343" s="635"/>
      <c r="FK343" s="635"/>
      <c r="FL343" s="635"/>
      <c r="FM343" s="635"/>
      <c r="FN343" s="635"/>
      <c r="FO343" s="635"/>
      <c r="FP343" s="635"/>
      <c r="FQ343" s="635"/>
      <c r="FR343" s="635"/>
      <c r="FS343" s="635"/>
      <c r="FT343" s="635"/>
      <c r="FU343" s="635"/>
      <c r="FV343" s="635"/>
      <c r="FW343" s="635"/>
      <c r="FX343" s="635"/>
      <c r="FY343" s="635"/>
      <c r="FZ343" s="635"/>
      <c r="GA343" s="635"/>
      <c r="GB343" s="635"/>
      <c r="GC343" s="635"/>
      <c r="GD343" s="635"/>
      <c r="GE343" s="635"/>
      <c r="GF343" s="635"/>
      <c r="GG343" s="635"/>
      <c r="GH343" s="635"/>
      <c r="GI343" s="635"/>
      <c r="GJ343" s="635"/>
      <c r="GK343" s="635"/>
      <c r="GL343" s="635"/>
      <c r="GM343" s="635"/>
      <c r="GN343" s="635"/>
      <c r="GO343" s="635"/>
      <c r="GP343" s="635"/>
      <c r="GQ343" s="635"/>
      <c r="GR343" s="635"/>
      <c r="GS343" s="635"/>
      <c r="GT343" s="635"/>
      <c r="GU343" s="635"/>
      <c r="GV343" s="635"/>
      <c r="GW343" s="635"/>
      <c r="GX343" s="635"/>
      <c r="GY343" s="635"/>
      <c r="GZ343" s="635"/>
      <c r="HA343" s="635"/>
      <c r="HB343" s="635"/>
      <c r="HC343" s="635"/>
      <c r="HD343" s="635"/>
      <c r="HE343" s="635"/>
      <c r="HF343" s="635"/>
      <c r="HG343" s="635"/>
      <c r="HH343" s="635"/>
      <c r="HI343" s="635"/>
      <c r="HJ343" s="635"/>
      <c r="HK343" s="635"/>
      <c r="HL343" s="635"/>
      <c r="HM343" s="635"/>
      <c r="HN343" s="635"/>
      <c r="HO343" s="635"/>
      <c r="HP343" s="635"/>
      <c r="HQ343" s="635"/>
      <c r="HR343" s="635"/>
      <c r="HS343" s="635"/>
      <c r="HT343" s="635"/>
      <c r="HU343" s="635"/>
      <c r="HV343" s="635"/>
      <c r="HW343" s="635"/>
      <c r="HX343" s="635"/>
      <c r="HY343" s="635"/>
      <c r="HZ343" s="635"/>
      <c r="IA343" s="635"/>
      <c r="IB343" s="635"/>
      <c r="IC343" s="635"/>
      <c r="ID343" s="635"/>
      <c r="IE343" s="635"/>
      <c r="IF343" s="635"/>
      <c r="IG343" s="635"/>
      <c r="IH343" s="635"/>
      <c r="II343" s="635"/>
      <c r="IJ343" s="635"/>
      <c r="IK343" s="635"/>
      <c r="IL343" s="635"/>
      <c r="IM343" s="635"/>
      <c r="IN343" s="635"/>
      <c r="IO343" s="635"/>
      <c r="IP343" s="635"/>
      <c r="IQ343" s="635"/>
      <c r="IR343" s="635"/>
      <c r="IS343" s="635"/>
      <c r="IT343" s="635"/>
      <c r="IU343" s="635"/>
      <c r="IV343" s="635"/>
      <c r="IW343" s="635"/>
      <c r="IX343" s="635"/>
      <c r="IY343" s="635"/>
      <c r="IZ343" s="635"/>
      <c r="JA343" s="635"/>
      <c r="JB343" s="635"/>
      <c r="JC343" s="635"/>
      <c r="JD343" s="635"/>
      <c r="JE343" s="635"/>
      <c r="JF343" s="635"/>
      <c r="JG343" s="635"/>
      <c r="JH343" s="635"/>
      <c r="JI343" s="635"/>
      <c r="JJ343" s="635"/>
      <c r="JK343" s="635"/>
      <c r="JL343" s="635"/>
      <c r="JM343" s="635"/>
      <c r="JN343" s="635"/>
      <c r="JO343" s="635"/>
      <c r="JP343" s="635"/>
      <c r="JQ343" s="635"/>
      <c r="JR343" s="635"/>
      <c r="JS343" s="635"/>
      <c r="JT343" s="635"/>
      <c r="JU343" s="635"/>
      <c r="JV343" s="635"/>
      <c r="JW343" s="635"/>
      <c r="JX343" s="635"/>
      <c r="JY343" s="635"/>
      <c r="JZ343" s="635"/>
      <c r="KA343" s="635"/>
      <c r="KB343" s="635"/>
      <c r="KC343" s="635"/>
      <c r="KD343" s="635"/>
      <c r="KE343" s="635"/>
      <c r="KF343" s="635"/>
      <c r="KG343" s="635"/>
      <c r="KH343" s="635"/>
      <c r="KI343" s="635"/>
      <c r="KJ343" s="635"/>
      <c r="KK343" s="635"/>
      <c r="KL343" s="635"/>
      <c r="KM343" s="635"/>
      <c r="KN343" s="635"/>
      <c r="KO343" s="635"/>
      <c r="KP343" s="635"/>
      <c r="KQ343" s="635"/>
      <c r="KR343" s="635"/>
      <c r="KS343" s="635"/>
      <c r="KT343" s="635"/>
      <c r="KU343" s="635"/>
      <c r="KV343" s="635"/>
      <c r="KW343" s="635"/>
      <c r="KX343" s="635"/>
      <c r="KY343" s="635"/>
      <c r="KZ343" s="635"/>
      <c r="LA343" s="635"/>
      <c r="LB343" s="635"/>
      <c r="LC343" s="635"/>
      <c r="LD343" s="635"/>
      <c r="LE343" s="635"/>
      <c r="LF343" s="635"/>
      <c r="LG343" s="635"/>
      <c r="LH343" s="635"/>
      <c r="LI343" s="635"/>
      <c r="LJ343" s="635"/>
      <c r="LK343" s="635"/>
      <c r="LL343" s="635"/>
      <c r="LM343" s="635"/>
      <c r="LN343" s="635"/>
      <c r="LO343" s="635"/>
      <c r="LP343" s="635"/>
      <c r="LQ343" s="635"/>
      <c r="LR343" s="635"/>
      <c r="LS343" s="635"/>
      <c r="LT343" s="635"/>
      <c r="LU343" s="635"/>
      <c r="LV343" s="635"/>
      <c r="LW343" s="635"/>
      <c r="LX343" s="635"/>
      <c r="LY343" s="635"/>
      <c r="LZ343" s="635"/>
      <c r="MA343" s="635"/>
      <c r="MB343" s="635"/>
      <c r="MC343" s="635"/>
      <c r="MD343" s="635"/>
      <c r="ME343" s="635"/>
      <c r="MF343" s="635"/>
      <c r="MG343" s="635"/>
      <c r="MH343" s="635"/>
      <c r="MI343" s="635"/>
      <c r="MJ343" s="635"/>
      <c r="MK343" s="635"/>
      <c r="ML343" s="635"/>
      <c r="MM343" s="635"/>
      <c r="MN343" s="635"/>
      <c r="MO343" s="635"/>
      <c r="MP343" s="635"/>
      <c r="MQ343" s="635"/>
      <c r="MR343" s="635"/>
      <c r="MS343" s="635"/>
      <c r="MT343" s="635"/>
      <c r="MU343" s="635"/>
      <c r="MV343" s="635"/>
      <c r="MW343" s="635"/>
      <c r="MX343" s="635"/>
      <c r="MY343" s="635"/>
      <c r="MZ343" s="635"/>
      <c r="NA343" s="635"/>
      <c r="NB343" s="635"/>
      <c r="NC343" s="635"/>
      <c r="ND343" s="635"/>
      <c r="NE343" s="635"/>
      <c r="NF343" s="635"/>
      <c r="NG343" s="635"/>
      <c r="NH343" s="635"/>
      <c r="NI343" s="635"/>
      <c r="NJ343" s="635"/>
      <c r="NK343" s="635"/>
      <c r="NL343" s="635"/>
      <c r="NM343" s="635"/>
      <c r="NN343" s="635"/>
      <c r="NO343" s="635"/>
      <c r="NP343" s="635"/>
      <c r="NQ343" s="635"/>
      <c r="NR343" s="635"/>
      <c r="NS343" s="635"/>
      <c r="NT343" s="635"/>
      <c r="NU343" s="635"/>
      <c r="NV343" s="635"/>
      <c r="NW343" s="635"/>
      <c r="NX343" s="635"/>
      <c r="NY343" s="635"/>
      <c r="NZ343" s="635"/>
      <c r="OA343" s="635"/>
      <c r="OB343" s="635"/>
      <c r="OC343" s="635"/>
      <c r="OD343" s="635"/>
      <c r="OE343" s="635"/>
      <c r="OF343" s="635"/>
      <c r="OG343" s="635"/>
      <c r="OH343" s="635"/>
      <c r="OI343" s="635"/>
      <c r="OJ343" s="635"/>
      <c r="OK343" s="635"/>
      <c r="OL343" s="635"/>
      <c r="OM343" s="635"/>
      <c r="ON343" s="635"/>
      <c r="OO343" s="635"/>
      <c r="OP343" s="635"/>
      <c r="OQ343" s="635"/>
      <c r="OR343" s="635"/>
      <c r="OS343" s="635"/>
      <c r="OT343" s="635"/>
      <c r="OU343" s="635"/>
      <c r="OV343" s="635"/>
      <c r="OW343" s="635"/>
      <c r="OX343" s="635"/>
      <c r="OY343" s="635"/>
      <c r="OZ343" s="635"/>
      <c r="PA343" s="635"/>
      <c r="PB343" s="635"/>
      <c r="PC343" s="635"/>
      <c r="PD343" s="635"/>
      <c r="PE343" s="635"/>
      <c r="PF343" s="635"/>
      <c r="PG343" s="635"/>
      <c r="PH343" s="635"/>
      <c r="PI343" s="635"/>
      <c r="PJ343" s="635"/>
      <c r="PK343" s="635"/>
      <c r="PL343" s="635"/>
      <c r="PM343" s="635"/>
      <c r="PN343" s="635"/>
      <c r="PO343" s="635"/>
      <c r="PP343" s="635"/>
      <c r="PQ343" s="635"/>
      <c r="PR343" s="635"/>
      <c r="PS343" s="635"/>
      <c r="PT343" s="635"/>
      <c r="PU343" s="635"/>
      <c r="PV343" s="635"/>
      <c r="PW343" s="635"/>
      <c r="PX343" s="635"/>
      <c r="PY343" s="635"/>
      <c r="PZ343" s="635"/>
      <c r="QA343" s="635"/>
      <c r="QB343" s="635"/>
      <c r="QC343" s="635"/>
      <c r="QD343" s="635"/>
      <c r="QE343" s="635"/>
      <c r="QF343" s="635"/>
      <c r="QG343" s="635"/>
      <c r="QH343" s="635"/>
      <c r="QI343" s="635"/>
      <c r="QJ343" s="635"/>
      <c r="QK343" s="635"/>
      <c r="QL343" s="635"/>
      <c r="QM343" s="635"/>
      <c r="QN343" s="635"/>
      <c r="QO343" s="635"/>
      <c r="QP343" s="635"/>
      <c r="QQ343" s="635"/>
      <c r="QR343" s="635"/>
      <c r="QS343" s="635"/>
      <c r="QT343" s="635"/>
      <c r="QU343" s="635"/>
      <c r="QV343" s="635"/>
      <c r="QW343" s="635"/>
      <c r="QX343" s="635"/>
      <c r="QY343" s="635"/>
      <c r="QZ343" s="635"/>
      <c r="RA343" s="635"/>
      <c r="RB343" s="635"/>
      <c r="RC343" s="635"/>
      <c r="RD343" s="635"/>
      <c r="RE343" s="635"/>
      <c r="RF343" s="635"/>
      <c r="RG343" s="635"/>
      <c r="RH343" s="635"/>
      <c r="RI343" s="635"/>
      <c r="RJ343" s="635"/>
      <c r="RK343" s="635"/>
      <c r="RL343" s="635"/>
      <c r="RM343" s="635"/>
      <c r="RN343" s="635"/>
      <c r="RO343" s="635"/>
      <c r="RP343" s="635"/>
      <c r="RQ343" s="635"/>
      <c r="RR343" s="635"/>
      <c r="RS343" s="635"/>
      <c r="RT343" s="635"/>
      <c r="RU343" s="635"/>
      <c r="RV343" s="635"/>
      <c r="RW343" s="635"/>
      <c r="RX343" s="635"/>
      <c r="RY343" s="635"/>
      <c r="RZ343" s="635"/>
      <c r="SA343" s="635"/>
      <c r="SB343" s="635"/>
      <c r="SC343" s="635"/>
      <c r="SD343" s="635"/>
      <c r="SE343" s="635"/>
      <c r="SF343" s="635"/>
      <c r="SG343" s="635"/>
      <c r="SH343" s="635"/>
      <c r="SI343" s="635"/>
      <c r="SJ343" s="635"/>
      <c r="SK343" s="635"/>
      <c r="SL343" s="635"/>
      <c r="SM343" s="635"/>
      <c r="SN343" s="635"/>
      <c r="SO343" s="635"/>
      <c r="SP343" s="635"/>
      <c r="SQ343" s="635"/>
      <c r="SR343" s="635"/>
      <c r="SS343" s="635"/>
      <c r="ST343" s="635"/>
      <c r="SU343" s="635"/>
      <c r="SV343" s="635"/>
      <c r="SW343" s="635"/>
      <c r="SX343" s="635"/>
      <c r="SY343" s="635"/>
      <c r="SZ343" s="635"/>
      <c r="TA343" s="635"/>
      <c r="TB343" s="635"/>
      <c r="TC343" s="635"/>
      <c r="TD343" s="635"/>
      <c r="TE343" s="635"/>
      <c r="TF343" s="635"/>
      <c r="TG343" s="635"/>
      <c r="TH343" s="635"/>
      <c r="TI343" s="635"/>
      <c r="TJ343" s="635"/>
      <c r="TK343" s="635"/>
      <c r="TL343" s="635"/>
      <c r="TM343" s="635"/>
      <c r="TN343" s="635"/>
      <c r="TO343" s="635"/>
      <c r="TP343" s="635"/>
      <c r="TQ343" s="635"/>
      <c r="TR343" s="635"/>
      <c r="TS343" s="635"/>
      <c r="TT343" s="635"/>
      <c r="TU343" s="635"/>
      <c r="TV343" s="635"/>
      <c r="TW343" s="635"/>
      <c r="TX343" s="635"/>
      <c r="TY343" s="635"/>
      <c r="TZ343" s="635"/>
      <c r="UA343" s="635"/>
      <c r="UB343" s="635"/>
      <c r="UC343" s="635"/>
      <c r="UD343" s="635"/>
      <c r="UE343" s="635"/>
      <c r="UF343" s="635"/>
      <c r="UG343" s="635"/>
      <c r="UH343" s="635"/>
      <c r="UI343" s="635"/>
      <c r="UJ343" s="635"/>
      <c r="UK343" s="635"/>
      <c r="UL343" s="635"/>
      <c r="UM343" s="635"/>
      <c r="UN343" s="635"/>
      <c r="UO343" s="635"/>
      <c r="UP343" s="635"/>
      <c r="UQ343" s="635"/>
      <c r="UR343" s="635"/>
      <c r="US343" s="635"/>
      <c r="UT343" s="635"/>
      <c r="UU343" s="635"/>
      <c r="UV343" s="635"/>
      <c r="UW343" s="635"/>
      <c r="UX343" s="635"/>
      <c r="UY343" s="635"/>
      <c r="UZ343" s="635"/>
      <c r="VA343" s="635"/>
      <c r="VB343" s="635"/>
      <c r="VC343" s="635"/>
      <c r="VD343" s="635"/>
      <c r="VE343" s="635"/>
      <c r="VF343" s="635"/>
      <c r="VG343" s="635"/>
      <c r="VH343" s="635"/>
      <c r="VI343" s="635"/>
      <c r="VJ343" s="635"/>
      <c r="VK343" s="635"/>
      <c r="VL343" s="635"/>
      <c r="VM343" s="635"/>
      <c r="VN343" s="635"/>
      <c r="VO343" s="635"/>
      <c r="VP343" s="635"/>
      <c r="VQ343" s="635"/>
      <c r="VR343" s="635"/>
      <c r="VS343" s="635"/>
      <c r="VT343" s="635"/>
      <c r="VU343" s="635"/>
      <c r="VV343" s="635"/>
      <c r="VW343" s="635"/>
      <c r="VX343" s="635"/>
      <c r="VY343" s="635"/>
      <c r="VZ343" s="635"/>
      <c r="WA343" s="635"/>
      <c r="WB343" s="635"/>
      <c r="WC343" s="635"/>
      <c r="WD343" s="635"/>
      <c r="WE343" s="635"/>
      <c r="WF343" s="635"/>
      <c r="WG343" s="635"/>
      <c r="WH343" s="635"/>
      <c r="WI343" s="635"/>
      <c r="WJ343" s="635"/>
      <c r="WK343" s="635"/>
      <c r="WL343" s="635"/>
      <c r="WM343" s="635"/>
      <c r="WN343" s="635"/>
      <c r="WO343" s="635"/>
      <c r="WP343" s="635"/>
      <c r="WQ343" s="635"/>
      <c r="WR343" s="635"/>
      <c r="WS343" s="635"/>
      <c r="WT343" s="635"/>
      <c r="WU343" s="635"/>
      <c r="WV343" s="635"/>
      <c r="WW343" s="635"/>
      <c r="WX343" s="635"/>
      <c r="WY343" s="635"/>
      <c r="WZ343" s="635"/>
      <c r="XA343" s="635"/>
      <c r="XB343" s="635"/>
      <c r="XC343" s="635"/>
      <c r="XD343" s="635"/>
      <c r="XE343" s="635"/>
      <c r="XF343" s="635"/>
      <c r="XG343" s="635"/>
      <c r="XH343" s="635"/>
      <c r="XI343" s="635"/>
      <c r="XJ343" s="635"/>
      <c r="XK343" s="635"/>
      <c r="XL343" s="635"/>
      <c r="XM343" s="635"/>
      <c r="XN343" s="635"/>
      <c r="XO343" s="635"/>
      <c r="XP343" s="635"/>
      <c r="XQ343" s="635"/>
      <c r="XR343" s="635"/>
      <c r="XS343" s="635"/>
      <c r="XT343" s="635"/>
      <c r="XU343" s="635"/>
      <c r="XV343" s="635"/>
      <c r="XW343" s="635"/>
      <c r="XX343" s="635"/>
      <c r="XY343" s="635"/>
      <c r="XZ343" s="635"/>
      <c r="YA343" s="635"/>
      <c r="YB343" s="635"/>
      <c r="YC343" s="635"/>
      <c r="YD343" s="635"/>
      <c r="YE343" s="635"/>
      <c r="YF343" s="635"/>
      <c r="YG343" s="635"/>
      <c r="YH343" s="635"/>
      <c r="YI343" s="635"/>
      <c r="YJ343" s="635"/>
      <c r="YK343" s="635"/>
      <c r="YL343" s="635"/>
      <c r="YM343" s="635"/>
      <c r="YN343" s="635"/>
      <c r="YO343" s="635"/>
      <c r="YP343" s="635"/>
      <c r="YQ343" s="635"/>
      <c r="YR343" s="635"/>
      <c r="YS343" s="635"/>
      <c r="YT343" s="635"/>
      <c r="YU343" s="635"/>
      <c r="YV343" s="635"/>
      <c r="YW343" s="635"/>
      <c r="YX343" s="635"/>
      <c r="YY343" s="635"/>
      <c r="YZ343" s="635"/>
      <c r="ZA343" s="635"/>
      <c r="ZB343" s="635"/>
      <c r="ZC343" s="635"/>
      <c r="ZD343" s="635"/>
      <c r="ZE343" s="635"/>
      <c r="ZF343" s="635"/>
      <c r="ZG343" s="635"/>
      <c r="ZH343" s="635"/>
      <c r="ZI343" s="635"/>
      <c r="ZJ343" s="635"/>
      <c r="ZK343" s="635"/>
      <c r="ZL343" s="635"/>
      <c r="ZM343" s="635"/>
      <c r="ZN343" s="635"/>
      <c r="ZO343" s="635"/>
      <c r="ZP343" s="635"/>
      <c r="ZQ343" s="635"/>
      <c r="ZR343" s="635"/>
      <c r="ZS343" s="635"/>
      <c r="ZT343" s="635"/>
      <c r="ZU343" s="635"/>
      <c r="ZV343" s="635"/>
      <c r="ZW343" s="635"/>
      <c r="ZX343" s="635"/>
      <c r="ZY343" s="638"/>
      <c r="ZZ343" s="119"/>
      <c r="AAA343" s="588"/>
      <c r="AAD343" s="112"/>
      <c r="AAE343" s="551" t="s">
        <v>245</v>
      </c>
      <c r="AAF343" s="583" t="s">
        <v>174</v>
      </c>
      <c r="AAG343" s="78">
        <f>WORKDAY(S.SubmitNoticeToSOS-19,-1,S.DDL_DEQClosed)</f>
        <v>41509</v>
      </c>
      <c r="AAH343" s="78">
        <f>S.SubmitStaffRpt</f>
        <v>41676</v>
      </c>
      <c r="AAI343" s="77"/>
      <c r="AAJ343" s="77"/>
      <c r="AAK343" s="77"/>
      <c r="AAL343" s="65"/>
      <c r="AAM343" s="112"/>
      <c r="AAN343"/>
      <c r="AAT343" s="23"/>
      <c r="AAU343" s="44"/>
    </row>
    <row r="344" spans="1:732" ht="6" customHeight="1">
      <c r="A344" s="558"/>
      <c r="B344" s="206"/>
      <c r="C344" s="688"/>
      <c r="D344" s="180"/>
      <c r="E344" s="181"/>
      <c r="F344" s="181"/>
      <c r="G344" s="180"/>
      <c r="H344" s="180"/>
      <c r="I344" s="588"/>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c r="BD344" s="32"/>
      <c r="BE344" s="32"/>
      <c r="BF344" s="32"/>
      <c r="BG344" s="32"/>
      <c r="BH344" s="32"/>
      <c r="BI344" s="32"/>
      <c r="BJ344" s="32"/>
      <c r="BK344" s="32"/>
      <c r="BL344" s="32"/>
      <c r="BM344" s="32"/>
      <c r="BN344" s="32"/>
      <c r="BO344" s="32"/>
      <c r="BP344" s="32"/>
      <c r="BQ344" s="32"/>
      <c r="BR344" s="32"/>
      <c r="BS344" s="32"/>
      <c r="BT344" s="32"/>
      <c r="BU344" s="32"/>
      <c r="BV344" s="32"/>
      <c r="BW344" s="32"/>
      <c r="BX344" s="32"/>
      <c r="BY344" s="32"/>
      <c r="BZ344" s="32"/>
      <c r="CA344" s="32"/>
      <c r="CB344" s="32"/>
      <c r="CC344" s="32"/>
      <c r="CD344" s="32"/>
      <c r="CE344" s="32"/>
      <c r="CF344" s="32"/>
      <c r="CG344" s="32"/>
      <c r="CH344" s="32"/>
      <c r="CI344" s="32"/>
      <c r="CJ344" s="32"/>
      <c r="CK344" s="32"/>
      <c r="CL344" s="32"/>
      <c r="CM344" s="32"/>
      <c r="CN344" s="32"/>
      <c r="CO344" s="32"/>
      <c r="CP344" s="32"/>
      <c r="CQ344" s="32"/>
      <c r="CR344" s="32"/>
      <c r="CS344" s="32"/>
      <c r="CT344" s="32"/>
      <c r="CU344" s="32"/>
      <c r="CV344" s="32"/>
      <c r="CW344" s="32"/>
      <c r="CX344" s="32"/>
      <c r="CY344" s="32"/>
      <c r="CZ344" s="32"/>
      <c r="DA344" s="32"/>
      <c r="DB344" s="32"/>
      <c r="DC344" s="32"/>
      <c r="DD344" s="32"/>
      <c r="DE344" s="32"/>
      <c r="DF344" s="32"/>
      <c r="DG344" s="32"/>
      <c r="DH344" s="32"/>
      <c r="DI344" s="32"/>
      <c r="DJ344" s="32"/>
      <c r="DK344" s="32"/>
      <c r="DL344" s="32"/>
      <c r="DM344" s="32"/>
      <c r="DN344" s="32"/>
      <c r="DO344" s="32"/>
      <c r="DP344" s="32"/>
      <c r="DQ344" s="32"/>
      <c r="DR344" s="32"/>
      <c r="DS344" s="32"/>
      <c r="DT344" s="32"/>
      <c r="DU344" s="32"/>
      <c r="DV344" s="32"/>
      <c r="DW344" s="32"/>
      <c r="DX344" s="32"/>
      <c r="DY344" s="32"/>
      <c r="DZ344" s="32"/>
      <c r="EA344" s="32"/>
      <c r="EB344" s="32"/>
      <c r="EC344" s="32"/>
      <c r="ED344" s="32"/>
      <c r="EE344" s="32"/>
      <c r="EF344" s="32"/>
      <c r="EG344" s="32"/>
      <c r="EH344" s="32"/>
      <c r="EI344" s="32"/>
      <c r="EJ344" s="32"/>
      <c r="EK344" s="32"/>
      <c r="EL344" s="32"/>
      <c r="EM344" s="32"/>
      <c r="EN344" s="32"/>
      <c r="EO344" s="32"/>
      <c r="EP344" s="32"/>
      <c r="EQ344" s="32"/>
      <c r="ER344" s="32"/>
      <c r="ES344" s="32"/>
      <c r="ET344" s="32"/>
      <c r="EU344" s="32"/>
      <c r="EV344" s="32"/>
      <c r="EW344" s="32"/>
      <c r="EX344" s="32"/>
      <c r="EY344" s="32"/>
      <c r="EZ344" s="32"/>
      <c r="FA344" s="32"/>
      <c r="FB344" s="32"/>
      <c r="FC344" s="32"/>
      <c r="FD344" s="32"/>
      <c r="FE344" s="32"/>
      <c r="FF344" s="32"/>
      <c r="FG344" s="32"/>
      <c r="FH344" s="32"/>
      <c r="FI344" s="32"/>
      <c r="FJ344" s="32"/>
      <c r="FK344" s="32"/>
      <c r="FL344" s="32"/>
      <c r="FM344" s="32"/>
      <c r="FN344" s="32"/>
      <c r="FO344" s="32"/>
      <c r="FP344" s="32"/>
      <c r="FQ344" s="32"/>
      <c r="FR344" s="32"/>
      <c r="FS344" s="32"/>
      <c r="FT344" s="32"/>
      <c r="FU344" s="32"/>
      <c r="FV344" s="32"/>
      <c r="FW344" s="32"/>
      <c r="FX344" s="32"/>
      <c r="FY344" s="32"/>
      <c r="FZ344" s="32"/>
      <c r="GA344" s="32"/>
      <c r="GB344" s="32"/>
      <c r="GC344" s="32"/>
      <c r="GD344" s="32"/>
      <c r="GE344" s="32"/>
      <c r="GF344" s="32"/>
      <c r="GG344" s="32"/>
      <c r="GH344" s="32"/>
      <c r="GI344" s="32"/>
      <c r="GJ344" s="32"/>
      <c r="GK344" s="32"/>
      <c r="GL344" s="32"/>
      <c r="GM344" s="32"/>
      <c r="GN344" s="32"/>
      <c r="GO344" s="32"/>
      <c r="GP344" s="32"/>
      <c r="GQ344" s="32"/>
      <c r="GR344" s="32"/>
      <c r="GS344" s="32"/>
      <c r="GT344" s="32"/>
      <c r="GU344" s="32"/>
      <c r="GV344" s="32"/>
      <c r="GW344" s="32"/>
      <c r="GX344" s="32"/>
      <c r="GY344" s="32"/>
      <c r="GZ344" s="32"/>
      <c r="HA344" s="32"/>
      <c r="HB344" s="32"/>
      <c r="HC344" s="32"/>
      <c r="HD344" s="32"/>
      <c r="HE344" s="32"/>
      <c r="HF344" s="32"/>
      <c r="HG344" s="32"/>
      <c r="HH344" s="32"/>
      <c r="HI344" s="32"/>
      <c r="HJ344" s="32"/>
      <c r="HK344" s="32"/>
      <c r="HL344" s="32"/>
      <c r="HM344" s="32"/>
      <c r="HN344" s="32"/>
      <c r="HO344" s="32"/>
      <c r="HP344" s="32"/>
      <c r="HQ344" s="32"/>
      <c r="HR344" s="32"/>
      <c r="HS344" s="32"/>
      <c r="HT344" s="32"/>
      <c r="HU344" s="32"/>
      <c r="HV344" s="32"/>
      <c r="HW344" s="32"/>
      <c r="HX344" s="32"/>
      <c r="HY344" s="32"/>
      <c r="HZ344" s="32"/>
      <c r="IA344" s="32"/>
      <c r="IB344" s="32"/>
      <c r="IC344" s="32"/>
      <c r="ID344" s="32"/>
      <c r="IE344" s="32"/>
      <c r="IF344" s="32"/>
      <c r="IG344" s="32"/>
      <c r="IH344" s="32"/>
      <c r="II344" s="32"/>
      <c r="IJ344" s="32"/>
      <c r="IK344" s="32"/>
      <c r="IL344" s="32"/>
      <c r="IM344" s="32"/>
      <c r="IN344" s="32"/>
      <c r="IO344" s="32"/>
      <c r="IP344" s="32"/>
      <c r="IQ344" s="32"/>
      <c r="IR344" s="32"/>
      <c r="IS344" s="32"/>
      <c r="IT344" s="32"/>
      <c r="IU344" s="32"/>
      <c r="IV344" s="32"/>
      <c r="IW344" s="32"/>
      <c r="IX344" s="32"/>
      <c r="IY344" s="32"/>
      <c r="IZ344" s="32"/>
      <c r="JA344" s="32"/>
      <c r="JB344" s="32"/>
      <c r="JC344" s="32"/>
      <c r="JD344" s="32"/>
      <c r="JE344" s="32"/>
      <c r="JF344" s="32"/>
      <c r="JG344" s="32"/>
      <c r="JH344" s="32"/>
      <c r="JI344" s="32"/>
      <c r="JJ344" s="32"/>
      <c r="JK344" s="32"/>
      <c r="JL344" s="32"/>
      <c r="JM344" s="32"/>
      <c r="JN344" s="32"/>
      <c r="JO344" s="32"/>
      <c r="JP344" s="32"/>
      <c r="JQ344" s="32"/>
      <c r="JR344" s="32"/>
      <c r="JS344" s="32"/>
      <c r="JT344" s="32"/>
      <c r="JU344" s="32"/>
      <c r="JV344" s="32"/>
      <c r="JW344" s="32"/>
      <c r="JX344" s="32"/>
      <c r="JY344" s="32"/>
      <c r="JZ344" s="32"/>
      <c r="KA344" s="32"/>
      <c r="KB344" s="32"/>
      <c r="KC344" s="32"/>
      <c r="KD344" s="32"/>
      <c r="KE344" s="32"/>
      <c r="KF344" s="32"/>
      <c r="KG344" s="32"/>
      <c r="KH344" s="32"/>
      <c r="KI344" s="32"/>
      <c r="KJ344" s="32"/>
      <c r="KK344" s="32"/>
      <c r="KL344" s="32"/>
      <c r="KM344" s="32"/>
      <c r="KN344" s="32"/>
      <c r="KO344" s="32"/>
      <c r="KP344" s="32"/>
      <c r="KQ344" s="32"/>
      <c r="KR344" s="32"/>
      <c r="KS344" s="32"/>
      <c r="KT344" s="32"/>
      <c r="KU344" s="32"/>
      <c r="KV344" s="32"/>
      <c r="KW344" s="32"/>
      <c r="KX344" s="32"/>
      <c r="KY344" s="32"/>
      <c r="KZ344" s="32"/>
      <c r="LA344" s="32"/>
      <c r="LB344" s="32"/>
      <c r="LC344" s="32"/>
      <c r="LD344" s="32"/>
      <c r="LE344" s="32"/>
      <c r="LF344" s="32"/>
      <c r="LG344" s="32"/>
      <c r="LH344" s="32"/>
      <c r="LI344" s="32"/>
      <c r="LJ344" s="32"/>
      <c r="LK344" s="32"/>
      <c r="LL344" s="32"/>
      <c r="LM344" s="32"/>
      <c r="LN344" s="32"/>
      <c r="LO344" s="32"/>
      <c r="LP344" s="32"/>
      <c r="LQ344" s="32"/>
      <c r="LR344" s="32"/>
      <c r="LS344" s="32"/>
      <c r="LT344" s="32"/>
      <c r="LU344" s="32"/>
      <c r="LV344" s="32"/>
      <c r="LW344" s="32"/>
      <c r="LX344" s="32"/>
      <c r="LY344" s="32"/>
      <c r="LZ344" s="32"/>
      <c r="MA344" s="32"/>
      <c r="MB344" s="32"/>
      <c r="MC344" s="32"/>
      <c r="MD344" s="32"/>
      <c r="ME344" s="32"/>
      <c r="MF344" s="32"/>
      <c r="MG344" s="32"/>
      <c r="MH344" s="32"/>
      <c r="MI344" s="32"/>
      <c r="MJ344" s="32"/>
      <c r="MK344" s="32"/>
      <c r="ML344" s="32"/>
      <c r="MM344" s="32"/>
      <c r="MN344" s="32"/>
      <c r="MO344" s="32"/>
      <c r="MP344" s="32"/>
      <c r="MQ344" s="32"/>
      <c r="MR344" s="32"/>
      <c r="MS344" s="32"/>
      <c r="MT344" s="32"/>
      <c r="MU344" s="32"/>
      <c r="MV344" s="32"/>
      <c r="MW344" s="32"/>
      <c r="MX344" s="32"/>
      <c r="MY344" s="32"/>
      <c r="MZ344" s="32"/>
      <c r="NA344" s="32"/>
      <c r="NB344" s="32"/>
      <c r="NC344" s="32"/>
      <c r="ND344" s="32"/>
      <c r="NE344" s="32"/>
      <c r="NF344" s="32"/>
      <c r="NG344" s="32"/>
      <c r="NH344" s="32"/>
      <c r="NI344" s="32"/>
      <c r="NJ344" s="32"/>
      <c r="NK344" s="32"/>
      <c r="NL344" s="32"/>
      <c r="NM344" s="32"/>
      <c r="NN344" s="32"/>
      <c r="NO344" s="32"/>
      <c r="NP344" s="32"/>
      <c r="NQ344" s="32"/>
      <c r="NR344" s="32"/>
      <c r="NS344" s="32"/>
      <c r="NT344" s="32"/>
      <c r="NU344" s="32"/>
      <c r="NV344" s="32"/>
      <c r="NW344" s="32"/>
      <c r="NX344" s="32"/>
      <c r="NY344" s="32"/>
      <c r="NZ344" s="32"/>
      <c r="OA344" s="32"/>
      <c r="OB344" s="32"/>
      <c r="OC344" s="32"/>
      <c r="OD344" s="32"/>
      <c r="OE344" s="32"/>
      <c r="OF344" s="32"/>
      <c r="OG344" s="32"/>
      <c r="OH344" s="32"/>
      <c r="OI344" s="32"/>
      <c r="OJ344" s="32"/>
      <c r="OK344" s="32"/>
      <c r="OL344" s="32"/>
      <c r="OM344" s="32"/>
      <c r="ON344" s="32"/>
      <c r="OO344" s="32"/>
      <c r="OP344" s="32"/>
      <c r="OQ344" s="32"/>
      <c r="OR344" s="32"/>
      <c r="OS344" s="32"/>
      <c r="OT344" s="32"/>
      <c r="OU344" s="32"/>
      <c r="OV344" s="32"/>
      <c r="OW344" s="32"/>
      <c r="OX344" s="32"/>
      <c r="OY344" s="32"/>
      <c r="OZ344" s="32"/>
      <c r="PA344" s="32"/>
      <c r="PB344" s="32"/>
      <c r="PC344" s="32"/>
      <c r="PD344" s="32"/>
      <c r="PE344" s="32"/>
      <c r="PF344" s="32"/>
      <c r="PG344" s="32"/>
      <c r="PH344" s="32"/>
      <c r="PI344" s="32"/>
      <c r="PJ344" s="32"/>
      <c r="PK344" s="32"/>
      <c r="PL344" s="32"/>
      <c r="PM344" s="32"/>
      <c r="PN344" s="32"/>
      <c r="PO344" s="32"/>
      <c r="PP344" s="32"/>
      <c r="PQ344" s="32"/>
      <c r="PR344" s="32"/>
      <c r="PS344" s="32"/>
      <c r="PT344" s="32"/>
      <c r="PU344" s="32"/>
      <c r="PV344" s="32"/>
      <c r="PW344" s="32"/>
      <c r="PX344" s="32"/>
      <c r="PY344" s="32"/>
      <c r="PZ344" s="32"/>
      <c r="QA344" s="32"/>
      <c r="QB344" s="32"/>
      <c r="QC344" s="32"/>
      <c r="QD344" s="32"/>
      <c r="QE344" s="32"/>
      <c r="QF344" s="32"/>
      <c r="QG344" s="32"/>
      <c r="QH344" s="32"/>
      <c r="QI344" s="32"/>
      <c r="QJ344" s="32"/>
      <c r="QK344" s="32"/>
      <c r="QL344" s="32"/>
      <c r="QM344" s="32"/>
      <c r="QN344" s="32"/>
      <c r="QO344" s="32"/>
      <c r="QP344" s="32"/>
      <c r="QQ344" s="32"/>
      <c r="QR344" s="32"/>
      <c r="QS344" s="32"/>
      <c r="QT344" s="32"/>
      <c r="QU344" s="32"/>
      <c r="QV344" s="32"/>
      <c r="QW344" s="32"/>
      <c r="QX344" s="32"/>
      <c r="QY344" s="32"/>
      <c r="QZ344" s="32"/>
      <c r="RA344" s="32"/>
      <c r="RB344" s="32"/>
      <c r="RC344" s="32"/>
      <c r="RD344" s="32"/>
      <c r="RE344" s="32"/>
      <c r="RF344" s="32"/>
      <c r="RG344" s="32"/>
      <c r="RH344" s="32"/>
      <c r="RI344" s="32"/>
      <c r="RJ344" s="32"/>
      <c r="RK344" s="32"/>
      <c r="RL344" s="32"/>
      <c r="RM344" s="32"/>
      <c r="RN344" s="32"/>
      <c r="RO344" s="32"/>
      <c r="RP344" s="32"/>
      <c r="RQ344" s="32"/>
      <c r="RR344" s="32"/>
      <c r="RS344" s="32"/>
      <c r="RT344" s="32"/>
      <c r="RU344" s="32"/>
      <c r="RV344" s="32"/>
      <c r="RW344" s="32"/>
      <c r="RX344" s="32"/>
      <c r="RY344" s="32"/>
      <c r="RZ344" s="32"/>
      <c r="SA344" s="32"/>
      <c r="SB344" s="32"/>
      <c r="SC344" s="32"/>
      <c r="SD344" s="32"/>
      <c r="SE344" s="32"/>
      <c r="SF344" s="32"/>
      <c r="SG344" s="32"/>
      <c r="SH344" s="32"/>
      <c r="SI344" s="32"/>
      <c r="SJ344" s="32"/>
      <c r="SK344" s="32"/>
      <c r="SL344" s="32"/>
      <c r="SM344" s="32"/>
      <c r="SN344" s="32"/>
      <c r="SO344" s="32"/>
      <c r="SP344" s="32"/>
      <c r="SQ344" s="32"/>
      <c r="SR344" s="32"/>
      <c r="SS344" s="32"/>
      <c r="ST344" s="32"/>
      <c r="SU344" s="32"/>
      <c r="SV344" s="32"/>
      <c r="SW344" s="32"/>
      <c r="SX344" s="32"/>
      <c r="SY344" s="32"/>
      <c r="SZ344" s="32"/>
      <c r="TA344" s="32"/>
      <c r="TB344" s="32"/>
      <c r="TC344" s="32"/>
      <c r="TD344" s="32"/>
      <c r="TE344" s="32"/>
      <c r="TF344" s="32"/>
      <c r="TG344" s="32"/>
      <c r="TH344" s="32"/>
      <c r="TI344" s="32"/>
      <c r="TJ344" s="32"/>
      <c r="TK344" s="32"/>
      <c r="TL344" s="32"/>
      <c r="TM344" s="32"/>
      <c r="TN344" s="32"/>
      <c r="TO344" s="32"/>
      <c r="TP344" s="32"/>
      <c r="TQ344" s="32"/>
      <c r="TR344" s="32"/>
      <c r="TS344" s="32"/>
      <c r="TT344" s="32"/>
      <c r="TU344" s="32"/>
      <c r="TV344" s="32"/>
      <c r="TW344" s="32"/>
      <c r="TX344" s="32"/>
      <c r="TY344" s="32"/>
      <c r="TZ344" s="32"/>
      <c r="UA344" s="32"/>
      <c r="UB344" s="32"/>
      <c r="UC344" s="32"/>
      <c r="UD344" s="32"/>
      <c r="UE344" s="32"/>
      <c r="UF344" s="32"/>
      <c r="UG344" s="32"/>
      <c r="UH344" s="32"/>
      <c r="UI344" s="32"/>
      <c r="UJ344" s="32"/>
      <c r="UK344" s="32"/>
      <c r="UL344" s="32"/>
      <c r="UM344" s="32"/>
      <c r="UN344" s="32"/>
      <c r="UO344" s="32"/>
      <c r="UP344" s="32"/>
      <c r="UQ344" s="32"/>
      <c r="UR344" s="32"/>
      <c r="US344" s="32"/>
      <c r="UT344" s="32"/>
      <c r="UU344" s="32"/>
      <c r="UV344" s="32"/>
      <c r="UW344" s="32"/>
      <c r="UX344" s="32"/>
      <c r="UY344" s="32"/>
      <c r="UZ344" s="32"/>
      <c r="VA344" s="32"/>
      <c r="VB344" s="32"/>
      <c r="VC344" s="32"/>
      <c r="VD344" s="32"/>
      <c r="VE344" s="32"/>
      <c r="VF344" s="32"/>
      <c r="VG344" s="32"/>
      <c r="VH344" s="32"/>
      <c r="VI344" s="32"/>
      <c r="VJ344" s="32"/>
      <c r="VK344" s="32"/>
      <c r="VL344" s="32"/>
      <c r="VM344" s="32"/>
      <c r="VN344" s="32"/>
      <c r="VO344" s="32"/>
      <c r="VP344" s="32"/>
      <c r="VQ344" s="32"/>
      <c r="VR344" s="32"/>
      <c r="VS344" s="32"/>
      <c r="VT344" s="32"/>
      <c r="VU344" s="32"/>
      <c r="VV344" s="32"/>
      <c r="VW344" s="32"/>
      <c r="VX344" s="32"/>
      <c r="VY344" s="32"/>
      <c r="VZ344" s="32"/>
      <c r="WA344" s="32"/>
      <c r="WB344" s="32"/>
      <c r="WC344" s="32"/>
      <c r="WD344" s="32"/>
      <c r="WE344" s="32"/>
      <c r="WF344" s="32"/>
      <c r="WG344" s="32"/>
      <c r="WH344" s="32"/>
      <c r="WI344" s="32"/>
      <c r="WJ344" s="32"/>
      <c r="WK344" s="32"/>
      <c r="WL344" s="32"/>
      <c r="WM344" s="32"/>
      <c r="WN344" s="32"/>
      <c r="WO344" s="32"/>
      <c r="WP344" s="32"/>
      <c r="WQ344" s="32"/>
      <c r="WR344" s="32"/>
      <c r="WS344" s="32"/>
      <c r="WT344" s="32"/>
      <c r="WU344" s="32"/>
      <c r="WV344" s="32"/>
      <c r="WW344" s="32"/>
      <c r="WX344" s="32"/>
      <c r="WY344" s="32"/>
      <c r="WZ344" s="32"/>
      <c r="XA344" s="32"/>
      <c r="XB344" s="32"/>
      <c r="XC344" s="32"/>
      <c r="XD344" s="32"/>
      <c r="XE344" s="32"/>
      <c r="XF344" s="32"/>
      <c r="XG344" s="32"/>
      <c r="XH344" s="32"/>
      <c r="XI344" s="32"/>
      <c r="XJ344" s="32"/>
      <c r="XK344" s="32"/>
      <c r="XL344" s="32"/>
      <c r="XM344" s="32"/>
      <c r="XN344" s="32"/>
      <c r="XO344" s="32"/>
      <c r="XP344" s="32"/>
      <c r="XQ344" s="32"/>
      <c r="XR344" s="32"/>
      <c r="XS344" s="32"/>
      <c r="XT344" s="32"/>
      <c r="XU344" s="32"/>
      <c r="XV344" s="32"/>
      <c r="XW344" s="32"/>
      <c r="XX344" s="32"/>
      <c r="XY344" s="32"/>
      <c r="XZ344" s="32"/>
      <c r="YA344" s="32"/>
      <c r="YB344" s="32"/>
      <c r="YC344" s="32"/>
      <c r="YD344" s="32"/>
      <c r="YE344" s="32"/>
      <c r="YF344" s="32"/>
      <c r="YG344" s="32"/>
      <c r="YH344" s="32"/>
      <c r="YI344" s="32"/>
      <c r="YJ344" s="32"/>
      <c r="YK344" s="32"/>
      <c r="YL344" s="32"/>
      <c r="YM344" s="32"/>
      <c r="YN344" s="32"/>
      <c r="YO344" s="32"/>
      <c r="YP344" s="32"/>
      <c r="YQ344" s="32"/>
      <c r="YR344" s="32"/>
      <c r="YS344" s="32"/>
      <c r="YT344" s="32"/>
      <c r="YU344" s="32"/>
      <c r="YV344" s="32"/>
      <c r="YW344" s="32"/>
      <c r="YX344" s="32"/>
      <c r="YY344" s="32"/>
      <c r="YZ344" s="32"/>
      <c r="ZA344" s="32"/>
      <c r="ZB344" s="32"/>
      <c r="ZC344" s="32"/>
      <c r="ZD344" s="32"/>
      <c r="ZE344" s="32"/>
      <c r="ZF344" s="32"/>
      <c r="ZG344" s="32"/>
      <c r="ZH344" s="32"/>
      <c r="ZI344" s="32"/>
      <c r="ZJ344" s="32"/>
      <c r="ZK344" s="32"/>
      <c r="ZL344" s="32"/>
      <c r="ZM344" s="32"/>
      <c r="ZN344" s="32"/>
      <c r="ZO344" s="32"/>
      <c r="ZP344" s="32"/>
      <c r="ZQ344" s="32"/>
      <c r="ZR344" s="32"/>
      <c r="ZS344" s="32"/>
      <c r="ZT344" s="32"/>
      <c r="ZU344" s="32"/>
      <c r="ZV344" s="32"/>
      <c r="ZW344" s="32"/>
      <c r="ZX344" s="32"/>
      <c r="ZY344" s="32"/>
      <c r="ZZ344" s="32"/>
      <c r="AAA344" s="588"/>
      <c r="AAD344" s="112"/>
      <c r="AAE344" s="551" t="s">
        <v>20</v>
      </c>
      <c r="AAF344" s="583" t="s">
        <v>174</v>
      </c>
      <c r="AAG344" s="63"/>
      <c r="AAH344" s="63"/>
      <c r="AAI344" s="77"/>
      <c r="AAJ344" s="77"/>
      <c r="AAK344" s="77"/>
      <c r="AAL344" s="57"/>
      <c r="AAM344" s="112"/>
      <c r="AAN344"/>
      <c r="AAT344" s="23"/>
      <c r="AAU344" s="44"/>
    </row>
    <row r="345" spans="1:732" ht="15" customHeight="1" outlineLevel="1">
      <c r="A345" s="558"/>
      <c r="B345" s="438" t="s">
        <v>209</v>
      </c>
      <c r="C345" s="168"/>
      <c r="D345" s="277" t="s">
        <v>157</v>
      </c>
      <c r="E345" s="448">
        <f>NETWORKDAYS(G345,H345,S.DDL_DEQClosed)</f>
        <v>54</v>
      </c>
      <c r="F345" s="491">
        <f ca="1">NETWORKDAYS(TODAY(),H345)</f>
        <v>-48</v>
      </c>
      <c r="G345" s="449">
        <f>AAG345</f>
        <v>41509</v>
      </c>
      <c r="H345" s="449">
        <f>AAH345</f>
        <v>41585</v>
      </c>
      <c r="I345" s="627"/>
      <c r="J345" s="640"/>
      <c r="K345" s="641"/>
      <c r="L345" s="641"/>
      <c r="M345" s="641"/>
      <c r="N345" s="641"/>
      <c r="O345" s="641"/>
      <c r="P345" s="641"/>
      <c r="Q345" s="641"/>
      <c r="R345" s="641"/>
      <c r="S345" s="641"/>
      <c r="T345" s="641"/>
      <c r="U345" s="641"/>
      <c r="V345" s="641"/>
      <c r="W345" s="641"/>
      <c r="X345" s="641"/>
      <c r="Y345" s="641"/>
      <c r="Z345" s="641"/>
      <c r="AA345" s="641"/>
      <c r="AB345" s="641"/>
      <c r="AC345" s="641"/>
      <c r="AD345" s="641"/>
      <c r="AE345" s="641"/>
      <c r="AF345" s="641"/>
      <c r="AG345" s="641"/>
      <c r="AH345" s="641"/>
      <c r="AI345" s="641"/>
      <c r="AJ345" s="641"/>
      <c r="AK345" s="641"/>
      <c r="AL345" s="641"/>
      <c r="AM345" s="641"/>
      <c r="AN345" s="641"/>
      <c r="AO345" s="641"/>
      <c r="AP345" s="641"/>
      <c r="AQ345" s="641"/>
      <c r="AR345" s="641"/>
      <c r="AS345" s="641"/>
      <c r="AT345" s="641"/>
      <c r="AU345" s="641"/>
      <c r="AV345" s="641"/>
      <c r="AW345" s="641"/>
      <c r="AX345" s="641"/>
      <c r="AY345" s="641"/>
      <c r="AZ345" s="641"/>
      <c r="BA345" s="641"/>
      <c r="BB345" s="641"/>
      <c r="BC345" s="641"/>
      <c r="BD345" s="641"/>
      <c r="BE345" s="641"/>
      <c r="BF345" s="641"/>
      <c r="BG345" s="641"/>
      <c r="BH345" s="641"/>
      <c r="BI345" s="641"/>
      <c r="BJ345" s="641"/>
      <c r="BK345" s="641"/>
      <c r="BL345" s="641"/>
      <c r="BM345" s="641"/>
      <c r="BN345" s="641"/>
      <c r="BO345" s="641"/>
      <c r="BP345" s="641"/>
      <c r="BQ345" s="641"/>
      <c r="BR345" s="641"/>
      <c r="BS345" s="641"/>
      <c r="BT345" s="641"/>
      <c r="BU345" s="641"/>
      <c r="BV345" s="641"/>
      <c r="BW345" s="641"/>
      <c r="BX345" s="641"/>
      <c r="BY345" s="641"/>
      <c r="BZ345" s="641"/>
      <c r="CA345" s="641"/>
      <c r="CB345" s="641"/>
      <c r="CC345" s="641"/>
      <c r="CD345" s="641"/>
      <c r="CE345" s="641"/>
      <c r="CF345" s="641"/>
      <c r="CG345" s="641"/>
      <c r="CH345" s="641"/>
      <c r="CI345" s="641"/>
      <c r="CJ345" s="641"/>
      <c r="CK345" s="641"/>
      <c r="CL345" s="641"/>
      <c r="CM345" s="641"/>
      <c r="CN345" s="641"/>
      <c r="CO345" s="641"/>
      <c r="CP345" s="641"/>
      <c r="CQ345" s="641"/>
      <c r="CR345" s="641"/>
      <c r="CS345" s="641"/>
      <c r="CT345" s="641"/>
      <c r="CU345" s="641"/>
      <c r="CV345" s="641"/>
      <c r="CW345" s="641"/>
      <c r="CX345" s="641"/>
      <c r="CY345" s="641"/>
      <c r="CZ345" s="641"/>
      <c r="DA345" s="641"/>
      <c r="DB345" s="641"/>
      <c r="DC345" s="641"/>
      <c r="DD345" s="641"/>
      <c r="DE345" s="641"/>
      <c r="DF345" s="641"/>
      <c r="DG345" s="641"/>
      <c r="DH345" s="641"/>
      <c r="DI345" s="641"/>
      <c r="DJ345" s="641"/>
      <c r="DK345" s="641"/>
      <c r="DL345" s="641"/>
      <c r="DM345" s="641"/>
      <c r="DN345" s="641"/>
      <c r="DO345" s="641"/>
      <c r="DP345" s="641"/>
      <c r="DQ345" s="641"/>
      <c r="DR345" s="641"/>
      <c r="DS345" s="641"/>
      <c r="DT345" s="641"/>
      <c r="DU345" s="641"/>
      <c r="DV345" s="641"/>
      <c r="DW345" s="641"/>
      <c r="DX345" s="641"/>
      <c r="DY345" s="641"/>
      <c r="DZ345" s="641"/>
      <c r="EA345" s="641"/>
      <c r="EB345" s="641"/>
      <c r="EC345" s="641"/>
      <c r="ED345" s="641"/>
      <c r="EE345" s="641"/>
      <c r="EF345" s="641"/>
      <c r="EG345" s="641"/>
      <c r="EH345" s="641"/>
      <c r="EI345" s="641"/>
      <c r="EJ345" s="641"/>
      <c r="EK345" s="641"/>
      <c r="EL345" s="641"/>
      <c r="EM345" s="641"/>
      <c r="EN345" s="641"/>
      <c r="EO345" s="641"/>
      <c r="EP345" s="641"/>
      <c r="EQ345" s="641"/>
      <c r="ER345" s="641"/>
      <c r="ES345" s="641"/>
      <c r="ET345" s="641"/>
      <c r="EU345" s="641"/>
      <c r="EV345" s="641"/>
      <c r="EW345" s="641"/>
      <c r="EX345" s="641"/>
      <c r="EY345" s="641"/>
      <c r="EZ345" s="641"/>
      <c r="FA345" s="641"/>
      <c r="FB345" s="641"/>
      <c r="FC345" s="641"/>
      <c r="FD345" s="641"/>
      <c r="FE345" s="641"/>
      <c r="FF345" s="641"/>
      <c r="FG345" s="641"/>
      <c r="FH345" s="641"/>
      <c r="FI345" s="641"/>
      <c r="FJ345" s="641"/>
      <c r="FK345" s="641"/>
      <c r="FL345" s="641"/>
      <c r="FM345" s="641"/>
      <c r="FN345" s="641"/>
      <c r="FO345" s="641"/>
      <c r="FP345" s="641"/>
      <c r="FQ345" s="641"/>
      <c r="FR345" s="641"/>
      <c r="FS345" s="641"/>
      <c r="FT345" s="641"/>
      <c r="FU345" s="641"/>
      <c r="FV345" s="641"/>
      <c r="FW345" s="641"/>
      <c r="FX345" s="641"/>
      <c r="FY345" s="641"/>
      <c r="FZ345" s="641"/>
      <c r="GA345" s="641"/>
      <c r="GB345" s="641"/>
      <c r="GC345" s="641"/>
      <c r="GD345" s="641"/>
      <c r="GE345" s="641"/>
      <c r="GF345" s="641"/>
      <c r="GG345" s="641"/>
      <c r="GH345" s="641"/>
      <c r="GI345" s="641"/>
      <c r="GJ345" s="641"/>
      <c r="GK345" s="641"/>
      <c r="GL345" s="641"/>
      <c r="GM345" s="641"/>
      <c r="GN345" s="641"/>
      <c r="GO345" s="641"/>
      <c r="GP345" s="641"/>
      <c r="GQ345" s="641"/>
      <c r="GR345" s="641"/>
      <c r="GS345" s="641"/>
      <c r="GT345" s="641"/>
      <c r="GU345" s="641"/>
      <c r="GV345" s="641"/>
      <c r="GW345" s="641"/>
      <c r="GX345" s="641"/>
      <c r="GY345" s="641"/>
      <c r="GZ345" s="641"/>
      <c r="HA345" s="641"/>
      <c r="HB345" s="641"/>
      <c r="HC345" s="641"/>
      <c r="HD345" s="641"/>
      <c r="HE345" s="641"/>
      <c r="HF345" s="641"/>
      <c r="HG345" s="641"/>
      <c r="HH345" s="641"/>
      <c r="HI345" s="641"/>
      <c r="HJ345" s="641"/>
      <c r="HK345" s="641"/>
      <c r="HL345" s="641"/>
      <c r="HM345" s="641"/>
      <c r="HN345" s="641"/>
      <c r="HO345" s="641"/>
      <c r="HP345" s="641"/>
      <c r="HQ345" s="641"/>
      <c r="HR345" s="641"/>
      <c r="HS345" s="641"/>
      <c r="HT345" s="641"/>
      <c r="HU345" s="641"/>
      <c r="HV345" s="641"/>
      <c r="HW345" s="641"/>
      <c r="HX345" s="641"/>
      <c r="HY345" s="641"/>
      <c r="HZ345" s="641"/>
      <c r="IA345" s="641"/>
      <c r="IB345" s="641"/>
      <c r="IC345" s="641"/>
      <c r="ID345" s="641"/>
      <c r="IE345" s="641"/>
      <c r="IF345" s="641"/>
      <c r="IG345" s="641"/>
      <c r="IH345" s="641"/>
      <c r="II345" s="641"/>
      <c r="IJ345" s="641"/>
      <c r="IK345" s="641"/>
      <c r="IL345" s="641"/>
      <c r="IM345" s="641"/>
      <c r="IN345" s="641"/>
      <c r="IO345" s="641"/>
      <c r="IP345" s="641"/>
      <c r="IQ345" s="641"/>
      <c r="IR345" s="641"/>
      <c r="IS345" s="641"/>
      <c r="IT345" s="641"/>
      <c r="IU345" s="641"/>
      <c r="IV345" s="641"/>
      <c r="IW345" s="641"/>
      <c r="IX345" s="641"/>
      <c r="IY345" s="641"/>
      <c r="IZ345" s="641"/>
      <c r="JA345" s="641"/>
      <c r="JB345" s="641"/>
      <c r="JC345" s="641"/>
      <c r="JD345" s="641"/>
      <c r="JE345" s="641"/>
      <c r="JF345" s="641"/>
      <c r="JG345" s="641"/>
      <c r="JH345" s="641"/>
      <c r="JI345" s="641"/>
      <c r="JJ345" s="641"/>
      <c r="JK345" s="641"/>
      <c r="JL345" s="641"/>
      <c r="JM345" s="641"/>
      <c r="JN345" s="641"/>
      <c r="JO345" s="641"/>
      <c r="JP345" s="641"/>
      <c r="JQ345" s="641"/>
      <c r="JR345" s="641"/>
      <c r="JS345" s="641"/>
      <c r="JT345" s="641"/>
      <c r="JU345" s="641"/>
      <c r="JV345" s="641"/>
      <c r="JW345" s="641"/>
      <c r="JX345" s="641"/>
      <c r="JY345" s="641"/>
      <c r="JZ345" s="641"/>
      <c r="KA345" s="641"/>
      <c r="KB345" s="641"/>
      <c r="KC345" s="641"/>
      <c r="KD345" s="641"/>
      <c r="KE345" s="641"/>
      <c r="KF345" s="641"/>
      <c r="KG345" s="641"/>
      <c r="KH345" s="641"/>
      <c r="KI345" s="641"/>
      <c r="KJ345" s="641"/>
      <c r="KK345" s="641"/>
      <c r="KL345" s="641"/>
      <c r="KM345" s="641"/>
      <c r="KN345" s="641"/>
      <c r="KO345" s="641"/>
      <c r="KP345" s="641"/>
      <c r="KQ345" s="641"/>
      <c r="KR345" s="641"/>
      <c r="KS345" s="641"/>
      <c r="KT345" s="641"/>
      <c r="KU345" s="641"/>
      <c r="KV345" s="641"/>
      <c r="KW345" s="641"/>
      <c r="KX345" s="641"/>
      <c r="KY345" s="641"/>
      <c r="KZ345" s="641"/>
      <c r="LA345" s="641"/>
      <c r="LB345" s="641"/>
      <c r="LC345" s="641"/>
      <c r="LD345" s="641"/>
      <c r="LE345" s="641"/>
      <c r="LF345" s="641"/>
      <c r="LG345" s="641"/>
      <c r="LH345" s="641"/>
      <c r="LI345" s="641"/>
      <c r="LJ345" s="641"/>
      <c r="LK345" s="641"/>
      <c r="LL345" s="641"/>
      <c r="LM345" s="641"/>
      <c r="LN345" s="641"/>
      <c r="LO345" s="641"/>
      <c r="LP345" s="641"/>
      <c r="LQ345" s="641"/>
      <c r="LR345" s="641"/>
      <c r="LS345" s="641"/>
      <c r="LT345" s="641"/>
      <c r="LU345" s="641"/>
      <c r="LV345" s="641"/>
      <c r="LW345" s="641"/>
      <c r="LX345" s="641"/>
      <c r="LY345" s="641"/>
      <c r="LZ345" s="641"/>
      <c r="MA345" s="641"/>
      <c r="MB345" s="641"/>
      <c r="MC345" s="641"/>
      <c r="MD345" s="641"/>
      <c r="ME345" s="641"/>
      <c r="MF345" s="641"/>
      <c r="MG345" s="641"/>
      <c r="MH345" s="641"/>
      <c r="MI345" s="641"/>
      <c r="MJ345" s="641"/>
      <c r="MK345" s="641"/>
      <c r="ML345" s="641"/>
      <c r="MM345" s="641"/>
      <c r="MN345" s="641"/>
      <c r="MO345" s="641"/>
      <c r="MP345" s="641"/>
      <c r="MQ345" s="641"/>
      <c r="MR345" s="641"/>
      <c r="MS345" s="641"/>
      <c r="MT345" s="641"/>
      <c r="MU345" s="641"/>
      <c r="MV345" s="641"/>
      <c r="MW345" s="641"/>
      <c r="MX345" s="641"/>
      <c r="MY345" s="641"/>
      <c r="MZ345" s="641"/>
      <c r="NA345" s="641"/>
      <c r="NB345" s="641"/>
      <c r="NC345" s="641"/>
      <c r="ND345" s="641"/>
      <c r="NE345" s="641"/>
      <c r="NF345" s="641"/>
      <c r="NG345" s="641"/>
      <c r="NH345" s="641"/>
      <c r="NI345" s="641"/>
      <c r="NJ345" s="641"/>
      <c r="NK345" s="641"/>
      <c r="NL345" s="641"/>
      <c r="NM345" s="641"/>
      <c r="NN345" s="641"/>
      <c r="NO345" s="641"/>
      <c r="NP345" s="641"/>
      <c r="NQ345" s="641"/>
      <c r="NR345" s="641"/>
      <c r="NS345" s="641"/>
      <c r="NT345" s="641"/>
      <c r="NU345" s="641"/>
      <c r="NV345" s="641"/>
      <c r="NW345" s="641"/>
      <c r="NX345" s="641"/>
      <c r="NY345" s="641"/>
      <c r="NZ345" s="641"/>
      <c r="OA345" s="641"/>
      <c r="OB345" s="641"/>
      <c r="OC345" s="641"/>
      <c r="OD345" s="641"/>
      <c r="OE345" s="641"/>
      <c r="OF345" s="641"/>
      <c r="OG345" s="641"/>
      <c r="OH345" s="641"/>
      <c r="OI345" s="641"/>
      <c r="OJ345" s="641"/>
      <c r="OK345" s="641"/>
      <c r="OL345" s="641"/>
      <c r="OM345" s="641"/>
      <c r="ON345" s="641"/>
      <c r="OO345" s="641"/>
      <c r="OP345" s="641"/>
      <c r="OQ345" s="641"/>
      <c r="OR345" s="641"/>
      <c r="OS345" s="641"/>
      <c r="OT345" s="641"/>
      <c r="OU345" s="641"/>
      <c r="OV345" s="641"/>
      <c r="OW345" s="641"/>
      <c r="OX345" s="641"/>
      <c r="OY345" s="641"/>
      <c r="OZ345" s="641"/>
      <c r="PA345" s="641"/>
      <c r="PB345" s="641"/>
      <c r="PC345" s="641"/>
      <c r="PD345" s="641"/>
      <c r="PE345" s="641"/>
      <c r="PF345" s="641"/>
      <c r="PG345" s="641"/>
      <c r="PH345" s="641"/>
      <c r="PI345" s="641"/>
      <c r="PJ345" s="641"/>
      <c r="PK345" s="641"/>
      <c r="PL345" s="641"/>
      <c r="PM345" s="641"/>
      <c r="PN345" s="641"/>
      <c r="PO345" s="641"/>
      <c r="PP345" s="641"/>
      <c r="PQ345" s="641"/>
      <c r="PR345" s="641"/>
      <c r="PS345" s="641"/>
      <c r="PT345" s="641"/>
      <c r="PU345" s="641"/>
      <c r="PV345" s="641"/>
      <c r="PW345" s="641"/>
      <c r="PX345" s="641"/>
      <c r="PY345" s="641"/>
      <c r="PZ345" s="641"/>
      <c r="QA345" s="641"/>
      <c r="QB345" s="641"/>
      <c r="QC345" s="641"/>
      <c r="QD345" s="641"/>
      <c r="QE345" s="641"/>
      <c r="QF345" s="641"/>
      <c r="QG345" s="641"/>
      <c r="QH345" s="641"/>
      <c r="QI345" s="641"/>
      <c r="QJ345" s="641"/>
      <c r="QK345" s="641"/>
      <c r="QL345" s="641"/>
      <c r="QM345" s="641"/>
      <c r="QN345" s="641"/>
      <c r="QO345" s="641"/>
      <c r="QP345" s="641"/>
      <c r="QQ345" s="641"/>
      <c r="QR345" s="641"/>
      <c r="QS345" s="641"/>
      <c r="QT345" s="641"/>
      <c r="QU345" s="641"/>
      <c r="QV345" s="641"/>
      <c r="QW345" s="641"/>
      <c r="QX345" s="641"/>
      <c r="QY345" s="641"/>
      <c r="QZ345" s="641"/>
      <c r="RA345" s="641"/>
      <c r="RB345" s="641"/>
      <c r="RC345" s="641"/>
      <c r="RD345" s="641"/>
      <c r="RE345" s="641"/>
      <c r="RF345" s="641"/>
      <c r="RG345" s="641"/>
      <c r="RH345" s="641"/>
      <c r="RI345" s="641"/>
      <c r="RJ345" s="641"/>
      <c r="RK345" s="641"/>
      <c r="RL345" s="641"/>
      <c r="RM345" s="641"/>
      <c r="RN345" s="641"/>
      <c r="RO345" s="641"/>
      <c r="RP345" s="641"/>
      <c r="RQ345" s="641"/>
      <c r="RR345" s="641"/>
      <c r="RS345" s="641"/>
      <c r="RT345" s="641"/>
      <c r="RU345" s="641"/>
      <c r="RV345" s="641"/>
      <c r="RW345" s="641"/>
      <c r="RX345" s="641"/>
      <c r="RY345" s="641"/>
      <c r="RZ345" s="641"/>
      <c r="SA345" s="641"/>
      <c r="SB345" s="641"/>
      <c r="SC345" s="641"/>
      <c r="SD345" s="641"/>
      <c r="SE345" s="641"/>
      <c r="SF345" s="641"/>
      <c r="SG345" s="641"/>
      <c r="SH345" s="641"/>
      <c r="SI345" s="641"/>
      <c r="SJ345" s="641"/>
      <c r="SK345" s="641"/>
      <c r="SL345" s="641"/>
      <c r="SM345" s="641"/>
      <c r="SN345" s="641"/>
      <c r="SO345" s="641"/>
      <c r="SP345" s="641"/>
      <c r="SQ345" s="641"/>
      <c r="SR345" s="641"/>
      <c r="SS345" s="641"/>
      <c r="ST345" s="641"/>
      <c r="SU345" s="641"/>
      <c r="SV345" s="641"/>
      <c r="SW345" s="641"/>
      <c r="SX345" s="641"/>
      <c r="SY345" s="641"/>
      <c r="SZ345" s="641"/>
      <c r="TA345" s="641"/>
      <c r="TB345" s="641"/>
      <c r="TC345" s="641"/>
      <c r="TD345" s="641"/>
      <c r="TE345" s="641"/>
      <c r="TF345" s="641"/>
      <c r="TG345" s="641"/>
      <c r="TH345" s="641"/>
      <c r="TI345" s="641"/>
      <c r="TJ345" s="641"/>
      <c r="TK345" s="641"/>
      <c r="TL345" s="641"/>
      <c r="TM345" s="641"/>
      <c r="TN345" s="641"/>
      <c r="TO345" s="641"/>
      <c r="TP345" s="641"/>
      <c r="TQ345" s="641"/>
      <c r="TR345" s="641"/>
      <c r="TS345" s="641"/>
      <c r="TT345" s="641"/>
      <c r="TU345" s="641"/>
      <c r="TV345" s="641"/>
      <c r="TW345" s="641"/>
      <c r="TX345" s="641"/>
      <c r="TY345" s="641"/>
      <c r="TZ345" s="641"/>
      <c r="UA345" s="641"/>
      <c r="UB345" s="641"/>
      <c r="UC345" s="641"/>
      <c r="UD345" s="641"/>
      <c r="UE345" s="641"/>
      <c r="UF345" s="641"/>
      <c r="UG345" s="641"/>
      <c r="UH345" s="641"/>
      <c r="UI345" s="641"/>
      <c r="UJ345" s="641"/>
      <c r="UK345" s="641"/>
      <c r="UL345" s="641"/>
      <c r="UM345" s="641"/>
      <c r="UN345" s="641"/>
      <c r="UO345" s="641"/>
      <c r="UP345" s="641"/>
      <c r="UQ345" s="641"/>
      <c r="UR345" s="641"/>
      <c r="US345" s="641"/>
      <c r="UT345" s="641"/>
      <c r="UU345" s="641"/>
      <c r="UV345" s="641"/>
      <c r="UW345" s="641"/>
      <c r="UX345" s="641"/>
      <c r="UY345" s="641"/>
      <c r="UZ345" s="641"/>
      <c r="VA345" s="641"/>
      <c r="VB345" s="641"/>
      <c r="VC345" s="641"/>
      <c r="VD345" s="641"/>
      <c r="VE345" s="641"/>
      <c r="VF345" s="641"/>
      <c r="VG345" s="641"/>
      <c r="VH345" s="641"/>
      <c r="VI345" s="641"/>
      <c r="VJ345" s="641"/>
      <c r="VK345" s="641"/>
      <c r="VL345" s="641"/>
      <c r="VM345" s="641"/>
      <c r="VN345" s="641"/>
      <c r="VO345" s="641"/>
      <c r="VP345" s="641"/>
      <c r="VQ345" s="641"/>
      <c r="VR345" s="641"/>
      <c r="VS345" s="641"/>
      <c r="VT345" s="641"/>
      <c r="VU345" s="641"/>
      <c r="VV345" s="641"/>
      <c r="VW345" s="641"/>
      <c r="VX345" s="641"/>
      <c r="VY345" s="641"/>
      <c r="VZ345" s="641"/>
      <c r="WA345" s="641"/>
      <c r="WB345" s="641"/>
      <c r="WC345" s="641"/>
      <c r="WD345" s="641"/>
      <c r="WE345" s="641"/>
      <c r="WF345" s="641"/>
      <c r="WG345" s="641"/>
      <c r="WH345" s="641"/>
      <c r="WI345" s="641"/>
      <c r="WJ345" s="641"/>
      <c r="WK345" s="641"/>
      <c r="WL345" s="641"/>
      <c r="WM345" s="641"/>
      <c r="WN345" s="641"/>
      <c r="WO345" s="641"/>
      <c r="WP345" s="641"/>
      <c r="WQ345" s="641"/>
      <c r="WR345" s="641"/>
      <c r="WS345" s="641"/>
      <c r="WT345" s="641"/>
      <c r="WU345" s="641"/>
      <c r="WV345" s="641"/>
      <c r="WW345" s="641"/>
      <c r="WX345" s="641"/>
      <c r="WY345" s="641"/>
      <c r="WZ345" s="641"/>
      <c r="XA345" s="641"/>
      <c r="XB345" s="641"/>
      <c r="XC345" s="641"/>
      <c r="XD345" s="641"/>
      <c r="XE345" s="641"/>
      <c r="XF345" s="641"/>
      <c r="XG345" s="641"/>
      <c r="XH345" s="641"/>
      <c r="XI345" s="641"/>
      <c r="XJ345" s="641"/>
      <c r="XK345" s="641"/>
      <c r="XL345" s="641"/>
      <c r="XM345" s="641"/>
      <c r="XN345" s="641"/>
      <c r="XO345" s="641"/>
      <c r="XP345" s="641"/>
      <c r="XQ345" s="641"/>
      <c r="XR345" s="641"/>
      <c r="XS345" s="641"/>
      <c r="XT345" s="641"/>
      <c r="XU345" s="641"/>
      <c r="XV345" s="641"/>
      <c r="XW345" s="641"/>
      <c r="XX345" s="641"/>
      <c r="XY345" s="641"/>
      <c r="XZ345" s="641"/>
      <c r="YA345" s="641"/>
      <c r="YB345" s="641"/>
      <c r="YC345" s="641"/>
      <c r="YD345" s="641"/>
      <c r="YE345" s="641"/>
      <c r="YF345" s="641"/>
      <c r="YG345" s="641"/>
      <c r="YH345" s="641"/>
      <c r="YI345" s="641"/>
      <c r="YJ345" s="641"/>
      <c r="YK345" s="641"/>
      <c r="YL345" s="641"/>
      <c r="YM345" s="641"/>
      <c r="YN345" s="641"/>
      <c r="YO345" s="641"/>
      <c r="YP345" s="641"/>
      <c r="YQ345" s="641"/>
      <c r="YR345" s="641"/>
      <c r="YS345" s="641"/>
      <c r="YT345" s="641"/>
      <c r="YU345" s="641"/>
      <c r="YV345" s="641"/>
      <c r="YW345" s="641"/>
      <c r="YX345" s="641"/>
      <c r="YY345" s="641"/>
      <c r="YZ345" s="641"/>
      <c r="ZA345" s="641"/>
      <c r="ZB345" s="641"/>
      <c r="ZC345" s="641"/>
      <c r="ZD345" s="641"/>
      <c r="ZE345" s="641"/>
      <c r="ZF345" s="641"/>
      <c r="ZG345" s="641"/>
      <c r="ZH345" s="641"/>
      <c r="ZI345" s="641"/>
      <c r="ZJ345" s="641"/>
      <c r="ZK345" s="641"/>
      <c r="ZL345" s="641"/>
      <c r="ZM345" s="641"/>
      <c r="ZN345" s="641"/>
      <c r="ZO345" s="641"/>
      <c r="ZP345" s="641"/>
      <c r="ZQ345" s="641"/>
      <c r="ZR345" s="641"/>
      <c r="ZS345" s="641"/>
      <c r="ZT345" s="641"/>
      <c r="ZU345" s="641"/>
      <c r="ZV345" s="641"/>
      <c r="ZW345" s="641"/>
      <c r="ZX345" s="641"/>
      <c r="ZY345" s="50"/>
      <c r="ZZ345" s="50"/>
      <c r="AAA345" s="588"/>
      <c r="AAD345" s="112"/>
      <c r="AAE345" s="551">
        <f t="shared" ref="AAE345:AAE373" si="951">IF(AND(S.InvolveNotice=TRUE,S.InvolveHearing=TRUE),1,0)</f>
        <v>1</v>
      </c>
      <c r="AAF345" s="584"/>
      <c r="AAG345" s="78">
        <f>S.BANNER.HearingStart</f>
        <v>41509</v>
      </c>
      <c r="AAH345" s="78">
        <f>S.FirstHearingDate</f>
        <v>41585</v>
      </c>
      <c r="AAI345" s="77"/>
      <c r="AAJ345" s="77"/>
      <c r="AAK345" s="77"/>
      <c r="AAL345" s="57"/>
      <c r="AAM345" s="112"/>
      <c r="AAN345"/>
      <c r="AAT345" s="23"/>
      <c r="AAU345" s="44"/>
    </row>
    <row r="346" spans="1:732" ht="15" customHeight="1" outlineLevel="1">
      <c r="A346" s="558"/>
      <c r="B346" s="346" t="s">
        <v>44</v>
      </c>
      <c r="C346" s="168"/>
      <c r="D346" s="294"/>
      <c r="E346" s="450"/>
      <c r="F346" s="450"/>
      <c r="G346" s="451"/>
      <c r="H346" s="451"/>
      <c r="I346" s="588"/>
      <c r="J346" s="592"/>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18"/>
      <c r="ZZ346" s="36"/>
      <c r="AAA346" s="588"/>
      <c r="AAD346" s="112"/>
      <c r="AAE346" s="551">
        <f t="shared" si="951"/>
        <v>1</v>
      </c>
      <c r="AAF346" s="583" t="s">
        <v>174</v>
      </c>
      <c r="AAG346" s="76"/>
      <c r="AAH346" s="76"/>
      <c r="AAI346" s="77"/>
      <c r="AAJ346" s="77"/>
      <c r="AAK346" s="77"/>
      <c r="AAL346" s="57"/>
      <c r="AAM346" s="112"/>
      <c r="AAN346"/>
      <c r="AAT346" s="23"/>
      <c r="AAU346" s="44"/>
    </row>
    <row r="347" spans="1:732" ht="15" customHeight="1" outlineLevel="1">
      <c r="A347" s="558"/>
      <c r="B347" s="346" t="s">
        <v>43</v>
      </c>
      <c r="C347" s="231" t="s">
        <v>69</v>
      </c>
      <c r="D347" s="145"/>
      <c r="E347" s="400"/>
      <c r="F347" s="400"/>
      <c r="G347" s="401"/>
      <c r="H347" s="401"/>
      <c r="I347" s="588"/>
      <c r="J347" s="592"/>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618"/>
      <c r="ZZ347" s="36"/>
      <c r="AAA347" s="588"/>
      <c r="AAD347" s="112"/>
      <c r="AAE347" s="551">
        <f t="shared" si="951"/>
        <v>1</v>
      </c>
      <c r="AAF347" s="583" t="s">
        <v>174</v>
      </c>
      <c r="AAG347" s="76"/>
      <c r="AAH347" s="76"/>
      <c r="AAI347" s="77"/>
      <c r="AAJ347" s="77"/>
      <c r="AAK347" s="77"/>
      <c r="AAL347" s="57"/>
      <c r="AAM347" s="112"/>
      <c r="AAN347"/>
      <c r="AAT347" s="23"/>
      <c r="AAU347" s="44"/>
    </row>
    <row r="348" spans="1:732" ht="15" customHeight="1" outlineLevel="1">
      <c r="A348" s="558"/>
      <c r="B348" s="438" t="s">
        <v>153</v>
      </c>
      <c r="C348" s="296"/>
      <c r="D348" s="277" t="s">
        <v>359</v>
      </c>
      <c r="E348" s="448">
        <f>NETWORKDAYS(G348,H348,S.DDL_DEQClosed)</f>
        <v>54</v>
      </c>
      <c r="F348" s="491">
        <f ca="1">NETWORKDAYS(TODAY(),H348)</f>
        <v>-48</v>
      </c>
      <c r="G348" s="449">
        <f>AAG348</f>
        <v>41509</v>
      </c>
      <c r="H348" s="449">
        <f>AAH348</f>
        <v>41585</v>
      </c>
      <c r="I348" s="627"/>
      <c r="J348" s="592"/>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50"/>
      <c r="ZZ348" s="50"/>
      <c r="AAA348" s="588"/>
      <c r="AAD348" s="112"/>
      <c r="AAE348" s="551">
        <f t="shared" si="951"/>
        <v>1</v>
      </c>
      <c r="AAF348" s="112"/>
      <c r="AAG348" s="78">
        <f>S.BANNER.HearingStart</f>
        <v>41509</v>
      </c>
      <c r="AAH348" s="78">
        <f>S.FirstHearingDate</f>
        <v>41585</v>
      </c>
      <c r="AAI348" s="77"/>
      <c r="AAJ348" s="77"/>
      <c r="AAK348" s="77"/>
      <c r="AAL348" s="57"/>
      <c r="AAM348" s="112"/>
      <c r="AAN348"/>
      <c r="AAT348" s="23"/>
      <c r="AAU348" s="44"/>
    </row>
    <row r="349" spans="1:732" ht="15" customHeight="1" outlineLevel="1">
      <c r="A349" s="558"/>
      <c r="B349" s="439" t="s">
        <v>122</v>
      </c>
      <c r="C349" s="717"/>
      <c r="D349" s="145"/>
      <c r="E349" s="400"/>
      <c r="F349" s="400"/>
      <c r="G349" s="401"/>
      <c r="H349" s="401"/>
      <c r="I349" s="588"/>
      <c r="J349" s="592"/>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18"/>
      <c r="ZZ349" s="36"/>
      <c r="AAA349" s="588"/>
      <c r="AAD349" s="112"/>
      <c r="AAE349" s="551">
        <f t="shared" si="951"/>
        <v>1</v>
      </c>
      <c r="AAF349" s="583" t="s">
        <v>174</v>
      </c>
      <c r="AAG349" s="76"/>
      <c r="AAH349" s="76"/>
      <c r="AAI349" s="77"/>
      <c r="AAJ349" s="77"/>
      <c r="AAK349" s="77"/>
      <c r="AAL349" s="89" t="str">
        <f>"Develop "&amp;S.CodeName&amp;"HEARING.TEXT"</f>
        <v>Develop HEARING.TEXT</v>
      </c>
      <c r="AAM349" s="112"/>
      <c r="AAN349"/>
      <c r="AAT349" s="23"/>
      <c r="AAU349" s="44"/>
      <c r="AAV349" s="23"/>
      <c r="AAW349" s="23"/>
      <c r="AAX349" s="23"/>
      <c r="AAY349" s="23"/>
      <c r="AAZ349" s="23"/>
      <c r="ABA349" s="23"/>
      <c r="ABB349" s="23"/>
      <c r="ABC349" s="23"/>
      <c r="ABD349" s="23"/>
    </row>
    <row r="350" spans="1:732" ht="15" customHeight="1" outlineLevel="1">
      <c r="A350" s="558"/>
      <c r="B350" s="440" t="str">
        <f>AAL349</f>
        <v>Develop HEARING.TEXT</v>
      </c>
      <c r="C350" s="297"/>
      <c r="D350" s="145"/>
      <c r="E350" s="400"/>
      <c r="F350" s="400"/>
      <c r="G350" s="401"/>
      <c r="H350" s="401"/>
      <c r="I350" s="588"/>
      <c r="J350" s="592"/>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18"/>
      <c r="ZZ350" s="36"/>
      <c r="AAA350" s="588"/>
      <c r="AAD350" s="112"/>
      <c r="AAE350" s="551">
        <f t="shared" si="951"/>
        <v>1</v>
      </c>
      <c r="AAF350" s="583" t="s">
        <v>174</v>
      </c>
      <c r="AAG350" s="76"/>
      <c r="AAH350" s="76"/>
      <c r="AAI350" s="77"/>
      <c r="AAJ350" s="77"/>
      <c r="AAK350" s="77"/>
      <c r="AAL350" s="89" t="str">
        <f>"Develop "&amp;S.CodeName&amp;"HEARING.MESSAGE.MAP"</f>
        <v>Develop HEARING.MESSAGE.MAP</v>
      </c>
      <c r="AAM350" s="112"/>
      <c r="AAN350"/>
      <c r="AAT350" s="23"/>
      <c r="AAU350" s="44"/>
    </row>
    <row r="351" spans="1:732" s="23" customFormat="1" ht="15" customHeight="1" outlineLevel="1">
      <c r="A351" s="558"/>
      <c r="B351" s="441" t="str">
        <f>AAL350</f>
        <v>Develop HEARING.MESSAGE.MAP</v>
      </c>
      <c r="C351" s="295" t="s">
        <v>69</v>
      </c>
      <c r="D351" s="145"/>
      <c r="E351" s="400"/>
      <c r="F351" s="400"/>
      <c r="G351" s="401"/>
      <c r="H351" s="401"/>
      <c r="I351" s="588"/>
      <c r="J351" s="592"/>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18"/>
      <c r="ZZ351" s="36"/>
      <c r="AAA351" s="588"/>
      <c r="AAB351"/>
      <c r="AAC351"/>
      <c r="AAD351" s="112"/>
      <c r="AAE351" s="551">
        <f t="shared" si="951"/>
        <v>1</v>
      </c>
      <c r="AAF351" s="583" t="s">
        <v>174</v>
      </c>
      <c r="AAG351" s="76"/>
      <c r="AAH351" s="76"/>
      <c r="AAI351" s="77"/>
      <c r="AAJ351" s="77"/>
      <c r="AAK351" s="77"/>
      <c r="AAL351" s="89" t="str">
        <f>"Develop "&amp;S.CodeName&amp;"HEARING.PRESENTATION"</f>
        <v>Develop HEARING.PRESENTATION</v>
      </c>
      <c r="AAM351" s="112"/>
      <c r="AAU351" s="44"/>
      <c r="AAV351"/>
      <c r="AAW351"/>
      <c r="AAX351"/>
      <c r="AAY351"/>
      <c r="AAZ351"/>
      <c r="ABA351"/>
      <c r="ABB351"/>
      <c r="ABC351"/>
      <c r="ABD351"/>
    </row>
    <row r="352" spans="1:732" ht="15" customHeight="1" outlineLevel="1">
      <c r="A352" s="558"/>
      <c r="B352" s="442" t="str">
        <f>AAL351</f>
        <v>Develop HEARING.PRESENTATION</v>
      </c>
      <c r="C352" s="297"/>
      <c r="D352" s="145"/>
      <c r="E352" s="400"/>
      <c r="F352" s="400"/>
      <c r="G352" s="401"/>
      <c r="H352" s="401"/>
      <c r="I352" s="588"/>
      <c r="J352" s="592"/>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18"/>
      <c r="ZZ352" s="36"/>
      <c r="AAA352" s="588"/>
      <c r="AAD352" s="112"/>
      <c r="AAE352" s="551">
        <f t="shared" si="951"/>
        <v>1</v>
      </c>
      <c r="AAF352" s="583" t="s">
        <v>174</v>
      </c>
      <c r="AAG352" s="76"/>
      <c r="AAH352" s="76"/>
      <c r="AAI352" s="77"/>
      <c r="AAJ352" s="77"/>
      <c r="AAK352" s="77"/>
      <c r="AAL352" s="57"/>
      <c r="AAM352" s="112"/>
      <c r="AAN352"/>
      <c r="AAT352" s="23"/>
      <c r="AAU352" s="44"/>
    </row>
    <row r="353" spans="1:723" ht="15" customHeight="1" outlineLevel="1">
      <c r="A353" s="558"/>
      <c r="B353" s="441" t="s">
        <v>121</v>
      </c>
      <c r="C353" s="297"/>
      <c r="D353" s="195" t="s">
        <v>0</v>
      </c>
      <c r="E353" s="345" t="s">
        <v>0</v>
      </c>
      <c r="F353" s="366" t="s">
        <v>0</v>
      </c>
      <c r="G353" s="401"/>
      <c r="H353" s="401"/>
      <c r="I353" s="588"/>
      <c r="J353" s="592"/>
      <c r="K353" s="50"/>
      <c r="L353" s="50"/>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0"/>
      <c r="AS353" s="50"/>
      <c r="AT353" s="50"/>
      <c r="AU353" s="50"/>
      <c r="AV353" s="50"/>
      <c r="AW353" s="50"/>
      <c r="AX353" s="50"/>
      <c r="AY353" s="50"/>
      <c r="AZ353" s="50"/>
      <c r="BA353" s="50"/>
      <c r="BB353" s="50"/>
      <c r="BC353" s="50"/>
      <c r="BD353" s="50"/>
      <c r="BE353" s="50"/>
      <c r="BF353" s="50"/>
      <c r="BG353" s="50"/>
      <c r="BH353" s="50"/>
      <c r="BI353" s="50"/>
      <c r="BJ353" s="50"/>
      <c r="BK353" s="50"/>
      <c r="BL353" s="50"/>
      <c r="BM353" s="50"/>
      <c r="BN353" s="50"/>
      <c r="BO353" s="50"/>
      <c r="BP353" s="50"/>
      <c r="BQ353" s="50"/>
      <c r="BR353" s="50"/>
      <c r="BS353" s="50"/>
      <c r="BT353" s="50"/>
      <c r="BU353" s="50"/>
      <c r="BV353" s="50"/>
      <c r="BW353" s="50"/>
      <c r="BX353" s="50"/>
      <c r="BY353" s="50"/>
      <c r="BZ353" s="50"/>
      <c r="CA353" s="50"/>
      <c r="CB353" s="50"/>
      <c r="CC353" s="50"/>
      <c r="CD353" s="50"/>
      <c r="CE353" s="50"/>
      <c r="CF353" s="50"/>
      <c r="CG353" s="50"/>
      <c r="CH353" s="50"/>
      <c r="CI353" s="50"/>
      <c r="CJ353" s="50"/>
      <c r="CK353" s="50"/>
      <c r="CL353" s="50"/>
      <c r="CM353" s="50"/>
      <c r="CN353" s="50"/>
      <c r="CO353" s="50"/>
      <c r="CP353" s="50"/>
      <c r="CQ353" s="50"/>
      <c r="CR353" s="50"/>
      <c r="CS353" s="50"/>
      <c r="CT353" s="50"/>
      <c r="CU353" s="50"/>
      <c r="CV353" s="50"/>
      <c r="CW353" s="50"/>
      <c r="CX353" s="50"/>
      <c r="CY353" s="50"/>
      <c r="CZ353" s="50"/>
      <c r="DA353" s="50"/>
      <c r="DB353" s="50"/>
      <c r="DC353" s="50"/>
      <c r="DD353" s="50"/>
      <c r="DE353" s="50"/>
      <c r="DF353" s="50"/>
      <c r="DG353" s="50"/>
      <c r="DH353" s="50"/>
      <c r="DI353" s="50"/>
      <c r="DJ353" s="50"/>
      <c r="DK353" s="50"/>
      <c r="DL353" s="50"/>
      <c r="DM353" s="50"/>
      <c r="DN353" s="50"/>
      <c r="DO353" s="50"/>
      <c r="DP353" s="50"/>
      <c r="DQ353" s="50"/>
      <c r="DR353" s="50"/>
      <c r="DS353" s="50"/>
      <c r="DT353" s="50"/>
      <c r="DU353" s="50"/>
      <c r="DV353" s="50"/>
      <c r="DW353" s="50"/>
      <c r="DX353" s="50"/>
      <c r="DY353" s="50"/>
      <c r="DZ353" s="50"/>
      <c r="EA353" s="50"/>
      <c r="EB353" s="50"/>
      <c r="EC353" s="50"/>
      <c r="ED353" s="50"/>
      <c r="EE353" s="50"/>
      <c r="EF353" s="50"/>
      <c r="EG353" s="50"/>
      <c r="EH353" s="50"/>
      <c r="EI353" s="50"/>
      <c r="EJ353" s="50"/>
      <c r="EK353" s="50"/>
      <c r="EL353" s="50"/>
      <c r="EM353" s="50"/>
      <c r="EN353" s="50"/>
      <c r="EO353" s="50"/>
      <c r="EP353" s="50"/>
      <c r="EQ353" s="50"/>
      <c r="ER353" s="50"/>
      <c r="ES353" s="50"/>
      <c r="ET353" s="50"/>
      <c r="EU353" s="50"/>
      <c r="EV353" s="50"/>
      <c r="EW353" s="50"/>
      <c r="EX353" s="50"/>
      <c r="EY353" s="50"/>
      <c r="EZ353" s="50"/>
      <c r="FA353" s="50"/>
      <c r="FB353" s="50"/>
      <c r="FC353" s="50"/>
      <c r="FD353" s="50"/>
      <c r="FE353" s="50"/>
      <c r="FF353" s="50"/>
      <c r="FG353" s="50"/>
      <c r="FH353" s="50"/>
      <c r="FI353" s="50"/>
      <c r="FJ353" s="50"/>
      <c r="FK353" s="50"/>
      <c r="FL353" s="50"/>
      <c r="FM353" s="50"/>
      <c r="FN353" s="50"/>
      <c r="FO353" s="50"/>
      <c r="FP353" s="50"/>
      <c r="FQ353" s="50"/>
      <c r="FR353" s="50"/>
      <c r="FS353" s="50"/>
      <c r="FT353" s="50"/>
      <c r="FU353" s="50"/>
      <c r="FV353" s="50"/>
      <c r="FW353" s="50"/>
      <c r="FX353" s="50"/>
      <c r="FY353" s="50"/>
      <c r="FZ353" s="50"/>
      <c r="GA353" s="50"/>
      <c r="GB353" s="50"/>
      <c r="GC353" s="50"/>
      <c r="GD353" s="50"/>
      <c r="GE353" s="50"/>
      <c r="GF353" s="50"/>
      <c r="GG353" s="50"/>
      <c r="GH353" s="50"/>
      <c r="GI353" s="50"/>
      <c r="GJ353" s="50"/>
      <c r="GK353" s="50"/>
      <c r="GL353" s="50"/>
      <c r="GM353" s="50"/>
      <c r="GN353" s="50"/>
      <c r="GO353" s="50"/>
      <c r="GP353" s="50"/>
      <c r="GQ353" s="50"/>
      <c r="GR353" s="50"/>
      <c r="GS353" s="50"/>
      <c r="GT353" s="50"/>
      <c r="GU353" s="50"/>
      <c r="GV353" s="50"/>
      <c r="GW353" s="50"/>
      <c r="GX353" s="50"/>
      <c r="GY353" s="50"/>
      <c r="GZ353" s="50"/>
      <c r="HA353" s="50"/>
      <c r="HB353" s="50"/>
      <c r="HC353" s="50"/>
      <c r="HD353" s="50"/>
      <c r="HE353" s="50"/>
      <c r="HF353" s="50"/>
      <c r="HG353" s="50"/>
      <c r="HH353" s="50"/>
      <c r="HI353" s="50"/>
      <c r="HJ353" s="50"/>
      <c r="HK353" s="50"/>
      <c r="HL353" s="50"/>
      <c r="HM353" s="50"/>
      <c r="HN353" s="50"/>
      <c r="HO353" s="50"/>
      <c r="HP353" s="50"/>
      <c r="HQ353" s="50"/>
      <c r="HR353" s="50"/>
      <c r="HS353" s="50"/>
      <c r="HT353" s="50"/>
      <c r="HU353" s="50"/>
      <c r="HV353" s="50"/>
      <c r="HW353" s="50"/>
      <c r="HX353" s="50"/>
      <c r="HY353" s="50"/>
      <c r="HZ353" s="50"/>
      <c r="IA353" s="50"/>
      <c r="IB353" s="50"/>
      <c r="IC353" s="50"/>
      <c r="ID353" s="50"/>
      <c r="IE353" s="50"/>
      <c r="IF353" s="50"/>
      <c r="IG353" s="50"/>
      <c r="IH353" s="50"/>
      <c r="II353" s="50"/>
      <c r="IJ353" s="50"/>
      <c r="IK353" s="50"/>
      <c r="IL353" s="50"/>
      <c r="IM353" s="50"/>
      <c r="IN353" s="50"/>
      <c r="IO353" s="50"/>
      <c r="IP353" s="50"/>
      <c r="IQ353" s="50"/>
      <c r="IR353" s="50"/>
      <c r="IS353" s="50"/>
      <c r="IT353" s="50"/>
      <c r="IU353" s="50"/>
      <c r="IV353" s="50"/>
      <c r="IW353" s="50"/>
      <c r="IX353" s="50"/>
      <c r="IY353" s="50"/>
      <c r="IZ353" s="50"/>
      <c r="JA353" s="50"/>
      <c r="JB353" s="50"/>
      <c r="JC353" s="50"/>
      <c r="JD353" s="50"/>
      <c r="JE353" s="50"/>
      <c r="JF353" s="50"/>
      <c r="JG353" s="50"/>
      <c r="JH353" s="50"/>
      <c r="JI353" s="50"/>
      <c r="JJ353" s="50"/>
      <c r="JK353" s="50"/>
      <c r="JL353" s="50"/>
      <c r="JM353" s="50"/>
      <c r="JN353" s="50"/>
      <c r="JO353" s="50"/>
      <c r="JP353" s="50"/>
      <c r="JQ353" s="50"/>
      <c r="JR353" s="50"/>
      <c r="JS353" s="50"/>
      <c r="JT353" s="50"/>
      <c r="JU353" s="50"/>
      <c r="JV353" s="50"/>
      <c r="JW353" s="50"/>
      <c r="JX353" s="50"/>
      <c r="JY353" s="50"/>
      <c r="JZ353" s="50"/>
      <c r="KA353" s="50"/>
      <c r="KB353" s="50"/>
      <c r="KC353" s="50"/>
      <c r="KD353" s="50"/>
      <c r="KE353" s="50"/>
      <c r="KF353" s="50"/>
      <c r="KG353" s="50"/>
      <c r="KH353" s="50"/>
      <c r="KI353" s="50"/>
      <c r="KJ353" s="50"/>
      <c r="KK353" s="50"/>
      <c r="KL353" s="50"/>
      <c r="KM353" s="50"/>
      <c r="KN353" s="50"/>
      <c r="KO353" s="50"/>
      <c r="KP353" s="50"/>
      <c r="KQ353" s="50"/>
      <c r="KR353" s="50"/>
      <c r="KS353" s="50"/>
      <c r="KT353" s="50"/>
      <c r="KU353" s="50"/>
      <c r="KV353" s="50"/>
      <c r="KW353" s="50"/>
      <c r="KX353" s="50"/>
      <c r="KY353" s="50"/>
      <c r="KZ353" s="50"/>
      <c r="LA353" s="50"/>
      <c r="LB353" s="50"/>
      <c r="LC353" s="50"/>
      <c r="LD353" s="50"/>
      <c r="LE353" s="50"/>
      <c r="LF353" s="50"/>
      <c r="LG353" s="50"/>
      <c r="LH353" s="50"/>
      <c r="LI353" s="50"/>
      <c r="LJ353" s="50"/>
      <c r="LK353" s="50"/>
      <c r="LL353" s="50"/>
      <c r="LM353" s="50"/>
      <c r="LN353" s="50"/>
      <c r="LO353" s="50"/>
      <c r="LP353" s="50"/>
      <c r="LQ353" s="50"/>
      <c r="LR353" s="50"/>
      <c r="LS353" s="50"/>
      <c r="LT353" s="50"/>
      <c r="LU353" s="50"/>
      <c r="LV353" s="50"/>
      <c r="LW353" s="50"/>
      <c r="LX353" s="50"/>
      <c r="LY353" s="50"/>
      <c r="LZ353" s="50"/>
      <c r="MA353" s="50"/>
      <c r="MB353" s="50"/>
      <c r="MC353" s="50"/>
      <c r="MD353" s="50"/>
      <c r="ME353" s="50"/>
      <c r="MF353" s="50"/>
      <c r="MG353" s="50"/>
      <c r="MH353" s="50"/>
      <c r="MI353" s="50"/>
      <c r="MJ353" s="50"/>
      <c r="MK353" s="50"/>
      <c r="ML353" s="50"/>
      <c r="MM353" s="50"/>
      <c r="MN353" s="50"/>
      <c r="MO353" s="50"/>
      <c r="MP353" s="50"/>
      <c r="MQ353" s="50"/>
      <c r="MR353" s="50"/>
      <c r="MS353" s="50"/>
      <c r="MT353" s="50"/>
      <c r="MU353" s="50"/>
      <c r="MV353" s="50"/>
      <c r="MW353" s="50"/>
      <c r="MX353" s="50"/>
      <c r="MY353" s="50"/>
      <c r="MZ353" s="50"/>
      <c r="NA353" s="50"/>
      <c r="NB353" s="50"/>
      <c r="NC353" s="50"/>
      <c r="ND353" s="50"/>
      <c r="NE353" s="50"/>
      <c r="NF353" s="50"/>
      <c r="NG353" s="50"/>
      <c r="NH353" s="50"/>
      <c r="NI353" s="50"/>
      <c r="NJ353" s="50"/>
      <c r="NK353" s="50"/>
      <c r="NL353" s="50"/>
      <c r="NM353" s="50"/>
      <c r="NN353" s="50"/>
      <c r="NO353" s="50"/>
      <c r="NP353" s="50"/>
      <c r="NQ353" s="50"/>
      <c r="NR353" s="50"/>
      <c r="NS353" s="50"/>
      <c r="NT353" s="50"/>
      <c r="NU353" s="50"/>
      <c r="NV353" s="50"/>
      <c r="NW353" s="50"/>
      <c r="NX353" s="50"/>
      <c r="NY353" s="50"/>
      <c r="NZ353" s="50"/>
      <c r="OA353" s="50"/>
      <c r="OB353" s="50"/>
      <c r="OC353" s="50"/>
      <c r="OD353" s="50"/>
      <c r="OE353" s="50"/>
      <c r="OF353" s="50"/>
      <c r="OG353" s="50"/>
      <c r="OH353" s="50"/>
      <c r="OI353" s="50"/>
      <c r="OJ353" s="50"/>
      <c r="OK353" s="50"/>
      <c r="OL353" s="50"/>
      <c r="OM353" s="50"/>
      <c r="ON353" s="50"/>
      <c r="OO353" s="50"/>
      <c r="OP353" s="50"/>
      <c r="OQ353" s="50"/>
      <c r="OR353" s="50"/>
      <c r="OS353" s="50"/>
      <c r="OT353" s="50"/>
      <c r="OU353" s="50"/>
      <c r="OV353" s="50"/>
      <c r="OW353" s="50"/>
      <c r="OX353" s="50"/>
      <c r="OY353" s="50"/>
      <c r="OZ353" s="50"/>
      <c r="PA353" s="50"/>
      <c r="PB353" s="50"/>
      <c r="PC353" s="50"/>
      <c r="PD353" s="50"/>
      <c r="PE353" s="50"/>
      <c r="PF353" s="50"/>
      <c r="PG353" s="50"/>
      <c r="PH353" s="50"/>
      <c r="PI353" s="50"/>
      <c r="PJ353" s="50"/>
      <c r="PK353" s="50"/>
      <c r="PL353" s="50"/>
      <c r="PM353" s="50"/>
      <c r="PN353" s="50"/>
      <c r="PO353" s="50"/>
      <c r="PP353" s="50"/>
      <c r="PQ353" s="50"/>
      <c r="PR353" s="50"/>
      <c r="PS353" s="50"/>
      <c r="PT353" s="50"/>
      <c r="PU353" s="50"/>
      <c r="PV353" s="50"/>
      <c r="PW353" s="50"/>
      <c r="PX353" s="50"/>
      <c r="PY353" s="50"/>
      <c r="PZ353" s="50"/>
      <c r="QA353" s="50"/>
      <c r="QB353" s="50"/>
      <c r="QC353" s="50"/>
      <c r="QD353" s="50"/>
      <c r="QE353" s="50"/>
      <c r="QF353" s="50"/>
      <c r="QG353" s="50"/>
      <c r="QH353" s="50"/>
      <c r="QI353" s="50"/>
      <c r="QJ353" s="50"/>
      <c r="QK353" s="50"/>
      <c r="QL353" s="50"/>
      <c r="QM353" s="50"/>
      <c r="QN353" s="50"/>
      <c r="QO353" s="50"/>
      <c r="QP353" s="50"/>
      <c r="QQ353" s="50"/>
      <c r="QR353" s="50"/>
      <c r="QS353" s="50"/>
      <c r="QT353" s="50"/>
      <c r="QU353" s="50"/>
      <c r="QV353" s="50"/>
      <c r="QW353" s="50"/>
      <c r="QX353" s="50"/>
      <c r="QY353" s="50"/>
      <c r="QZ353" s="50"/>
      <c r="RA353" s="50"/>
      <c r="RB353" s="50"/>
      <c r="RC353" s="50"/>
      <c r="RD353" s="50"/>
      <c r="RE353" s="50"/>
      <c r="RF353" s="50"/>
      <c r="RG353" s="50"/>
      <c r="RH353" s="50"/>
      <c r="RI353" s="50"/>
      <c r="RJ353" s="50"/>
      <c r="RK353" s="50"/>
      <c r="RL353" s="50"/>
      <c r="RM353" s="50"/>
      <c r="RN353" s="50"/>
      <c r="RO353" s="50"/>
      <c r="RP353" s="50"/>
      <c r="RQ353" s="50"/>
      <c r="RR353" s="50"/>
      <c r="RS353" s="50"/>
      <c r="RT353" s="50"/>
      <c r="RU353" s="50"/>
      <c r="RV353" s="50"/>
      <c r="RW353" s="50"/>
      <c r="RX353" s="50"/>
      <c r="RY353" s="50"/>
      <c r="RZ353" s="50"/>
      <c r="SA353" s="50"/>
      <c r="SB353" s="50"/>
      <c r="SC353" s="50"/>
      <c r="SD353" s="50"/>
      <c r="SE353" s="50"/>
      <c r="SF353" s="50"/>
      <c r="SG353" s="50"/>
      <c r="SH353" s="50"/>
      <c r="SI353" s="50"/>
      <c r="SJ353" s="50"/>
      <c r="SK353" s="50"/>
      <c r="SL353" s="50"/>
      <c r="SM353" s="50"/>
      <c r="SN353" s="50"/>
      <c r="SO353" s="50"/>
      <c r="SP353" s="50"/>
      <c r="SQ353" s="50"/>
      <c r="SR353" s="50"/>
      <c r="SS353" s="50"/>
      <c r="ST353" s="50"/>
      <c r="SU353" s="50"/>
      <c r="SV353" s="50"/>
      <c r="SW353" s="50"/>
      <c r="SX353" s="50"/>
      <c r="SY353" s="50"/>
      <c r="SZ353" s="50"/>
      <c r="TA353" s="50"/>
      <c r="TB353" s="50"/>
      <c r="TC353" s="50"/>
      <c r="TD353" s="50"/>
      <c r="TE353" s="50"/>
      <c r="TF353" s="50"/>
      <c r="TG353" s="50"/>
      <c r="TH353" s="50"/>
      <c r="TI353" s="50"/>
      <c r="TJ353" s="50"/>
      <c r="TK353" s="50"/>
      <c r="TL353" s="50"/>
      <c r="TM353" s="50"/>
      <c r="TN353" s="50"/>
      <c r="TO353" s="50"/>
      <c r="TP353" s="50"/>
      <c r="TQ353" s="50"/>
      <c r="TR353" s="50"/>
      <c r="TS353" s="50"/>
      <c r="TT353" s="50"/>
      <c r="TU353" s="50"/>
      <c r="TV353" s="50"/>
      <c r="TW353" s="50"/>
      <c r="TX353" s="50"/>
      <c r="TY353" s="50"/>
      <c r="TZ353" s="50"/>
      <c r="UA353" s="50"/>
      <c r="UB353" s="50"/>
      <c r="UC353" s="50"/>
      <c r="UD353" s="50"/>
      <c r="UE353" s="50"/>
      <c r="UF353" s="50"/>
      <c r="UG353" s="50"/>
      <c r="UH353" s="50"/>
      <c r="UI353" s="50"/>
      <c r="UJ353" s="50"/>
      <c r="UK353" s="50"/>
      <c r="UL353" s="50"/>
      <c r="UM353" s="50"/>
      <c r="UN353" s="50"/>
      <c r="UO353" s="50"/>
      <c r="UP353" s="50"/>
      <c r="UQ353" s="50"/>
      <c r="UR353" s="50"/>
      <c r="US353" s="50"/>
      <c r="UT353" s="50"/>
      <c r="UU353" s="50"/>
      <c r="UV353" s="50"/>
      <c r="UW353" s="50"/>
      <c r="UX353" s="50"/>
      <c r="UY353" s="50"/>
      <c r="UZ353" s="50"/>
      <c r="VA353" s="50"/>
      <c r="VB353" s="50"/>
      <c r="VC353" s="50"/>
      <c r="VD353" s="50"/>
      <c r="VE353" s="50"/>
      <c r="VF353" s="50"/>
      <c r="VG353" s="50"/>
      <c r="VH353" s="50"/>
      <c r="VI353" s="50"/>
      <c r="VJ353" s="50"/>
      <c r="VK353" s="50"/>
      <c r="VL353" s="50"/>
      <c r="VM353" s="50"/>
      <c r="VN353" s="50"/>
      <c r="VO353" s="50"/>
      <c r="VP353" s="50"/>
      <c r="VQ353" s="50"/>
      <c r="VR353" s="50"/>
      <c r="VS353" s="50"/>
      <c r="VT353" s="50"/>
      <c r="VU353" s="50"/>
      <c r="VV353" s="50"/>
      <c r="VW353" s="50"/>
      <c r="VX353" s="50"/>
      <c r="VY353" s="50"/>
      <c r="VZ353" s="50"/>
      <c r="WA353" s="50"/>
      <c r="WB353" s="50"/>
      <c r="WC353" s="50"/>
      <c r="WD353" s="50"/>
      <c r="WE353" s="50"/>
      <c r="WF353" s="50"/>
      <c r="WG353" s="50"/>
      <c r="WH353" s="50"/>
      <c r="WI353" s="50"/>
      <c r="WJ353" s="50"/>
      <c r="WK353" s="50"/>
      <c r="WL353" s="50"/>
      <c r="WM353" s="50"/>
      <c r="WN353" s="50"/>
      <c r="WO353" s="50"/>
      <c r="WP353" s="50"/>
      <c r="WQ353" s="50"/>
      <c r="WR353" s="50"/>
      <c r="WS353" s="50"/>
      <c r="WT353" s="50"/>
      <c r="WU353" s="50"/>
      <c r="WV353" s="50"/>
      <c r="WW353" s="50"/>
      <c r="WX353" s="50"/>
      <c r="WY353" s="50"/>
      <c r="WZ353" s="50"/>
      <c r="XA353" s="50"/>
      <c r="XB353" s="50"/>
      <c r="XC353" s="50"/>
      <c r="XD353" s="50"/>
      <c r="XE353" s="50"/>
      <c r="XF353" s="50"/>
      <c r="XG353" s="50"/>
      <c r="XH353" s="50"/>
      <c r="XI353" s="50"/>
      <c r="XJ353" s="50"/>
      <c r="XK353" s="50"/>
      <c r="XL353" s="50"/>
      <c r="XM353" s="50"/>
      <c r="XN353" s="50"/>
      <c r="XO353" s="50"/>
      <c r="XP353" s="50"/>
      <c r="XQ353" s="50"/>
      <c r="XR353" s="50"/>
      <c r="XS353" s="50"/>
      <c r="XT353" s="50"/>
      <c r="XU353" s="50"/>
      <c r="XV353" s="50"/>
      <c r="XW353" s="50"/>
      <c r="XX353" s="50"/>
      <c r="XY353" s="50"/>
      <c r="XZ353" s="50"/>
      <c r="YA353" s="50"/>
      <c r="YB353" s="50"/>
      <c r="YC353" s="50"/>
      <c r="YD353" s="50"/>
      <c r="YE353" s="50"/>
      <c r="YF353" s="50"/>
      <c r="YG353" s="50"/>
      <c r="YH353" s="50"/>
      <c r="YI353" s="50"/>
      <c r="YJ353" s="50"/>
      <c r="YK353" s="50"/>
      <c r="YL353" s="50"/>
      <c r="YM353" s="50"/>
      <c r="YN353" s="50"/>
      <c r="YO353" s="50"/>
      <c r="YP353" s="50"/>
      <c r="YQ353" s="50"/>
      <c r="YR353" s="50"/>
      <c r="YS353" s="50"/>
      <c r="YT353" s="50"/>
      <c r="YU353" s="50"/>
      <c r="YV353" s="50"/>
      <c r="YW353" s="50"/>
      <c r="YX353" s="50"/>
      <c r="YY353" s="50"/>
      <c r="YZ353" s="50"/>
      <c r="ZA353" s="50"/>
      <c r="ZB353" s="50"/>
      <c r="ZC353" s="50"/>
      <c r="ZD353" s="50"/>
      <c r="ZE353" s="50"/>
      <c r="ZF353" s="50"/>
      <c r="ZG353" s="50"/>
      <c r="ZH353" s="50"/>
      <c r="ZI353" s="50"/>
      <c r="ZJ353" s="50"/>
      <c r="ZK353" s="50"/>
      <c r="ZL353" s="50"/>
      <c r="ZM353" s="50"/>
      <c r="ZN353" s="50"/>
      <c r="ZO353" s="50"/>
      <c r="ZP353" s="50"/>
      <c r="ZQ353" s="50"/>
      <c r="ZR353" s="50"/>
      <c r="ZS353" s="50"/>
      <c r="ZT353" s="50"/>
      <c r="ZU353" s="50"/>
      <c r="ZV353" s="50"/>
      <c r="ZW353" s="50"/>
      <c r="ZX353" s="50"/>
      <c r="ZY353" s="618"/>
      <c r="ZZ353" s="36"/>
      <c r="AAA353" s="588"/>
      <c r="AAD353" s="112"/>
      <c r="AAE353" s="551">
        <f t="shared" si="951"/>
        <v>1</v>
      </c>
      <c r="AAF353" s="583" t="s">
        <v>174</v>
      </c>
      <c r="AAG353" s="76"/>
      <c r="AAH353" s="76"/>
      <c r="AAI353" s="77"/>
      <c r="AAJ353" s="77"/>
      <c r="AAK353" s="77"/>
      <c r="AAL353" s="57"/>
      <c r="AAM353" s="112"/>
      <c r="AAN353"/>
      <c r="AAT353" s="23"/>
      <c r="AAU353" s="44"/>
    </row>
    <row r="354" spans="1:723" ht="15" customHeight="1" outlineLevel="1">
      <c r="A354" s="558"/>
      <c r="B354" s="443" t="s">
        <v>29</v>
      </c>
      <c r="C354" s="297"/>
      <c r="D354" s="279" t="s">
        <v>359</v>
      </c>
      <c r="E354" s="368">
        <f t="shared" ref="E354:E358" si="952">NETWORKDAYS(G354,H354,S.DDL_DEQClosed)</f>
        <v>1</v>
      </c>
      <c r="F354" s="491">
        <f t="shared" ref="F354:F358" ca="1" si="953">NETWORKDAYS(TODAY(),H354)</f>
        <v>-102</v>
      </c>
      <c r="G354" s="449">
        <f>AAG354</f>
        <v>41509</v>
      </c>
      <c r="H354" s="449">
        <f>AAH354</f>
        <v>41509</v>
      </c>
      <c r="I354" s="627"/>
      <c r="J354" s="591"/>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c r="AO354" s="47"/>
      <c r="AP354" s="47"/>
      <c r="AQ354" s="47"/>
      <c r="AR354" s="47"/>
      <c r="AS354" s="47"/>
      <c r="AT354" s="47"/>
      <c r="AU354" s="47"/>
      <c r="AV354" s="47"/>
      <c r="AW354" s="47"/>
      <c r="AX354" s="47"/>
      <c r="AY354" s="47"/>
      <c r="AZ354" s="47"/>
      <c r="BA354" s="47"/>
      <c r="BB354" s="47"/>
      <c r="BC354" s="47"/>
      <c r="BD354" s="47"/>
      <c r="BE354" s="47"/>
      <c r="BF354" s="47"/>
      <c r="BG354" s="47"/>
      <c r="BH354" s="47"/>
      <c r="BI354" s="47"/>
      <c r="BJ354" s="47"/>
      <c r="BK354" s="47"/>
      <c r="BL354" s="47"/>
      <c r="BM354" s="47"/>
      <c r="BN354" s="47"/>
      <c r="BO354" s="47"/>
      <c r="BP354" s="47"/>
      <c r="BQ354" s="47"/>
      <c r="BR354" s="47"/>
      <c r="BS354" s="47"/>
      <c r="BT354" s="47"/>
      <c r="BU354" s="47"/>
      <c r="BV354" s="47"/>
      <c r="BW354" s="47"/>
      <c r="BX354" s="47"/>
      <c r="BY354" s="47"/>
      <c r="BZ354" s="47"/>
      <c r="CA354" s="47"/>
      <c r="CB354" s="47"/>
      <c r="CC354" s="47"/>
      <c r="CD354" s="47"/>
      <c r="CE354" s="47"/>
      <c r="CF354" s="47"/>
      <c r="CG354" s="47"/>
      <c r="CH354" s="47"/>
      <c r="CI354" s="47"/>
      <c r="CJ354" s="47"/>
      <c r="CK354" s="47"/>
      <c r="CL354" s="47"/>
      <c r="CM354" s="47"/>
      <c r="CN354" s="47"/>
      <c r="CO354" s="47"/>
      <c r="CP354" s="47"/>
      <c r="CQ354" s="47"/>
      <c r="CR354" s="47"/>
      <c r="CS354" s="47"/>
      <c r="CT354" s="47"/>
      <c r="CU354" s="47"/>
      <c r="CV354" s="47"/>
      <c r="CW354" s="47"/>
      <c r="CX354" s="47"/>
      <c r="CY354" s="47"/>
      <c r="CZ354" s="47"/>
      <c r="DA354" s="47"/>
      <c r="DB354" s="47"/>
      <c r="DC354" s="47"/>
      <c r="DD354" s="47"/>
      <c r="DE354" s="47"/>
      <c r="DF354" s="47"/>
      <c r="DG354" s="47"/>
      <c r="DH354" s="47"/>
      <c r="DI354" s="47"/>
      <c r="DJ354" s="47"/>
      <c r="DK354" s="47"/>
      <c r="DL354" s="47"/>
      <c r="DM354" s="47"/>
      <c r="DN354" s="47"/>
      <c r="DO354" s="47"/>
      <c r="DP354" s="47"/>
      <c r="DQ354" s="47"/>
      <c r="DR354" s="47"/>
      <c r="DS354" s="47"/>
      <c r="DT354" s="47"/>
      <c r="DU354" s="47"/>
      <c r="DV354" s="47"/>
      <c r="DW354" s="47"/>
      <c r="DX354" s="47"/>
      <c r="DY354" s="47"/>
      <c r="DZ354" s="47"/>
      <c r="EA354" s="47"/>
      <c r="EB354" s="47"/>
      <c r="EC354" s="47"/>
      <c r="ED354" s="47"/>
      <c r="EE354" s="47"/>
      <c r="EF354" s="47"/>
      <c r="EG354" s="47"/>
      <c r="EH354" s="47"/>
      <c r="EI354" s="47"/>
      <c r="EJ354" s="47"/>
      <c r="EK354" s="47"/>
      <c r="EL354" s="47"/>
      <c r="EM354" s="47"/>
      <c r="EN354" s="47"/>
      <c r="EO354" s="47"/>
      <c r="EP354" s="47"/>
      <c r="EQ354" s="47"/>
      <c r="ER354" s="47"/>
      <c r="ES354" s="47"/>
      <c r="ET354" s="47"/>
      <c r="EU354" s="47"/>
      <c r="EV354" s="47"/>
      <c r="EW354" s="47"/>
      <c r="EX354" s="47"/>
      <c r="EY354" s="47"/>
      <c r="EZ354" s="47"/>
      <c r="FA354" s="47"/>
      <c r="FB354" s="47"/>
      <c r="FC354" s="47"/>
      <c r="FD354" s="47"/>
      <c r="FE354" s="47"/>
      <c r="FF354" s="47"/>
      <c r="FG354" s="47"/>
      <c r="FH354" s="47"/>
      <c r="FI354" s="47"/>
      <c r="FJ354" s="47"/>
      <c r="FK354" s="47"/>
      <c r="FL354" s="47"/>
      <c r="FM354" s="47"/>
      <c r="FN354" s="47"/>
      <c r="FO354" s="47"/>
      <c r="FP354" s="47"/>
      <c r="FQ354" s="47"/>
      <c r="FR354" s="47"/>
      <c r="FS354" s="47"/>
      <c r="FT354" s="47"/>
      <c r="FU354" s="47"/>
      <c r="FV354" s="47"/>
      <c r="FW354" s="47"/>
      <c r="FX354" s="47"/>
      <c r="FY354" s="47"/>
      <c r="FZ354" s="47"/>
      <c r="GA354" s="47"/>
      <c r="GB354" s="47"/>
      <c r="GC354" s="47"/>
      <c r="GD354" s="47"/>
      <c r="GE354" s="47"/>
      <c r="GF354" s="47"/>
      <c r="GG354" s="47"/>
      <c r="GH354" s="47"/>
      <c r="GI354" s="47"/>
      <c r="GJ354" s="47"/>
      <c r="GK354" s="47"/>
      <c r="GL354" s="47"/>
      <c r="GM354" s="47"/>
      <c r="GN354" s="47"/>
      <c r="GO354" s="47"/>
      <c r="GP354" s="47"/>
      <c r="GQ354" s="47"/>
      <c r="GR354" s="47"/>
      <c r="GS354" s="47"/>
      <c r="GT354" s="47"/>
      <c r="GU354" s="47"/>
      <c r="GV354" s="47"/>
      <c r="GW354" s="47"/>
      <c r="GX354" s="47"/>
      <c r="GY354" s="47"/>
      <c r="GZ354" s="47"/>
      <c r="HA354" s="47"/>
      <c r="HB354" s="47"/>
      <c r="HC354" s="47"/>
      <c r="HD354" s="47"/>
      <c r="HE354" s="47"/>
      <c r="HF354" s="47"/>
      <c r="HG354" s="47"/>
      <c r="HH354" s="47"/>
      <c r="HI354" s="47"/>
      <c r="HJ354" s="47"/>
      <c r="HK354" s="47"/>
      <c r="HL354" s="47"/>
      <c r="HM354" s="47"/>
      <c r="HN354" s="47"/>
      <c r="HO354" s="47"/>
      <c r="HP354" s="47"/>
      <c r="HQ354" s="47"/>
      <c r="HR354" s="47"/>
      <c r="HS354" s="47"/>
      <c r="HT354" s="47"/>
      <c r="HU354" s="47"/>
      <c r="HV354" s="47"/>
      <c r="HW354" s="47"/>
      <c r="HX354" s="47"/>
      <c r="HY354" s="47"/>
      <c r="HZ354" s="47"/>
      <c r="IA354" s="47"/>
      <c r="IB354" s="47"/>
      <c r="IC354" s="47"/>
      <c r="ID354" s="47"/>
      <c r="IE354" s="47"/>
      <c r="IF354" s="47"/>
      <c r="IG354" s="47"/>
      <c r="IH354" s="47"/>
      <c r="II354" s="47"/>
      <c r="IJ354" s="47"/>
      <c r="IK354" s="47"/>
      <c r="IL354" s="47"/>
      <c r="IM354" s="47"/>
      <c r="IN354" s="47"/>
      <c r="IO354" s="47"/>
      <c r="IP354" s="47"/>
      <c r="IQ354" s="47"/>
      <c r="IR354" s="47"/>
      <c r="IS354" s="47"/>
      <c r="IT354" s="47"/>
      <c r="IU354" s="47"/>
      <c r="IV354" s="47"/>
      <c r="IW354" s="47"/>
      <c r="IX354" s="47"/>
      <c r="IY354" s="47"/>
      <c r="IZ354" s="47"/>
      <c r="JA354" s="47"/>
      <c r="JB354" s="47"/>
      <c r="JC354" s="47"/>
      <c r="JD354" s="47"/>
      <c r="JE354" s="47"/>
      <c r="JF354" s="47"/>
      <c r="JG354" s="47"/>
      <c r="JH354" s="47"/>
      <c r="JI354" s="47"/>
      <c r="JJ354" s="47"/>
      <c r="JK354" s="47"/>
      <c r="JL354" s="47"/>
      <c r="JM354" s="47"/>
      <c r="JN354" s="47"/>
      <c r="JO354" s="47"/>
      <c r="JP354" s="47"/>
      <c r="JQ354" s="47"/>
      <c r="JR354" s="47"/>
      <c r="JS354" s="47"/>
      <c r="JT354" s="47"/>
      <c r="JU354" s="47"/>
      <c r="JV354" s="47"/>
      <c r="JW354" s="47"/>
      <c r="JX354" s="47"/>
      <c r="JY354" s="47"/>
      <c r="JZ354" s="47"/>
      <c r="KA354" s="47"/>
      <c r="KB354" s="47"/>
      <c r="KC354" s="47"/>
      <c r="KD354" s="47"/>
      <c r="KE354" s="47"/>
      <c r="KF354" s="47"/>
      <c r="KG354" s="47"/>
      <c r="KH354" s="47"/>
      <c r="KI354" s="47"/>
      <c r="KJ354" s="47"/>
      <c r="KK354" s="47"/>
      <c r="KL354" s="47"/>
      <c r="KM354" s="47"/>
      <c r="KN354" s="47"/>
      <c r="KO354" s="47"/>
      <c r="KP354" s="47"/>
      <c r="KQ354" s="47"/>
      <c r="KR354" s="47"/>
      <c r="KS354" s="47"/>
      <c r="KT354" s="47"/>
      <c r="KU354" s="47"/>
      <c r="KV354" s="47"/>
      <c r="KW354" s="47"/>
      <c r="KX354" s="47"/>
      <c r="KY354" s="47"/>
      <c r="KZ354" s="47"/>
      <c r="LA354" s="47"/>
      <c r="LB354" s="47"/>
      <c r="LC354" s="47"/>
      <c r="LD354" s="47"/>
      <c r="LE354" s="47"/>
      <c r="LF354" s="47"/>
      <c r="LG354" s="47"/>
      <c r="LH354" s="47"/>
      <c r="LI354" s="47"/>
      <c r="LJ354" s="47"/>
      <c r="LK354" s="47"/>
      <c r="LL354" s="47"/>
      <c r="LM354" s="47"/>
      <c r="LN354" s="47"/>
      <c r="LO354" s="47"/>
      <c r="LP354" s="47"/>
      <c r="LQ354" s="47"/>
      <c r="LR354" s="47"/>
      <c r="LS354" s="47"/>
      <c r="LT354" s="47"/>
      <c r="LU354" s="47"/>
      <c r="LV354" s="47"/>
      <c r="LW354" s="47"/>
      <c r="LX354" s="47"/>
      <c r="LY354" s="47"/>
      <c r="LZ354" s="47"/>
      <c r="MA354" s="47"/>
      <c r="MB354" s="47"/>
      <c r="MC354" s="47"/>
      <c r="MD354" s="47"/>
      <c r="ME354" s="47"/>
      <c r="MF354" s="47"/>
      <c r="MG354" s="47"/>
      <c r="MH354" s="47"/>
      <c r="MI354" s="47"/>
      <c r="MJ354" s="47"/>
      <c r="MK354" s="47"/>
      <c r="ML354" s="47"/>
      <c r="MM354" s="47"/>
      <c r="MN354" s="47"/>
      <c r="MO354" s="47"/>
      <c r="MP354" s="47"/>
      <c r="MQ354" s="47"/>
      <c r="MR354" s="47"/>
      <c r="MS354" s="47"/>
      <c r="MT354" s="47"/>
      <c r="MU354" s="47"/>
      <c r="MV354" s="47"/>
      <c r="MW354" s="47"/>
      <c r="MX354" s="47"/>
      <c r="MY354" s="47"/>
      <c r="MZ354" s="47"/>
      <c r="NA354" s="47"/>
      <c r="NB354" s="47"/>
      <c r="NC354" s="47"/>
      <c r="ND354" s="47"/>
      <c r="NE354" s="47"/>
      <c r="NF354" s="47"/>
      <c r="NG354" s="47"/>
      <c r="NH354" s="47"/>
      <c r="NI354" s="47"/>
      <c r="NJ354" s="47"/>
      <c r="NK354" s="47"/>
      <c r="NL354" s="47"/>
      <c r="NM354" s="47"/>
      <c r="NN354" s="47"/>
      <c r="NO354" s="47"/>
      <c r="NP354" s="47"/>
      <c r="NQ354" s="47"/>
      <c r="NR354" s="47"/>
      <c r="NS354" s="47"/>
      <c r="NT354" s="47"/>
      <c r="NU354" s="47"/>
      <c r="NV354" s="47"/>
      <c r="NW354" s="47"/>
      <c r="NX354" s="47"/>
      <c r="NY354" s="47"/>
      <c r="NZ354" s="47"/>
      <c r="OA354" s="47"/>
      <c r="OB354" s="47"/>
      <c r="OC354" s="47"/>
      <c r="OD354" s="47"/>
      <c r="OE354" s="47"/>
      <c r="OF354" s="47"/>
      <c r="OG354" s="47"/>
      <c r="OH354" s="47"/>
      <c r="OI354" s="47"/>
      <c r="OJ354" s="47"/>
      <c r="OK354" s="47"/>
      <c r="OL354" s="47"/>
      <c r="OM354" s="47"/>
      <c r="ON354" s="47"/>
      <c r="OO354" s="47"/>
      <c r="OP354" s="47"/>
      <c r="OQ354" s="47"/>
      <c r="OR354" s="47"/>
      <c r="OS354" s="47"/>
      <c r="OT354" s="47"/>
      <c r="OU354" s="47"/>
      <c r="OV354" s="47"/>
      <c r="OW354" s="47"/>
      <c r="OX354" s="47"/>
      <c r="OY354" s="47"/>
      <c r="OZ354" s="47"/>
      <c r="PA354" s="47"/>
      <c r="PB354" s="47"/>
      <c r="PC354" s="47"/>
      <c r="PD354" s="47"/>
      <c r="PE354" s="47"/>
      <c r="PF354" s="47"/>
      <c r="PG354" s="47"/>
      <c r="PH354" s="47"/>
      <c r="PI354" s="47"/>
      <c r="PJ354" s="47"/>
      <c r="PK354" s="47"/>
      <c r="PL354" s="47"/>
      <c r="PM354" s="47"/>
      <c r="PN354" s="47"/>
      <c r="PO354" s="47"/>
      <c r="PP354" s="47"/>
      <c r="PQ354" s="47"/>
      <c r="PR354" s="47"/>
      <c r="PS354" s="47"/>
      <c r="PT354" s="47"/>
      <c r="PU354" s="47"/>
      <c r="PV354" s="47"/>
      <c r="PW354" s="47"/>
      <c r="PX354" s="47"/>
      <c r="PY354" s="47"/>
      <c r="PZ354" s="47"/>
      <c r="QA354" s="47"/>
      <c r="QB354" s="47"/>
      <c r="QC354" s="47"/>
      <c r="QD354" s="47"/>
      <c r="QE354" s="47"/>
      <c r="QF354" s="47"/>
      <c r="QG354" s="47"/>
      <c r="QH354" s="47"/>
      <c r="QI354" s="47"/>
      <c r="QJ354" s="47"/>
      <c r="QK354" s="47"/>
      <c r="QL354" s="47"/>
      <c r="QM354" s="47"/>
      <c r="QN354" s="47"/>
      <c r="QO354" s="47"/>
      <c r="QP354" s="47"/>
      <c r="QQ354" s="47"/>
      <c r="QR354" s="47"/>
      <c r="QS354" s="47"/>
      <c r="QT354" s="47"/>
      <c r="QU354" s="47"/>
      <c r="QV354" s="47"/>
      <c r="QW354" s="47"/>
      <c r="QX354" s="47"/>
      <c r="QY354" s="47"/>
      <c r="QZ354" s="47"/>
      <c r="RA354" s="47"/>
      <c r="RB354" s="47"/>
      <c r="RC354" s="47"/>
      <c r="RD354" s="47"/>
      <c r="RE354" s="47"/>
      <c r="RF354" s="47"/>
      <c r="RG354" s="47"/>
      <c r="RH354" s="47"/>
      <c r="RI354" s="47"/>
      <c r="RJ354" s="47"/>
      <c r="RK354" s="47"/>
      <c r="RL354" s="47"/>
      <c r="RM354" s="47"/>
      <c r="RN354" s="47"/>
      <c r="RO354" s="47"/>
      <c r="RP354" s="47"/>
      <c r="RQ354" s="47"/>
      <c r="RR354" s="47"/>
      <c r="RS354" s="47"/>
      <c r="RT354" s="47"/>
      <c r="RU354" s="47"/>
      <c r="RV354" s="47"/>
      <c r="RW354" s="47"/>
      <c r="RX354" s="47"/>
      <c r="RY354" s="47"/>
      <c r="RZ354" s="47"/>
      <c r="SA354" s="47"/>
      <c r="SB354" s="47"/>
      <c r="SC354" s="47"/>
      <c r="SD354" s="47"/>
      <c r="SE354" s="47"/>
      <c r="SF354" s="47"/>
      <c r="SG354" s="47"/>
      <c r="SH354" s="47"/>
      <c r="SI354" s="47"/>
      <c r="SJ354" s="47"/>
      <c r="SK354" s="47"/>
      <c r="SL354" s="47"/>
      <c r="SM354" s="47"/>
      <c r="SN354" s="47"/>
      <c r="SO354" s="47"/>
      <c r="SP354" s="47"/>
      <c r="SQ354" s="47"/>
      <c r="SR354" s="47"/>
      <c r="SS354" s="47"/>
      <c r="ST354" s="47"/>
      <c r="SU354" s="47"/>
      <c r="SV354" s="47"/>
      <c r="SW354" s="47"/>
      <c r="SX354" s="47"/>
      <c r="SY354" s="47"/>
      <c r="SZ354" s="47"/>
      <c r="TA354" s="47"/>
      <c r="TB354" s="47"/>
      <c r="TC354" s="47"/>
      <c r="TD354" s="47"/>
      <c r="TE354" s="47"/>
      <c r="TF354" s="47"/>
      <c r="TG354" s="47"/>
      <c r="TH354" s="47"/>
      <c r="TI354" s="47"/>
      <c r="TJ354" s="47"/>
      <c r="TK354" s="47"/>
      <c r="TL354" s="47"/>
      <c r="TM354" s="47"/>
      <c r="TN354" s="47"/>
      <c r="TO354" s="47"/>
      <c r="TP354" s="47"/>
      <c r="TQ354" s="47"/>
      <c r="TR354" s="47"/>
      <c r="TS354" s="47"/>
      <c r="TT354" s="47"/>
      <c r="TU354" s="47"/>
      <c r="TV354" s="47"/>
      <c r="TW354" s="47"/>
      <c r="TX354" s="47"/>
      <c r="TY354" s="47"/>
      <c r="TZ354" s="47"/>
      <c r="UA354" s="47"/>
      <c r="UB354" s="47"/>
      <c r="UC354" s="47"/>
      <c r="UD354" s="47"/>
      <c r="UE354" s="47"/>
      <c r="UF354" s="47"/>
      <c r="UG354" s="47"/>
      <c r="UH354" s="47"/>
      <c r="UI354" s="47"/>
      <c r="UJ354" s="47"/>
      <c r="UK354" s="47"/>
      <c r="UL354" s="47"/>
      <c r="UM354" s="47"/>
      <c r="UN354" s="47"/>
      <c r="UO354" s="47"/>
      <c r="UP354" s="47"/>
      <c r="UQ354" s="47"/>
      <c r="UR354" s="47"/>
      <c r="US354" s="47"/>
      <c r="UT354" s="47"/>
      <c r="UU354" s="47"/>
      <c r="UV354" s="47"/>
      <c r="UW354" s="47"/>
      <c r="UX354" s="47"/>
      <c r="UY354" s="47"/>
      <c r="UZ354" s="47"/>
      <c r="VA354" s="47"/>
      <c r="VB354" s="47"/>
      <c r="VC354" s="47"/>
      <c r="VD354" s="47"/>
      <c r="VE354" s="47"/>
      <c r="VF354" s="47"/>
      <c r="VG354" s="47"/>
      <c r="VH354" s="47"/>
      <c r="VI354" s="47"/>
      <c r="VJ354" s="47"/>
      <c r="VK354" s="47"/>
      <c r="VL354" s="47"/>
      <c r="VM354" s="47"/>
      <c r="VN354" s="47"/>
      <c r="VO354" s="47"/>
      <c r="VP354" s="47"/>
      <c r="VQ354" s="47"/>
      <c r="VR354" s="47"/>
      <c r="VS354" s="47"/>
      <c r="VT354" s="47"/>
      <c r="VU354" s="47"/>
      <c r="VV354" s="47"/>
      <c r="VW354" s="47"/>
      <c r="VX354" s="47"/>
      <c r="VY354" s="47"/>
      <c r="VZ354" s="47"/>
      <c r="WA354" s="47"/>
      <c r="WB354" s="47"/>
      <c r="WC354" s="47"/>
      <c r="WD354" s="47"/>
      <c r="WE354" s="47"/>
      <c r="WF354" s="47"/>
      <c r="WG354" s="47"/>
      <c r="WH354" s="47"/>
      <c r="WI354" s="47"/>
      <c r="WJ354" s="47"/>
      <c r="WK354" s="47"/>
      <c r="WL354" s="47"/>
      <c r="WM354" s="47"/>
      <c r="WN354" s="47"/>
      <c r="WO354" s="47"/>
      <c r="WP354" s="47"/>
      <c r="WQ354" s="47"/>
      <c r="WR354" s="47"/>
      <c r="WS354" s="47"/>
      <c r="WT354" s="47"/>
      <c r="WU354" s="47"/>
      <c r="WV354" s="47"/>
      <c r="WW354" s="47"/>
      <c r="WX354" s="47"/>
      <c r="WY354" s="47"/>
      <c r="WZ354" s="47"/>
      <c r="XA354" s="47"/>
      <c r="XB354" s="47"/>
      <c r="XC354" s="47"/>
      <c r="XD354" s="47"/>
      <c r="XE354" s="47"/>
      <c r="XF354" s="47"/>
      <c r="XG354" s="47"/>
      <c r="XH354" s="47"/>
      <c r="XI354" s="47"/>
      <c r="XJ354" s="47"/>
      <c r="XK354" s="47"/>
      <c r="XL354" s="47"/>
      <c r="XM354" s="47"/>
      <c r="XN354" s="47"/>
      <c r="XO354" s="47"/>
      <c r="XP354" s="47"/>
      <c r="XQ354" s="47"/>
      <c r="XR354" s="47"/>
      <c r="XS354" s="47"/>
      <c r="XT354" s="47"/>
      <c r="XU354" s="47"/>
      <c r="XV354" s="47"/>
      <c r="XW354" s="47"/>
      <c r="XX354" s="47"/>
      <c r="XY354" s="47"/>
      <c r="XZ354" s="47"/>
      <c r="YA354" s="47"/>
      <c r="YB354" s="47"/>
      <c r="YC354" s="47"/>
      <c r="YD354" s="47"/>
      <c r="YE354" s="47"/>
      <c r="YF354" s="47"/>
      <c r="YG354" s="47"/>
      <c r="YH354" s="47"/>
      <c r="YI354" s="47"/>
      <c r="YJ354" s="47"/>
      <c r="YK354" s="47"/>
      <c r="YL354" s="47"/>
      <c r="YM354" s="47"/>
      <c r="YN354" s="47"/>
      <c r="YO354" s="47"/>
      <c r="YP354" s="47"/>
      <c r="YQ354" s="47"/>
      <c r="YR354" s="47"/>
      <c r="YS354" s="47"/>
      <c r="YT354" s="47"/>
      <c r="YU354" s="47"/>
      <c r="YV354" s="47"/>
      <c r="YW354" s="47"/>
      <c r="YX354" s="47"/>
      <c r="YY354" s="47"/>
      <c r="YZ354" s="47"/>
      <c r="ZA354" s="47"/>
      <c r="ZB354" s="47"/>
      <c r="ZC354" s="47"/>
      <c r="ZD354" s="47"/>
      <c r="ZE354" s="47"/>
      <c r="ZF354" s="47"/>
      <c r="ZG354" s="47"/>
      <c r="ZH354" s="47"/>
      <c r="ZI354" s="47"/>
      <c r="ZJ354" s="47"/>
      <c r="ZK354" s="47"/>
      <c r="ZL354" s="47"/>
      <c r="ZM354" s="47"/>
      <c r="ZN354" s="47"/>
      <c r="ZO354" s="47"/>
      <c r="ZP354" s="47"/>
      <c r="ZQ354" s="47"/>
      <c r="ZR354" s="47"/>
      <c r="ZS354" s="47"/>
      <c r="ZT354" s="47"/>
      <c r="ZU354" s="47"/>
      <c r="ZV354" s="47"/>
      <c r="ZW354" s="47"/>
      <c r="ZX354" s="47"/>
      <c r="ZY354" s="50"/>
      <c r="ZZ354" s="50"/>
      <c r="AAA354" s="588"/>
      <c r="AAD354" s="112"/>
      <c r="AAE354" s="551">
        <f t="shared" si="951"/>
        <v>1</v>
      </c>
      <c r="AAF354" s="112"/>
      <c r="AAG354" s="78">
        <f>G348</f>
        <v>41509</v>
      </c>
      <c r="AAH354" s="78">
        <f>G354</f>
        <v>41509</v>
      </c>
      <c r="AAI354" s="77"/>
      <c r="AAJ354" s="77"/>
      <c r="AAK354" s="77"/>
      <c r="AAL354" s="56"/>
      <c r="AAM354" s="112"/>
      <c r="AAN354"/>
      <c r="AAT354" s="23"/>
      <c r="AAU354" s="44"/>
    </row>
    <row r="355" spans="1:723" ht="15" customHeight="1" outlineLevel="1">
      <c r="A355" s="558"/>
      <c r="B355" s="444" t="s">
        <v>81</v>
      </c>
      <c r="C355" s="297"/>
      <c r="D355" s="279" t="s">
        <v>359</v>
      </c>
      <c r="E355" s="368">
        <f t="shared" si="952"/>
        <v>1</v>
      </c>
      <c r="F355" s="491">
        <f t="shared" ca="1" si="953"/>
        <v>-102</v>
      </c>
      <c r="G355" s="449">
        <f t="shared" ref="G355:H358" si="954">AAG355</f>
        <v>41509</v>
      </c>
      <c r="H355" s="449">
        <f t="shared" si="954"/>
        <v>41509</v>
      </c>
      <c r="I355" s="627"/>
      <c r="J355" s="592"/>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588"/>
      <c r="AAD355" s="112"/>
      <c r="AAE355" s="551">
        <f t="shared" si="951"/>
        <v>1</v>
      </c>
      <c r="AAF355" s="112"/>
      <c r="AAG355" s="78">
        <f t="shared" ref="AAG355:AAG358" si="955">H354</f>
        <v>41509</v>
      </c>
      <c r="AAH355" s="78">
        <f t="shared" ref="AAH355:AAH358" si="956">G355</f>
        <v>41509</v>
      </c>
      <c r="AAI355" s="77"/>
      <c r="AAJ355" s="77"/>
      <c r="AAK355" s="77"/>
      <c r="AAL355" s="57"/>
      <c r="AAM355" s="112"/>
      <c r="AAN355"/>
      <c r="AAT355" s="23"/>
      <c r="AAU355" s="44"/>
    </row>
    <row r="356" spans="1:723" ht="15" customHeight="1" outlineLevel="1">
      <c r="A356" s="558"/>
      <c r="B356" s="445" t="s">
        <v>82</v>
      </c>
      <c r="C356" s="297"/>
      <c r="D356" s="279" t="s">
        <v>359</v>
      </c>
      <c r="E356" s="368">
        <f t="shared" si="952"/>
        <v>1</v>
      </c>
      <c r="F356" s="491">
        <f t="shared" ca="1" si="953"/>
        <v>-102</v>
      </c>
      <c r="G356" s="449">
        <f t="shared" si="954"/>
        <v>41509</v>
      </c>
      <c r="H356" s="449">
        <f t="shared" si="954"/>
        <v>41509</v>
      </c>
      <c r="I356" s="627"/>
      <c r="J356" s="592"/>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588"/>
      <c r="AAD356" s="112"/>
      <c r="AAE356" s="551">
        <f t="shared" si="951"/>
        <v>1</v>
      </c>
      <c r="AAF356" s="112"/>
      <c r="AAG356" s="78">
        <f t="shared" si="955"/>
        <v>41509</v>
      </c>
      <c r="AAH356" s="78">
        <f t="shared" si="956"/>
        <v>41509</v>
      </c>
      <c r="AAI356" s="77"/>
      <c r="AAJ356" s="77"/>
      <c r="AAK356" s="77"/>
      <c r="AAL356" s="57"/>
      <c r="AAM356" s="112"/>
      <c r="AAN356"/>
      <c r="AAT356" s="23"/>
      <c r="AAU356" s="44"/>
    </row>
    <row r="357" spans="1:723" ht="15" customHeight="1" outlineLevel="1">
      <c r="A357" s="558"/>
      <c r="B357" s="446" t="s">
        <v>83</v>
      </c>
      <c r="C357" s="297"/>
      <c r="D357" s="279" t="s">
        <v>359</v>
      </c>
      <c r="E357" s="368">
        <f t="shared" si="952"/>
        <v>1</v>
      </c>
      <c r="F357" s="491">
        <f t="shared" ca="1" si="953"/>
        <v>-102</v>
      </c>
      <c r="G357" s="449">
        <f t="shared" si="954"/>
        <v>41509</v>
      </c>
      <c r="H357" s="449">
        <f t="shared" si="954"/>
        <v>41509</v>
      </c>
      <c r="I357" s="627"/>
      <c r="J357" s="592"/>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588"/>
      <c r="AAD357" s="112"/>
      <c r="AAE357" s="551">
        <f t="shared" si="951"/>
        <v>1</v>
      </c>
      <c r="AAF357" s="112"/>
      <c r="AAG357" s="78">
        <f t="shared" si="955"/>
        <v>41509</v>
      </c>
      <c r="AAH357" s="78">
        <f t="shared" si="956"/>
        <v>41509</v>
      </c>
      <c r="AAI357" s="77"/>
      <c r="AAJ357" s="77"/>
      <c r="AAK357" s="77"/>
      <c r="AAL357" s="57"/>
      <c r="AAM357" s="112"/>
      <c r="AAN357"/>
      <c r="AAT357" s="23"/>
      <c r="AAU357" s="44"/>
    </row>
    <row r="358" spans="1:723" ht="15" customHeight="1" outlineLevel="1">
      <c r="A358" s="558"/>
      <c r="B358" s="447" t="s">
        <v>84</v>
      </c>
      <c r="C358" s="297"/>
      <c r="D358" s="279" t="s">
        <v>359</v>
      </c>
      <c r="E358" s="368">
        <f t="shared" si="952"/>
        <v>1</v>
      </c>
      <c r="F358" s="491">
        <f t="shared" ca="1" si="953"/>
        <v>-102</v>
      </c>
      <c r="G358" s="449">
        <f t="shared" si="954"/>
        <v>41509</v>
      </c>
      <c r="H358" s="449">
        <f t="shared" si="954"/>
        <v>41509</v>
      </c>
      <c r="I358" s="627"/>
      <c r="J358" s="592"/>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50"/>
      <c r="ZZ358" s="50"/>
      <c r="AAA358" s="588"/>
      <c r="AAD358" s="112"/>
      <c r="AAE358" s="551">
        <f t="shared" si="951"/>
        <v>1</v>
      </c>
      <c r="AAF358" s="112"/>
      <c r="AAG358" s="78">
        <f t="shared" si="955"/>
        <v>41509</v>
      </c>
      <c r="AAH358" s="78">
        <f t="shared" si="956"/>
        <v>41509</v>
      </c>
      <c r="AAI358" s="77"/>
      <c r="AAJ358" s="77"/>
      <c r="AAK358" s="77"/>
      <c r="AAL358" s="57"/>
      <c r="AAM358" s="112"/>
      <c r="AAN358"/>
      <c r="AAT358" s="23"/>
      <c r="AAU358" s="44"/>
    </row>
    <row r="359" spans="1:723" ht="87.75" customHeight="1" outlineLevel="1">
      <c r="A359" s="558"/>
      <c r="B359" s="751" t="s">
        <v>339</v>
      </c>
      <c r="C359" s="751"/>
      <c r="D359" s="751"/>
      <c r="E359" s="751"/>
      <c r="F359" s="751"/>
      <c r="G359" s="751"/>
      <c r="H359" s="751"/>
      <c r="I359" s="588"/>
      <c r="J359" s="592"/>
      <c r="K359" s="50"/>
      <c r="L359" s="50"/>
      <c r="M359" s="50"/>
      <c r="N359" s="50"/>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c r="AM359" s="50"/>
      <c r="AN359" s="50"/>
      <c r="AO359" s="50"/>
      <c r="AP359" s="50"/>
      <c r="AQ359" s="50"/>
      <c r="AR359" s="50"/>
      <c r="AS359" s="50"/>
      <c r="AT359" s="50"/>
      <c r="AU359" s="50"/>
      <c r="AV359" s="50"/>
      <c r="AW359" s="50"/>
      <c r="AX359" s="50"/>
      <c r="AY359" s="50"/>
      <c r="AZ359" s="50"/>
      <c r="BA359" s="50"/>
      <c r="BB359" s="50"/>
      <c r="BC359" s="50"/>
      <c r="BD359" s="50"/>
      <c r="BE359" s="50"/>
      <c r="BF359" s="50"/>
      <c r="BG359" s="50"/>
      <c r="BH359" s="50"/>
      <c r="BI359" s="50"/>
      <c r="BJ359" s="50"/>
      <c r="BK359" s="50"/>
      <c r="BL359" s="50"/>
      <c r="BM359" s="50"/>
      <c r="BN359" s="50"/>
      <c r="BO359" s="50"/>
      <c r="BP359" s="50"/>
      <c r="BQ359" s="50"/>
      <c r="BR359" s="50"/>
      <c r="BS359" s="50"/>
      <c r="BT359" s="50"/>
      <c r="BU359" s="50"/>
      <c r="BV359" s="50"/>
      <c r="BW359" s="50"/>
      <c r="BX359" s="50"/>
      <c r="BY359" s="50"/>
      <c r="BZ359" s="50"/>
      <c r="CA359" s="50"/>
      <c r="CB359" s="50"/>
      <c r="CC359" s="50"/>
      <c r="CD359" s="50"/>
      <c r="CE359" s="50"/>
      <c r="CF359" s="50"/>
      <c r="CG359" s="50"/>
      <c r="CH359" s="50"/>
      <c r="CI359" s="50"/>
      <c r="CJ359" s="50"/>
      <c r="CK359" s="50"/>
      <c r="CL359" s="50"/>
      <c r="CM359" s="50"/>
      <c r="CN359" s="50"/>
      <c r="CO359" s="50"/>
      <c r="CP359" s="50"/>
      <c r="CQ359" s="50"/>
      <c r="CR359" s="50"/>
      <c r="CS359" s="50"/>
      <c r="CT359" s="50"/>
      <c r="CU359" s="50"/>
      <c r="CV359" s="50"/>
      <c r="CW359" s="50"/>
      <c r="CX359" s="50"/>
      <c r="CY359" s="50"/>
      <c r="CZ359" s="50"/>
      <c r="DA359" s="50"/>
      <c r="DB359" s="50"/>
      <c r="DC359" s="50"/>
      <c r="DD359" s="50"/>
      <c r="DE359" s="50"/>
      <c r="DF359" s="50"/>
      <c r="DG359" s="50"/>
      <c r="DH359" s="50"/>
      <c r="DI359" s="50"/>
      <c r="DJ359" s="50"/>
      <c r="DK359" s="50"/>
      <c r="DL359" s="50"/>
      <c r="DM359" s="50"/>
      <c r="DN359" s="50"/>
      <c r="DO359" s="50"/>
      <c r="DP359" s="50"/>
      <c r="DQ359" s="50"/>
      <c r="DR359" s="50"/>
      <c r="DS359" s="50"/>
      <c r="DT359" s="50"/>
      <c r="DU359" s="50"/>
      <c r="DV359" s="50"/>
      <c r="DW359" s="50"/>
      <c r="DX359" s="50"/>
      <c r="DY359" s="50"/>
      <c r="DZ359" s="50"/>
      <c r="EA359" s="50"/>
      <c r="EB359" s="50"/>
      <c r="EC359" s="50"/>
      <c r="ED359" s="50"/>
      <c r="EE359" s="50"/>
      <c r="EF359" s="50"/>
      <c r="EG359" s="50"/>
      <c r="EH359" s="50"/>
      <c r="EI359" s="50"/>
      <c r="EJ359" s="50"/>
      <c r="EK359" s="50"/>
      <c r="EL359" s="50"/>
      <c r="EM359" s="50"/>
      <c r="EN359" s="50"/>
      <c r="EO359" s="50"/>
      <c r="EP359" s="50"/>
      <c r="EQ359" s="50"/>
      <c r="ER359" s="50"/>
      <c r="ES359" s="50"/>
      <c r="ET359" s="50"/>
      <c r="EU359" s="50"/>
      <c r="EV359" s="50"/>
      <c r="EW359" s="50"/>
      <c r="EX359" s="50"/>
      <c r="EY359" s="50"/>
      <c r="EZ359" s="50"/>
      <c r="FA359" s="50"/>
      <c r="FB359" s="50"/>
      <c r="FC359" s="50"/>
      <c r="FD359" s="50"/>
      <c r="FE359" s="50"/>
      <c r="FF359" s="50"/>
      <c r="FG359" s="50"/>
      <c r="FH359" s="50"/>
      <c r="FI359" s="50"/>
      <c r="FJ359" s="50"/>
      <c r="FK359" s="50"/>
      <c r="FL359" s="50"/>
      <c r="FM359" s="50"/>
      <c r="FN359" s="50"/>
      <c r="FO359" s="50"/>
      <c r="FP359" s="50"/>
      <c r="FQ359" s="50"/>
      <c r="FR359" s="50"/>
      <c r="FS359" s="50"/>
      <c r="FT359" s="50"/>
      <c r="FU359" s="50"/>
      <c r="FV359" s="50"/>
      <c r="FW359" s="50"/>
      <c r="FX359" s="50"/>
      <c r="FY359" s="50"/>
      <c r="FZ359" s="50"/>
      <c r="GA359" s="50"/>
      <c r="GB359" s="50"/>
      <c r="GC359" s="50"/>
      <c r="GD359" s="50"/>
      <c r="GE359" s="50"/>
      <c r="GF359" s="50"/>
      <c r="GG359" s="50"/>
      <c r="GH359" s="50"/>
      <c r="GI359" s="50"/>
      <c r="GJ359" s="50"/>
      <c r="GK359" s="50"/>
      <c r="GL359" s="50"/>
      <c r="GM359" s="50"/>
      <c r="GN359" s="50"/>
      <c r="GO359" s="50"/>
      <c r="GP359" s="50"/>
      <c r="GQ359" s="50"/>
      <c r="GR359" s="50"/>
      <c r="GS359" s="50"/>
      <c r="GT359" s="50"/>
      <c r="GU359" s="50"/>
      <c r="GV359" s="50"/>
      <c r="GW359" s="50"/>
      <c r="GX359" s="50"/>
      <c r="GY359" s="50"/>
      <c r="GZ359" s="50"/>
      <c r="HA359" s="50"/>
      <c r="HB359" s="50"/>
      <c r="HC359" s="50"/>
      <c r="HD359" s="50"/>
      <c r="HE359" s="50"/>
      <c r="HF359" s="50"/>
      <c r="HG359" s="50"/>
      <c r="HH359" s="50"/>
      <c r="HI359" s="50"/>
      <c r="HJ359" s="50"/>
      <c r="HK359" s="50"/>
      <c r="HL359" s="50"/>
      <c r="HM359" s="50"/>
      <c r="HN359" s="50"/>
      <c r="HO359" s="50"/>
      <c r="HP359" s="50"/>
      <c r="HQ359" s="50"/>
      <c r="HR359" s="50"/>
      <c r="HS359" s="50"/>
      <c r="HT359" s="50"/>
      <c r="HU359" s="50"/>
      <c r="HV359" s="50"/>
      <c r="HW359" s="50"/>
      <c r="HX359" s="50"/>
      <c r="HY359" s="50"/>
      <c r="HZ359" s="50"/>
      <c r="IA359" s="50"/>
      <c r="IB359" s="50"/>
      <c r="IC359" s="50"/>
      <c r="ID359" s="50"/>
      <c r="IE359" s="50"/>
      <c r="IF359" s="50"/>
      <c r="IG359" s="50"/>
      <c r="IH359" s="50"/>
      <c r="II359" s="50"/>
      <c r="IJ359" s="50"/>
      <c r="IK359" s="50"/>
      <c r="IL359" s="50"/>
      <c r="IM359" s="50"/>
      <c r="IN359" s="50"/>
      <c r="IO359" s="50"/>
      <c r="IP359" s="50"/>
      <c r="IQ359" s="50"/>
      <c r="IR359" s="50"/>
      <c r="IS359" s="50"/>
      <c r="IT359" s="50"/>
      <c r="IU359" s="50"/>
      <c r="IV359" s="50"/>
      <c r="IW359" s="50"/>
      <c r="IX359" s="50"/>
      <c r="IY359" s="50"/>
      <c r="IZ359" s="50"/>
      <c r="JA359" s="50"/>
      <c r="JB359" s="50"/>
      <c r="JC359" s="50"/>
      <c r="JD359" s="50"/>
      <c r="JE359" s="50"/>
      <c r="JF359" s="50"/>
      <c r="JG359" s="50"/>
      <c r="JH359" s="50"/>
      <c r="JI359" s="50"/>
      <c r="JJ359" s="50"/>
      <c r="JK359" s="50"/>
      <c r="JL359" s="50"/>
      <c r="JM359" s="50"/>
      <c r="JN359" s="50"/>
      <c r="JO359" s="50"/>
      <c r="JP359" s="50"/>
      <c r="JQ359" s="50"/>
      <c r="JR359" s="50"/>
      <c r="JS359" s="50"/>
      <c r="JT359" s="50"/>
      <c r="JU359" s="50"/>
      <c r="JV359" s="50"/>
      <c r="JW359" s="50"/>
      <c r="JX359" s="50"/>
      <c r="JY359" s="50"/>
      <c r="JZ359" s="50"/>
      <c r="KA359" s="50"/>
      <c r="KB359" s="50"/>
      <c r="KC359" s="50"/>
      <c r="KD359" s="50"/>
      <c r="KE359" s="50"/>
      <c r="KF359" s="50"/>
      <c r="KG359" s="50"/>
      <c r="KH359" s="50"/>
      <c r="KI359" s="50"/>
      <c r="KJ359" s="50"/>
      <c r="KK359" s="50"/>
      <c r="KL359" s="50"/>
      <c r="KM359" s="50"/>
      <c r="KN359" s="50"/>
      <c r="KO359" s="50"/>
      <c r="KP359" s="50"/>
      <c r="KQ359" s="50"/>
      <c r="KR359" s="50"/>
      <c r="KS359" s="50"/>
      <c r="KT359" s="50"/>
      <c r="KU359" s="50"/>
      <c r="KV359" s="50"/>
      <c r="KW359" s="50"/>
      <c r="KX359" s="50"/>
      <c r="KY359" s="50"/>
      <c r="KZ359" s="50"/>
      <c r="LA359" s="50"/>
      <c r="LB359" s="50"/>
      <c r="LC359" s="50"/>
      <c r="LD359" s="50"/>
      <c r="LE359" s="50"/>
      <c r="LF359" s="50"/>
      <c r="LG359" s="50"/>
      <c r="LH359" s="50"/>
      <c r="LI359" s="50"/>
      <c r="LJ359" s="50"/>
      <c r="LK359" s="50"/>
      <c r="LL359" s="50"/>
      <c r="LM359" s="50"/>
      <c r="LN359" s="50"/>
      <c r="LO359" s="50"/>
      <c r="LP359" s="50"/>
      <c r="LQ359" s="50"/>
      <c r="LR359" s="50"/>
      <c r="LS359" s="50"/>
      <c r="LT359" s="50"/>
      <c r="LU359" s="50"/>
      <c r="LV359" s="50"/>
      <c r="LW359" s="50"/>
      <c r="LX359" s="50"/>
      <c r="LY359" s="50"/>
      <c r="LZ359" s="50"/>
      <c r="MA359" s="50"/>
      <c r="MB359" s="50"/>
      <c r="MC359" s="50"/>
      <c r="MD359" s="50"/>
      <c r="ME359" s="50"/>
      <c r="MF359" s="50"/>
      <c r="MG359" s="50"/>
      <c r="MH359" s="50"/>
      <c r="MI359" s="50"/>
      <c r="MJ359" s="50"/>
      <c r="MK359" s="50"/>
      <c r="ML359" s="50"/>
      <c r="MM359" s="50"/>
      <c r="MN359" s="50"/>
      <c r="MO359" s="50"/>
      <c r="MP359" s="50"/>
      <c r="MQ359" s="50"/>
      <c r="MR359" s="50"/>
      <c r="MS359" s="50"/>
      <c r="MT359" s="50"/>
      <c r="MU359" s="50"/>
      <c r="MV359" s="50"/>
      <c r="MW359" s="50"/>
      <c r="MX359" s="50"/>
      <c r="MY359" s="50"/>
      <c r="MZ359" s="50"/>
      <c r="NA359" s="50"/>
      <c r="NB359" s="50"/>
      <c r="NC359" s="50"/>
      <c r="ND359" s="50"/>
      <c r="NE359" s="50"/>
      <c r="NF359" s="50"/>
      <c r="NG359" s="50"/>
      <c r="NH359" s="50"/>
      <c r="NI359" s="50"/>
      <c r="NJ359" s="50"/>
      <c r="NK359" s="50"/>
      <c r="NL359" s="50"/>
      <c r="NM359" s="50"/>
      <c r="NN359" s="50"/>
      <c r="NO359" s="50"/>
      <c r="NP359" s="50"/>
      <c r="NQ359" s="50"/>
      <c r="NR359" s="50"/>
      <c r="NS359" s="50"/>
      <c r="NT359" s="50"/>
      <c r="NU359" s="50"/>
      <c r="NV359" s="50"/>
      <c r="NW359" s="50"/>
      <c r="NX359" s="50"/>
      <c r="NY359" s="50"/>
      <c r="NZ359" s="50"/>
      <c r="OA359" s="50"/>
      <c r="OB359" s="50"/>
      <c r="OC359" s="50"/>
      <c r="OD359" s="50"/>
      <c r="OE359" s="50"/>
      <c r="OF359" s="50"/>
      <c r="OG359" s="50"/>
      <c r="OH359" s="50"/>
      <c r="OI359" s="50"/>
      <c r="OJ359" s="50"/>
      <c r="OK359" s="50"/>
      <c r="OL359" s="50"/>
      <c r="OM359" s="50"/>
      <c r="ON359" s="50"/>
      <c r="OO359" s="50"/>
      <c r="OP359" s="50"/>
      <c r="OQ359" s="50"/>
      <c r="OR359" s="50"/>
      <c r="OS359" s="50"/>
      <c r="OT359" s="50"/>
      <c r="OU359" s="50"/>
      <c r="OV359" s="50"/>
      <c r="OW359" s="50"/>
      <c r="OX359" s="50"/>
      <c r="OY359" s="50"/>
      <c r="OZ359" s="50"/>
      <c r="PA359" s="50"/>
      <c r="PB359" s="50"/>
      <c r="PC359" s="50"/>
      <c r="PD359" s="50"/>
      <c r="PE359" s="50"/>
      <c r="PF359" s="50"/>
      <c r="PG359" s="50"/>
      <c r="PH359" s="50"/>
      <c r="PI359" s="50"/>
      <c r="PJ359" s="50"/>
      <c r="PK359" s="50"/>
      <c r="PL359" s="50"/>
      <c r="PM359" s="50"/>
      <c r="PN359" s="50"/>
      <c r="PO359" s="50"/>
      <c r="PP359" s="50"/>
      <c r="PQ359" s="50"/>
      <c r="PR359" s="50"/>
      <c r="PS359" s="50"/>
      <c r="PT359" s="50"/>
      <c r="PU359" s="50"/>
      <c r="PV359" s="50"/>
      <c r="PW359" s="50"/>
      <c r="PX359" s="50"/>
      <c r="PY359" s="50"/>
      <c r="PZ359" s="50"/>
      <c r="QA359" s="50"/>
      <c r="QB359" s="50"/>
      <c r="QC359" s="50"/>
      <c r="QD359" s="50"/>
      <c r="QE359" s="50"/>
      <c r="QF359" s="50"/>
      <c r="QG359" s="50"/>
      <c r="QH359" s="50"/>
      <c r="QI359" s="50"/>
      <c r="QJ359" s="50"/>
      <c r="QK359" s="50"/>
      <c r="QL359" s="50"/>
      <c r="QM359" s="50"/>
      <c r="QN359" s="50"/>
      <c r="QO359" s="50"/>
      <c r="QP359" s="50"/>
      <c r="QQ359" s="50"/>
      <c r="QR359" s="50"/>
      <c r="QS359" s="50"/>
      <c r="QT359" s="50"/>
      <c r="QU359" s="50"/>
      <c r="QV359" s="50"/>
      <c r="QW359" s="50"/>
      <c r="QX359" s="50"/>
      <c r="QY359" s="50"/>
      <c r="QZ359" s="50"/>
      <c r="RA359" s="50"/>
      <c r="RB359" s="50"/>
      <c r="RC359" s="50"/>
      <c r="RD359" s="50"/>
      <c r="RE359" s="50"/>
      <c r="RF359" s="50"/>
      <c r="RG359" s="50"/>
      <c r="RH359" s="50"/>
      <c r="RI359" s="50"/>
      <c r="RJ359" s="50"/>
      <c r="RK359" s="50"/>
      <c r="RL359" s="50"/>
      <c r="RM359" s="50"/>
      <c r="RN359" s="50"/>
      <c r="RO359" s="50"/>
      <c r="RP359" s="50"/>
      <c r="RQ359" s="50"/>
      <c r="RR359" s="50"/>
      <c r="RS359" s="50"/>
      <c r="RT359" s="50"/>
      <c r="RU359" s="50"/>
      <c r="RV359" s="50"/>
      <c r="RW359" s="50"/>
      <c r="RX359" s="50"/>
      <c r="RY359" s="50"/>
      <c r="RZ359" s="50"/>
      <c r="SA359" s="50"/>
      <c r="SB359" s="50"/>
      <c r="SC359" s="50"/>
      <c r="SD359" s="50"/>
      <c r="SE359" s="50"/>
      <c r="SF359" s="50"/>
      <c r="SG359" s="50"/>
      <c r="SH359" s="50"/>
      <c r="SI359" s="50"/>
      <c r="SJ359" s="50"/>
      <c r="SK359" s="50"/>
      <c r="SL359" s="50"/>
      <c r="SM359" s="50"/>
      <c r="SN359" s="50"/>
      <c r="SO359" s="50"/>
      <c r="SP359" s="50"/>
      <c r="SQ359" s="50"/>
      <c r="SR359" s="50"/>
      <c r="SS359" s="50"/>
      <c r="ST359" s="50"/>
      <c r="SU359" s="50"/>
      <c r="SV359" s="50"/>
      <c r="SW359" s="50"/>
      <c r="SX359" s="50"/>
      <c r="SY359" s="50"/>
      <c r="SZ359" s="50"/>
      <c r="TA359" s="50"/>
      <c r="TB359" s="50"/>
      <c r="TC359" s="50"/>
      <c r="TD359" s="50"/>
      <c r="TE359" s="50"/>
      <c r="TF359" s="50"/>
      <c r="TG359" s="50"/>
      <c r="TH359" s="50"/>
      <c r="TI359" s="50"/>
      <c r="TJ359" s="50"/>
      <c r="TK359" s="50"/>
      <c r="TL359" s="50"/>
      <c r="TM359" s="50"/>
      <c r="TN359" s="50"/>
      <c r="TO359" s="50"/>
      <c r="TP359" s="50"/>
      <c r="TQ359" s="50"/>
      <c r="TR359" s="50"/>
      <c r="TS359" s="50"/>
      <c r="TT359" s="50"/>
      <c r="TU359" s="50"/>
      <c r="TV359" s="50"/>
      <c r="TW359" s="50"/>
      <c r="TX359" s="50"/>
      <c r="TY359" s="50"/>
      <c r="TZ359" s="50"/>
      <c r="UA359" s="50"/>
      <c r="UB359" s="50"/>
      <c r="UC359" s="50"/>
      <c r="UD359" s="50"/>
      <c r="UE359" s="50"/>
      <c r="UF359" s="50"/>
      <c r="UG359" s="50"/>
      <c r="UH359" s="50"/>
      <c r="UI359" s="50"/>
      <c r="UJ359" s="50"/>
      <c r="UK359" s="50"/>
      <c r="UL359" s="50"/>
      <c r="UM359" s="50"/>
      <c r="UN359" s="50"/>
      <c r="UO359" s="50"/>
      <c r="UP359" s="50"/>
      <c r="UQ359" s="50"/>
      <c r="UR359" s="50"/>
      <c r="US359" s="50"/>
      <c r="UT359" s="50"/>
      <c r="UU359" s="50"/>
      <c r="UV359" s="50"/>
      <c r="UW359" s="50"/>
      <c r="UX359" s="50"/>
      <c r="UY359" s="50"/>
      <c r="UZ359" s="50"/>
      <c r="VA359" s="50"/>
      <c r="VB359" s="50"/>
      <c r="VC359" s="50"/>
      <c r="VD359" s="50"/>
      <c r="VE359" s="50"/>
      <c r="VF359" s="50"/>
      <c r="VG359" s="50"/>
      <c r="VH359" s="50"/>
      <c r="VI359" s="50"/>
      <c r="VJ359" s="50"/>
      <c r="VK359" s="50"/>
      <c r="VL359" s="50"/>
      <c r="VM359" s="50"/>
      <c r="VN359" s="50"/>
      <c r="VO359" s="50"/>
      <c r="VP359" s="50"/>
      <c r="VQ359" s="50"/>
      <c r="VR359" s="50"/>
      <c r="VS359" s="50"/>
      <c r="VT359" s="50"/>
      <c r="VU359" s="50"/>
      <c r="VV359" s="50"/>
      <c r="VW359" s="50"/>
      <c r="VX359" s="50"/>
      <c r="VY359" s="50"/>
      <c r="VZ359" s="50"/>
      <c r="WA359" s="50"/>
      <c r="WB359" s="50"/>
      <c r="WC359" s="50"/>
      <c r="WD359" s="50"/>
      <c r="WE359" s="50"/>
      <c r="WF359" s="50"/>
      <c r="WG359" s="50"/>
      <c r="WH359" s="50"/>
      <c r="WI359" s="50"/>
      <c r="WJ359" s="50"/>
      <c r="WK359" s="50"/>
      <c r="WL359" s="50"/>
      <c r="WM359" s="50"/>
      <c r="WN359" s="50"/>
      <c r="WO359" s="50"/>
      <c r="WP359" s="50"/>
      <c r="WQ359" s="50"/>
      <c r="WR359" s="50"/>
      <c r="WS359" s="50"/>
      <c r="WT359" s="50"/>
      <c r="WU359" s="50"/>
      <c r="WV359" s="50"/>
      <c r="WW359" s="50"/>
      <c r="WX359" s="50"/>
      <c r="WY359" s="50"/>
      <c r="WZ359" s="50"/>
      <c r="XA359" s="50"/>
      <c r="XB359" s="50"/>
      <c r="XC359" s="50"/>
      <c r="XD359" s="50"/>
      <c r="XE359" s="50"/>
      <c r="XF359" s="50"/>
      <c r="XG359" s="50"/>
      <c r="XH359" s="50"/>
      <c r="XI359" s="50"/>
      <c r="XJ359" s="50"/>
      <c r="XK359" s="50"/>
      <c r="XL359" s="50"/>
      <c r="XM359" s="50"/>
      <c r="XN359" s="50"/>
      <c r="XO359" s="50"/>
      <c r="XP359" s="50"/>
      <c r="XQ359" s="50"/>
      <c r="XR359" s="50"/>
      <c r="XS359" s="50"/>
      <c r="XT359" s="50"/>
      <c r="XU359" s="50"/>
      <c r="XV359" s="50"/>
      <c r="XW359" s="50"/>
      <c r="XX359" s="50"/>
      <c r="XY359" s="50"/>
      <c r="XZ359" s="50"/>
      <c r="YA359" s="50"/>
      <c r="YB359" s="50"/>
      <c r="YC359" s="50"/>
      <c r="YD359" s="50"/>
      <c r="YE359" s="50"/>
      <c r="YF359" s="50"/>
      <c r="YG359" s="50"/>
      <c r="YH359" s="50"/>
      <c r="YI359" s="50"/>
      <c r="YJ359" s="50"/>
      <c r="YK359" s="50"/>
      <c r="YL359" s="50"/>
      <c r="YM359" s="50"/>
      <c r="YN359" s="50"/>
      <c r="YO359" s="50"/>
      <c r="YP359" s="50"/>
      <c r="YQ359" s="50"/>
      <c r="YR359" s="50"/>
      <c r="YS359" s="50"/>
      <c r="YT359" s="50"/>
      <c r="YU359" s="50"/>
      <c r="YV359" s="50"/>
      <c r="YW359" s="50"/>
      <c r="YX359" s="50"/>
      <c r="YY359" s="50"/>
      <c r="YZ359" s="50"/>
      <c r="ZA359" s="50"/>
      <c r="ZB359" s="50"/>
      <c r="ZC359" s="50"/>
      <c r="ZD359" s="50"/>
      <c r="ZE359" s="50"/>
      <c r="ZF359" s="50"/>
      <c r="ZG359" s="50"/>
      <c r="ZH359" s="50"/>
      <c r="ZI359" s="50"/>
      <c r="ZJ359" s="50"/>
      <c r="ZK359" s="50"/>
      <c r="ZL359" s="50"/>
      <c r="ZM359" s="50"/>
      <c r="ZN359" s="50"/>
      <c r="ZO359" s="50"/>
      <c r="ZP359" s="50"/>
      <c r="ZQ359" s="50"/>
      <c r="ZR359" s="50"/>
      <c r="ZS359" s="50"/>
      <c r="ZT359" s="50"/>
      <c r="ZU359" s="50"/>
      <c r="ZV359" s="50"/>
      <c r="ZW359" s="50"/>
      <c r="ZX359" s="50"/>
      <c r="ZY359" s="618"/>
      <c r="ZZ359" s="36"/>
      <c r="AAA359" s="588"/>
      <c r="AAD359" s="112"/>
      <c r="AAE359" s="551">
        <f t="shared" si="951"/>
        <v>1</v>
      </c>
      <c r="AAF359" s="583" t="s">
        <v>174</v>
      </c>
      <c r="AAG359" s="63"/>
      <c r="AAH359" s="63"/>
      <c r="AAI359" s="77"/>
      <c r="AAJ359" s="77"/>
      <c r="AAK359" s="77"/>
      <c r="AAL359" s="57"/>
      <c r="AAM359" s="112"/>
      <c r="AAN359"/>
      <c r="AAT359" s="23"/>
      <c r="AAU359" s="44"/>
    </row>
    <row r="360" spans="1:723" ht="15" customHeight="1" outlineLevel="1">
      <c r="A360" s="558"/>
      <c r="B360" s="457" t="s">
        <v>21</v>
      </c>
      <c r="C360" s="718"/>
      <c r="D360" s="197"/>
      <c r="E360" s="123"/>
      <c r="F360" s="124"/>
      <c r="G360" s="196"/>
      <c r="H360" s="196"/>
      <c r="I360" s="588"/>
      <c r="J360" s="591"/>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c r="AO360" s="47"/>
      <c r="AP360" s="47"/>
      <c r="AQ360" s="47"/>
      <c r="AR360" s="47"/>
      <c r="AS360" s="47"/>
      <c r="AT360" s="47"/>
      <c r="AU360" s="47"/>
      <c r="AV360" s="47"/>
      <c r="AW360" s="47"/>
      <c r="AX360" s="47"/>
      <c r="AY360" s="47"/>
      <c r="AZ360" s="47"/>
      <c r="BA360" s="47"/>
      <c r="BB360" s="47"/>
      <c r="BC360" s="47"/>
      <c r="BD360" s="47"/>
      <c r="BE360" s="47"/>
      <c r="BF360" s="47"/>
      <c r="BG360" s="47"/>
      <c r="BH360" s="47"/>
      <c r="BI360" s="47"/>
      <c r="BJ360" s="47"/>
      <c r="BK360" s="47"/>
      <c r="BL360" s="47"/>
      <c r="BM360" s="47"/>
      <c r="BN360" s="47"/>
      <c r="BO360" s="47"/>
      <c r="BP360" s="47"/>
      <c r="BQ360" s="47"/>
      <c r="BR360" s="47"/>
      <c r="BS360" s="47"/>
      <c r="BT360" s="47"/>
      <c r="BU360" s="47"/>
      <c r="BV360" s="47"/>
      <c r="BW360" s="47"/>
      <c r="BX360" s="47"/>
      <c r="BY360" s="47"/>
      <c r="BZ360" s="47"/>
      <c r="CA360" s="47"/>
      <c r="CB360" s="47"/>
      <c r="CC360" s="47"/>
      <c r="CD360" s="47"/>
      <c r="CE360" s="47"/>
      <c r="CF360" s="47"/>
      <c r="CG360" s="47"/>
      <c r="CH360" s="47"/>
      <c r="CI360" s="47"/>
      <c r="CJ360" s="47"/>
      <c r="CK360" s="47"/>
      <c r="CL360" s="47"/>
      <c r="CM360" s="47"/>
      <c r="CN360" s="47"/>
      <c r="CO360" s="47"/>
      <c r="CP360" s="47"/>
      <c r="CQ360" s="47"/>
      <c r="CR360" s="47"/>
      <c r="CS360" s="47"/>
      <c r="CT360" s="47"/>
      <c r="CU360" s="47"/>
      <c r="CV360" s="47"/>
      <c r="CW360" s="47"/>
      <c r="CX360" s="47"/>
      <c r="CY360" s="47"/>
      <c r="CZ360" s="47"/>
      <c r="DA360" s="47"/>
      <c r="DB360" s="47"/>
      <c r="DC360" s="47"/>
      <c r="DD360" s="47"/>
      <c r="DE360" s="47"/>
      <c r="DF360" s="47"/>
      <c r="DG360" s="47"/>
      <c r="DH360" s="47"/>
      <c r="DI360" s="47"/>
      <c r="DJ360" s="47"/>
      <c r="DK360" s="47"/>
      <c r="DL360" s="47"/>
      <c r="DM360" s="47"/>
      <c r="DN360" s="47"/>
      <c r="DO360" s="47"/>
      <c r="DP360" s="47"/>
      <c r="DQ360" s="47"/>
      <c r="DR360" s="47"/>
      <c r="DS360" s="47"/>
      <c r="DT360" s="47"/>
      <c r="DU360" s="47"/>
      <c r="DV360" s="47"/>
      <c r="DW360" s="47"/>
      <c r="DX360" s="47"/>
      <c r="DY360" s="47"/>
      <c r="DZ360" s="47"/>
      <c r="EA360" s="47"/>
      <c r="EB360" s="47"/>
      <c r="EC360" s="47"/>
      <c r="ED360" s="47"/>
      <c r="EE360" s="47"/>
      <c r="EF360" s="47"/>
      <c r="EG360" s="47"/>
      <c r="EH360" s="47"/>
      <c r="EI360" s="47"/>
      <c r="EJ360" s="47"/>
      <c r="EK360" s="47"/>
      <c r="EL360" s="47"/>
      <c r="EM360" s="47"/>
      <c r="EN360" s="47"/>
      <c r="EO360" s="47"/>
      <c r="EP360" s="47"/>
      <c r="EQ360" s="47"/>
      <c r="ER360" s="47"/>
      <c r="ES360" s="47"/>
      <c r="ET360" s="47"/>
      <c r="EU360" s="47"/>
      <c r="EV360" s="47"/>
      <c r="EW360" s="47"/>
      <c r="EX360" s="47"/>
      <c r="EY360" s="47"/>
      <c r="EZ360" s="47"/>
      <c r="FA360" s="47"/>
      <c r="FB360" s="47"/>
      <c r="FC360" s="47"/>
      <c r="FD360" s="47"/>
      <c r="FE360" s="47"/>
      <c r="FF360" s="47"/>
      <c r="FG360" s="47"/>
      <c r="FH360" s="47"/>
      <c r="FI360" s="47"/>
      <c r="FJ360" s="47"/>
      <c r="FK360" s="47"/>
      <c r="FL360" s="47"/>
      <c r="FM360" s="47"/>
      <c r="FN360" s="47"/>
      <c r="FO360" s="47"/>
      <c r="FP360" s="47"/>
      <c r="FQ360" s="47"/>
      <c r="FR360" s="47"/>
      <c r="FS360" s="47"/>
      <c r="FT360" s="47"/>
      <c r="FU360" s="47"/>
      <c r="FV360" s="47"/>
      <c r="FW360" s="47"/>
      <c r="FX360" s="47"/>
      <c r="FY360" s="47"/>
      <c r="FZ360" s="47"/>
      <c r="GA360" s="47"/>
      <c r="GB360" s="47"/>
      <c r="GC360" s="47"/>
      <c r="GD360" s="47"/>
      <c r="GE360" s="47"/>
      <c r="GF360" s="47"/>
      <c r="GG360" s="47"/>
      <c r="GH360" s="47"/>
      <c r="GI360" s="47"/>
      <c r="GJ360" s="47"/>
      <c r="GK360" s="47"/>
      <c r="GL360" s="47"/>
      <c r="GM360" s="47"/>
      <c r="GN360" s="47"/>
      <c r="GO360" s="47"/>
      <c r="GP360" s="47"/>
      <c r="GQ360" s="47"/>
      <c r="GR360" s="47"/>
      <c r="GS360" s="47"/>
      <c r="GT360" s="47"/>
      <c r="GU360" s="47"/>
      <c r="GV360" s="47"/>
      <c r="GW360" s="47"/>
      <c r="GX360" s="47"/>
      <c r="GY360" s="47"/>
      <c r="GZ360" s="47"/>
      <c r="HA360" s="47"/>
      <c r="HB360" s="47"/>
      <c r="HC360" s="47"/>
      <c r="HD360" s="47"/>
      <c r="HE360" s="47"/>
      <c r="HF360" s="47"/>
      <c r="HG360" s="47"/>
      <c r="HH360" s="47"/>
      <c r="HI360" s="47"/>
      <c r="HJ360" s="47"/>
      <c r="HK360" s="47"/>
      <c r="HL360" s="47"/>
      <c r="HM360" s="47"/>
      <c r="HN360" s="47"/>
      <c r="HO360" s="47"/>
      <c r="HP360" s="47"/>
      <c r="HQ360" s="47"/>
      <c r="HR360" s="47"/>
      <c r="HS360" s="47"/>
      <c r="HT360" s="47"/>
      <c r="HU360" s="47"/>
      <c r="HV360" s="47"/>
      <c r="HW360" s="47"/>
      <c r="HX360" s="47"/>
      <c r="HY360" s="47"/>
      <c r="HZ360" s="47"/>
      <c r="IA360" s="47"/>
      <c r="IB360" s="47"/>
      <c r="IC360" s="47"/>
      <c r="ID360" s="47"/>
      <c r="IE360" s="47"/>
      <c r="IF360" s="47"/>
      <c r="IG360" s="47"/>
      <c r="IH360" s="47"/>
      <c r="II360" s="47"/>
      <c r="IJ360" s="47"/>
      <c r="IK360" s="47"/>
      <c r="IL360" s="47"/>
      <c r="IM360" s="47"/>
      <c r="IN360" s="47"/>
      <c r="IO360" s="47"/>
      <c r="IP360" s="47"/>
      <c r="IQ360" s="47"/>
      <c r="IR360" s="47"/>
      <c r="IS360" s="47"/>
      <c r="IT360" s="47"/>
      <c r="IU360" s="47"/>
      <c r="IV360" s="47"/>
      <c r="IW360" s="47"/>
      <c r="IX360" s="47"/>
      <c r="IY360" s="47"/>
      <c r="IZ360" s="47"/>
      <c r="JA360" s="47"/>
      <c r="JB360" s="47"/>
      <c r="JC360" s="47"/>
      <c r="JD360" s="47"/>
      <c r="JE360" s="47"/>
      <c r="JF360" s="47"/>
      <c r="JG360" s="47"/>
      <c r="JH360" s="47"/>
      <c r="JI360" s="47"/>
      <c r="JJ360" s="47"/>
      <c r="JK360" s="47"/>
      <c r="JL360" s="47"/>
      <c r="JM360" s="47"/>
      <c r="JN360" s="47"/>
      <c r="JO360" s="47"/>
      <c r="JP360" s="47"/>
      <c r="JQ360" s="47"/>
      <c r="JR360" s="47"/>
      <c r="JS360" s="47"/>
      <c r="JT360" s="47"/>
      <c r="JU360" s="47"/>
      <c r="JV360" s="47"/>
      <c r="JW360" s="47"/>
      <c r="JX360" s="47"/>
      <c r="JY360" s="47"/>
      <c r="JZ360" s="47"/>
      <c r="KA360" s="47"/>
      <c r="KB360" s="47"/>
      <c r="KC360" s="47"/>
      <c r="KD360" s="47"/>
      <c r="KE360" s="47"/>
      <c r="KF360" s="47"/>
      <c r="KG360" s="47"/>
      <c r="KH360" s="47"/>
      <c r="KI360" s="47"/>
      <c r="KJ360" s="47"/>
      <c r="KK360" s="47"/>
      <c r="KL360" s="47"/>
      <c r="KM360" s="47"/>
      <c r="KN360" s="47"/>
      <c r="KO360" s="47"/>
      <c r="KP360" s="47"/>
      <c r="KQ360" s="47"/>
      <c r="KR360" s="47"/>
      <c r="KS360" s="47"/>
      <c r="KT360" s="47"/>
      <c r="KU360" s="47"/>
      <c r="KV360" s="47"/>
      <c r="KW360" s="47"/>
      <c r="KX360" s="47"/>
      <c r="KY360" s="47"/>
      <c r="KZ360" s="47"/>
      <c r="LA360" s="47"/>
      <c r="LB360" s="47"/>
      <c r="LC360" s="47"/>
      <c r="LD360" s="47"/>
      <c r="LE360" s="47"/>
      <c r="LF360" s="47"/>
      <c r="LG360" s="47"/>
      <c r="LH360" s="47"/>
      <c r="LI360" s="47"/>
      <c r="LJ360" s="47"/>
      <c r="LK360" s="47"/>
      <c r="LL360" s="47"/>
      <c r="LM360" s="47"/>
      <c r="LN360" s="47"/>
      <c r="LO360" s="47"/>
      <c r="LP360" s="47"/>
      <c r="LQ360" s="47"/>
      <c r="LR360" s="47"/>
      <c r="LS360" s="47"/>
      <c r="LT360" s="47"/>
      <c r="LU360" s="47"/>
      <c r="LV360" s="47"/>
      <c r="LW360" s="47"/>
      <c r="LX360" s="47"/>
      <c r="LY360" s="47"/>
      <c r="LZ360" s="47"/>
      <c r="MA360" s="47"/>
      <c r="MB360" s="47"/>
      <c r="MC360" s="47"/>
      <c r="MD360" s="47"/>
      <c r="ME360" s="47"/>
      <c r="MF360" s="47"/>
      <c r="MG360" s="47"/>
      <c r="MH360" s="47"/>
      <c r="MI360" s="47"/>
      <c r="MJ360" s="47"/>
      <c r="MK360" s="47"/>
      <c r="ML360" s="47"/>
      <c r="MM360" s="47"/>
      <c r="MN360" s="47"/>
      <c r="MO360" s="47"/>
      <c r="MP360" s="47"/>
      <c r="MQ360" s="47"/>
      <c r="MR360" s="47"/>
      <c r="MS360" s="47"/>
      <c r="MT360" s="47"/>
      <c r="MU360" s="47"/>
      <c r="MV360" s="47"/>
      <c r="MW360" s="47"/>
      <c r="MX360" s="47"/>
      <c r="MY360" s="47"/>
      <c r="MZ360" s="47"/>
      <c r="NA360" s="47"/>
      <c r="NB360" s="47"/>
      <c r="NC360" s="47"/>
      <c r="ND360" s="47"/>
      <c r="NE360" s="47"/>
      <c r="NF360" s="47"/>
      <c r="NG360" s="47"/>
      <c r="NH360" s="47"/>
      <c r="NI360" s="47"/>
      <c r="NJ360" s="47"/>
      <c r="NK360" s="47"/>
      <c r="NL360" s="47"/>
      <c r="NM360" s="47"/>
      <c r="NN360" s="47"/>
      <c r="NO360" s="47"/>
      <c r="NP360" s="47"/>
      <c r="NQ360" s="47"/>
      <c r="NR360" s="47"/>
      <c r="NS360" s="47"/>
      <c r="NT360" s="47"/>
      <c r="NU360" s="47"/>
      <c r="NV360" s="47"/>
      <c r="NW360" s="47"/>
      <c r="NX360" s="47"/>
      <c r="NY360" s="47"/>
      <c r="NZ360" s="47"/>
      <c r="OA360" s="47"/>
      <c r="OB360" s="47"/>
      <c r="OC360" s="47"/>
      <c r="OD360" s="47"/>
      <c r="OE360" s="47"/>
      <c r="OF360" s="47"/>
      <c r="OG360" s="47"/>
      <c r="OH360" s="47"/>
      <c r="OI360" s="47"/>
      <c r="OJ360" s="47"/>
      <c r="OK360" s="47"/>
      <c r="OL360" s="47"/>
      <c r="OM360" s="47"/>
      <c r="ON360" s="47"/>
      <c r="OO360" s="47"/>
      <c r="OP360" s="47"/>
      <c r="OQ360" s="47"/>
      <c r="OR360" s="47"/>
      <c r="OS360" s="47"/>
      <c r="OT360" s="47"/>
      <c r="OU360" s="47"/>
      <c r="OV360" s="47"/>
      <c r="OW360" s="47"/>
      <c r="OX360" s="47"/>
      <c r="OY360" s="47"/>
      <c r="OZ360" s="47"/>
      <c r="PA360" s="47"/>
      <c r="PB360" s="47"/>
      <c r="PC360" s="47"/>
      <c r="PD360" s="47"/>
      <c r="PE360" s="47"/>
      <c r="PF360" s="47"/>
      <c r="PG360" s="47"/>
      <c r="PH360" s="47"/>
      <c r="PI360" s="47"/>
      <c r="PJ360" s="47"/>
      <c r="PK360" s="47"/>
      <c r="PL360" s="47"/>
      <c r="PM360" s="47"/>
      <c r="PN360" s="47"/>
      <c r="PO360" s="47"/>
      <c r="PP360" s="47"/>
      <c r="PQ360" s="47"/>
      <c r="PR360" s="47"/>
      <c r="PS360" s="47"/>
      <c r="PT360" s="47"/>
      <c r="PU360" s="47"/>
      <c r="PV360" s="47"/>
      <c r="PW360" s="47"/>
      <c r="PX360" s="47"/>
      <c r="PY360" s="47"/>
      <c r="PZ360" s="47"/>
      <c r="QA360" s="47"/>
      <c r="QB360" s="47"/>
      <c r="QC360" s="47"/>
      <c r="QD360" s="47"/>
      <c r="QE360" s="47"/>
      <c r="QF360" s="47"/>
      <c r="QG360" s="47"/>
      <c r="QH360" s="47"/>
      <c r="QI360" s="47"/>
      <c r="QJ360" s="47"/>
      <c r="QK360" s="47"/>
      <c r="QL360" s="47"/>
      <c r="QM360" s="47"/>
      <c r="QN360" s="47"/>
      <c r="QO360" s="47"/>
      <c r="QP360" s="47"/>
      <c r="QQ360" s="47"/>
      <c r="QR360" s="47"/>
      <c r="QS360" s="47"/>
      <c r="QT360" s="47"/>
      <c r="QU360" s="47"/>
      <c r="QV360" s="47"/>
      <c r="QW360" s="47"/>
      <c r="QX360" s="47"/>
      <c r="QY360" s="47"/>
      <c r="QZ360" s="47"/>
      <c r="RA360" s="47"/>
      <c r="RB360" s="47"/>
      <c r="RC360" s="47"/>
      <c r="RD360" s="47"/>
      <c r="RE360" s="47"/>
      <c r="RF360" s="47"/>
      <c r="RG360" s="47"/>
      <c r="RH360" s="47"/>
      <c r="RI360" s="47"/>
      <c r="RJ360" s="47"/>
      <c r="RK360" s="47"/>
      <c r="RL360" s="47"/>
      <c r="RM360" s="47"/>
      <c r="RN360" s="47"/>
      <c r="RO360" s="47"/>
      <c r="RP360" s="47"/>
      <c r="RQ360" s="47"/>
      <c r="RR360" s="47"/>
      <c r="RS360" s="47"/>
      <c r="RT360" s="47"/>
      <c r="RU360" s="47"/>
      <c r="RV360" s="47"/>
      <c r="RW360" s="47"/>
      <c r="RX360" s="47"/>
      <c r="RY360" s="47"/>
      <c r="RZ360" s="47"/>
      <c r="SA360" s="47"/>
      <c r="SB360" s="47"/>
      <c r="SC360" s="47"/>
      <c r="SD360" s="47"/>
      <c r="SE360" s="47"/>
      <c r="SF360" s="47"/>
      <c r="SG360" s="47"/>
      <c r="SH360" s="47"/>
      <c r="SI360" s="47"/>
      <c r="SJ360" s="47"/>
      <c r="SK360" s="47"/>
      <c r="SL360" s="47"/>
      <c r="SM360" s="47"/>
      <c r="SN360" s="47"/>
      <c r="SO360" s="47"/>
      <c r="SP360" s="47"/>
      <c r="SQ360" s="47"/>
      <c r="SR360" s="47"/>
      <c r="SS360" s="47"/>
      <c r="ST360" s="47"/>
      <c r="SU360" s="47"/>
      <c r="SV360" s="47"/>
      <c r="SW360" s="47"/>
      <c r="SX360" s="47"/>
      <c r="SY360" s="47"/>
      <c r="SZ360" s="47"/>
      <c r="TA360" s="47"/>
      <c r="TB360" s="47"/>
      <c r="TC360" s="47"/>
      <c r="TD360" s="47"/>
      <c r="TE360" s="47"/>
      <c r="TF360" s="47"/>
      <c r="TG360" s="47"/>
      <c r="TH360" s="47"/>
      <c r="TI360" s="47"/>
      <c r="TJ360" s="47"/>
      <c r="TK360" s="47"/>
      <c r="TL360" s="47"/>
      <c r="TM360" s="47"/>
      <c r="TN360" s="47"/>
      <c r="TO360" s="47"/>
      <c r="TP360" s="47"/>
      <c r="TQ360" s="47"/>
      <c r="TR360" s="47"/>
      <c r="TS360" s="47"/>
      <c r="TT360" s="47"/>
      <c r="TU360" s="47"/>
      <c r="TV360" s="47"/>
      <c r="TW360" s="47"/>
      <c r="TX360" s="47"/>
      <c r="TY360" s="47"/>
      <c r="TZ360" s="47"/>
      <c r="UA360" s="47"/>
      <c r="UB360" s="47"/>
      <c r="UC360" s="47"/>
      <c r="UD360" s="47"/>
      <c r="UE360" s="47"/>
      <c r="UF360" s="47"/>
      <c r="UG360" s="47"/>
      <c r="UH360" s="47"/>
      <c r="UI360" s="47"/>
      <c r="UJ360" s="47"/>
      <c r="UK360" s="47"/>
      <c r="UL360" s="47"/>
      <c r="UM360" s="47"/>
      <c r="UN360" s="47"/>
      <c r="UO360" s="47"/>
      <c r="UP360" s="47"/>
      <c r="UQ360" s="47"/>
      <c r="UR360" s="47"/>
      <c r="US360" s="47"/>
      <c r="UT360" s="47"/>
      <c r="UU360" s="47"/>
      <c r="UV360" s="47"/>
      <c r="UW360" s="47"/>
      <c r="UX360" s="47"/>
      <c r="UY360" s="47"/>
      <c r="UZ360" s="47"/>
      <c r="VA360" s="47"/>
      <c r="VB360" s="47"/>
      <c r="VC360" s="47"/>
      <c r="VD360" s="47"/>
      <c r="VE360" s="47"/>
      <c r="VF360" s="47"/>
      <c r="VG360" s="47"/>
      <c r="VH360" s="47"/>
      <c r="VI360" s="47"/>
      <c r="VJ360" s="47"/>
      <c r="VK360" s="47"/>
      <c r="VL360" s="47"/>
      <c r="VM360" s="47"/>
      <c r="VN360" s="47"/>
      <c r="VO360" s="47"/>
      <c r="VP360" s="47"/>
      <c r="VQ360" s="47"/>
      <c r="VR360" s="47"/>
      <c r="VS360" s="47"/>
      <c r="VT360" s="47"/>
      <c r="VU360" s="47"/>
      <c r="VV360" s="47"/>
      <c r="VW360" s="47"/>
      <c r="VX360" s="47"/>
      <c r="VY360" s="47"/>
      <c r="VZ360" s="47"/>
      <c r="WA360" s="47"/>
      <c r="WB360" s="47"/>
      <c r="WC360" s="47"/>
      <c r="WD360" s="47"/>
      <c r="WE360" s="47"/>
      <c r="WF360" s="47"/>
      <c r="WG360" s="47"/>
      <c r="WH360" s="47"/>
      <c r="WI360" s="47"/>
      <c r="WJ360" s="47"/>
      <c r="WK360" s="47"/>
      <c r="WL360" s="47"/>
      <c r="WM360" s="47"/>
      <c r="WN360" s="47"/>
      <c r="WO360" s="47"/>
      <c r="WP360" s="47"/>
      <c r="WQ360" s="47"/>
      <c r="WR360" s="47"/>
      <c r="WS360" s="47"/>
      <c r="WT360" s="47"/>
      <c r="WU360" s="47"/>
      <c r="WV360" s="47"/>
      <c r="WW360" s="47"/>
      <c r="WX360" s="47"/>
      <c r="WY360" s="47"/>
      <c r="WZ360" s="47"/>
      <c r="XA360" s="47"/>
      <c r="XB360" s="47"/>
      <c r="XC360" s="47"/>
      <c r="XD360" s="47"/>
      <c r="XE360" s="47"/>
      <c r="XF360" s="47"/>
      <c r="XG360" s="47"/>
      <c r="XH360" s="47"/>
      <c r="XI360" s="47"/>
      <c r="XJ360" s="47"/>
      <c r="XK360" s="47"/>
      <c r="XL360" s="47"/>
      <c r="XM360" s="47"/>
      <c r="XN360" s="47"/>
      <c r="XO360" s="47"/>
      <c r="XP360" s="47"/>
      <c r="XQ360" s="47"/>
      <c r="XR360" s="47"/>
      <c r="XS360" s="47"/>
      <c r="XT360" s="47"/>
      <c r="XU360" s="47"/>
      <c r="XV360" s="47"/>
      <c r="XW360" s="47"/>
      <c r="XX360" s="47"/>
      <c r="XY360" s="47"/>
      <c r="XZ360" s="47"/>
      <c r="YA360" s="47"/>
      <c r="YB360" s="47"/>
      <c r="YC360" s="47"/>
      <c r="YD360" s="47"/>
      <c r="YE360" s="47"/>
      <c r="YF360" s="47"/>
      <c r="YG360" s="47"/>
      <c r="YH360" s="47"/>
      <c r="YI360" s="47"/>
      <c r="YJ360" s="47"/>
      <c r="YK360" s="47"/>
      <c r="YL360" s="47"/>
      <c r="YM360" s="47"/>
      <c r="YN360" s="47"/>
      <c r="YO360" s="47"/>
      <c r="YP360" s="47"/>
      <c r="YQ360" s="47"/>
      <c r="YR360" s="47"/>
      <c r="YS360" s="47"/>
      <c r="YT360" s="47"/>
      <c r="YU360" s="47"/>
      <c r="YV360" s="47"/>
      <c r="YW360" s="47"/>
      <c r="YX360" s="47"/>
      <c r="YY360" s="47"/>
      <c r="YZ360" s="47"/>
      <c r="ZA360" s="47"/>
      <c r="ZB360" s="47"/>
      <c r="ZC360" s="47"/>
      <c r="ZD360" s="47"/>
      <c r="ZE360" s="47"/>
      <c r="ZF360" s="47"/>
      <c r="ZG360" s="47"/>
      <c r="ZH360" s="47"/>
      <c r="ZI360" s="47"/>
      <c r="ZJ360" s="47"/>
      <c r="ZK360" s="47"/>
      <c r="ZL360" s="47"/>
      <c r="ZM360" s="47"/>
      <c r="ZN360" s="47"/>
      <c r="ZO360" s="47"/>
      <c r="ZP360" s="47"/>
      <c r="ZQ360" s="47"/>
      <c r="ZR360" s="47"/>
      <c r="ZS360" s="47"/>
      <c r="ZT360" s="47"/>
      <c r="ZU360" s="47"/>
      <c r="ZV360" s="47"/>
      <c r="ZW360" s="47"/>
      <c r="ZX360" s="47"/>
      <c r="ZY360" s="617"/>
      <c r="ZZ360" s="622"/>
      <c r="AAA360" s="588"/>
      <c r="AAD360" s="112"/>
      <c r="AAE360" s="551">
        <f t="shared" si="951"/>
        <v>1</v>
      </c>
      <c r="AAF360" s="583" t="s">
        <v>174</v>
      </c>
      <c r="AAG360" s="63"/>
      <c r="AAH360" s="63"/>
      <c r="AAI360" s="77"/>
      <c r="AAJ360" s="77"/>
      <c r="AAK360" s="77"/>
      <c r="AAL360" s="56"/>
      <c r="AAM360" s="112"/>
      <c r="AAN360"/>
      <c r="AAT360" s="23"/>
      <c r="AAU360" s="44"/>
    </row>
    <row r="361" spans="1:723" ht="15" customHeight="1" outlineLevel="1">
      <c r="A361" s="558"/>
      <c r="B361" s="458" t="s">
        <v>95</v>
      </c>
      <c r="C361" s="459"/>
      <c r="D361" s="277" t="s">
        <v>378</v>
      </c>
      <c r="E361" s="368">
        <f>NETWORKDAYS(G361,H361,S.DDL_DEQClosed)</f>
        <v>1</v>
      </c>
      <c r="F361" s="491">
        <f ca="1">NETWORKDAYS(TODAY(),H361)</f>
        <v>-102</v>
      </c>
      <c r="G361" s="449">
        <f t="shared" ref="G361:H361" si="957">AAG361</f>
        <v>41509</v>
      </c>
      <c r="H361" s="449">
        <f t="shared" si="957"/>
        <v>41509</v>
      </c>
      <c r="I361" s="627"/>
      <c r="J361" s="592"/>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50"/>
      <c r="ZZ361" s="50"/>
      <c r="AAA361" s="588"/>
      <c r="AAD361" s="112"/>
      <c r="AAE361" s="551">
        <f t="shared" si="951"/>
        <v>1</v>
      </c>
      <c r="AAF361" s="112"/>
      <c r="AAG361" s="78">
        <f>H358</f>
        <v>41509</v>
      </c>
      <c r="AAH361" s="78">
        <f>G361</f>
        <v>41509</v>
      </c>
      <c r="AAI361" s="77"/>
      <c r="AAJ361" s="77"/>
      <c r="AAK361" s="77"/>
      <c r="AAL361" s="57"/>
      <c r="AAM361" s="112"/>
      <c r="AAN361"/>
      <c r="AAT361" s="23"/>
      <c r="AAU361" s="44"/>
    </row>
    <row r="362" spans="1:723" ht="15" customHeight="1" outlineLevel="1">
      <c r="A362" s="558"/>
      <c r="B362" s="460" t="s">
        <v>165</v>
      </c>
      <c r="C362" s="719"/>
      <c r="D362" s="195"/>
      <c r="E362" s="345"/>
      <c r="F362" s="366"/>
      <c r="G362" s="452"/>
      <c r="H362" s="367"/>
      <c r="I362" s="588"/>
      <c r="J362" s="592"/>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18"/>
      <c r="ZZ362" s="36"/>
      <c r="AAA362" s="588"/>
      <c r="AAD362" s="112"/>
      <c r="AAE362" s="551">
        <f t="shared" si="951"/>
        <v>1</v>
      </c>
      <c r="AAF362" s="583" t="s">
        <v>174</v>
      </c>
      <c r="AAG362" s="63"/>
      <c r="AAH362" s="63"/>
      <c r="AAI362" s="77"/>
      <c r="AAJ362" s="77"/>
      <c r="AAK362" s="77"/>
      <c r="AAL362" s="57"/>
      <c r="AAM362" s="112"/>
      <c r="AAN362"/>
      <c r="AAT362" s="23"/>
      <c r="AAU362" s="44"/>
    </row>
    <row r="363" spans="1:723" ht="15" customHeight="1" outlineLevel="1">
      <c r="A363" s="558"/>
      <c r="B363" s="752" t="str">
        <f t="shared" ref="B363" si="958">AAL363</f>
        <v>Hold hearings (change dates under Overview of Key Dates)</v>
      </c>
      <c r="C363" s="753"/>
      <c r="D363" s="298"/>
      <c r="E363" s="453"/>
      <c r="F363" s="454"/>
      <c r="G363" s="401"/>
      <c r="H363" s="401"/>
      <c r="I363" s="588"/>
      <c r="J363" s="592"/>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618"/>
      <c r="ZZ363" s="36"/>
      <c r="AAA363" s="588"/>
      <c r="AAD363" s="112"/>
      <c r="AAE363" s="551">
        <f t="shared" si="951"/>
        <v>1</v>
      </c>
      <c r="AAF363" s="583" t="s">
        <v>174</v>
      </c>
      <c r="AAG363" s="63"/>
      <c r="AAH363" s="63"/>
      <c r="AAI363" s="77"/>
      <c r="AAJ363" s="77"/>
      <c r="AAK363" s="77"/>
      <c r="AAL363" s="96" t="str">
        <f>IF(S.InvolveHearing=TRUE,"Hold hearings (change dates under Overview of Key Dates)","No hearings planned")</f>
        <v>Hold hearings (change dates under Overview of Key Dates)</v>
      </c>
      <c r="AAM363" s="112"/>
      <c r="AAN363"/>
      <c r="AAT363" s="23"/>
      <c r="AAU363" s="44"/>
    </row>
    <row r="364" spans="1:723" ht="15" customHeight="1" outlineLevel="1">
      <c r="A364" s="558"/>
      <c r="B364" s="410" t="str">
        <f>S.FirstHearingCity&amp;" hearing"</f>
        <v>Enter city name hearing</v>
      </c>
      <c r="C364" s="347"/>
      <c r="D364" s="277" t="s">
        <v>363</v>
      </c>
      <c r="E364" s="368">
        <f t="shared" ref="E364:E372" si="959">NETWORKDAYS(G364,H364,S.DDL_DEQClosed)</f>
        <v>1</v>
      </c>
      <c r="F364" s="491">
        <f t="shared" ref="F364:F372" ca="1" si="960">NETWORKDAYS(TODAY(),H364)</f>
        <v>-48</v>
      </c>
      <c r="G364" s="455">
        <f>S.FirstHearingDate</f>
        <v>41585</v>
      </c>
      <c r="H364" s="456">
        <f>S.FirstHearingDate</f>
        <v>41585</v>
      </c>
      <c r="I364" s="627"/>
      <c r="J364" s="592"/>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588"/>
      <c r="AAD364" s="112"/>
      <c r="AAE364" s="551">
        <f t="shared" si="951"/>
        <v>1</v>
      </c>
      <c r="AAF364" s="112"/>
      <c r="AAG364" s="93"/>
      <c r="AAH364" s="93"/>
      <c r="AAI364" s="77"/>
      <c r="AAJ364" s="77"/>
      <c r="AAK364" s="77"/>
      <c r="AAL364" s="80"/>
      <c r="AAM364" s="112"/>
      <c r="AAN364"/>
      <c r="AAT364" s="23"/>
      <c r="AAU364" s="44"/>
    </row>
    <row r="365" spans="1:723" ht="15" customHeight="1" outlineLevel="2">
      <c r="A365" s="558"/>
      <c r="B365" s="409" t="str">
        <f>S.2ndHearingCity&amp;" hearing"</f>
        <v>Enter city name hearing</v>
      </c>
      <c r="C365" s="347"/>
      <c r="D365" s="277" t="s">
        <v>363</v>
      </c>
      <c r="E365" s="368">
        <f t="shared" si="959"/>
        <v>1</v>
      </c>
      <c r="F365" s="491">
        <f t="shared" ca="1" si="960"/>
        <v>-48</v>
      </c>
      <c r="G365" s="455">
        <f>S.2ndHearingDate</f>
        <v>41585</v>
      </c>
      <c r="H365" s="456">
        <f>S.2ndHearingDate</f>
        <v>41585</v>
      </c>
      <c r="I365" s="627"/>
      <c r="J365" s="592"/>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588"/>
      <c r="AAD365" s="112"/>
      <c r="AAE365" s="551">
        <f t="shared" si="951"/>
        <v>1</v>
      </c>
      <c r="AAF365" s="112"/>
      <c r="AAG365" s="93"/>
      <c r="AAH365" s="93"/>
      <c r="AAI365" s="77"/>
      <c r="AAJ365" s="77"/>
      <c r="AAK365" s="77"/>
      <c r="AAL365" s="80"/>
      <c r="AAM365" s="112"/>
      <c r="AAN365"/>
      <c r="AAT365" s="23"/>
      <c r="AAU365" s="44"/>
    </row>
    <row r="366" spans="1:723" ht="15" customHeight="1" outlineLevel="2">
      <c r="A366" s="558"/>
      <c r="B366" s="409" t="str">
        <f>S.3rdHearingCity&amp;" hearing"</f>
        <v>Enter city name hearing</v>
      </c>
      <c r="C366" s="347"/>
      <c r="D366" s="277" t="s">
        <v>363</v>
      </c>
      <c r="E366" s="368">
        <f t="shared" si="959"/>
        <v>1</v>
      </c>
      <c r="F366" s="491">
        <f t="shared" ca="1" si="960"/>
        <v>-48</v>
      </c>
      <c r="G366" s="455">
        <f>S.3rdHearingDate</f>
        <v>41585</v>
      </c>
      <c r="H366" s="456">
        <f>S.3rdHearingDate</f>
        <v>41585</v>
      </c>
      <c r="I366" s="627"/>
      <c r="J366" s="592"/>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588"/>
      <c r="AAD366" s="112"/>
      <c r="AAE366" s="551">
        <f t="shared" si="951"/>
        <v>1</v>
      </c>
      <c r="AAF366" s="112"/>
      <c r="AAG366" s="93"/>
      <c r="AAH366" s="93"/>
      <c r="AAI366" s="77"/>
      <c r="AAJ366" s="77"/>
      <c r="AAK366" s="77"/>
      <c r="AAL366" s="80"/>
      <c r="AAM366" s="112"/>
      <c r="AAN366"/>
      <c r="AAT366" s="23"/>
      <c r="AAU366" s="44"/>
    </row>
    <row r="367" spans="1:723" ht="15" customHeight="1" outlineLevel="2">
      <c r="A367" s="558"/>
      <c r="B367" s="409" t="str">
        <f>S.4thHearingCity&amp;" hearing"</f>
        <v>Enter city name hearing</v>
      </c>
      <c r="C367" s="347"/>
      <c r="D367" s="277" t="s">
        <v>363</v>
      </c>
      <c r="E367" s="368">
        <f t="shared" si="959"/>
        <v>1</v>
      </c>
      <c r="F367" s="491">
        <f t="shared" ca="1" si="960"/>
        <v>-48</v>
      </c>
      <c r="G367" s="455">
        <f>S.4thHearingDate</f>
        <v>41585</v>
      </c>
      <c r="H367" s="456">
        <f>S.4thHearingDate</f>
        <v>41585</v>
      </c>
      <c r="I367" s="627"/>
      <c r="J367" s="592"/>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588"/>
      <c r="AAD367" s="112"/>
      <c r="AAE367" s="551">
        <f t="shared" si="951"/>
        <v>1</v>
      </c>
      <c r="AAF367" s="112"/>
      <c r="AAG367" s="93"/>
      <c r="AAH367" s="93"/>
      <c r="AAI367" s="77"/>
      <c r="AAJ367" s="77"/>
      <c r="AAK367" s="77"/>
      <c r="AAL367" s="80"/>
      <c r="AAM367" s="112"/>
      <c r="AAN367"/>
      <c r="AAT367" s="23"/>
      <c r="AAU367" s="44"/>
    </row>
    <row r="368" spans="1:723" ht="15" customHeight="1" outlineLevel="2">
      <c r="A368" s="558"/>
      <c r="B368" s="409" t="str">
        <f>S.5thHearingCity&amp;" hearing"</f>
        <v>Enter city name hearing</v>
      </c>
      <c r="C368" s="347"/>
      <c r="D368" s="277" t="s">
        <v>363</v>
      </c>
      <c r="E368" s="368">
        <f t="shared" si="959"/>
        <v>1</v>
      </c>
      <c r="F368" s="491">
        <f t="shared" ca="1" si="960"/>
        <v>-48</v>
      </c>
      <c r="G368" s="455">
        <f>S.5thHearingDate</f>
        <v>41585</v>
      </c>
      <c r="H368" s="456">
        <f>S.5thHearingDate</f>
        <v>41585</v>
      </c>
      <c r="I368" s="627"/>
      <c r="J368" s="592"/>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588"/>
      <c r="AAD368" s="112"/>
      <c r="AAE368" s="551">
        <f t="shared" si="951"/>
        <v>1</v>
      </c>
      <c r="AAF368" s="112"/>
      <c r="AAG368" s="93"/>
      <c r="AAH368" s="93"/>
      <c r="AAI368" s="77"/>
      <c r="AAJ368" s="77"/>
      <c r="AAK368" s="77"/>
      <c r="AAL368" s="80"/>
      <c r="AAM368" s="112"/>
      <c r="AAN368"/>
      <c r="AAT368" s="23"/>
      <c r="AAU368" s="44"/>
    </row>
    <row r="369" spans="1:732" ht="15" customHeight="1" outlineLevel="2">
      <c r="A369" s="558"/>
      <c r="B369" s="409" t="str">
        <f>S.6thHearingCity&amp;" hearing"</f>
        <v>Enter city name hearing</v>
      </c>
      <c r="C369" s="347"/>
      <c r="D369" s="277" t="s">
        <v>363</v>
      </c>
      <c r="E369" s="368">
        <f t="shared" si="959"/>
        <v>1</v>
      </c>
      <c r="F369" s="491">
        <f t="shared" ca="1" si="960"/>
        <v>-48</v>
      </c>
      <c r="G369" s="455">
        <f>S.6thHearingDate</f>
        <v>41585</v>
      </c>
      <c r="H369" s="456">
        <f>S.6thHearingDate</f>
        <v>41585</v>
      </c>
      <c r="I369" s="627"/>
      <c r="J369" s="592"/>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588"/>
      <c r="AAD369" s="112"/>
      <c r="AAE369" s="551">
        <f t="shared" si="951"/>
        <v>1</v>
      </c>
      <c r="AAF369" s="112"/>
      <c r="AAG369" s="93"/>
      <c r="AAH369" s="93"/>
      <c r="AAI369" s="77"/>
      <c r="AAJ369" s="77"/>
      <c r="AAK369" s="77"/>
      <c r="AAL369" s="80"/>
      <c r="AAM369" s="112"/>
      <c r="AAN369"/>
      <c r="AAT369" s="23"/>
      <c r="AAU369" s="44"/>
    </row>
    <row r="370" spans="1:732" ht="15" customHeight="1" outlineLevel="2">
      <c r="A370" s="558"/>
      <c r="B370" s="409" t="str">
        <f>S.7thHearingCity&amp;" hearing"</f>
        <v>Enter city name hearing</v>
      </c>
      <c r="C370" s="347"/>
      <c r="D370" s="277" t="s">
        <v>363</v>
      </c>
      <c r="E370" s="368">
        <f t="shared" si="959"/>
        <v>1</v>
      </c>
      <c r="F370" s="491">
        <f t="shared" ca="1" si="960"/>
        <v>-48</v>
      </c>
      <c r="G370" s="455">
        <f>S.7thHearingDate</f>
        <v>41585</v>
      </c>
      <c r="H370" s="456">
        <f>S.7thHearingDate</f>
        <v>41585</v>
      </c>
      <c r="I370" s="627"/>
      <c r="J370" s="592"/>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588"/>
      <c r="AAD370" s="112"/>
      <c r="AAE370" s="551">
        <f t="shared" si="951"/>
        <v>1</v>
      </c>
      <c r="AAF370" s="112"/>
      <c r="AAG370" s="93"/>
      <c r="AAH370" s="93"/>
      <c r="AAI370" s="77"/>
      <c r="AAJ370" s="77"/>
      <c r="AAK370" s="77"/>
      <c r="AAL370" s="80"/>
      <c r="AAM370" s="112"/>
      <c r="AAN370"/>
      <c r="AAT370" s="23"/>
      <c r="AAU370" s="44"/>
    </row>
    <row r="371" spans="1:732" ht="15" customHeight="1" outlineLevel="1">
      <c r="A371" s="558"/>
      <c r="B371" s="410" t="str">
        <f>S.LastHearingCity&amp;" hearing"</f>
        <v>Enter city name hearing</v>
      </c>
      <c r="C371" s="347"/>
      <c r="D371" s="277" t="s">
        <v>363</v>
      </c>
      <c r="E371" s="368">
        <f t="shared" si="959"/>
        <v>1</v>
      </c>
      <c r="F371" s="491">
        <f t="shared" ca="1" si="960"/>
        <v>-48</v>
      </c>
      <c r="G371" s="455">
        <f>S.LastHearingDate</f>
        <v>41585</v>
      </c>
      <c r="H371" s="456">
        <f>S.LastHearingDate</f>
        <v>41585</v>
      </c>
      <c r="I371" s="627"/>
      <c r="J371" s="592"/>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588"/>
      <c r="AAD371" s="112"/>
      <c r="AAE371" s="551">
        <f t="shared" si="951"/>
        <v>1</v>
      </c>
      <c r="AAF371" s="112"/>
      <c r="AAG371" s="93"/>
      <c r="AAH371" s="93"/>
      <c r="AAI371" s="93"/>
      <c r="AAJ371" s="57"/>
      <c r="AAK371" s="57"/>
      <c r="AAL371" s="80"/>
      <c r="AAM371" s="112"/>
      <c r="AAN371"/>
      <c r="AAT371" s="23"/>
      <c r="AAU371" s="44"/>
      <c r="AAV371" s="23"/>
      <c r="AAW371" s="23"/>
      <c r="AAX371" s="23"/>
      <c r="AAY371" s="23"/>
      <c r="AAZ371" s="23"/>
      <c r="ABA371" s="23"/>
      <c r="ABB371" s="23"/>
      <c r="ABC371" s="23"/>
      <c r="ABD371" s="23"/>
    </row>
    <row r="372" spans="1:732" ht="15" customHeight="1" outlineLevel="1">
      <c r="A372" s="558"/>
      <c r="B372" s="461" t="str">
        <f>AAL372</f>
        <v>Add info to COMMENTS</v>
      </c>
      <c r="C372" s="347"/>
      <c r="D372" s="277" t="s">
        <v>42</v>
      </c>
      <c r="E372" s="368">
        <f t="shared" si="959"/>
        <v>6</v>
      </c>
      <c r="F372" s="491">
        <f t="shared" ca="1" si="960"/>
        <v>-42</v>
      </c>
      <c r="G372" s="449">
        <f t="shared" ref="G372:H378" si="961">AAG372</f>
        <v>41585</v>
      </c>
      <c r="H372" s="449">
        <f t="shared" si="961"/>
        <v>41593</v>
      </c>
      <c r="I372" s="627"/>
      <c r="J372" s="592"/>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588"/>
      <c r="AAD372" s="112"/>
      <c r="AAE372" s="551">
        <f t="shared" si="951"/>
        <v>1</v>
      </c>
      <c r="AAF372" s="112"/>
      <c r="AAG372" s="78">
        <f>S.LastHearingDate</f>
        <v>41585</v>
      </c>
      <c r="AAH372" s="78">
        <f>S.CloseComment</f>
        <v>41593</v>
      </c>
      <c r="AAI372" s="64"/>
      <c r="AAJ372" s="79"/>
      <c r="AAK372" s="79"/>
      <c r="AAL372" s="89" t="str">
        <f>"Add info to "&amp;S.CodeName&amp;"COMMENTS"</f>
        <v>Add info to COMMENTS</v>
      </c>
      <c r="AAM372" s="112"/>
      <c r="AAN372"/>
      <c r="AAT372" s="23"/>
      <c r="AAU372" s="44"/>
    </row>
    <row r="373" spans="1:732" s="23" customFormat="1" ht="15" customHeight="1" outlineLevel="1">
      <c r="A373" s="558" t="s">
        <v>216</v>
      </c>
      <c r="B373" s="461" t="str">
        <f>AAL373</f>
        <v>Add PO report to STAFF.RPT</v>
      </c>
      <c r="C373" s="168"/>
      <c r="D373" s="277" t="s">
        <v>42</v>
      </c>
      <c r="E373" s="368">
        <f t="shared" ref="E373" si="962">NETWORKDAYS(G373,H373,S.DDL_DEQClosed)</f>
        <v>6</v>
      </c>
      <c r="F373" s="491">
        <f t="shared" ref="F373" ca="1" si="963">NETWORKDAYS(TODAY(),H373)</f>
        <v>-42</v>
      </c>
      <c r="G373" s="449">
        <f t="shared" ref="G373" si="964">AAG373</f>
        <v>41585</v>
      </c>
      <c r="H373" s="449">
        <f t="shared" ref="H373" si="965">AAH373</f>
        <v>41593</v>
      </c>
      <c r="I373" s="627"/>
      <c r="J373" s="592"/>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588"/>
      <c r="AAB373"/>
      <c r="AAC373"/>
      <c r="AAD373" s="112"/>
      <c r="AAE373" s="551">
        <f t="shared" si="951"/>
        <v>1</v>
      </c>
      <c r="AAF373" s="112"/>
      <c r="AAG373" s="78">
        <f>S.LastHearingDate</f>
        <v>41585</v>
      </c>
      <c r="AAH373" s="78">
        <f>S.CloseComment</f>
        <v>41593</v>
      </c>
      <c r="AAI373" s="64"/>
      <c r="AAJ373" s="77"/>
      <c r="AAK373" s="77"/>
      <c r="AAL373" s="89" t="str">
        <f>"Add PO report to "&amp;S.CodeName&amp;"STAFF.RPT"</f>
        <v>Add PO report to STAFF.RPT</v>
      </c>
      <c r="AAM373" s="112"/>
      <c r="AAU373" s="44"/>
    </row>
    <row r="374" spans="1:732" ht="18" customHeight="1" outlineLevel="1">
      <c r="A374" s="558"/>
      <c r="B374" s="299" t="s">
        <v>41</v>
      </c>
      <c r="C374" s="720"/>
      <c r="D374" s="197"/>
      <c r="E374" s="160"/>
      <c r="F374" s="160"/>
      <c r="G374" s="145"/>
      <c r="H374" s="658">
        <f>S.CloseComment</f>
        <v>41593</v>
      </c>
      <c r="I374" s="627"/>
      <c r="J374" s="592"/>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50"/>
      <c r="ZZ374" s="50"/>
      <c r="AAA374" s="588"/>
      <c r="AAD374" s="112"/>
      <c r="AAE374" s="551">
        <f t="shared" ref="AAE374:AAE390" si="966">IF(S.InvolveNotice=TRUE,1,0)</f>
        <v>1</v>
      </c>
      <c r="AAF374" s="112"/>
      <c r="AAG374" s="78">
        <f>S.CloseComment</f>
        <v>41593</v>
      </c>
      <c r="AAH374" s="77"/>
      <c r="AAI374" s="77"/>
      <c r="AAJ374" s="79"/>
      <c r="AAK374" s="79"/>
      <c r="AAL374" s="57"/>
      <c r="AAM374" s="112"/>
      <c r="AAN374"/>
      <c r="AAT374" s="23"/>
      <c r="AAU374" s="44"/>
      <c r="AAV374" s="23"/>
      <c r="AAW374" s="23"/>
      <c r="AAX374" s="23"/>
      <c r="AAY374" s="23"/>
      <c r="AAZ374" s="23"/>
      <c r="ABA374" s="23"/>
      <c r="ABB374" s="23"/>
      <c r="ABC374" s="23"/>
      <c r="ABD374" s="23"/>
    </row>
    <row r="375" spans="1:732" s="23" customFormat="1" ht="15" customHeight="1" outlineLevel="1">
      <c r="A375" s="558"/>
      <c r="B375" s="462" t="s">
        <v>160</v>
      </c>
      <c r="C375" s="187"/>
      <c r="D375" s="188"/>
      <c r="E375" s="182"/>
      <c r="F375" s="182"/>
      <c r="G375" s="174"/>
      <c r="H375" s="153"/>
      <c r="I375" s="627"/>
      <c r="J375" s="592"/>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18"/>
      <c r="ZZ375" s="36"/>
      <c r="AAA375" s="588"/>
      <c r="AAB375"/>
      <c r="AAC375"/>
      <c r="AAD375" s="112"/>
      <c r="AAE375" s="551">
        <f t="shared" si="966"/>
        <v>1</v>
      </c>
      <c r="AAF375" s="583" t="s">
        <v>174</v>
      </c>
      <c r="AAG375" s="76"/>
      <c r="AAH375" s="77"/>
      <c r="AAI375" s="77"/>
      <c r="AAJ375" s="77"/>
      <c r="AAK375" s="77"/>
      <c r="AAL375" s="57"/>
      <c r="AAM375" s="112"/>
      <c r="AAU375" s="44"/>
      <c r="AAV375"/>
      <c r="AAW375"/>
      <c r="AAX375"/>
      <c r="AAY375"/>
      <c r="AAZ375"/>
      <c r="ABA375"/>
      <c r="ABB375"/>
      <c r="ABC375"/>
      <c r="ABD375"/>
    </row>
    <row r="376" spans="1:732" s="23" customFormat="1" ht="15" customHeight="1" outlineLevel="1">
      <c r="A376" s="558"/>
      <c r="B376" s="132" t="str">
        <f>AAL376</f>
        <v>Enter data into COMMENTS</v>
      </c>
      <c r="C376" s="721"/>
      <c r="D376" s="189"/>
      <c r="E376" s="154"/>
      <c r="F376" s="154"/>
      <c r="G376" s="153"/>
      <c r="H376" s="153"/>
      <c r="I376" s="588"/>
      <c r="J376" s="592"/>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618"/>
      <c r="ZZ376" s="36"/>
      <c r="AAA376" s="588"/>
      <c r="AAB376"/>
      <c r="AAC376"/>
      <c r="AAD376" s="112"/>
      <c r="AAE376" s="551">
        <f t="shared" si="966"/>
        <v>1</v>
      </c>
      <c r="AAF376" s="583" t="s">
        <v>174</v>
      </c>
      <c r="AAG376" s="76"/>
      <c r="AAH376" s="77"/>
      <c r="AAI376" s="77"/>
      <c r="AAJ376" s="77"/>
      <c r="AAK376" s="77"/>
      <c r="AAL376" s="89" t="str">
        <f>"Enter data into "&amp;S.CodeName&amp;"COMMENTS"</f>
        <v>Enter data into COMMENTS</v>
      </c>
      <c r="AAM376" s="112"/>
      <c r="AAU376" s="44"/>
      <c r="AAV376"/>
      <c r="AAW376"/>
      <c r="AAX376"/>
      <c r="AAY376"/>
      <c r="AAZ376"/>
      <c r="ABA376"/>
      <c r="ABB376"/>
      <c r="ABC376"/>
      <c r="ABD376"/>
    </row>
    <row r="377" spans="1:732" ht="15" customHeight="1" outlineLevel="1">
      <c r="A377" s="558"/>
      <c r="B377" s="411" t="s">
        <v>208</v>
      </c>
      <c r="C377" s="168"/>
      <c r="D377" s="277" t="s">
        <v>157</v>
      </c>
      <c r="E377" s="368">
        <f t="shared" ref="E377:E383" si="967">NETWORKDAYS(G377,H377,S.DDL_DEQClosed)</f>
        <v>100</v>
      </c>
      <c r="F377" s="491">
        <f t="shared" ref="F377:F387" ca="1" si="968">NETWORKDAYS(TODAY(),H377)</f>
        <v>19</v>
      </c>
      <c r="G377" s="449">
        <f>AAG377</f>
        <v>41530</v>
      </c>
      <c r="H377" s="449">
        <f t="shared" si="961"/>
        <v>41676</v>
      </c>
      <c r="I377" s="627"/>
      <c r="J377" s="592"/>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588"/>
      <c r="AAD377" s="112"/>
      <c r="AAE377" s="551">
        <f t="shared" si="966"/>
        <v>1</v>
      </c>
      <c r="AAF377" s="112"/>
      <c r="AAG377" s="78">
        <f>S.PostNoticeToRegistry</f>
        <v>41530</v>
      </c>
      <c r="AAH377" s="78">
        <f>S.SubmitStaffRpt</f>
        <v>41676</v>
      </c>
      <c r="AAI377" s="77"/>
      <c r="AAJ377" s="79"/>
      <c r="AAK377" s="79"/>
      <c r="AAL377" s="80"/>
      <c r="AAM377" s="112"/>
      <c r="AAN377"/>
      <c r="AAT377" s="23"/>
      <c r="AAU377" s="44"/>
      <c r="AAV377" s="23"/>
      <c r="AAW377" s="23"/>
      <c r="AAX377" s="23"/>
      <c r="AAY377" s="23"/>
      <c r="AAZ377" s="23"/>
      <c r="ABA377" s="23"/>
      <c r="ABB377" s="23"/>
      <c r="ABC377" s="23"/>
      <c r="ABD377" s="23"/>
    </row>
    <row r="378" spans="1:732" ht="15" customHeight="1" outlineLevel="1">
      <c r="A378" s="558"/>
      <c r="B378" s="463" t="str">
        <f>AAL378</f>
        <v>Scan/Link COMMENTS.ID###.pdf</v>
      </c>
      <c r="C378" s="168"/>
      <c r="D378" s="277" t="s">
        <v>157</v>
      </c>
      <c r="E378" s="448">
        <f t="shared" si="967"/>
        <v>86</v>
      </c>
      <c r="F378" s="491">
        <f t="shared" ca="1" si="968"/>
        <v>19</v>
      </c>
      <c r="G378" s="449">
        <f>AAG378</f>
        <v>41550</v>
      </c>
      <c r="H378" s="449">
        <f t="shared" si="961"/>
        <v>41676</v>
      </c>
      <c r="I378" s="627"/>
      <c r="J378" s="592"/>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50"/>
      <c r="ZZ378" s="50"/>
      <c r="AAA378" s="588"/>
      <c r="AAD378" s="112"/>
      <c r="AAE378" s="551">
        <f t="shared" si="966"/>
        <v>1</v>
      </c>
      <c r="AAF378" s="112"/>
      <c r="AAG378" s="78">
        <f>WORKDAY(S.PublicNoticeInBulletin+1,1,S.DDL_DEQClosed)</f>
        <v>41550</v>
      </c>
      <c r="AAH378" s="78">
        <f>S.SubmitStaffRpt</f>
        <v>41676</v>
      </c>
      <c r="AAI378" s="77"/>
      <c r="AAJ378" s="79"/>
      <c r="AAK378" s="79"/>
      <c r="AAL378" s="89" t="str">
        <f>"Scan/Link "&amp;S.CodeName&amp;"COMMENTS.ID###.pdf"</f>
        <v>Scan/Link COMMENTS.ID###.pdf</v>
      </c>
      <c r="AAM378" s="112"/>
      <c r="AAN378"/>
      <c r="AAT378" s="23"/>
      <c r="AAU378" s="44"/>
      <c r="AAV378" s="23"/>
      <c r="AAW378" s="23"/>
      <c r="AAX378" s="23"/>
      <c r="AAY378" s="23"/>
      <c r="AAZ378" s="23"/>
      <c r="ABA378" s="23"/>
      <c r="ABB378" s="23"/>
      <c r="ABC378" s="23"/>
      <c r="ABD378" s="23"/>
    </row>
    <row r="379" spans="1:732" s="23" customFormat="1" ht="15" customHeight="1" outlineLevel="1">
      <c r="A379" s="558"/>
      <c r="B379" s="462" t="s">
        <v>154</v>
      </c>
      <c r="C379" s="721" t="s">
        <v>0</v>
      </c>
      <c r="D379" s="189"/>
      <c r="E379" s="154"/>
      <c r="F379" s="154"/>
      <c r="G379" s="153"/>
      <c r="H379" s="153"/>
      <c r="I379" s="588"/>
      <c r="J379" s="592"/>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18"/>
      <c r="ZZ379" s="36"/>
      <c r="AAA379" s="588"/>
      <c r="AAB379"/>
      <c r="AAC379"/>
      <c r="AAD379" s="112"/>
      <c r="AAE379" s="551">
        <f t="shared" si="966"/>
        <v>1</v>
      </c>
      <c r="AAF379" s="583" t="s">
        <v>174</v>
      </c>
      <c r="AAG379" s="76"/>
      <c r="AAH379" s="76"/>
      <c r="AAI379" s="77"/>
      <c r="AAJ379" s="77"/>
      <c r="AAK379" s="77"/>
      <c r="AAL379" s="57"/>
      <c r="AAM379" s="112"/>
      <c r="AAU379" s="44"/>
    </row>
    <row r="380" spans="1:732" s="23" customFormat="1" ht="15" customHeight="1" outlineLevel="1">
      <c r="A380" s="558"/>
      <c r="B380" s="132" t="str">
        <f>AAL380</f>
        <v>Develop COMMENTS</v>
      </c>
      <c r="C380" s="721"/>
      <c r="D380" s="189"/>
      <c r="E380" s="154"/>
      <c r="F380" s="154"/>
      <c r="G380" s="153"/>
      <c r="H380" s="153"/>
      <c r="I380" s="588"/>
      <c r="J380" s="592"/>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618"/>
      <c r="ZZ380" s="36"/>
      <c r="AAA380" s="588"/>
      <c r="AAB380"/>
      <c r="AAC380"/>
      <c r="AAD380" s="112"/>
      <c r="AAE380" s="551">
        <f t="shared" si="966"/>
        <v>1</v>
      </c>
      <c r="AAF380" s="583" t="s">
        <v>174</v>
      </c>
      <c r="AAG380" s="76"/>
      <c r="AAH380" s="76"/>
      <c r="AAI380" s="77"/>
      <c r="AAJ380" s="77"/>
      <c r="AAK380" s="77"/>
      <c r="AAL380" s="89" t="str">
        <f>"Develop "&amp;S.CodeName&amp;"COMMENTS"</f>
        <v>Develop COMMENTS</v>
      </c>
      <c r="AAM380" s="112"/>
      <c r="AAU380" s="44"/>
    </row>
    <row r="381" spans="1:732" s="23" customFormat="1" ht="15" customHeight="1" outlineLevel="1">
      <c r="A381" s="558"/>
      <c r="B381" s="464" t="s">
        <v>178</v>
      </c>
      <c r="C381" s="168"/>
      <c r="D381" s="277" t="s">
        <v>359</v>
      </c>
      <c r="E381" s="448">
        <f t="shared" ref="E381" si="969">NETWORKDAYS(G381,H381,S.DDL_DEQClosed)</f>
        <v>86</v>
      </c>
      <c r="F381" s="491">
        <f t="shared" ref="F381" ca="1" si="970">NETWORKDAYS(TODAY(),H381)</f>
        <v>19</v>
      </c>
      <c r="G381" s="449">
        <f t="shared" ref="G381:G387" si="971">AAG381</f>
        <v>41550</v>
      </c>
      <c r="H381" s="449">
        <f t="shared" ref="H381:H387" si="972">AAH381</f>
        <v>41676</v>
      </c>
      <c r="I381" s="627"/>
      <c r="J381" s="592"/>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588"/>
      <c r="AAB381"/>
      <c r="AAC381"/>
      <c r="AAD381" s="112"/>
      <c r="AAE381" s="551">
        <f t="shared" si="966"/>
        <v>1</v>
      </c>
      <c r="AAF381" s="112"/>
      <c r="AAG381" s="78">
        <f t="shared" ref="AAG381:AAG387" si="973">WORKDAY(S.PublicNoticeInBulletin+1,1,S.DDL_DEQClosed)</f>
        <v>41550</v>
      </c>
      <c r="AAH381" s="78">
        <f t="shared" ref="AAH381:AAH387" si="974">S.SubmitStaffRpt</f>
        <v>41676</v>
      </c>
      <c r="AAI381" s="77"/>
      <c r="AAJ381" s="80"/>
      <c r="AAK381" s="80"/>
      <c r="AAL381" s="57"/>
      <c r="AAM381" s="112"/>
      <c r="AAU381" s="44"/>
      <c r="AAV381"/>
      <c r="AAW381"/>
      <c r="AAX381"/>
      <c r="AAY381"/>
      <c r="AAZ381"/>
      <c r="ABA381"/>
      <c r="ABB381"/>
      <c r="ABC381"/>
      <c r="ABD381"/>
    </row>
    <row r="382" spans="1:732" s="23" customFormat="1" ht="15" customHeight="1" outlineLevel="1">
      <c r="A382" s="558"/>
      <c r="B382" s="464" t="s">
        <v>179</v>
      </c>
      <c r="C382" s="168"/>
      <c r="D382" s="277" t="s">
        <v>359</v>
      </c>
      <c r="E382" s="448">
        <f t="shared" ref="E382" si="975">NETWORKDAYS(G382,H382,S.DDL_DEQClosed)</f>
        <v>86</v>
      </c>
      <c r="F382" s="491">
        <f t="shared" ref="F382" ca="1" si="976">NETWORKDAYS(TODAY(),H382)</f>
        <v>19</v>
      </c>
      <c r="G382" s="449">
        <f t="shared" si="971"/>
        <v>41550</v>
      </c>
      <c r="H382" s="449">
        <f t="shared" si="972"/>
        <v>41676</v>
      </c>
      <c r="I382" s="627"/>
      <c r="J382" s="592"/>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588"/>
      <c r="AAB382"/>
      <c r="AAC382"/>
      <c r="AAD382" s="112"/>
      <c r="AAE382" s="551">
        <f t="shared" si="966"/>
        <v>1</v>
      </c>
      <c r="AAF382" s="112"/>
      <c r="AAG382" s="78">
        <f t="shared" si="973"/>
        <v>41550</v>
      </c>
      <c r="AAH382" s="78">
        <f t="shared" si="974"/>
        <v>41676</v>
      </c>
      <c r="AAI382" s="77"/>
      <c r="AAJ382" s="80"/>
      <c r="AAK382" s="80"/>
      <c r="AAL382" s="57"/>
      <c r="AAM382" s="112"/>
      <c r="AAU382" s="44"/>
      <c r="AAV382"/>
      <c r="AAW382"/>
      <c r="AAX382"/>
      <c r="AAY382"/>
      <c r="AAZ382"/>
      <c r="ABA382"/>
      <c r="ABB382"/>
      <c r="ABC382"/>
      <c r="ABD382"/>
    </row>
    <row r="383" spans="1:732" ht="15" customHeight="1" outlineLevel="1">
      <c r="A383" s="558"/>
      <c r="B383" s="465" t="s">
        <v>167</v>
      </c>
      <c r="C383" s="239"/>
      <c r="D383" s="277" t="s">
        <v>359</v>
      </c>
      <c r="E383" s="448">
        <f t="shared" si="967"/>
        <v>86</v>
      </c>
      <c r="F383" s="491">
        <f t="shared" ca="1" si="968"/>
        <v>19</v>
      </c>
      <c r="G383" s="449">
        <f t="shared" si="971"/>
        <v>41550</v>
      </c>
      <c r="H383" s="449">
        <f t="shared" si="972"/>
        <v>41676</v>
      </c>
      <c r="I383" s="627"/>
      <c r="J383" s="592"/>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588"/>
      <c r="AAD383" s="112"/>
      <c r="AAE383" s="551">
        <f t="shared" si="966"/>
        <v>1</v>
      </c>
      <c r="AAF383" s="112"/>
      <c r="AAG383" s="78">
        <f t="shared" si="973"/>
        <v>41550</v>
      </c>
      <c r="AAH383" s="78">
        <f t="shared" si="974"/>
        <v>41676</v>
      </c>
      <c r="AAI383" s="77"/>
      <c r="AAJ383" s="57"/>
      <c r="AAK383" s="57"/>
      <c r="AAL383" s="57"/>
      <c r="AAM383" s="112"/>
      <c r="AAN383"/>
      <c r="AAT383" s="23"/>
      <c r="AAU383" s="44"/>
    </row>
    <row r="384" spans="1:732" ht="15" customHeight="1" outlineLevel="1">
      <c r="A384" s="558"/>
      <c r="B384" s="424" t="s">
        <v>75</v>
      </c>
      <c r="C384" s="239"/>
      <c r="D384" s="279" t="s">
        <v>378</v>
      </c>
      <c r="E384" s="368">
        <f>NETWORKDAYS(G384,H384,S.DDL_DEQClosed)</f>
        <v>86</v>
      </c>
      <c r="F384" s="491">
        <f t="shared" ca="1" si="968"/>
        <v>19</v>
      </c>
      <c r="G384" s="449">
        <f t="shared" si="971"/>
        <v>41550</v>
      </c>
      <c r="H384" s="449">
        <f t="shared" si="972"/>
        <v>41676</v>
      </c>
      <c r="I384" s="627"/>
      <c r="J384" s="592"/>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588"/>
      <c r="AAD384" s="112"/>
      <c r="AAE384" s="551">
        <f t="shared" si="966"/>
        <v>1</v>
      </c>
      <c r="AAF384" s="112"/>
      <c r="AAG384" s="78">
        <f t="shared" si="973"/>
        <v>41550</v>
      </c>
      <c r="AAH384" s="78">
        <f t="shared" si="974"/>
        <v>41676</v>
      </c>
      <c r="AAI384" s="77"/>
      <c r="AAJ384" s="57"/>
      <c r="AAK384" s="57"/>
      <c r="AAL384" s="57"/>
      <c r="AAM384" s="112"/>
      <c r="AAN384"/>
      <c r="AAT384" s="23"/>
      <c r="AAU384" s="44"/>
    </row>
    <row r="385" spans="1:732" ht="15" customHeight="1" outlineLevel="1">
      <c r="A385" s="558"/>
      <c r="B385" s="425" t="s">
        <v>76</v>
      </c>
      <c r="C385" s="239"/>
      <c r="D385" s="279" t="s">
        <v>378</v>
      </c>
      <c r="E385" s="368">
        <f>NETWORKDAYS(G385,H385,S.DDL_DEQClosed)</f>
        <v>86</v>
      </c>
      <c r="F385" s="491">
        <f t="shared" ca="1" si="968"/>
        <v>19</v>
      </c>
      <c r="G385" s="449">
        <f t="shared" si="971"/>
        <v>41550</v>
      </c>
      <c r="H385" s="449">
        <f t="shared" si="972"/>
        <v>41676</v>
      </c>
      <c r="I385" s="627"/>
      <c r="J385" s="592"/>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588"/>
      <c r="AAD385" s="112"/>
      <c r="AAE385" s="551">
        <f t="shared" si="966"/>
        <v>1</v>
      </c>
      <c r="AAF385" s="112"/>
      <c r="AAG385" s="78">
        <f t="shared" si="973"/>
        <v>41550</v>
      </c>
      <c r="AAH385" s="78">
        <f t="shared" si="974"/>
        <v>41676</v>
      </c>
      <c r="AAI385" s="77"/>
      <c r="AAJ385" s="57"/>
      <c r="AAK385" s="57"/>
      <c r="AAL385" s="57"/>
      <c r="AAM385" s="112"/>
      <c r="AAN385"/>
      <c r="AAT385" s="23"/>
      <c r="AAU385" s="44"/>
    </row>
    <row r="386" spans="1:732" ht="15" customHeight="1" outlineLevel="1">
      <c r="A386" s="558"/>
      <c r="B386" s="426" t="s">
        <v>77</v>
      </c>
      <c r="C386" s="239"/>
      <c r="D386" s="279" t="s">
        <v>378</v>
      </c>
      <c r="E386" s="368">
        <f>NETWORKDAYS(G386,H386,S.DDL_DEQClosed)</f>
        <v>86</v>
      </c>
      <c r="F386" s="491">
        <f t="shared" ca="1" si="968"/>
        <v>19</v>
      </c>
      <c r="G386" s="449">
        <f t="shared" si="971"/>
        <v>41550</v>
      </c>
      <c r="H386" s="449">
        <f t="shared" si="972"/>
        <v>41676</v>
      </c>
      <c r="I386" s="627"/>
      <c r="J386" s="592"/>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588"/>
      <c r="AAD386" s="112"/>
      <c r="AAE386" s="551">
        <f t="shared" si="966"/>
        <v>1</v>
      </c>
      <c r="AAF386" s="112"/>
      <c r="AAG386" s="78">
        <f t="shared" si="973"/>
        <v>41550</v>
      </c>
      <c r="AAH386" s="78">
        <f t="shared" si="974"/>
        <v>41676</v>
      </c>
      <c r="AAI386" s="77"/>
      <c r="AAJ386" s="57"/>
      <c r="AAK386" s="57"/>
      <c r="AAL386" s="57"/>
      <c r="AAM386" s="112"/>
      <c r="AAN386"/>
      <c r="AAT386" s="23"/>
      <c r="AAU386" s="44"/>
    </row>
    <row r="387" spans="1:732" ht="15" customHeight="1" outlineLevel="1">
      <c r="A387" s="558"/>
      <c r="B387" s="427" t="s">
        <v>78</v>
      </c>
      <c r="C387" s="239"/>
      <c r="D387" s="279" t="s">
        <v>378</v>
      </c>
      <c r="E387" s="368">
        <f>NETWORKDAYS(G387,H387,S.DDL_DEQClosed)</f>
        <v>86</v>
      </c>
      <c r="F387" s="491">
        <f t="shared" ca="1" si="968"/>
        <v>19</v>
      </c>
      <c r="G387" s="449">
        <f t="shared" si="971"/>
        <v>41550</v>
      </c>
      <c r="H387" s="449">
        <f t="shared" si="972"/>
        <v>41676</v>
      </c>
      <c r="I387" s="627"/>
      <c r="J387" s="592"/>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50"/>
      <c r="ZZ387" s="50"/>
      <c r="AAA387" s="588"/>
      <c r="AAD387" s="112"/>
      <c r="AAE387" s="551">
        <f t="shared" si="966"/>
        <v>1</v>
      </c>
      <c r="AAF387" s="112"/>
      <c r="AAG387" s="78">
        <f t="shared" si="973"/>
        <v>41550</v>
      </c>
      <c r="AAH387" s="78">
        <f t="shared" si="974"/>
        <v>41676</v>
      </c>
      <c r="AAI387" s="77"/>
      <c r="AAJ387" s="57"/>
      <c r="AAK387" s="57"/>
      <c r="AAL387" s="57"/>
      <c r="AAM387" s="112"/>
      <c r="AAN387"/>
      <c r="AAT387" s="23"/>
      <c r="AAU387" s="44"/>
    </row>
    <row r="388" spans="1:732" ht="96.75" customHeight="1" outlineLevel="1">
      <c r="A388" s="558"/>
      <c r="B388" s="751" t="s">
        <v>344</v>
      </c>
      <c r="C388" s="751"/>
      <c r="D388" s="751"/>
      <c r="E388" s="751"/>
      <c r="F388" s="751"/>
      <c r="G388" s="751"/>
      <c r="H388" s="751"/>
      <c r="I388" s="588"/>
      <c r="J388" s="592"/>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18"/>
      <c r="ZZ388" s="36"/>
      <c r="AAA388" s="588"/>
      <c r="AAD388" s="112"/>
      <c r="AAE388" s="551">
        <f t="shared" si="966"/>
        <v>1</v>
      </c>
      <c r="AAF388" s="583" t="s">
        <v>174</v>
      </c>
      <c r="AAG388" s="63"/>
      <c r="AAH388" s="63"/>
      <c r="AAI388" s="77"/>
      <c r="AAJ388" s="57"/>
      <c r="AAK388" s="57"/>
      <c r="AAL388" s="57"/>
      <c r="AAM388" s="112"/>
      <c r="AAN388"/>
      <c r="AAT388" s="23"/>
      <c r="AAU388" s="44"/>
    </row>
    <row r="389" spans="1:732" ht="15" customHeight="1" outlineLevel="1">
      <c r="A389" s="558"/>
      <c r="B389" s="395" t="s">
        <v>49</v>
      </c>
      <c r="C389" s="300"/>
      <c r="D389" s="281" t="s">
        <v>0</v>
      </c>
      <c r="E389" s="282"/>
      <c r="F389" s="282"/>
      <c r="G389" s="283"/>
      <c r="H389" s="283"/>
      <c r="I389" s="588"/>
      <c r="J389" s="592"/>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618"/>
      <c r="ZZ389" s="36"/>
      <c r="AAA389" s="588"/>
      <c r="AAD389" s="112"/>
      <c r="AAE389" s="551">
        <f t="shared" si="966"/>
        <v>1</v>
      </c>
      <c r="AAF389" s="583" t="s">
        <v>174</v>
      </c>
      <c r="AAG389" s="63"/>
      <c r="AAH389" s="63"/>
      <c r="AAI389" s="77"/>
      <c r="AAJ389" s="57"/>
      <c r="AAK389" s="57"/>
      <c r="AAL389" s="57"/>
      <c r="AAM389" s="112"/>
      <c r="AAN389"/>
      <c r="AAT389" s="23"/>
      <c r="AAU389" s="44"/>
    </row>
    <row r="390" spans="1:732" ht="15" customHeight="1" outlineLevel="1">
      <c r="A390" s="558"/>
      <c r="B390" s="343" t="s">
        <v>149</v>
      </c>
      <c r="C390" s="168"/>
      <c r="D390" s="277" t="s">
        <v>157</v>
      </c>
      <c r="E390" s="448">
        <f t="shared" ref="E390" si="977">NETWORKDAYS(G390,H390,S.DDL_DEQClosed)</f>
        <v>1</v>
      </c>
      <c r="F390" s="491">
        <f t="shared" ref="F390" ca="1" si="978">NETWORKDAYS(TODAY(),H390)</f>
        <v>19</v>
      </c>
      <c r="G390" s="449">
        <f t="shared" ref="G390:H390" si="979">AAG390</f>
        <v>41676</v>
      </c>
      <c r="H390" s="455">
        <f t="shared" si="979"/>
        <v>41676</v>
      </c>
      <c r="I390" s="627"/>
      <c r="J390" s="592"/>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50"/>
      <c r="ZZ390" s="50"/>
      <c r="AAA390" s="588"/>
      <c r="AAD390" s="112"/>
      <c r="AAE390" s="551">
        <f t="shared" si="966"/>
        <v>1</v>
      </c>
      <c r="AAF390" s="112"/>
      <c r="AAG390" s="78">
        <f>H387</f>
        <v>41676</v>
      </c>
      <c r="AAH390" s="78">
        <f>G390</f>
        <v>41676</v>
      </c>
      <c r="AAI390" s="77"/>
      <c r="AAJ390" s="57"/>
      <c r="AAK390" s="57"/>
      <c r="AAL390" s="57"/>
      <c r="AAM390" s="112"/>
      <c r="AAN390"/>
      <c r="AAT390" s="23"/>
      <c r="AAU390" s="44"/>
    </row>
    <row r="391" spans="1:732" ht="6" customHeight="1">
      <c r="A391" s="558"/>
      <c r="B391" s="144"/>
      <c r="C391" s="689"/>
      <c r="D391" s="145"/>
      <c r="E391" s="146"/>
      <c r="F391" s="146"/>
      <c r="G391" s="145"/>
      <c r="H391" s="145"/>
      <c r="I391" s="588"/>
      <c r="J391" s="592"/>
      <c r="K391" s="50"/>
      <c r="L391" s="50"/>
      <c r="M391" s="50"/>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c r="BT391" s="50"/>
      <c r="BU391" s="50"/>
      <c r="BV391" s="50"/>
      <c r="BW391" s="50"/>
      <c r="BX391" s="50"/>
      <c r="BY391" s="50"/>
      <c r="BZ391" s="50"/>
      <c r="CA391" s="50"/>
      <c r="CB391" s="50"/>
      <c r="CC391" s="50"/>
      <c r="CD391" s="50"/>
      <c r="CE391" s="50"/>
      <c r="CF391" s="50"/>
      <c r="CG391" s="50"/>
      <c r="CH391" s="50"/>
      <c r="CI391" s="50"/>
      <c r="CJ391" s="50"/>
      <c r="CK391" s="50"/>
      <c r="CL391" s="50"/>
      <c r="CM391" s="50"/>
      <c r="CN391" s="50"/>
      <c r="CO391" s="50"/>
      <c r="CP391" s="50"/>
      <c r="CQ391" s="50"/>
      <c r="CR391" s="50"/>
      <c r="CS391" s="50"/>
      <c r="CT391" s="50"/>
      <c r="CU391" s="50"/>
      <c r="CV391" s="50"/>
      <c r="CW391" s="50"/>
      <c r="CX391" s="50"/>
      <c r="CY391" s="50"/>
      <c r="CZ391" s="50"/>
      <c r="DA391" s="50"/>
      <c r="DB391" s="50"/>
      <c r="DC391" s="50"/>
      <c r="DD391" s="50"/>
      <c r="DE391" s="50"/>
      <c r="DF391" s="50"/>
      <c r="DG391" s="50"/>
      <c r="DH391" s="50"/>
      <c r="DI391" s="50"/>
      <c r="DJ391" s="50"/>
      <c r="DK391" s="50"/>
      <c r="DL391" s="50"/>
      <c r="DM391" s="50"/>
      <c r="DN391" s="50"/>
      <c r="DO391" s="50"/>
      <c r="DP391" s="50"/>
      <c r="DQ391" s="50"/>
      <c r="DR391" s="50"/>
      <c r="DS391" s="50"/>
      <c r="DT391" s="50"/>
      <c r="DU391" s="50"/>
      <c r="DV391" s="50"/>
      <c r="DW391" s="50"/>
      <c r="DX391" s="50"/>
      <c r="DY391" s="50"/>
      <c r="DZ391" s="50"/>
      <c r="EA391" s="50"/>
      <c r="EB391" s="50"/>
      <c r="EC391" s="50"/>
      <c r="ED391" s="50"/>
      <c r="EE391" s="50"/>
      <c r="EF391" s="50"/>
      <c r="EG391" s="50"/>
      <c r="EH391" s="50"/>
      <c r="EI391" s="50"/>
      <c r="EJ391" s="50"/>
      <c r="EK391" s="50"/>
      <c r="EL391" s="50"/>
      <c r="EM391" s="50"/>
      <c r="EN391" s="50"/>
      <c r="EO391" s="50"/>
      <c r="EP391" s="50"/>
      <c r="EQ391" s="50"/>
      <c r="ER391" s="50"/>
      <c r="ES391" s="50"/>
      <c r="ET391" s="50"/>
      <c r="EU391" s="50"/>
      <c r="EV391" s="50"/>
      <c r="EW391" s="50"/>
      <c r="EX391" s="50"/>
      <c r="EY391" s="50"/>
      <c r="EZ391" s="50"/>
      <c r="FA391" s="50"/>
      <c r="FB391" s="50"/>
      <c r="FC391" s="50"/>
      <c r="FD391" s="50"/>
      <c r="FE391" s="50"/>
      <c r="FF391" s="50"/>
      <c r="FG391" s="50"/>
      <c r="FH391" s="50"/>
      <c r="FI391" s="50"/>
      <c r="FJ391" s="50"/>
      <c r="FK391" s="50"/>
      <c r="FL391" s="50"/>
      <c r="FM391" s="50"/>
      <c r="FN391" s="50"/>
      <c r="FO391" s="50"/>
      <c r="FP391" s="50"/>
      <c r="FQ391" s="50"/>
      <c r="FR391" s="50"/>
      <c r="FS391" s="50"/>
      <c r="FT391" s="50"/>
      <c r="FU391" s="50"/>
      <c r="FV391" s="50"/>
      <c r="FW391" s="50"/>
      <c r="FX391" s="50"/>
      <c r="FY391" s="50"/>
      <c r="FZ391" s="50"/>
      <c r="GA391" s="50"/>
      <c r="GB391" s="50"/>
      <c r="GC391" s="50"/>
      <c r="GD391" s="50"/>
      <c r="GE391" s="50"/>
      <c r="GF391" s="50"/>
      <c r="GG391" s="50"/>
      <c r="GH391" s="50"/>
      <c r="GI391" s="50"/>
      <c r="GJ391" s="50"/>
      <c r="GK391" s="50"/>
      <c r="GL391" s="50"/>
      <c r="GM391" s="50"/>
      <c r="GN391" s="50"/>
      <c r="GO391" s="50"/>
      <c r="GP391" s="50"/>
      <c r="GQ391" s="50"/>
      <c r="GR391" s="50"/>
      <c r="GS391" s="50"/>
      <c r="GT391" s="50"/>
      <c r="GU391" s="50"/>
      <c r="GV391" s="50"/>
      <c r="GW391" s="50"/>
      <c r="GX391" s="50"/>
      <c r="GY391" s="50"/>
      <c r="GZ391" s="50"/>
      <c r="HA391" s="50"/>
      <c r="HB391" s="50"/>
      <c r="HC391" s="50"/>
      <c r="HD391" s="50"/>
      <c r="HE391" s="50"/>
      <c r="HF391" s="50"/>
      <c r="HG391" s="50"/>
      <c r="HH391" s="50"/>
      <c r="HI391" s="50"/>
      <c r="HJ391" s="50"/>
      <c r="HK391" s="50"/>
      <c r="HL391" s="50"/>
      <c r="HM391" s="50"/>
      <c r="HN391" s="50"/>
      <c r="HO391" s="50"/>
      <c r="HP391" s="50"/>
      <c r="HQ391" s="50"/>
      <c r="HR391" s="50"/>
      <c r="HS391" s="50"/>
      <c r="HT391" s="50"/>
      <c r="HU391" s="50"/>
      <c r="HV391" s="50"/>
      <c r="HW391" s="50"/>
      <c r="HX391" s="50"/>
      <c r="HY391" s="50"/>
      <c r="HZ391" s="50"/>
      <c r="IA391" s="50"/>
      <c r="IB391" s="50"/>
      <c r="IC391" s="50"/>
      <c r="ID391" s="50"/>
      <c r="IE391" s="50"/>
      <c r="IF391" s="50"/>
      <c r="IG391" s="50"/>
      <c r="IH391" s="50"/>
      <c r="II391" s="50"/>
      <c r="IJ391" s="50"/>
      <c r="IK391" s="50"/>
      <c r="IL391" s="50"/>
      <c r="IM391" s="50"/>
      <c r="IN391" s="50"/>
      <c r="IO391" s="50"/>
      <c r="IP391" s="50"/>
      <c r="IQ391" s="50"/>
      <c r="IR391" s="50"/>
      <c r="IS391" s="50"/>
      <c r="IT391" s="50"/>
      <c r="IU391" s="50"/>
      <c r="IV391" s="50"/>
      <c r="IW391" s="50"/>
      <c r="IX391" s="50"/>
      <c r="IY391" s="50"/>
      <c r="IZ391" s="50"/>
      <c r="JA391" s="50"/>
      <c r="JB391" s="50"/>
      <c r="JC391" s="50"/>
      <c r="JD391" s="50"/>
      <c r="JE391" s="50"/>
      <c r="JF391" s="50"/>
      <c r="JG391" s="50"/>
      <c r="JH391" s="50"/>
      <c r="JI391" s="50"/>
      <c r="JJ391" s="50"/>
      <c r="JK391" s="50"/>
      <c r="JL391" s="50"/>
      <c r="JM391" s="50"/>
      <c r="JN391" s="50"/>
      <c r="JO391" s="50"/>
      <c r="JP391" s="50"/>
      <c r="JQ391" s="50"/>
      <c r="JR391" s="50"/>
      <c r="JS391" s="50"/>
      <c r="JT391" s="50"/>
      <c r="JU391" s="50"/>
      <c r="JV391" s="50"/>
      <c r="JW391" s="50"/>
      <c r="JX391" s="50"/>
      <c r="JY391" s="50"/>
      <c r="JZ391" s="50"/>
      <c r="KA391" s="50"/>
      <c r="KB391" s="50"/>
      <c r="KC391" s="50"/>
      <c r="KD391" s="50"/>
      <c r="KE391" s="50"/>
      <c r="KF391" s="50"/>
      <c r="KG391" s="50"/>
      <c r="KH391" s="50"/>
      <c r="KI391" s="50"/>
      <c r="KJ391" s="50"/>
      <c r="KK391" s="50"/>
      <c r="KL391" s="50"/>
      <c r="KM391" s="50"/>
      <c r="KN391" s="50"/>
      <c r="KO391" s="50"/>
      <c r="KP391" s="50"/>
      <c r="KQ391" s="50"/>
      <c r="KR391" s="50"/>
      <c r="KS391" s="50"/>
      <c r="KT391" s="50"/>
      <c r="KU391" s="50"/>
      <c r="KV391" s="50"/>
      <c r="KW391" s="50"/>
      <c r="KX391" s="50"/>
      <c r="KY391" s="50"/>
      <c r="KZ391" s="50"/>
      <c r="LA391" s="50"/>
      <c r="LB391" s="50"/>
      <c r="LC391" s="50"/>
      <c r="LD391" s="50"/>
      <c r="LE391" s="50"/>
      <c r="LF391" s="50"/>
      <c r="LG391" s="50"/>
      <c r="LH391" s="50"/>
      <c r="LI391" s="50"/>
      <c r="LJ391" s="50"/>
      <c r="LK391" s="50"/>
      <c r="LL391" s="50"/>
      <c r="LM391" s="50"/>
      <c r="LN391" s="50"/>
      <c r="LO391" s="50"/>
      <c r="LP391" s="50"/>
      <c r="LQ391" s="50"/>
      <c r="LR391" s="50"/>
      <c r="LS391" s="50"/>
      <c r="LT391" s="50"/>
      <c r="LU391" s="50"/>
      <c r="LV391" s="50"/>
      <c r="LW391" s="50"/>
      <c r="LX391" s="50"/>
      <c r="LY391" s="50"/>
      <c r="LZ391" s="50"/>
      <c r="MA391" s="50"/>
      <c r="MB391" s="50"/>
      <c r="MC391" s="50"/>
      <c r="MD391" s="50"/>
      <c r="ME391" s="50"/>
      <c r="MF391" s="50"/>
      <c r="MG391" s="50"/>
      <c r="MH391" s="50"/>
      <c r="MI391" s="50"/>
      <c r="MJ391" s="50"/>
      <c r="MK391" s="50"/>
      <c r="ML391" s="50"/>
      <c r="MM391" s="50"/>
      <c r="MN391" s="50"/>
      <c r="MO391" s="50"/>
      <c r="MP391" s="50"/>
      <c r="MQ391" s="50"/>
      <c r="MR391" s="50"/>
      <c r="MS391" s="50"/>
      <c r="MT391" s="50"/>
      <c r="MU391" s="50"/>
      <c r="MV391" s="50"/>
      <c r="MW391" s="50"/>
      <c r="MX391" s="50"/>
      <c r="MY391" s="50"/>
      <c r="MZ391" s="50"/>
      <c r="NA391" s="50"/>
      <c r="NB391" s="50"/>
      <c r="NC391" s="50"/>
      <c r="ND391" s="50"/>
      <c r="NE391" s="50"/>
      <c r="NF391" s="50"/>
      <c r="NG391" s="50"/>
      <c r="NH391" s="50"/>
      <c r="NI391" s="50"/>
      <c r="NJ391" s="50"/>
      <c r="NK391" s="50"/>
      <c r="NL391" s="50"/>
      <c r="NM391" s="50"/>
      <c r="NN391" s="50"/>
      <c r="NO391" s="50"/>
      <c r="NP391" s="50"/>
      <c r="NQ391" s="50"/>
      <c r="NR391" s="50"/>
      <c r="NS391" s="50"/>
      <c r="NT391" s="50"/>
      <c r="NU391" s="50"/>
      <c r="NV391" s="50"/>
      <c r="NW391" s="50"/>
      <c r="NX391" s="50"/>
      <c r="NY391" s="50"/>
      <c r="NZ391" s="50"/>
      <c r="OA391" s="50"/>
      <c r="OB391" s="50"/>
      <c r="OC391" s="50"/>
      <c r="OD391" s="50"/>
      <c r="OE391" s="50"/>
      <c r="OF391" s="50"/>
      <c r="OG391" s="50"/>
      <c r="OH391" s="50"/>
      <c r="OI391" s="50"/>
      <c r="OJ391" s="50"/>
      <c r="OK391" s="50"/>
      <c r="OL391" s="50"/>
      <c r="OM391" s="50"/>
      <c r="ON391" s="50"/>
      <c r="OO391" s="50"/>
      <c r="OP391" s="50"/>
      <c r="OQ391" s="50"/>
      <c r="OR391" s="50"/>
      <c r="OS391" s="50"/>
      <c r="OT391" s="50"/>
      <c r="OU391" s="50"/>
      <c r="OV391" s="50"/>
      <c r="OW391" s="50"/>
      <c r="OX391" s="50"/>
      <c r="OY391" s="50"/>
      <c r="OZ391" s="50"/>
      <c r="PA391" s="50"/>
      <c r="PB391" s="50"/>
      <c r="PC391" s="50"/>
      <c r="PD391" s="50"/>
      <c r="PE391" s="50"/>
      <c r="PF391" s="50"/>
      <c r="PG391" s="50"/>
      <c r="PH391" s="50"/>
      <c r="PI391" s="50"/>
      <c r="PJ391" s="50"/>
      <c r="PK391" s="50"/>
      <c r="PL391" s="50"/>
      <c r="PM391" s="50"/>
      <c r="PN391" s="50"/>
      <c r="PO391" s="50"/>
      <c r="PP391" s="50"/>
      <c r="PQ391" s="50"/>
      <c r="PR391" s="50"/>
      <c r="PS391" s="50"/>
      <c r="PT391" s="50"/>
      <c r="PU391" s="50"/>
      <c r="PV391" s="50"/>
      <c r="PW391" s="50"/>
      <c r="PX391" s="50"/>
      <c r="PY391" s="50"/>
      <c r="PZ391" s="50"/>
      <c r="QA391" s="50"/>
      <c r="QB391" s="50"/>
      <c r="QC391" s="50"/>
      <c r="QD391" s="50"/>
      <c r="QE391" s="50"/>
      <c r="QF391" s="50"/>
      <c r="QG391" s="50"/>
      <c r="QH391" s="50"/>
      <c r="QI391" s="50"/>
      <c r="QJ391" s="50"/>
      <c r="QK391" s="50"/>
      <c r="QL391" s="50"/>
      <c r="QM391" s="50"/>
      <c r="QN391" s="50"/>
      <c r="QO391" s="50"/>
      <c r="QP391" s="50"/>
      <c r="QQ391" s="50"/>
      <c r="QR391" s="50"/>
      <c r="QS391" s="50"/>
      <c r="QT391" s="50"/>
      <c r="QU391" s="50"/>
      <c r="QV391" s="50"/>
      <c r="QW391" s="50"/>
      <c r="QX391" s="50"/>
      <c r="QY391" s="50"/>
      <c r="QZ391" s="50"/>
      <c r="RA391" s="50"/>
      <c r="RB391" s="50"/>
      <c r="RC391" s="50"/>
      <c r="RD391" s="50"/>
      <c r="RE391" s="50"/>
      <c r="RF391" s="50"/>
      <c r="RG391" s="50"/>
      <c r="RH391" s="50"/>
      <c r="RI391" s="50"/>
      <c r="RJ391" s="50"/>
      <c r="RK391" s="50"/>
      <c r="RL391" s="50"/>
      <c r="RM391" s="50"/>
      <c r="RN391" s="50"/>
      <c r="RO391" s="50"/>
      <c r="RP391" s="50"/>
      <c r="RQ391" s="50"/>
      <c r="RR391" s="50"/>
      <c r="RS391" s="50"/>
      <c r="RT391" s="50"/>
      <c r="RU391" s="50"/>
      <c r="RV391" s="50"/>
      <c r="RW391" s="50"/>
      <c r="RX391" s="50"/>
      <c r="RY391" s="50"/>
      <c r="RZ391" s="50"/>
      <c r="SA391" s="50"/>
      <c r="SB391" s="50"/>
      <c r="SC391" s="50"/>
      <c r="SD391" s="50"/>
      <c r="SE391" s="50"/>
      <c r="SF391" s="50"/>
      <c r="SG391" s="50"/>
      <c r="SH391" s="50"/>
      <c r="SI391" s="50"/>
      <c r="SJ391" s="50"/>
      <c r="SK391" s="50"/>
      <c r="SL391" s="50"/>
      <c r="SM391" s="50"/>
      <c r="SN391" s="50"/>
      <c r="SO391" s="50"/>
      <c r="SP391" s="50"/>
      <c r="SQ391" s="50"/>
      <c r="SR391" s="50"/>
      <c r="SS391" s="50"/>
      <c r="ST391" s="50"/>
      <c r="SU391" s="50"/>
      <c r="SV391" s="50"/>
      <c r="SW391" s="50"/>
      <c r="SX391" s="50"/>
      <c r="SY391" s="50"/>
      <c r="SZ391" s="50"/>
      <c r="TA391" s="50"/>
      <c r="TB391" s="50"/>
      <c r="TC391" s="50"/>
      <c r="TD391" s="50"/>
      <c r="TE391" s="50"/>
      <c r="TF391" s="50"/>
      <c r="TG391" s="50"/>
      <c r="TH391" s="50"/>
      <c r="TI391" s="50"/>
      <c r="TJ391" s="50"/>
      <c r="TK391" s="50"/>
      <c r="TL391" s="50"/>
      <c r="TM391" s="50"/>
      <c r="TN391" s="50"/>
      <c r="TO391" s="50"/>
      <c r="TP391" s="50"/>
      <c r="TQ391" s="50"/>
      <c r="TR391" s="50"/>
      <c r="TS391" s="50"/>
      <c r="TT391" s="50"/>
      <c r="TU391" s="50"/>
      <c r="TV391" s="50"/>
      <c r="TW391" s="50"/>
      <c r="TX391" s="50"/>
      <c r="TY391" s="50"/>
      <c r="TZ391" s="50"/>
      <c r="UA391" s="50"/>
      <c r="UB391" s="50"/>
      <c r="UC391" s="50"/>
      <c r="UD391" s="50"/>
      <c r="UE391" s="50"/>
      <c r="UF391" s="50"/>
      <c r="UG391" s="50"/>
      <c r="UH391" s="50"/>
      <c r="UI391" s="50"/>
      <c r="UJ391" s="50"/>
      <c r="UK391" s="50"/>
      <c r="UL391" s="50"/>
      <c r="UM391" s="50"/>
      <c r="UN391" s="50"/>
      <c r="UO391" s="50"/>
      <c r="UP391" s="50"/>
      <c r="UQ391" s="50"/>
      <c r="UR391" s="50"/>
      <c r="US391" s="50"/>
      <c r="UT391" s="50"/>
      <c r="UU391" s="50"/>
      <c r="UV391" s="50"/>
      <c r="UW391" s="50"/>
      <c r="UX391" s="50"/>
      <c r="UY391" s="50"/>
      <c r="UZ391" s="50"/>
      <c r="VA391" s="50"/>
      <c r="VB391" s="50"/>
      <c r="VC391" s="50"/>
      <c r="VD391" s="50"/>
      <c r="VE391" s="50"/>
      <c r="VF391" s="50"/>
      <c r="VG391" s="50"/>
      <c r="VH391" s="50"/>
      <c r="VI391" s="50"/>
      <c r="VJ391" s="50"/>
      <c r="VK391" s="50"/>
      <c r="VL391" s="50"/>
      <c r="VM391" s="50"/>
      <c r="VN391" s="50"/>
      <c r="VO391" s="50"/>
      <c r="VP391" s="50"/>
      <c r="VQ391" s="50"/>
      <c r="VR391" s="50"/>
      <c r="VS391" s="50"/>
      <c r="VT391" s="50"/>
      <c r="VU391" s="50"/>
      <c r="VV391" s="50"/>
      <c r="VW391" s="50"/>
      <c r="VX391" s="50"/>
      <c r="VY391" s="50"/>
      <c r="VZ391" s="50"/>
      <c r="WA391" s="50"/>
      <c r="WB391" s="50"/>
      <c r="WC391" s="50"/>
      <c r="WD391" s="50"/>
      <c r="WE391" s="50"/>
      <c r="WF391" s="50"/>
      <c r="WG391" s="50"/>
      <c r="WH391" s="50"/>
      <c r="WI391" s="50"/>
      <c r="WJ391" s="50"/>
      <c r="WK391" s="50"/>
      <c r="WL391" s="50"/>
      <c r="WM391" s="50"/>
      <c r="WN391" s="50"/>
      <c r="WO391" s="50"/>
      <c r="WP391" s="50"/>
      <c r="WQ391" s="50"/>
      <c r="WR391" s="50"/>
      <c r="WS391" s="50"/>
      <c r="WT391" s="50"/>
      <c r="WU391" s="50"/>
      <c r="WV391" s="50"/>
      <c r="WW391" s="50"/>
      <c r="WX391" s="50"/>
      <c r="WY391" s="50"/>
      <c r="WZ391" s="50"/>
      <c r="XA391" s="50"/>
      <c r="XB391" s="50"/>
      <c r="XC391" s="50"/>
      <c r="XD391" s="50"/>
      <c r="XE391" s="50"/>
      <c r="XF391" s="50"/>
      <c r="XG391" s="50"/>
      <c r="XH391" s="50"/>
      <c r="XI391" s="50"/>
      <c r="XJ391" s="50"/>
      <c r="XK391" s="50"/>
      <c r="XL391" s="50"/>
      <c r="XM391" s="50"/>
      <c r="XN391" s="50"/>
      <c r="XO391" s="50"/>
      <c r="XP391" s="50"/>
      <c r="XQ391" s="50"/>
      <c r="XR391" s="50"/>
      <c r="XS391" s="50"/>
      <c r="XT391" s="50"/>
      <c r="XU391" s="50"/>
      <c r="XV391" s="50"/>
      <c r="XW391" s="50"/>
      <c r="XX391" s="50"/>
      <c r="XY391" s="50"/>
      <c r="XZ391" s="50"/>
      <c r="YA391" s="50"/>
      <c r="YB391" s="50"/>
      <c r="YC391" s="50"/>
      <c r="YD391" s="50"/>
      <c r="YE391" s="50"/>
      <c r="YF391" s="50"/>
      <c r="YG391" s="50"/>
      <c r="YH391" s="50"/>
      <c r="YI391" s="50"/>
      <c r="YJ391" s="50"/>
      <c r="YK391" s="50"/>
      <c r="YL391" s="50"/>
      <c r="YM391" s="50"/>
      <c r="YN391" s="50"/>
      <c r="YO391" s="50"/>
      <c r="YP391" s="50"/>
      <c r="YQ391" s="50"/>
      <c r="YR391" s="50"/>
      <c r="YS391" s="50"/>
      <c r="YT391" s="50"/>
      <c r="YU391" s="50"/>
      <c r="YV391" s="50"/>
      <c r="YW391" s="50"/>
      <c r="YX391" s="50"/>
      <c r="YY391" s="50"/>
      <c r="YZ391" s="50"/>
      <c r="ZA391" s="50"/>
      <c r="ZB391" s="50"/>
      <c r="ZC391" s="50"/>
      <c r="ZD391" s="50"/>
      <c r="ZE391" s="50"/>
      <c r="ZF391" s="50"/>
      <c r="ZG391" s="50"/>
      <c r="ZH391" s="50"/>
      <c r="ZI391" s="50"/>
      <c r="ZJ391" s="50"/>
      <c r="ZK391" s="50"/>
      <c r="ZL391" s="50"/>
      <c r="ZM391" s="50"/>
      <c r="ZN391" s="50"/>
      <c r="ZO391" s="50"/>
      <c r="ZP391" s="50"/>
      <c r="ZQ391" s="50"/>
      <c r="ZR391" s="50"/>
      <c r="ZS391" s="50"/>
      <c r="ZT391" s="50"/>
      <c r="ZU391" s="50"/>
      <c r="ZV391" s="50"/>
      <c r="ZW391" s="50"/>
      <c r="ZX391" s="50"/>
      <c r="ZY391" s="618"/>
      <c r="ZZ391" s="36"/>
      <c r="AAA391" s="588"/>
      <c r="AAD391" s="112"/>
      <c r="AAE391" s="551" t="s">
        <v>26</v>
      </c>
      <c r="AAF391" s="583" t="s">
        <v>174</v>
      </c>
      <c r="AAG391" s="63"/>
      <c r="AAH391" s="63"/>
      <c r="AAI391" s="77"/>
      <c r="AAJ391" s="57"/>
      <c r="AAK391" s="57"/>
      <c r="AAL391" s="57"/>
      <c r="AAM391" s="112"/>
      <c r="AAN391"/>
      <c r="AAT391" s="23"/>
      <c r="AAU391" s="44"/>
    </row>
    <row r="392" spans="1:732" s="23" customFormat="1" ht="18" customHeight="1">
      <c r="A392" s="558"/>
      <c r="B392" s="749" t="s">
        <v>94</v>
      </c>
      <c r="C392" s="749"/>
      <c r="D392" s="749"/>
      <c r="E392" s="749"/>
      <c r="F392" s="749"/>
      <c r="G392" s="749"/>
      <c r="H392" s="749"/>
      <c r="I392" s="627"/>
      <c r="J392" s="593"/>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19"/>
      <c r="ZZ392" s="119"/>
      <c r="AAA392" s="588"/>
      <c r="AAB392"/>
      <c r="AAC392"/>
      <c r="AAD392" s="112"/>
      <c r="AAE392" s="551" t="s">
        <v>27</v>
      </c>
      <c r="AAF392" s="583" t="s">
        <v>174</v>
      </c>
      <c r="AAG392" s="112"/>
      <c r="AAH392" s="112"/>
      <c r="AAI392" s="77"/>
      <c r="AAJ392" s="90"/>
      <c r="AAK392" s="90"/>
      <c r="AAL392" s="76"/>
      <c r="AAM392" s="112"/>
      <c r="AAU392" s="44"/>
    </row>
    <row r="393" spans="1:732" s="23" customFormat="1" ht="18" customHeight="1">
      <c r="A393" s="558"/>
      <c r="B393" s="301" t="s">
        <v>15</v>
      </c>
      <c r="C393" s="703"/>
      <c r="D393" s="150" t="s">
        <v>241</v>
      </c>
      <c r="E393" s="151" t="s">
        <v>15</v>
      </c>
      <c r="F393" s="487" t="s">
        <v>2</v>
      </c>
      <c r="G393" s="152" t="s">
        <v>85</v>
      </c>
      <c r="H393" s="152" t="s">
        <v>86</v>
      </c>
      <c r="I393" s="627"/>
      <c r="J393" s="593"/>
      <c r="K393" s="48"/>
      <c r="L393" s="48"/>
      <c r="M393" s="48"/>
      <c r="N393" s="48"/>
      <c r="O393" s="48"/>
      <c r="P393" s="48"/>
      <c r="Q393" s="48"/>
      <c r="R393" s="48"/>
      <c r="S393" s="48"/>
      <c r="T393" s="48"/>
      <c r="U393" s="48"/>
      <c r="V393" s="48"/>
      <c r="W393" s="48"/>
      <c r="X393" s="48"/>
      <c r="Y393" s="48"/>
      <c r="Z393" s="48"/>
      <c r="AA393" s="48"/>
      <c r="AB393" s="48"/>
      <c r="AC393" s="48"/>
      <c r="AD393" s="48"/>
      <c r="AE393" s="48"/>
      <c r="AF393" s="48"/>
      <c r="AG393" s="48"/>
      <c r="AH393" s="48"/>
      <c r="AI393" s="48"/>
      <c r="AJ393" s="48"/>
      <c r="AK393" s="48"/>
      <c r="AL393" s="48"/>
      <c r="AM393" s="48"/>
      <c r="AN393" s="48"/>
      <c r="AO393" s="48"/>
      <c r="AP393" s="48"/>
      <c r="AQ393" s="48"/>
      <c r="AR393" s="48"/>
      <c r="AS393" s="48"/>
      <c r="AT393" s="48"/>
      <c r="AU393" s="48"/>
      <c r="AV393" s="48"/>
      <c r="AW393" s="48"/>
      <c r="AX393" s="48"/>
      <c r="AY393" s="48"/>
      <c r="AZ393" s="48"/>
      <c r="BA393" s="48"/>
      <c r="BB393" s="48"/>
      <c r="BC393" s="48"/>
      <c r="BD393" s="48"/>
      <c r="BE393" s="48"/>
      <c r="BF393" s="48"/>
      <c r="BG393" s="48"/>
      <c r="BH393" s="48"/>
      <c r="BI393" s="48"/>
      <c r="BJ393" s="48"/>
      <c r="BK393" s="48"/>
      <c r="BL393" s="48"/>
      <c r="BM393" s="48"/>
      <c r="BN393" s="48"/>
      <c r="BO393" s="48"/>
      <c r="BP393" s="48"/>
      <c r="BQ393" s="48"/>
      <c r="BR393" s="48"/>
      <c r="BS393" s="48"/>
      <c r="BT393" s="48"/>
      <c r="BU393" s="48"/>
      <c r="BV393" s="48"/>
      <c r="BW393" s="48"/>
      <c r="BX393" s="48"/>
      <c r="BY393" s="48"/>
      <c r="BZ393" s="48"/>
      <c r="CA393" s="48"/>
      <c r="CB393" s="48"/>
      <c r="CC393" s="48"/>
      <c r="CD393" s="48"/>
      <c r="CE393" s="48"/>
      <c r="CF393" s="48"/>
      <c r="CG393" s="48"/>
      <c r="CH393" s="48"/>
      <c r="CI393" s="48"/>
      <c r="CJ393" s="48"/>
      <c r="CK393" s="48"/>
      <c r="CL393" s="48"/>
      <c r="CM393" s="48"/>
      <c r="CN393" s="48"/>
      <c r="CO393" s="48"/>
      <c r="CP393" s="48"/>
      <c r="CQ393" s="48"/>
      <c r="CR393" s="48"/>
      <c r="CS393" s="48"/>
      <c r="CT393" s="48"/>
      <c r="CU393" s="48"/>
      <c r="CV393" s="48"/>
      <c r="CW393" s="48"/>
      <c r="CX393" s="48"/>
      <c r="CY393" s="48"/>
      <c r="CZ393" s="48"/>
      <c r="DA393" s="48"/>
      <c r="DB393" s="48"/>
      <c r="DC393" s="48"/>
      <c r="DD393" s="48"/>
      <c r="DE393" s="48"/>
      <c r="DF393" s="48"/>
      <c r="DG393" s="48"/>
      <c r="DH393" s="48"/>
      <c r="DI393" s="48"/>
      <c r="DJ393" s="48"/>
      <c r="DK393" s="48"/>
      <c r="DL393" s="48"/>
      <c r="DM393" s="48"/>
      <c r="DN393" s="48"/>
      <c r="DO393" s="48"/>
      <c r="DP393" s="48"/>
      <c r="DQ393" s="48"/>
      <c r="DR393" s="48"/>
      <c r="DS393" s="48"/>
      <c r="DT393" s="48"/>
      <c r="DU393" s="48"/>
      <c r="DV393" s="48"/>
      <c r="DW393" s="48"/>
      <c r="DX393" s="48"/>
      <c r="DY393" s="48"/>
      <c r="DZ393" s="48"/>
      <c r="EA393" s="48"/>
      <c r="EB393" s="48"/>
      <c r="EC393" s="48"/>
      <c r="ED393" s="48"/>
      <c r="EE393" s="48"/>
      <c r="EF393" s="48"/>
      <c r="EG393" s="48"/>
      <c r="EH393" s="48"/>
      <c r="EI393" s="48"/>
      <c r="EJ393" s="48"/>
      <c r="EK393" s="48"/>
      <c r="EL393" s="48"/>
      <c r="EM393" s="48"/>
      <c r="EN393" s="48"/>
      <c r="EO393" s="48"/>
      <c r="EP393" s="48"/>
      <c r="EQ393" s="48"/>
      <c r="ER393" s="48"/>
      <c r="ES393" s="48"/>
      <c r="ET393" s="48"/>
      <c r="EU393" s="48"/>
      <c r="EV393" s="48"/>
      <c r="EW393" s="48"/>
      <c r="EX393" s="48"/>
      <c r="EY393" s="48"/>
      <c r="EZ393" s="48"/>
      <c r="FA393" s="48"/>
      <c r="FB393" s="48"/>
      <c r="FC393" s="48"/>
      <c r="FD393" s="48"/>
      <c r="FE393" s="48"/>
      <c r="FF393" s="48"/>
      <c r="FG393" s="48"/>
      <c r="FH393" s="48"/>
      <c r="FI393" s="48"/>
      <c r="FJ393" s="48"/>
      <c r="FK393" s="48"/>
      <c r="FL393" s="48"/>
      <c r="FM393" s="48"/>
      <c r="FN393" s="48"/>
      <c r="FO393" s="48"/>
      <c r="FP393" s="48"/>
      <c r="FQ393" s="48"/>
      <c r="FR393" s="48"/>
      <c r="FS393" s="48"/>
      <c r="FT393" s="48"/>
      <c r="FU393" s="48"/>
      <c r="FV393" s="48"/>
      <c r="FW393" s="48"/>
      <c r="FX393" s="48"/>
      <c r="FY393" s="48"/>
      <c r="FZ393" s="48"/>
      <c r="GA393" s="48"/>
      <c r="GB393" s="48"/>
      <c r="GC393" s="48"/>
      <c r="GD393" s="48"/>
      <c r="GE393" s="48"/>
      <c r="GF393" s="48"/>
      <c r="GG393" s="48"/>
      <c r="GH393" s="48"/>
      <c r="GI393" s="48"/>
      <c r="GJ393" s="48"/>
      <c r="GK393" s="48"/>
      <c r="GL393" s="48"/>
      <c r="GM393" s="48"/>
      <c r="GN393" s="48"/>
      <c r="GO393" s="48"/>
      <c r="GP393" s="48"/>
      <c r="GQ393" s="48"/>
      <c r="GR393" s="48"/>
      <c r="GS393" s="48"/>
      <c r="GT393" s="48"/>
      <c r="GU393" s="48"/>
      <c r="GV393" s="48"/>
      <c r="GW393" s="48"/>
      <c r="GX393" s="48"/>
      <c r="GY393" s="48"/>
      <c r="GZ393" s="48"/>
      <c r="HA393" s="48"/>
      <c r="HB393" s="48"/>
      <c r="HC393" s="48"/>
      <c r="HD393" s="48"/>
      <c r="HE393" s="48"/>
      <c r="HF393" s="48"/>
      <c r="HG393" s="48"/>
      <c r="HH393" s="48"/>
      <c r="HI393" s="48"/>
      <c r="HJ393" s="48"/>
      <c r="HK393" s="48"/>
      <c r="HL393" s="48"/>
      <c r="HM393" s="48"/>
      <c r="HN393" s="48"/>
      <c r="HO393" s="48"/>
      <c r="HP393" s="48"/>
      <c r="HQ393" s="48"/>
      <c r="HR393" s="48"/>
      <c r="HS393" s="48"/>
      <c r="HT393" s="48"/>
      <c r="HU393" s="48"/>
      <c r="HV393" s="48"/>
      <c r="HW393" s="48"/>
      <c r="HX393" s="48"/>
      <c r="HY393" s="48"/>
      <c r="HZ393" s="48"/>
      <c r="IA393" s="48"/>
      <c r="IB393" s="48"/>
      <c r="IC393" s="48"/>
      <c r="ID393" s="48"/>
      <c r="IE393" s="48"/>
      <c r="IF393" s="48"/>
      <c r="IG393" s="48"/>
      <c r="IH393" s="48"/>
      <c r="II393" s="48"/>
      <c r="IJ393" s="48"/>
      <c r="IK393" s="48"/>
      <c r="IL393" s="48"/>
      <c r="IM393" s="48"/>
      <c r="IN393" s="48"/>
      <c r="IO393" s="48"/>
      <c r="IP393" s="48"/>
      <c r="IQ393" s="48"/>
      <c r="IR393" s="48"/>
      <c r="IS393" s="48"/>
      <c r="IT393" s="48"/>
      <c r="IU393" s="48"/>
      <c r="IV393" s="48"/>
      <c r="IW393" s="48"/>
      <c r="IX393" s="48"/>
      <c r="IY393" s="48"/>
      <c r="IZ393" s="48"/>
      <c r="JA393" s="48"/>
      <c r="JB393" s="48"/>
      <c r="JC393" s="48"/>
      <c r="JD393" s="48"/>
      <c r="JE393" s="48"/>
      <c r="JF393" s="48"/>
      <c r="JG393" s="48"/>
      <c r="JH393" s="48"/>
      <c r="JI393" s="48"/>
      <c r="JJ393" s="48"/>
      <c r="JK393" s="48"/>
      <c r="JL393" s="48"/>
      <c r="JM393" s="48"/>
      <c r="JN393" s="48"/>
      <c r="JO393" s="48"/>
      <c r="JP393" s="48"/>
      <c r="JQ393" s="48"/>
      <c r="JR393" s="48"/>
      <c r="JS393" s="48"/>
      <c r="JT393" s="48"/>
      <c r="JU393" s="48"/>
      <c r="JV393" s="48"/>
      <c r="JW393" s="48"/>
      <c r="JX393" s="48"/>
      <c r="JY393" s="48"/>
      <c r="JZ393" s="48"/>
      <c r="KA393" s="48"/>
      <c r="KB393" s="48"/>
      <c r="KC393" s="48"/>
      <c r="KD393" s="48"/>
      <c r="KE393" s="48"/>
      <c r="KF393" s="48"/>
      <c r="KG393" s="48"/>
      <c r="KH393" s="48"/>
      <c r="KI393" s="48"/>
      <c r="KJ393" s="48"/>
      <c r="KK393" s="48"/>
      <c r="KL393" s="48"/>
      <c r="KM393" s="48"/>
      <c r="KN393" s="48"/>
      <c r="KO393" s="48"/>
      <c r="KP393" s="48"/>
      <c r="KQ393" s="48"/>
      <c r="KR393" s="48"/>
      <c r="KS393" s="48"/>
      <c r="KT393" s="48"/>
      <c r="KU393" s="48"/>
      <c r="KV393" s="48"/>
      <c r="KW393" s="48"/>
      <c r="KX393" s="48"/>
      <c r="KY393" s="48"/>
      <c r="KZ393" s="48"/>
      <c r="LA393" s="48"/>
      <c r="LB393" s="48"/>
      <c r="LC393" s="48"/>
      <c r="LD393" s="48"/>
      <c r="LE393" s="48"/>
      <c r="LF393" s="48"/>
      <c r="LG393" s="48"/>
      <c r="LH393" s="48"/>
      <c r="LI393" s="48"/>
      <c r="LJ393" s="48"/>
      <c r="LK393" s="48"/>
      <c r="LL393" s="48"/>
      <c r="LM393" s="48"/>
      <c r="LN393" s="48"/>
      <c r="LO393" s="48"/>
      <c r="LP393" s="48"/>
      <c r="LQ393" s="48"/>
      <c r="LR393" s="48"/>
      <c r="LS393" s="48"/>
      <c r="LT393" s="48"/>
      <c r="LU393" s="48"/>
      <c r="LV393" s="48"/>
      <c r="LW393" s="48"/>
      <c r="LX393" s="48"/>
      <c r="LY393" s="48"/>
      <c r="LZ393" s="48"/>
      <c r="MA393" s="48"/>
      <c r="MB393" s="48"/>
      <c r="MC393" s="48"/>
      <c r="MD393" s="48"/>
      <c r="ME393" s="48"/>
      <c r="MF393" s="48"/>
      <c r="MG393" s="48"/>
      <c r="MH393" s="48"/>
      <c r="MI393" s="48"/>
      <c r="MJ393" s="48"/>
      <c r="MK393" s="48"/>
      <c r="ML393" s="48"/>
      <c r="MM393" s="48"/>
      <c r="MN393" s="48"/>
      <c r="MO393" s="48"/>
      <c r="MP393" s="48"/>
      <c r="MQ393" s="48"/>
      <c r="MR393" s="48"/>
      <c r="MS393" s="48"/>
      <c r="MT393" s="48"/>
      <c r="MU393" s="48"/>
      <c r="MV393" s="48"/>
      <c r="MW393" s="48"/>
      <c r="MX393" s="48"/>
      <c r="MY393" s="48"/>
      <c r="MZ393" s="48"/>
      <c r="NA393" s="48"/>
      <c r="NB393" s="48"/>
      <c r="NC393" s="48"/>
      <c r="ND393" s="48"/>
      <c r="NE393" s="48"/>
      <c r="NF393" s="48"/>
      <c r="NG393" s="48"/>
      <c r="NH393" s="48"/>
      <c r="NI393" s="48"/>
      <c r="NJ393" s="48"/>
      <c r="NK393" s="48"/>
      <c r="NL393" s="48"/>
      <c r="NM393" s="48"/>
      <c r="NN393" s="48"/>
      <c r="NO393" s="48"/>
      <c r="NP393" s="48"/>
      <c r="NQ393" s="48"/>
      <c r="NR393" s="48"/>
      <c r="NS393" s="48"/>
      <c r="NT393" s="48"/>
      <c r="NU393" s="48"/>
      <c r="NV393" s="48"/>
      <c r="NW393" s="48"/>
      <c r="NX393" s="48"/>
      <c r="NY393" s="48"/>
      <c r="NZ393" s="48"/>
      <c r="OA393" s="48"/>
      <c r="OB393" s="48"/>
      <c r="OC393" s="48"/>
      <c r="OD393" s="48"/>
      <c r="OE393" s="48"/>
      <c r="OF393" s="48"/>
      <c r="OG393" s="48"/>
      <c r="OH393" s="48"/>
      <c r="OI393" s="48"/>
      <c r="OJ393" s="48"/>
      <c r="OK393" s="48"/>
      <c r="OL393" s="48"/>
      <c r="OM393" s="48"/>
      <c r="ON393" s="48"/>
      <c r="OO393" s="48"/>
      <c r="OP393" s="48"/>
      <c r="OQ393" s="48"/>
      <c r="OR393" s="48"/>
      <c r="OS393" s="48"/>
      <c r="OT393" s="48"/>
      <c r="OU393" s="48"/>
      <c r="OV393" s="48"/>
      <c r="OW393" s="48"/>
      <c r="OX393" s="48"/>
      <c r="OY393" s="48"/>
      <c r="OZ393" s="48"/>
      <c r="PA393" s="48"/>
      <c r="PB393" s="48"/>
      <c r="PC393" s="48"/>
      <c r="PD393" s="48"/>
      <c r="PE393" s="48"/>
      <c r="PF393" s="48"/>
      <c r="PG393" s="48"/>
      <c r="PH393" s="48"/>
      <c r="PI393" s="48"/>
      <c r="PJ393" s="48"/>
      <c r="PK393" s="48"/>
      <c r="PL393" s="48"/>
      <c r="PM393" s="48"/>
      <c r="PN393" s="48"/>
      <c r="PO393" s="48"/>
      <c r="PP393" s="48"/>
      <c r="PQ393" s="48"/>
      <c r="PR393" s="48"/>
      <c r="PS393" s="48"/>
      <c r="PT393" s="48"/>
      <c r="PU393" s="48"/>
      <c r="PV393" s="48"/>
      <c r="PW393" s="48"/>
      <c r="PX393" s="48"/>
      <c r="PY393" s="48"/>
      <c r="PZ393" s="48"/>
      <c r="QA393" s="48"/>
      <c r="QB393" s="48"/>
      <c r="QC393" s="48"/>
      <c r="QD393" s="48"/>
      <c r="QE393" s="48"/>
      <c r="QF393" s="48"/>
      <c r="QG393" s="48"/>
      <c r="QH393" s="48"/>
      <c r="QI393" s="48"/>
      <c r="QJ393" s="48"/>
      <c r="QK393" s="48"/>
      <c r="QL393" s="48"/>
      <c r="QM393" s="48"/>
      <c r="QN393" s="48"/>
      <c r="QO393" s="48"/>
      <c r="QP393" s="48"/>
      <c r="QQ393" s="48"/>
      <c r="QR393" s="48"/>
      <c r="QS393" s="48"/>
      <c r="QT393" s="48"/>
      <c r="QU393" s="48"/>
      <c r="QV393" s="48"/>
      <c r="QW393" s="48"/>
      <c r="QX393" s="48"/>
      <c r="QY393" s="48"/>
      <c r="QZ393" s="48"/>
      <c r="RA393" s="48"/>
      <c r="RB393" s="48"/>
      <c r="RC393" s="48"/>
      <c r="RD393" s="48"/>
      <c r="RE393" s="48"/>
      <c r="RF393" s="48"/>
      <c r="RG393" s="48"/>
      <c r="RH393" s="48"/>
      <c r="RI393" s="48"/>
      <c r="RJ393" s="48"/>
      <c r="RK393" s="48"/>
      <c r="RL393" s="48"/>
      <c r="RM393" s="48"/>
      <c r="RN393" s="48"/>
      <c r="RO393" s="48"/>
      <c r="RP393" s="48"/>
      <c r="RQ393" s="48"/>
      <c r="RR393" s="48"/>
      <c r="RS393" s="48"/>
      <c r="RT393" s="48"/>
      <c r="RU393" s="48"/>
      <c r="RV393" s="48"/>
      <c r="RW393" s="48"/>
      <c r="RX393" s="48"/>
      <c r="RY393" s="48"/>
      <c r="RZ393" s="48"/>
      <c r="SA393" s="48"/>
      <c r="SB393" s="48"/>
      <c r="SC393" s="48"/>
      <c r="SD393" s="48"/>
      <c r="SE393" s="48"/>
      <c r="SF393" s="48"/>
      <c r="SG393" s="48"/>
      <c r="SH393" s="48"/>
      <c r="SI393" s="48"/>
      <c r="SJ393" s="48"/>
      <c r="SK393" s="48"/>
      <c r="SL393" s="48"/>
      <c r="SM393" s="48"/>
      <c r="SN393" s="48"/>
      <c r="SO393" s="48"/>
      <c r="SP393" s="48"/>
      <c r="SQ393" s="48"/>
      <c r="SR393" s="48"/>
      <c r="SS393" s="48"/>
      <c r="ST393" s="48"/>
      <c r="SU393" s="48"/>
      <c r="SV393" s="48"/>
      <c r="SW393" s="48"/>
      <c r="SX393" s="48"/>
      <c r="SY393" s="48"/>
      <c r="SZ393" s="48"/>
      <c r="TA393" s="48"/>
      <c r="TB393" s="48"/>
      <c r="TC393" s="48"/>
      <c r="TD393" s="48"/>
      <c r="TE393" s="48"/>
      <c r="TF393" s="48"/>
      <c r="TG393" s="48"/>
      <c r="TH393" s="48"/>
      <c r="TI393" s="48"/>
      <c r="TJ393" s="48"/>
      <c r="TK393" s="48"/>
      <c r="TL393" s="48"/>
      <c r="TM393" s="48"/>
      <c r="TN393" s="48"/>
      <c r="TO393" s="48"/>
      <c r="TP393" s="48"/>
      <c r="TQ393" s="48"/>
      <c r="TR393" s="48"/>
      <c r="TS393" s="48"/>
      <c r="TT393" s="48"/>
      <c r="TU393" s="48"/>
      <c r="TV393" s="48"/>
      <c r="TW393" s="48"/>
      <c r="TX393" s="48"/>
      <c r="TY393" s="48"/>
      <c r="TZ393" s="48"/>
      <c r="UA393" s="48"/>
      <c r="UB393" s="48"/>
      <c r="UC393" s="48"/>
      <c r="UD393" s="48"/>
      <c r="UE393" s="48"/>
      <c r="UF393" s="48"/>
      <c r="UG393" s="48"/>
      <c r="UH393" s="48"/>
      <c r="UI393" s="48"/>
      <c r="UJ393" s="48"/>
      <c r="UK393" s="48"/>
      <c r="UL393" s="48"/>
      <c r="UM393" s="48"/>
      <c r="UN393" s="48"/>
      <c r="UO393" s="48"/>
      <c r="UP393" s="48"/>
      <c r="UQ393" s="48"/>
      <c r="UR393" s="48"/>
      <c r="US393" s="48"/>
      <c r="UT393" s="48"/>
      <c r="UU393" s="48"/>
      <c r="UV393" s="48"/>
      <c r="UW393" s="48"/>
      <c r="UX393" s="48"/>
      <c r="UY393" s="48"/>
      <c r="UZ393" s="48"/>
      <c r="VA393" s="48"/>
      <c r="VB393" s="48"/>
      <c r="VC393" s="48"/>
      <c r="VD393" s="48"/>
      <c r="VE393" s="48"/>
      <c r="VF393" s="48"/>
      <c r="VG393" s="48"/>
      <c r="VH393" s="48"/>
      <c r="VI393" s="48"/>
      <c r="VJ393" s="48"/>
      <c r="VK393" s="48"/>
      <c r="VL393" s="48"/>
      <c r="VM393" s="48"/>
      <c r="VN393" s="48"/>
      <c r="VO393" s="48"/>
      <c r="VP393" s="48"/>
      <c r="VQ393" s="48"/>
      <c r="VR393" s="48"/>
      <c r="VS393" s="48"/>
      <c r="VT393" s="48"/>
      <c r="VU393" s="48"/>
      <c r="VV393" s="48"/>
      <c r="VW393" s="48"/>
      <c r="VX393" s="48"/>
      <c r="VY393" s="48"/>
      <c r="VZ393" s="48"/>
      <c r="WA393" s="48"/>
      <c r="WB393" s="48"/>
      <c r="WC393" s="48"/>
      <c r="WD393" s="48"/>
      <c r="WE393" s="48"/>
      <c r="WF393" s="48"/>
      <c r="WG393" s="48"/>
      <c r="WH393" s="48"/>
      <c r="WI393" s="48"/>
      <c r="WJ393" s="48"/>
      <c r="WK393" s="48"/>
      <c r="WL393" s="48"/>
      <c r="WM393" s="48"/>
      <c r="WN393" s="48"/>
      <c r="WO393" s="48"/>
      <c r="WP393" s="48"/>
      <c r="WQ393" s="48"/>
      <c r="WR393" s="48"/>
      <c r="WS393" s="48"/>
      <c r="WT393" s="48"/>
      <c r="WU393" s="48"/>
      <c r="WV393" s="48"/>
      <c r="WW393" s="48"/>
      <c r="WX393" s="48"/>
      <c r="WY393" s="48"/>
      <c r="WZ393" s="48"/>
      <c r="XA393" s="48"/>
      <c r="XB393" s="48"/>
      <c r="XC393" s="48"/>
      <c r="XD393" s="48"/>
      <c r="XE393" s="48"/>
      <c r="XF393" s="48"/>
      <c r="XG393" s="48"/>
      <c r="XH393" s="48"/>
      <c r="XI393" s="48"/>
      <c r="XJ393" s="48"/>
      <c r="XK393" s="48"/>
      <c r="XL393" s="48"/>
      <c r="XM393" s="48"/>
      <c r="XN393" s="48"/>
      <c r="XO393" s="48"/>
      <c r="XP393" s="48"/>
      <c r="XQ393" s="48"/>
      <c r="XR393" s="48"/>
      <c r="XS393" s="48"/>
      <c r="XT393" s="48"/>
      <c r="XU393" s="48"/>
      <c r="XV393" s="48"/>
      <c r="XW393" s="48"/>
      <c r="XX393" s="48"/>
      <c r="XY393" s="48"/>
      <c r="XZ393" s="48"/>
      <c r="YA393" s="48"/>
      <c r="YB393" s="48"/>
      <c r="YC393" s="48"/>
      <c r="YD393" s="48"/>
      <c r="YE393" s="48"/>
      <c r="YF393" s="48"/>
      <c r="YG393" s="48"/>
      <c r="YH393" s="48"/>
      <c r="YI393" s="48"/>
      <c r="YJ393" s="48"/>
      <c r="YK393" s="48"/>
      <c r="YL393" s="48"/>
      <c r="YM393" s="48"/>
      <c r="YN393" s="48"/>
      <c r="YO393" s="48"/>
      <c r="YP393" s="48"/>
      <c r="YQ393" s="48"/>
      <c r="YR393" s="48"/>
      <c r="YS393" s="48"/>
      <c r="YT393" s="48"/>
      <c r="YU393" s="48"/>
      <c r="YV393" s="48"/>
      <c r="YW393" s="48"/>
      <c r="YX393" s="48"/>
      <c r="YY393" s="48"/>
      <c r="YZ393" s="48"/>
      <c r="ZA393" s="48"/>
      <c r="ZB393" s="48"/>
      <c r="ZC393" s="48"/>
      <c r="ZD393" s="48"/>
      <c r="ZE393" s="48"/>
      <c r="ZF393" s="48"/>
      <c r="ZG393" s="48"/>
      <c r="ZH393" s="48"/>
      <c r="ZI393" s="48"/>
      <c r="ZJ393" s="48"/>
      <c r="ZK393" s="48"/>
      <c r="ZL393" s="48"/>
      <c r="ZM393" s="48"/>
      <c r="ZN393" s="48"/>
      <c r="ZO393" s="48"/>
      <c r="ZP393" s="48"/>
      <c r="ZQ393" s="48"/>
      <c r="ZR393" s="48"/>
      <c r="ZS393" s="48"/>
      <c r="ZT393" s="48"/>
      <c r="ZU393" s="48"/>
      <c r="ZV393" s="48"/>
      <c r="ZW393" s="48"/>
      <c r="ZX393" s="48"/>
      <c r="ZY393" s="619"/>
      <c r="ZZ393" s="119"/>
      <c r="AAA393" s="588"/>
      <c r="AAB393"/>
      <c r="AAC393"/>
      <c r="AAD393" s="112"/>
      <c r="AAE393" s="551" t="s">
        <v>245</v>
      </c>
      <c r="AAF393" s="583" t="s">
        <v>174</v>
      </c>
      <c r="AAG393" s="112"/>
      <c r="AAH393" s="112"/>
      <c r="AAI393" s="77"/>
      <c r="AAJ393" s="90"/>
      <c r="AAK393" s="90"/>
      <c r="AAL393" s="76"/>
      <c r="AAM393" s="112"/>
      <c r="AAU393" s="44"/>
    </row>
    <row r="394" spans="1:732" ht="18" customHeight="1">
      <c r="A394" s="558"/>
      <c r="B394" s="223"/>
      <c r="C394" s="224"/>
      <c r="D394" s="225"/>
      <c r="E394" s="293"/>
      <c r="F394" s="466">
        <f>NETWORKDAYS(S.BANNER.EQCStart,S.BANNER.EQCEnd,S.DDL_DEQClosed)</f>
        <v>128</v>
      </c>
      <c r="G394" s="302">
        <f>AAG394</f>
        <v>41530</v>
      </c>
      <c r="H394" s="303">
        <f>AAH394</f>
        <v>41717</v>
      </c>
      <c r="I394" s="627"/>
      <c r="J394" s="629"/>
      <c r="K394" s="635"/>
      <c r="L394" s="635"/>
      <c r="M394" s="635"/>
      <c r="N394" s="635"/>
      <c r="O394" s="635"/>
      <c r="P394" s="635"/>
      <c r="Q394" s="635"/>
      <c r="R394" s="635"/>
      <c r="S394" s="635"/>
      <c r="T394" s="635"/>
      <c r="U394" s="635"/>
      <c r="V394" s="635"/>
      <c r="W394" s="635"/>
      <c r="X394" s="635"/>
      <c r="Y394" s="635"/>
      <c r="Z394" s="635"/>
      <c r="AA394" s="635"/>
      <c r="AB394" s="635"/>
      <c r="AC394" s="635"/>
      <c r="AD394" s="635"/>
      <c r="AE394" s="635"/>
      <c r="AF394" s="635"/>
      <c r="AG394" s="635"/>
      <c r="AH394" s="635"/>
      <c r="AI394" s="635"/>
      <c r="AJ394" s="635"/>
      <c r="AK394" s="635"/>
      <c r="AL394" s="635"/>
      <c r="AM394" s="635"/>
      <c r="AN394" s="635"/>
      <c r="AO394" s="635"/>
      <c r="AP394" s="635"/>
      <c r="AQ394" s="635"/>
      <c r="AR394" s="635"/>
      <c r="AS394" s="635"/>
      <c r="AT394" s="635"/>
      <c r="AU394" s="635"/>
      <c r="AV394" s="635"/>
      <c r="AW394" s="635"/>
      <c r="AX394" s="635"/>
      <c r="AY394" s="635"/>
      <c r="AZ394" s="635"/>
      <c r="BA394" s="635"/>
      <c r="BB394" s="635"/>
      <c r="BC394" s="635"/>
      <c r="BD394" s="635"/>
      <c r="BE394" s="635"/>
      <c r="BF394" s="635"/>
      <c r="BG394" s="635"/>
      <c r="BH394" s="635"/>
      <c r="BI394" s="635"/>
      <c r="BJ394" s="635"/>
      <c r="BK394" s="635"/>
      <c r="BL394" s="635"/>
      <c r="BM394" s="635"/>
      <c r="BN394" s="635"/>
      <c r="BO394" s="635"/>
      <c r="BP394" s="635"/>
      <c r="BQ394" s="635"/>
      <c r="BR394" s="635"/>
      <c r="BS394" s="635"/>
      <c r="BT394" s="635"/>
      <c r="BU394" s="635"/>
      <c r="BV394" s="635"/>
      <c r="BW394" s="635"/>
      <c r="BX394" s="635"/>
      <c r="BY394" s="635"/>
      <c r="BZ394" s="635"/>
      <c r="CA394" s="635"/>
      <c r="CB394" s="635"/>
      <c r="CC394" s="635"/>
      <c r="CD394" s="635"/>
      <c r="CE394" s="635"/>
      <c r="CF394" s="635"/>
      <c r="CG394" s="635"/>
      <c r="CH394" s="635"/>
      <c r="CI394" s="635"/>
      <c r="CJ394" s="635"/>
      <c r="CK394" s="635"/>
      <c r="CL394" s="635"/>
      <c r="CM394" s="635"/>
      <c r="CN394" s="635"/>
      <c r="CO394" s="635"/>
      <c r="CP394" s="635"/>
      <c r="CQ394" s="635"/>
      <c r="CR394" s="635"/>
      <c r="CS394" s="635"/>
      <c r="CT394" s="635"/>
      <c r="CU394" s="635"/>
      <c r="CV394" s="635"/>
      <c r="CW394" s="635"/>
      <c r="CX394" s="635"/>
      <c r="CY394" s="635"/>
      <c r="CZ394" s="635"/>
      <c r="DA394" s="635"/>
      <c r="DB394" s="635"/>
      <c r="DC394" s="635"/>
      <c r="DD394" s="635"/>
      <c r="DE394" s="635"/>
      <c r="DF394" s="635"/>
      <c r="DG394" s="635"/>
      <c r="DH394" s="635"/>
      <c r="DI394" s="635"/>
      <c r="DJ394" s="635"/>
      <c r="DK394" s="635"/>
      <c r="DL394" s="635"/>
      <c r="DM394" s="635"/>
      <c r="DN394" s="635"/>
      <c r="DO394" s="635"/>
      <c r="DP394" s="635"/>
      <c r="DQ394" s="635"/>
      <c r="DR394" s="635"/>
      <c r="DS394" s="635"/>
      <c r="DT394" s="635"/>
      <c r="DU394" s="635"/>
      <c r="DV394" s="635"/>
      <c r="DW394" s="635"/>
      <c r="DX394" s="635"/>
      <c r="DY394" s="635"/>
      <c r="DZ394" s="635"/>
      <c r="EA394" s="635"/>
      <c r="EB394" s="635"/>
      <c r="EC394" s="635"/>
      <c r="ED394" s="635"/>
      <c r="EE394" s="635"/>
      <c r="EF394" s="635"/>
      <c r="EG394" s="635"/>
      <c r="EH394" s="635"/>
      <c r="EI394" s="635"/>
      <c r="EJ394" s="635"/>
      <c r="EK394" s="635"/>
      <c r="EL394" s="635"/>
      <c r="EM394" s="635"/>
      <c r="EN394" s="635"/>
      <c r="EO394" s="635"/>
      <c r="EP394" s="635"/>
      <c r="EQ394" s="635"/>
      <c r="ER394" s="635"/>
      <c r="ES394" s="635"/>
      <c r="ET394" s="635"/>
      <c r="EU394" s="635"/>
      <c r="EV394" s="635"/>
      <c r="EW394" s="635"/>
      <c r="EX394" s="635"/>
      <c r="EY394" s="635"/>
      <c r="EZ394" s="635"/>
      <c r="FA394" s="635"/>
      <c r="FB394" s="635"/>
      <c r="FC394" s="635"/>
      <c r="FD394" s="635"/>
      <c r="FE394" s="635"/>
      <c r="FF394" s="635"/>
      <c r="FG394" s="635"/>
      <c r="FH394" s="635"/>
      <c r="FI394" s="635"/>
      <c r="FJ394" s="635"/>
      <c r="FK394" s="635"/>
      <c r="FL394" s="635"/>
      <c r="FM394" s="635"/>
      <c r="FN394" s="635"/>
      <c r="FO394" s="635"/>
      <c r="FP394" s="635"/>
      <c r="FQ394" s="635"/>
      <c r="FR394" s="635"/>
      <c r="FS394" s="635"/>
      <c r="FT394" s="635"/>
      <c r="FU394" s="635"/>
      <c r="FV394" s="635"/>
      <c r="FW394" s="635"/>
      <c r="FX394" s="635"/>
      <c r="FY394" s="635"/>
      <c r="FZ394" s="635"/>
      <c r="GA394" s="635"/>
      <c r="GB394" s="635"/>
      <c r="GC394" s="635"/>
      <c r="GD394" s="635"/>
      <c r="GE394" s="635"/>
      <c r="GF394" s="635"/>
      <c r="GG394" s="635"/>
      <c r="GH394" s="635"/>
      <c r="GI394" s="635"/>
      <c r="GJ394" s="635"/>
      <c r="GK394" s="635"/>
      <c r="GL394" s="635"/>
      <c r="GM394" s="635"/>
      <c r="GN394" s="635"/>
      <c r="GO394" s="635"/>
      <c r="GP394" s="635"/>
      <c r="GQ394" s="635"/>
      <c r="GR394" s="635"/>
      <c r="GS394" s="635"/>
      <c r="GT394" s="635"/>
      <c r="GU394" s="635"/>
      <c r="GV394" s="635"/>
      <c r="GW394" s="635"/>
      <c r="GX394" s="635"/>
      <c r="GY394" s="635"/>
      <c r="GZ394" s="635"/>
      <c r="HA394" s="635"/>
      <c r="HB394" s="635"/>
      <c r="HC394" s="635"/>
      <c r="HD394" s="635"/>
      <c r="HE394" s="635"/>
      <c r="HF394" s="635"/>
      <c r="HG394" s="635"/>
      <c r="HH394" s="635"/>
      <c r="HI394" s="635"/>
      <c r="HJ394" s="635"/>
      <c r="HK394" s="635"/>
      <c r="HL394" s="635"/>
      <c r="HM394" s="635"/>
      <c r="HN394" s="635"/>
      <c r="HO394" s="635"/>
      <c r="HP394" s="635"/>
      <c r="HQ394" s="635"/>
      <c r="HR394" s="635"/>
      <c r="HS394" s="635"/>
      <c r="HT394" s="635"/>
      <c r="HU394" s="635"/>
      <c r="HV394" s="635"/>
      <c r="HW394" s="635"/>
      <c r="HX394" s="635"/>
      <c r="HY394" s="635"/>
      <c r="HZ394" s="635"/>
      <c r="IA394" s="635"/>
      <c r="IB394" s="635"/>
      <c r="IC394" s="635"/>
      <c r="ID394" s="635"/>
      <c r="IE394" s="635"/>
      <c r="IF394" s="635"/>
      <c r="IG394" s="635"/>
      <c r="IH394" s="635"/>
      <c r="II394" s="635"/>
      <c r="IJ394" s="635"/>
      <c r="IK394" s="635"/>
      <c r="IL394" s="635"/>
      <c r="IM394" s="635"/>
      <c r="IN394" s="635"/>
      <c r="IO394" s="635"/>
      <c r="IP394" s="635"/>
      <c r="IQ394" s="635"/>
      <c r="IR394" s="635"/>
      <c r="IS394" s="635"/>
      <c r="IT394" s="635"/>
      <c r="IU394" s="635"/>
      <c r="IV394" s="635"/>
      <c r="IW394" s="635"/>
      <c r="IX394" s="635"/>
      <c r="IY394" s="635"/>
      <c r="IZ394" s="635"/>
      <c r="JA394" s="635"/>
      <c r="JB394" s="635"/>
      <c r="JC394" s="635"/>
      <c r="JD394" s="635"/>
      <c r="JE394" s="635"/>
      <c r="JF394" s="635"/>
      <c r="JG394" s="635"/>
      <c r="JH394" s="635"/>
      <c r="JI394" s="635"/>
      <c r="JJ394" s="635"/>
      <c r="JK394" s="635"/>
      <c r="JL394" s="635"/>
      <c r="JM394" s="635"/>
      <c r="JN394" s="635"/>
      <c r="JO394" s="635"/>
      <c r="JP394" s="635"/>
      <c r="JQ394" s="635"/>
      <c r="JR394" s="635"/>
      <c r="JS394" s="635"/>
      <c r="JT394" s="635"/>
      <c r="JU394" s="635"/>
      <c r="JV394" s="635"/>
      <c r="JW394" s="635"/>
      <c r="JX394" s="635"/>
      <c r="JY394" s="635"/>
      <c r="JZ394" s="635"/>
      <c r="KA394" s="635"/>
      <c r="KB394" s="635"/>
      <c r="KC394" s="635"/>
      <c r="KD394" s="635"/>
      <c r="KE394" s="635"/>
      <c r="KF394" s="635"/>
      <c r="KG394" s="635"/>
      <c r="KH394" s="635"/>
      <c r="KI394" s="635"/>
      <c r="KJ394" s="635"/>
      <c r="KK394" s="635"/>
      <c r="KL394" s="635"/>
      <c r="KM394" s="635"/>
      <c r="KN394" s="635"/>
      <c r="KO394" s="635"/>
      <c r="KP394" s="635"/>
      <c r="KQ394" s="635"/>
      <c r="KR394" s="635"/>
      <c r="KS394" s="635"/>
      <c r="KT394" s="635"/>
      <c r="KU394" s="635"/>
      <c r="KV394" s="635"/>
      <c r="KW394" s="635"/>
      <c r="KX394" s="635"/>
      <c r="KY394" s="635"/>
      <c r="KZ394" s="635"/>
      <c r="LA394" s="635"/>
      <c r="LB394" s="635"/>
      <c r="LC394" s="635"/>
      <c r="LD394" s="635"/>
      <c r="LE394" s="635"/>
      <c r="LF394" s="635"/>
      <c r="LG394" s="635"/>
      <c r="LH394" s="635"/>
      <c r="LI394" s="635"/>
      <c r="LJ394" s="635"/>
      <c r="LK394" s="635"/>
      <c r="LL394" s="635"/>
      <c r="LM394" s="635"/>
      <c r="LN394" s="635"/>
      <c r="LO394" s="635"/>
      <c r="LP394" s="635"/>
      <c r="LQ394" s="635"/>
      <c r="LR394" s="635"/>
      <c r="LS394" s="635"/>
      <c r="LT394" s="635"/>
      <c r="LU394" s="635"/>
      <c r="LV394" s="635"/>
      <c r="LW394" s="635"/>
      <c r="LX394" s="635"/>
      <c r="LY394" s="635"/>
      <c r="LZ394" s="635"/>
      <c r="MA394" s="635"/>
      <c r="MB394" s="635"/>
      <c r="MC394" s="635"/>
      <c r="MD394" s="635"/>
      <c r="ME394" s="635"/>
      <c r="MF394" s="635"/>
      <c r="MG394" s="635"/>
      <c r="MH394" s="635"/>
      <c r="MI394" s="635"/>
      <c r="MJ394" s="635"/>
      <c r="MK394" s="635"/>
      <c r="ML394" s="635"/>
      <c r="MM394" s="635"/>
      <c r="MN394" s="635"/>
      <c r="MO394" s="635"/>
      <c r="MP394" s="635"/>
      <c r="MQ394" s="635"/>
      <c r="MR394" s="635"/>
      <c r="MS394" s="635"/>
      <c r="MT394" s="635"/>
      <c r="MU394" s="635"/>
      <c r="MV394" s="635"/>
      <c r="MW394" s="635"/>
      <c r="MX394" s="635"/>
      <c r="MY394" s="635"/>
      <c r="MZ394" s="635"/>
      <c r="NA394" s="635"/>
      <c r="NB394" s="635"/>
      <c r="NC394" s="635"/>
      <c r="ND394" s="635"/>
      <c r="NE394" s="635"/>
      <c r="NF394" s="635"/>
      <c r="NG394" s="635"/>
      <c r="NH394" s="635"/>
      <c r="NI394" s="635"/>
      <c r="NJ394" s="635"/>
      <c r="NK394" s="635"/>
      <c r="NL394" s="635"/>
      <c r="NM394" s="635"/>
      <c r="NN394" s="635"/>
      <c r="NO394" s="635"/>
      <c r="NP394" s="635"/>
      <c r="NQ394" s="635"/>
      <c r="NR394" s="635"/>
      <c r="NS394" s="635"/>
      <c r="NT394" s="635"/>
      <c r="NU394" s="635"/>
      <c r="NV394" s="635"/>
      <c r="NW394" s="635"/>
      <c r="NX394" s="635"/>
      <c r="NY394" s="635"/>
      <c r="NZ394" s="635"/>
      <c r="OA394" s="635"/>
      <c r="OB394" s="635"/>
      <c r="OC394" s="635"/>
      <c r="OD394" s="635"/>
      <c r="OE394" s="635"/>
      <c r="OF394" s="635"/>
      <c r="OG394" s="635"/>
      <c r="OH394" s="635"/>
      <c r="OI394" s="635"/>
      <c r="OJ394" s="635"/>
      <c r="OK394" s="635"/>
      <c r="OL394" s="635"/>
      <c r="OM394" s="635"/>
      <c r="ON394" s="635"/>
      <c r="OO394" s="635"/>
      <c r="OP394" s="635"/>
      <c r="OQ394" s="635"/>
      <c r="OR394" s="635"/>
      <c r="OS394" s="635"/>
      <c r="OT394" s="635"/>
      <c r="OU394" s="635"/>
      <c r="OV394" s="635"/>
      <c r="OW394" s="635"/>
      <c r="OX394" s="635"/>
      <c r="OY394" s="635"/>
      <c r="OZ394" s="635"/>
      <c r="PA394" s="635"/>
      <c r="PB394" s="635"/>
      <c r="PC394" s="635"/>
      <c r="PD394" s="635"/>
      <c r="PE394" s="635"/>
      <c r="PF394" s="635"/>
      <c r="PG394" s="635"/>
      <c r="PH394" s="635"/>
      <c r="PI394" s="635"/>
      <c r="PJ394" s="635"/>
      <c r="PK394" s="635"/>
      <c r="PL394" s="635"/>
      <c r="PM394" s="635"/>
      <c r="PN394" s="635"/>
      <c r="PO394" s="635"/>
      <c r="PP394" s="635"/>
      <c r="PQ394" s="635"/>
      <c r="PR394" s="635"/>
      <c r="PS394" s="635"/>
      <c r="PT394" s="635"/>
      <c r="PU394" s="635"/>
      <c r="PV394" s="635"/>
      <c r="PW394" s="635"/>
      <c r="PX394" s="635"/>
      <c r="PY394" s="635"/>
      <c r="PZ394" s="635"/>
      <c r="QA394" s="635"/>
      <c r="QB394" s="635"/>
      <c r="QC394" s="635"/>
      <c r="QD394" s="635"/>
      <c r="QE394" s="635"/>
      <c r="QF394" s="635"/>
      <c r="QG394" s="635"/>
      <c r="QH394" s="635"/>
      <c r="QI394" s="635"/>
      <c r="QJ394" s="635"/>
      <c r="QK394" s="635"/>
      <c r="QL394" s="635"/>
      <c r="QM394" s="635"/>
      <c r="QN394" s="635"/>
      <c r="QO394" s="635"/>
      <c r="QP394" s="635"/>
      <c r="QQ394" s="635"/>
      <c r="QR394" s="635"/>
      <c r="QS394" s="635"/>
      <c r="QT394" s="635"/>
      <c r="QU394" s="635"/>
      <c r="QV394" s="635"/>
      <c r="QW394" s="635"/>
      <c r="QX394" s="635"/>
      <c r="QY394" s="635"/>
      <c r="QZ394" s="635"/>
      <c r="RA394" s="635"/>
      <c r="RB394" s="635"/>
      <c r="RC394" s="635"/>
      <c r="RD394" s="635"/>
      <c r="RE394" s="635"/>
      <c r="RF394" s="635"/>
      <c r="RG394" s="635"/>
      <c r="RH394" s="635"/>
      <c r="RI394" s="635"/>
      <c r="RJ394" s="635"/>
      <c r="RK394" s="635"/>
      <c r="RL394" s="635"/>
      <c r="RM394" s="635"/>
      <c r="RN394" s="635"/>
      <c r="RO394" s="635"/>
      <c r="RP394" s="635"/>
      <c r="RQ394" s="635"/>
      <c r="RR394" s="635"/>
      <c r="RS394" s="635"/>
      <c r="RT394" s="635"/>
      <c r="RU394" s="635"/>
      <c r="RV394" s="635"/>
      <c r="RW394" s="635"/>
      <c r="RX394" s="635"/>
      <c r="RY394" s="635"/>
      <c r="RZ394" s="635"/>
      <c r="SA394" s="635"/>
      <c r="SB394" s="635"/>
      <c r="SC394" s="635"/>
      <c r="SD394" s="635"/>
      <c r="SE394" s="635"/>
      <c r="SF394" s="635"/>
      <c r="SG394" s="635"/>
      <c r="SH394" s="635"/>
      <c r="SI394" s="635"/>
      <c r="SJ394" s="635"/>
      <c r="SK394" s="635"/>
      <c r="SL394" s="635"/>
      <c r="SM394" s="635"/>
      <c r="SN394" s="635"/>
      <c r="SO394" s="635"/>
      <c r="SP394" s="635"/>
      <c r="SQ394" s="635"/>
      <c r="SR394" s="635"/>
      <c r="SS394" s="635"/>
      <c r="ST394" s="635"/>
      <c r="SU394" s="635"/>
      <c r="SV394" s="635"/>
      <c r="SW394" s="635"/>
      <c r="SX394" s="635"/>
      <c r="SY394" s="635"/>
      <c r="SZ394" s="635"/>
      <c r="TA394" s="635"/>
      <c r="TB394" s="635"/>
      <c r="TC394" s="635"/>
      <c r="TD394" s="635"/>
      <c r="TE394" s="635"/>
      <c r="TF394" s="635"/>
      <c r="TG394" s="635"/>
      <c r="TH394" s="635"/>
      <c r="TI394" s="635"/>
      <c r="TJ394" s="635"/>
      <c r="TK394" s="635"/>
      <c r="TL394" s="635"/>
      <c r="TM394" s="635"/>
      <c r="TN394" s="635"/>
      <c r="TO394" s="635"/>
      <c r="TP394" s="635"/>
      <c r="TQ394" s="635"/>
      <c r="TR394" s="635"/>
      <c r="TS394" s="635"/>
      <c r="TT394" s="635"/>
      <c r="TU394" s="635"/>
      <c r="TV394" s="635"/>
      <c r="TW394" s="635"/>
      <c r="TX394" s="635"/>
      <c r="TY394" s="635"/>
      <c r="TZ394" s="635"/>
      <c r="UA394" s="635"/>
      <c r="UB394" s="635"/>
      <c r="UC394" s="635"/>
      <c r="UD394" s="635"/>
      <c r="UE394" s="635"/>
      <c r="UF394" s="635"/>
      <c r="UG394" s="635"/>
      <c r="UH394" s="635"/>
      <c r="UI394" s="635"/>
      <c r="UJ394" s="635"/>
      <c r="UK394" s="635"/>
      <c r="UL394" s="635"/>
      <c r="UM394" s="635"/>
      <c r="UN394" s="635"/>
      <c r="UO394" s="635"/>
      <c r="UP394" s="635"/>
      <c r="UQ394" s="635"/>
      <c r="UR394" s="635"/>
      <c r="US394" s="635"/>
      <c r="UT394" s="635"/>
      <c r="UU394" s="635"/>
      <c r="UV394" s="635"/>
      <c r="UW394" s="635"/>
      <c r="UX394" s="635"/>
      <c r="UY394" s="635"/>
      <c r="UZ394" s="635"/>
      <c r="VA394" s="635"/>
      <c r="VB394" s="635"/>
      <c r="VC394" s="635"/>
      <c r="VD394" s="635"/>
      <c r="VE394" s="635"/>
      <c r="VF394" s="635"/>
      <c r="VG394" s="635"/>
      <c r="VH394" s="635"/>
      <c r="VI394" s="635"/>
      <c r="VJ394" s="635"/>
      <c r="VK394" s="635"/>
      <c r="VL394" s="635"/>
      <c r="VM394" s="635"/>
      <c r="VN394" s="635"/>
      <c r="VO394" s="635"/>
      <c r="VP394" s="635"/>
      <c r="VQ394" s="635"/>
      <c r="VR394" s="635"/>
      <c r="VS394" s="635"/>
      <c r="VT394" s="635"/>
      <c r="VU394" s="635"/>
      <c r="VV394" s="635"/>
      <c r="VW394" s="635"/>
      <c r="VX394" s="635"/>
      <c r="VY394" s="635"/>
      <c r="VZ394" s="635"/>
      <c r="WA394" s="635"/>
      <c r="WB394" s="635"/>
      <c r="WC394" s="635"/>
      <c r="WD394" s="635"/>
      <c r="WE394" s="635"/>
      <c r="WF394" s="635"/>
      <c r="WG394" s="635"/>
      <c r="WH394" s="635"/>
      <c r="WI394" s="635"/>
      <c r="WJ394" s="635"/>
      <c r="WK394" s="635"/>
      <c r="WL394" s="635"/>
      <c r="WM394" s="635"/>
      <c r="WN394" s="635"/>
      <c r="WO394" s="635"/>
      <c r="WP394" s="635"/>
      <c r="WQ394" s="635"/>
      <c r="WR394" s="635"/>
      <c r="WS394" s="635"/>
      <c r="WT394" s="635"/>
      <c r="WU394" s="635"/>
      <c r="WV394" s="635"/>
      <c r="WW394" s="635"/>
      <c r="WX394" s="635"/>
      <c r="WY394" s="635"/>
      <c r="WZ394" s="635"/>
      <c r="XA394" s="635"/>
      <c r="XB394" s="635"/>
      <c r="XC394" s="635"/>
      <c r="XD394" s="635"/>
      <c r="XE394" s="635"/>
      <c r="XF394" s="635"/>
      <c r="XG394" s="635"/>
      <c r="XH394" s="635"/>
      <c r="XI394" s="635"/>
      <c r="XJ394" s="635"/>
      <c r="XK394" s="635"/>
      <c r="XL394" s="635"/>
      <c r="XM394" s="635"/>
      <c r="XN394" s="635"/>
      <c r="XO394" s="635"/>
      <c r="XP394" s="635"/>
      <c r="XQ394" s="635"/>
      <c r="XR394" s="635"/>
      <c r="XS394" s="635"/>
      <c r="XT394" s="635"/>
      <c r="XU394" s="635"/>
      <c r="XV394" s="635"/>
      <c r="XW394" s="635"/>
      <c r="XX394" s="635"/>
      <c r="XY394" s="635"/>
      <c r="XZ394" s="635"/>
      <c r="YA394" s="635"/>
      <c r="YB394" s="635"/>
      <c r="YC394" s="635"/>
      <c r="YD394" s="635"/>
      <c r="YE394" s="635"/>
      <c r="YF394" s="635"/>
      <c r="YG394" s="635"/>
      <c r="YH394" s="635"/>
      <c r="YI394" s="635"/>
      <c r="YJ394" s="635"/>
      <c r="YK394" s="635"/>
      <c r="YL394" s="635"/>
      <c r="YM394" s="635"/>
      <c r="YN394" s="635"/>
      <c r="YO394" s="635"/>
      <c r="YP394" s="635"/>
      <c r="YQ394" s="635"/>
      <c r="YR394" s="635"/>
      <c r="YS394" s="635"/>
      <c r="YT394" s="635"/>
      <c r="YU394" s="635"/>
      <c r="YV394" s="635"/>
      <c r="YW394" s="635"/>
      <c r="YX394" s="635"/>
      <c r="YY394" s="635"/>
      <c r="YZ394" s="635"/>
      <c r="ZA394" s="635"/>
      <c r="ZB394" s="635"/>
      <c r="ZC394" s="635"/>
      <c r="ZD394" s="635"/>
      <c r="ZE394" s="635"/>
      <c r="ZF394" s="635"/>
      <c r="ZG394" s="635"/>
      <c r="ZH394" s="635"/>
      <c r="ZI394" s="635"/>
      <c r="ZJ394" s="635"/>
      <c r="ZK394" s="635"/>
      <c r="ZL394" s="635"/>
      <c r="ZM394" s="635"/>
      <c r="ZN394" s="635"/>
      <c r="ZO394" s="635"/>
      <c r="ZP394" s="635"/>
      <c r="ZQ394" s="635"/>
      <c r="ZR394" s="635"/>
      <c r="ZS394" s="635"/>
      <c r="ZT394" s="635"/>
      <c r="ZU394" s="635"/>
      <c r="ZV394" s="635"/>
      <c r="ZW394" s="635"/>
      <c r="ZX394" s="635"/>
      <c r="ZY394" s="638"/>
      <c r="ZZ394" s="119"/>
      <c r="AAA394" s="588"/>
      <c r="AAD394" s="112"/>
      <c r="AAE394" s="551" t="s">
        <v>245</v>
      </c>
      <c r="AAF394" s="583" t="s">
        <v>174</v>
      </c>
      <c r="AAG394" s="78">
        <f>S.SubmitNoticeToSOS</f>
        <v>41530</v>
      </c>
      <c r="AAH394" s="78">
        <f>S.EQCMeeting</f>
        <v>41717</v>
      </c>
      <c r="AAI394" s="77"/>
      <c r="AAJ394" s="57"/>
      <c r="AAK394" s="57"/>
      <c r="AAL394" s="57"/>
      <c r="AAM394" s="112"/>
      <c r="AAN394"/>
      <c r="AAT394" s="23"/>
      <c r="AAU394" s="44"/>
    </row>
    <row r="395" spans="1:732" ht="6" customHeight="1">
      <c r="A395" s="558"/>
      <c r="B395" s="206"/>
      <c r="C395" s="688"/>
      <c r="D395" s="180"/>
      <c r="E395" s="181"/>
      <c r="F395" s="181"/>
      <c r="G395" s="180"/>
      <c r="H395" s="180"/>
      <c r="I395" s="588"/>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c r="BF395" s="32"/>
      <c r="BG395" s="32"/>
      <c r="BH395" s="32"/>
      <c r="BI395" s="32"/>
      <c r="BJ395" s="32"/>
      <c r="BK395" s="32"/>
      <c r="BL395" s="32"/>
      <c r="BM395" s="32"/>
      <c r="BN395" s="32"/>
      <c r="BO395" s="32"/>
      <c r="BP395" s="32"/>
      <c r="BQ395" s="32"/>
      <c r="BR395" s="32"/>
      <c r="BS395" s="32"/>
      <c r="BT395" s="32"/>
      <c r="BU395" s="32"/>
      <c r="BV395" s="32"/>
      <c r="BW395" s="32"/>
      <c r="BX395" s="32"/>
      <c r="BY395" s="32"/>
      <c r="BZ395" s="32"/>
      <c r="CA395" s="32"/>
      <c r="CB395" s="32"/>
      <c r="CC395" s="32"/>
      <c r="CD395" s="32"/>
      <c r="CE395" s="32"/>
      <c r="CF395" s="32"/>
      <c r="CG395" s="32"/>
      <c r="CH395" s="32"/>
      <c r="CI395" s="32"/>
      <c r="CJ395" s="32"/>
      <c r="CK395" s="32"/>
      <c r="CL395" s="32"/>
      <c r="CM395" s="32"/>
      <c r="CN395" s="32"/>
      <c r="CO395" s="32"/>
      <c r="CP395" s="32"/>
      <c r="CQ395" s="32"/>
      <c r="CR395" s="32"/>
      <c r="CS395" s="32"/>
      <c r="CT395" s="32"/>
      <c r="CU395" s="32"/>
      <c r="CV395" s="32"/>
      <c r="CW395" s="32"/>
      <c r="CX395" s="32"/>
      <c r="CY395" s="32"/>
      <c r="CZ395" s="32"/>
      <c r="DA395" s="32"/>
      <c r="DB395" s="32"/>
      <c r="DC395" s="32"/>
      <c r="DD395" s="32"/>
      <c r="DE395" s="32"/>
      <c r="DF395" s="32"/>
      <c r="DG395" s="32"/>
      <c r="DH395" s="32"/>
      <c r="DI395" s="32"/>
      <c r="DJ395" s="32"/>
      <c r="DK395" s="32"/>
      <c r="DL395" s="32"/>
      <c r="DM395" s="32"/>
      <c r="DN395" s="32"/>
      <c r="DO395" s="32"/>
      <c r="DP395" s="32"/>
      <c r="DQ395" s="32"/>
      <c r="DR395" s="32"/>
      <c r="DS395" s="32"/>
      <c r="DT395" s="32"/>
      <c r="DU395" s="32"/>
      <c r="DV395" s="32"/>
      <c r="DW395" s="32"/>
      <c r="DX395" s="32"/>
      <c r="DY395" s="32"/>
      <c r="DZ395" s="32"/>
      <c r="EA395" s="32"/>
      <c r="EB395" s="32"/>
      <c r="EC395" s="32"/>
      <c r="ED395" s="32"/>
      <c r="EE395" s="32"/>
      <c r="EF395" s="32"/>
      <c r="EG395" s="32"/>
      <c r="EH395" s="32"/>
      <c r="EI395" s="32"/>
      <c r="EJ395" s="32"/>
      <c r="EK395" s="32"/>
      <c r="EL395" s="32"/>
      <c r="EM395" s="32"/>
      <c r="EN395" s="32"/>
      <c r="EO395" s="32"/>
      <c r="EP395" s="32"/>
      <c r="EQ395" s="32"/>
      <c r="ER395" s="32"/>
      <c r="ES395" s="32"/>
      <c r="ET395" s="32"/>
      <c r="EU395" s="32"/>
      <c r="EV395" s="32"/>
      <c r="EW395" s="32"/>
      <c r="EX395" s="32"/>
      <c r="EY395" s="32"/>
      <c r="EZ395" s="32"/>
      <c r="FA395" s="32"/>
      <c r="FB395" s="32"/>
      <c r="FC395" s="32"/>
      <c r="FD395" s="32"/>
      <c r="FE395" s="32"/>
      <c r="FF395" s="32"/>
      <c r="FG395" s="32"/>
      <c r="FH395" s="32"/>
      <c r="FI395" s="32"/>
      <c r="FJ395" s="32"/>
      <c r="FK395" s="32"/>
      <c r="FL395" s="32"/>
      <c r="FM395" s="32"/>
      <c r="FN395" s="32"/>
      <c r="FO395" s="32"/>
      <c r="FP395" s="32"/>
      <c r="FQ395" s="32"/>
      <c r="FR395" s="32"/>
      <c r="FS395" s="32"/>
      <c r="FT395" s="32"/>
      <c r="FU395" s="32"/>
      <c r="FV395" s="32"/>
      <c r="FW395" s="32"/>
      <c r="FX395" s="32"/>
      <c r="FY395" s="32"/>
      <c r="FZ395" s="32"/>
      <c r="GA395" s="32"/>
      <c r="GB395" s="32"/>
      <c r="GC395" s="32"/>
      <c r="GD395" s="32"/>
      <c r="GE395" s="32"/>
      <c r="GF395" s="32"/>
      <c r="GG395" s="32"/>
      <c r="GH395" s="32"/>
      <c r="GI395" s="32"/>
      <c r="GJ395" s="32"/>
      <c r="GK395" s="32"/>
      <c r="GL395" s="32"/>
      <c r="GM395" s="32"/>
      <c r="GN395" s="32"/>
      <c r="GO395" s="32"/>
      <c r="GP395" s="32"/>
      <c r="GQ395" s="32"/>
      <c r="GR395" s="32"/>
      <c r="GS395" s="32"/>
      <c r="GT395" s="32"/>
      <c r="GU395" s="32"/>
      <c r="GV395" s="32"/>
      <c r="GW395" s="32"/>
      <c r="GX395" s="32"/>
      <c r="GY395" s="32"/>
      <c r="GZ395" s="32"/>
      <c r="HA395" s="32"/>
      <c r="HB395" s="32"/>
      <c r="HC395" s="32"/>
      <c r="HD395" s="32"/>
      <c r="HE395" s="32"/>
      <c r="HF395" s="32"/>
      <c r="HG395" s="32"/>
      <c r="HH395" s="32"/>
      <c r="HI395" s="32"/>
      <c r="HJ395" s="32"/>
      <c r="HK395" s="32"/>
      <c r="HL395" s="32"/>
      <c r="HM395" s="32"/>
      <c r="HN395" s="32"/>
      <c r="HO395" s="32"/>
      <c r="HP395" s="32"/>
      <c r="HQ395" s="32"/>
      <c r="HR395" s="32"/>
      <c r="HS395" s="32"/>
      <c r="HT395" s="32"/>
      <c r="HU395" s="32"/>
      <c r="HV395" s="32"/>
      <c r="HW395" s="32"/>
      <c r="HX395" s="32"/>
      <c r="HY395" s="32"/>
      <c r="HZ395" s="32"/>
      <c r="IA395" s="32"/>
      <c r="IB395" s="32"/>
      <c r="IC395" s="32"/>
      <c r="ID395" s="32"/>
      <c r="IE395" s="32"/>
      <c r="IF395" s="32"/>
      <c r="IG395" s="32"/>
      <c r="IH395" s="32"/>
      <c r="II395" s="32"/>
      <c r="IJ395" s="32"/>
      <c r="IK395" s="32"/>
      <c r="IL395" s="32"/>
      <c r="IM395" s="32"/>
      <c r="IN395" s="32"/>
      <c r="IO395" s="32"/>
      <c r="IP395" s="32"/>
      <c r="IQ395" s="32"/>
      <c r="IR395" s="32"/>
      <c r="IS395" s="32"/>
      <c r="IT395" s="32"/>
      <c r="IU395" s="32"/>
      <c r="IV395" s="32"/>
      <c r="IW395" s="32"/>
      <c r="IX395" s="32"/>
      <c r="IY395" s="32"/>
      <c r="IZ395" s="32"/>
      <c r="JA395" s="32"/>
      <c r="JB395" s="32"/>
      <c r="JC395" s="32"/>
      <c r="JD395" s="32"/>
      <c r="JE395" s="32"/>
      <c r="JF395" s="32"/>
      <c r="JG395" s="32"/>
      <c r="JH395" s="32"/>
      <c r="JI395" s="32"/>
      <c r="JJ395" s="32"/>
      <c r="JK395" s="32"/>
      <c r="JL395" s="32"/>
      <c r="JM395" s="32"/>
      <c r="JN395" s="32"/>
      <c r="JO395" s="32"/>
      <c r="JP395" s="32"/>
      <c r="JQ395" s="32"/>
      <c r="JR395" s="32"/>
      <c r="JS395" s="32"/>
      <c r="JT395" s="32"/>
      <c r="JU395" s="32"/>
      <c r="JV395" s="32"/>
      <c r="JW395" s="32"/>
      <c r="JX395" s="32"/>
      <c r="JY395" s="32"/>
      <c r="JZ395" s="32"/>
      <c r="KA395" s="32"/>
      <c r="KB395" s="32"/>
      <c r="KC395" s="32"/>
      <c r="KD395" s="32"/>
      <c r="KE395" s="32"/>
      <c r="KF395" s="32"/>
      <c r="KG395" s="32"/>
      <c r="KH395" s="32"/>
      <c r="KI395" s="32"/>
      <c r="KJ395" s="32"/>
      <c r="KK395" s="32"/>
      <c r="KL395" s="32"/>
      <c r="KM395" s="32"/>
      <c r="KN395" s="32"/>
      <c r="KO395" s="32"/>
      <c r="KP395" s="32"/>
      <c r="KQ395" s="32"/>
      <c r="KR395" s="32"/>
      <c r="KS395" s="32"/>
      <c r="KT395" s="32"/>
      <c r="KU395" s="32"/>
      <c r="KV395" s="32"/>
      <c r="KW395" s="32"/>
      <c r="KX395" s="32"/>
      <c r="KY395" s="32"/>
      <c r="KZ395" s="32"/>
      <c r="LA395" s="32"/>
      <c r="LB395" s="32"/>
      <c r="LC395" s="32"/>
      <c r="LD395" s="32"/>
      <c r="LE395" s="32"/>
      <c r="LF395" s="32"/>
      <c r="LG395" s="32"/>
      <c r="LH395" s="32"/>
      <c r="LI395" s="32"/>
      <c r="LJ395" s="32"/>
      <c r="LK395" s="32"/>
      <c r="LL395" s="32"/>
      <c r="LM395" s="32"/>
      <c r="LN395" s="32"/>
      <c r="LO395" s="32"/>
      <c r="LP395" s="32"/>
      <c r="LQ395" s="32"/>
      <c r="LR395" s="32"/>
      <c r="LS395" s="32"/>
      <c r="LT395" s="32"/>
      <c r="LU395" s="32"/>
      <c r="LV395" s="32"/>
      <c r="LW395" s="32"/>
      <c r="LX395" s="32"/>
      <c r="LY395" s="32"/>
      <c r="LZ395" s="32"/>
      <c r="MA395" s="32"/>
      <c r="MB395" s="32"/>
      <c r="MC395" s="32"/>
      <c r="MD395" s="32"/>
      <c r="ME395" s="32"/>
      <c r="MF395" s="32"/>
      <c r="MG395" s="32"/>
      <c r="MH395" s="32"/>
      <c r="MI395" s="32"/>
      <c r="MJ395" s="32"/>
      <c r="MK395" s="32"/>
      <c r="ML395" s="32"/>
      <c r="MM395" s="32"/>
      <c r="MN395" s="32"/>
      <c r="MO395" s="32"/>
      <c r="MP395" s="32"/>
      <c r="MQ395" s="32"/>
      <c r="MR395" s="32"/>
      <c r="MS395" s="32"/>
      <c r="MT395" s="32"/>
      <c r="MU395" s="32"/>
      <c r="MV395" s="32"/>
      <c r="MW395" s="32"/>
      <c r="MX395" s="32"/>
      <c r="MY395" s="32"/>
      <c r="MZ395" s="32"/>
      <c r="NA395" s="32"/>
      <c r="NB395" s="32"/>
      <c r="NC395" s="32"/>
      <c r="ND395" s="32"/>
      <c r="NE395" s="32"/>
      <c r="NF395" s="32"/>
      <c r="NG395" s="32"/>
      <c r="NH395" s="32"/>
      <c r="NI395" s="32"/>
      <c r="NJ395" s="32"/>
      <c r="NK395" s="32"/>
      <c r="NL395" s="32"/>
      <c r="NM395" s="32"/>
      <c r="NN395" s="32"/>
      <c r="NO395" s="32"/>
      <c r="NP395" s="32"/>
      <c r="NQ395" s="32"/>
      <c r="NR395" s="32"/>
      <c r="NS395" s="32"/>
      <c r="NT395" s="32"/>
      <c r="NU395" s="32"/>
      <c r="NV395" s="32"/>
      <c r="NW395" s="32"/>
      <c r="NX395" s="32"/>
      <c r="NY395" s="32"/>
      <c r="NZ395" s="32"/>
      <c r="OA395" s="32"/>
      <c r="OB395" s="32"/>
      <c r="OC395" s="32"/>
      <c r="OD395" s="32"/>
      <c r="OE395" s="32"/>
      <c r="OF395" s="32"/>
      <c r="OG395" s="32"/>
      <c r="OH395" s="32"/>
      <c r="OI395" s="32"/>
      <c r="OJ395" s="32"/>
      <c r="OK395" s="32"/>
      <c r="OL395" s="32"/>
      <c r="OM395" s="32"/>
      <c r="ON395" s="32"/>
      <c r="OO395" s="32"/>
      <c r="OP395" s="32"/>
      <c r="OQ395" s="32"/>
      <c r="OR395" s="32"/>
      <c r="OS395" s="32"/>
      <c r="OT395" s="32"/>
      <c r="OU395" s="32"/>
      <c r="OV395" s="32"/>
      <c r="OW395" s="32"/>
      <c r="OX395" s="32"/>
      <c r="OY395" s="32"/>
      <c r="OZ395" s="32"/>
      <c r="PA395" s="32"/>
      <c r="PB395" s="32"/>
      <c r="PC395" s="32"/>
      <c r="PD395" s="32"/>
      <c r="PE395" s="32"/>
      <c r="PF395" s="32"/>
      <c r="PG395" s="32"/>
      <c r="PH395" s="32"/>
      <c r="PI395" s="32"/>
      <c r="PJ395" s="32"/>
      <c r="PK395" s="32"/>
      <c r="PL395" s="32"/>
      <c r="PM395" s="32"/>
      <c r="PN395" s="32"/>
      <c r="PO395" s="32"/>
      <c r="PP395" s="32"/>
      <c r="PQ395" s="32"/>
      <c r="PR395" s="32"/>
      <c r="PS395" s="32"/>
      <c r="PT395" s="32"/>
      <c r="PU395" s="32"/>
      <c r="PV395" s="32"/>
      <c r="PW395" s="32"/>
      <c r="PX395" s="32"/>
      <c r="PY395" s="32"/>
      <c r="PZ395" s="32"/>
      <c r="QA395" s="32"/>
      <c r="QB395" s="32"/>
      <c r="QC395" s="32"/>
      <c r="QD395" s="32"/>
      <c r="QE395" s="32"/>
      <c r="QF395" s="32"/>
      <c r="QG395" s="32"/>
      <c r="QH395" s="32"/>
      <c r="QI395" s="32"/>
      <c r="QJ395" s="32"/>
      <c r="QK395" s="32"/>
      <c r="QL395" s="32"/>
      <c r="QM395" s="32"/>
      <c r="QN395" s="32"/>
      <c r="QO395" s="32"/>
      <c r="QP395" s="32"/>
      <c r="QQ395" s="32"/>
      <c r="QR395" s="32"/>
      <c r="QS395" s="32"/>
      <c r="QT395" s="32"/>
      <c r="QU395" s="32"/>
      <c r="QV395" s="32"/>
      <c r="QW395" s="32"/>
      <c r="QX395" s="32"/>
      <c r="QY395" s="32"/>
      <c r="QZ395" s="32"/>
      <c r="RA395" s="32"/>
      <c r="RB395" s="32"/>
      <c r="RC395" s="32"/>
      <c r="RD395" s="32"/>
      <c r="RE395" s="32"/>
      <c r="RF395" s="32"/>
      <c r="RG395" s="32"/>
      <c r="RH395" s="32"/>
      <c r="RI395" s="32"/>
      <c r="RJ395" s="32"/>
      <c r="RK395" s="32"/>
      <c r="RL395" s="32"/>
      <c r="RM395" s="32"/>
      <c r="RN395" s="32"/>
      <c r="RO395" s="32"/>
      <c r="RP395" s="32"/>
      <c r="RQ395" s="32"/>
      <c r="RR395" s="32"/>
      <c r="RS395" s="32"/>
      <c r="RT395" s="32"/>
      <c r="RU395" s="32"/>
      <c r="RV395" s="32"/>
      <c r="RW395" s="32"/>
      <c r="RX395" s="32"/>
      <c r="RY395" s="32"/>
      <c r="RZ395" s="32"/>
      <c r="SA395" s="32"/>
      <c r="SB395" s="32"/>
      <c r="SC395" s="32"/>
      <c r="SD395" s="32"/>
      <c r="SE395" s="32"/>
      <c r="SF395" s="32"/>
      <c r="SG395" s="32"/>
      <c r="SH395" s="32"/>
      <c r="SI395" s="32"/>
      <c r="SJ395" s="32"/>
      <c r="SK395" s="32"/>
      <c r="SL395" s="32"/>
      <c r="SM395" s="32"/>
      <c r="SN395" s="32"/>
      <c r="SO395" s="32"/>
      <c r="SP395" s="32"/>
      <c r="SQ395" s="32"/>
      <c r="SR395" s="32"/>
      <c r="SS395" s="32"/>
      <c r="ST395" s="32"/>
      <c r="SU395" s="32"/>
      <c r="SV395" s="32"/>
      <c r="SW395" s="32"/>
      <c r="SX395" s="32"/>
      <c r="SY395" s="32"/>
      <c r="SZ395" s="32"/>
      <c r="TA395" s="32"/>
      <c r="TB395" s="32"/>
      <c r="TC395" s="32"/>
      <c r="TD395" s="32"/>
      <c r="TE395" s="32"/>
      <c r="TF395" s="32"/>
      <c r="TG395" s="32"/>
      <c r="TH395" s="32"/>
      <c r="TI395" s="32"/>
      <c r="TJ395" s="32"/>
      <c r="TK395" s="32"/>
      <c r="TL395" s="32"/>
      <c r="TM395" s="32"/>
      <c r="TN395" s="32"/>
      <c r="TO395" s="32"/>
      <c r="TP395" s="32"/>
      <c r="TQ395" s="32"/>
      <c r="TR395" s="32"/>
      <c r="TS395" s="32"/>
      <c r="TT395" s="32"/>
      <c r="TU395" s="32"/>
      <c r="TV395" s="32"/>
      <c r="TW395" s="32"/>
      <c r="TX395" s="32"/>
      <c r="TY395" s="32"/>
      <c r="TZ395" s="32"/>
      <c r="UA395" s="32"/>
      <c r="UB395" s="32"/>
      <c r="UC395" s="32"/>
      <c r="UD395" s="32"/>
      <c r="UE395" s="32"/>
      <c r="UF395" s="32"/>
      <c r="UG395" s="32"/>
      <c r="UH395" s="32"/>
      <c r="UI395" s="32"/>
      <c r="UJ395" s="32"/>
      <c r="UK395" s="32"/>
      <c r="UL395" s="32"/>
      <c r="UM395" s="32"/>
      <c r="UN395" s="32"/>
      <c r="UO395" s="32"/>
      <c r="UP395" s="32"/>
      <c r="UQ395" s="32"/>
      <c r="UR395" s="32"/>
      <c r="US395" s="32"/>
      <c r="UT395" s="32"/>
      <c r="UU395" s="32"/>
      <c r="UV395" s="32"/>
      <c r="UW395" s="32"/>
      <c r="UX395" s="32"/>
      <c r="UY395" s="32"/>
      <c r="UZ395" s="32"/>
      <c r="VA395" s="32"/>
      <c r="VB395" s="32"/>
      <c r="VC395" s="32"/>
      <c r="VD395" s="32"/>
      <c r="VE395" s="32"/>
      <c r="VF395" s="32"/>
      <c r="VG395" s="32"/>
      <c r="VH395" s="32"/>
      <c r="VI395" s="32"/>
      <c r="VJ395" s="32"/>
      <c r="VK395" s="32"/>
      <c r="VL395" s="32"/>
      <c r="VM395" s="32"/>
      <c r="VN395" s="32"/>
      <c r="VO395" s="32"/>
      <c r="VP395" s="32"/>
      <c r="VQ395" s="32"/>
      <c r="VR395" s="32"/>
      <c r="VS395" s="32"/>
      <c r="VT395" s="32"/>
      <c r="VU395" s="32"/>
      <c r="VV395" s="32"/>
      <c r="VW395" s="32"/>
      <c r="VX395" s="32"/>
      <c r="VY395" s="32"/>
      <c r="VZ395" s="32"/>
      <c r="WA395" s="32"/>
      <c r="WB395" s="32"/>
      <c r="WC395" s="32"/>
      <c r="WD395" s="32"/>
      <c r="WE395" s="32"/>
      <c r="WF395" s="32"/>
      <c r="WG395" s="32"/>
      <c r="WH395" s="32"/>
      <c r="WI395" s="32"/>
      <c r="WJ395" s="32"/>
      <c r="WK395" s="32"/>
      <c r="WL395" s="32"/>
      <c r="WM395" s="32"/>
      <c r="WN395" s="32"/>
      <c r="WO395" s="32"/>
      <c r="WP395" s="32"/>
      <c r="WQ395" s="32"/>
      <c r="WR395" s="32"/>
      <c r="WS395" s="32"/>
      <c r="WT395" s="32"/>
      <c r="WU395" s="32"/>
      <c r="WV395" s="32"/>
      <c r="WW395" s="32"/>
      <c r="WX395" s="32"/>
      <c r="WY395" s="32"/>
      <c r="WZ395" s="32"/>
      <c r="XA395" s="32"/>
      <c r="XB395" s="32"/>
      <c r="XC395" s="32"/>
      <c r="XD395" s="32"/>
      <c r="XE395" s="32"/>
      <c r="XF395" s="32"/>
      <c r="XG395" s="32"/>
      <c r="XH395" s="32"/>
      <c r="XI395" s="32"/>
      <c r="XJ395" s="32"/>
      <c r="XK395" s="32"/>
      <c r="XL395" s="32"/>
      <c r="XM395" s="32"/>
      <c r="XN395" s="32"/>
      <c r="XO395" s="32"/>
      <c r="XP395" s="32"/>
      <c r="XQ395" s="32"/>
      <c r="XR395" s="32"/>
      <c r="XS395" s="32"/>
      <c r="XT395" s="32"/>
      <c r="XU395" s="32"/>
      <c r="XV395" s="32"/>
      <c r="XW395" s="32"/>
      <c r="XX395" s="32"/>
      <c r="XY395" s="32"/>
      <c r="XZ395" s="32"/>
      <c r="YA395" s="32"/>
      <c r="YB395" s="32"/>
      <c r="YC395" s="32"/>
      <c r="YD395" s="32"/>
      <c r="YE395" s="32"/>
      <c r="YF395" s="32"/>
      <c r="YG395" s="32"/>
      <c r="YH395" s="32"/>
      <c r="YI395" s="32"/>
      <c r="YJ395" s="32"/>
      <c r="YK395" s="32"/>
      <c r="YL395" s="32"/>
      <c r="YM395" s="32"/>
      <c r="YN395" s="32"/>
      <c r="YO395" s="32"/>
      <c r="YP395" s="32"/>
      <c r="YQ395" s="32"/>
      <c r="YR395" s="32"/>
      <c r="YS395" s="32"/>
      <c r="YT395" s="32"/>
      <c r="YU395" s="32"/>
      <c r="YV395" s="32"/>
      <c r="YW395" s="32"/>
      <c r="YX395" s="32"/>
      <c r="YY395" s="32"/>
      <c r="YZ395" s="32"/>
      <c r="ZA395" s="32"/>
      <c r="ZB395" s="32"/>
      <c r="ZC395" s="32"/>
      <c r="ZD395" s="32"/>
      <c r="ZE395" s="32"/>
      <c r="ZF395" s="32"/>
      <c r="ZG395" s="32"/>
      <c r="ZH395" s="32"/>
      <c r="ZI395" s="32"/>
      <c r="ZJ395" s="32"/>
      <c r="ZK395" s="32"/>
      <c r="ZL395" s="32"/>
      <c r="ZM395" s="32"/>
      <c r="ZN395" s="32"/>
      <c r="ZO395" s="32"/>
      <c r="ZP395" s="32"/>
      <c r="ZQ395" s="32"/>
      <c r="ZR395" s="32"/>
      <c r="ZS395" s="32"/>
      <c r="ZT395" s="32"/>
      <c r="ZU395" s="32"/>
      <c r="ZV395" s="32"/>
      <c r="ZW395" s="32"/>
      <c r="ZX395" s="32"/>
      <c r="ZY395" s="32"/>
      <c r="ZZ395" s="32"/>
      <c r="AAA395" s="588"/>
      <c r="AAD395" s="112"/>
      <c r="AAE395" s="551" t="s">
        <v>20</v>
      </c>
      <c r="AAF395" s="583" t="s">
        <v>174</v>
      </c>
      <c r="AAG395" s="63"/>
      <c r="AAH395" s="63"/>
      <c r="AAI395" s="77"/>
      <c r="AAJ395" s="57"/>
      <c r="AAK395" s="57"/>
      <c r="AAL395" s="57"/>
      <c r="AAM395" s="112"/>
      <c r="AAN395"/>
      <c r="AAT395" s="23"/>
      <c r="AAU395" s="44"/>
    </row>
    <row r="396" spans="1:732" ht="15" customHeight="1" outlineLevel="1">
      <c r="A396" s="558"/>
      <c r="B396" s="462" t="s">
        <v>155</v>
      </c>
      <c r="C396" s="187"/>
      <c r="D396" s="277" t="s">
        <v>151</v>
      </c>
      <c r="E396" s="436">
        <f t="shared" ref="E396" si="980">NETWORKDAYS(G396,H396,S.DDL_DEQClosed)</f>
        <v>100</v>
      </c>
      <c r="F396" s="491">
        <f t="shared" ref="F396" ca="1" si="981">NETWORKDAYS(TODAY(),H396)</f>
        <v>19</v>
      </c>
      <c r="G396" s="437">
        <f t="shared" ref="G396:H396" si="982">AAG396</f>
        <v>41530</v>
      </c>
      <c r="H396" s="437">
        <f t="shared" si="982"/>
        <v>41676</v>
      </c>
      <c r="I396" s="627"/>
      <c r="J396" s="640"/>
      <c r="K396" s="641"/>
      <c r="L396" s="641"/>
      <c r="M396" s="641"/>
      <c r="N396" s="641"/>
      <c r="O396" s="641"/>
      <c r="P396" s="641"/>
      <c r="Q396" s="641"/>
      <c r="R396" s="641"/>
      <c r="S396" s="641"/>
      <c r="T396" s="641"/>
      <c r="U396" s="641"/>
      <c r="V396" s="641"/>
      <c r="W396" s="641"/>
      <c r="X396" s="641"/>
      <c r="Y396" s="641"/>
      <c r="Z396" s="641"/>
      <c r="AA396" s="641"/>
      <c r="AB396" s="641"/>
      <c r="AC396" s="641"/>
      <c r="AD396" s="641"/>
      <c r="AE396" s="641"/>
      <c r="AF396" s="641"/>
      <c r="AG396" s="641"/>
      <c r="AH396" s="641"/>
      <c r="AI396" s="641"/>
      <c r="AJ396" s="641"/>
      <c r="AK396" s="641"/>
      <c r="AL396" s="641"/>
      <c r="AM396" s="641"/>
      <c r="AN396" s="641"/>
      <c r="AO396" s="641"/>
      <c r="AP396" s="641"/>
      <c r="AQ396" s="641"/>
      <c r="AR396" s="641"/>
      <c r="AS396" s="641"/>
      <c r="AT396" s="641"/>
      <c r="AU396" s="641"/>
      <c r="AV396" s="641"/>
      <c r="AW396" s="641"/>
      <c r="AX396" s="641"/>
      <c r="AY396" s="641"/>
      <c r="AZ396" s="641"/>
      <c r="BA396" s="641"/>
      <c r="BB396" s="641"/>
      <c r="BC396" s="641"/>
      <c r="BD396" s="641"/>
      <c r="BE396" s="641"/>
      <c r="BF396" s="641"/>
      <c r="BG396" s="641"/>
      <c r="BH396" s="641"/>
      <c r="BI396" s="641"/>
      <c r="BJ396" s="641"/>
      <c r="BK396" s="641"/>
      <c r="BL396" s="641"/>
      <c r="BM396" s="641"/>
      <c r="BN396" s="641"/>
      <c r="BO396" s="641"/>
      <c r="BP396" s="641"/>
      <c r="BQ396" s="641"/>
      <c r="BR396" s="641"/>
      <c r="BS396" s="641"/>
      <c r="BT396" s="641"/>
      <c r="BU396" s="641"/>
      <c r="BV396" s="641"/>
      <c r="BW396" s="641"/>
      <c r="BX396" s="641"/>
      <c r="BY396" s="641"/>
      <c r="BZ396" s="641"/>
      <c r="CA396" s="641"/>
      <c r="CB396" s="641"/>
      <c r="CC396" s="641"/>
      <c r="CD396" s="641"/>
      <c r="CE396" s="641"/>
      <c r="CF396" s="641"/>
      <c r="CG396" s="641"/>
      <c r="CH396" s="641"/>
      <c r="CI396" s="641"/>
      <c r="CJ396" s="641"/>
      <c r="CK396" s="641"/>
      <c r="CL396" s="641"/>
      <c r="CM396" s="641"/>
      <c r="CN396" s="641"/>
      <c r="CO396" s="641"/>
      <c r="CP396" s="641"/>
      <c r="CQ396" s="641"/>
      <c r="CR396" s="641"/>
      <c r="CS396" s="641"/>
      <c r="CT396" s="641"/>
      <c r="CU396" s="641"/>
      <c r="CV396" s="641"/>
      <c r="CW396" s="641"/>
      <c r="CX396" s="641"/>
      <c r="CY396" s="641"/>
      <c r="CZ396" s="641"/>
      <c r="DA396" s="641"/>
      <c r="DB396" s="641"/>
      <c r="DC396" s="641"/>
      <c r="DD396" s="641"/>
      <c r="DE396" s="641"/>
      <c r="DF396" s="641"/>
      <c r="DG396" s="641"/>
      <c r="DH396" s="641"/>
      <c r="DI396" s="641"/>
      <c r="DJ396" s="641"/>
      <c r="DK396" s="641"/>
      <c r="DL396" s="641"/>
      <c r="DM396" s="641"/>
      <c r="DN396" s="641"/>
      <c r="DO396" s="641"/>
      <c r="DP396" s="641"/>
      <c r="DQ396" s="641"/>
      <c r="DR396" s="641"/>
      <c r="DS396" s="641"/>
      <c r="DT396" s="641"/>
      <c r="DU396" s="641"/>
      <c r="DV396" s="641"/>
      <c r="DW396" s="641"/>
      <c r="DX396" s="641"/>
      <c r="DY396" s="641"/>
      <c r="DZ396" s="641"/>
      <c r="EA396" s="641"/>
      <c r="EB396" s="641"/>
      <c r="EC396" s="641"/>
      <c r="ED396" s="641"/>
      <c r="EE396" s="641"/>
      <c r="EF396" s="641"/>
      <c r="EG396" s="641"/>
      <c r="EH396" s="641"/>
      <c r="EI396" s="641"/>
      <c r="EJ396" s="641"/>
      <c r="EK396" s="641"/>
      <c r="EL396" s="641"/>
      <c r="EM396" s="641"/>
      <c r="EN396" s="641"/>
      <c r="EO396" s="641"/>
      <c r="EP396" s="641"/>
      <c r="EQ396" s="641"/>
      <c r="ER396" s="641"/>
      <c r="ES396" s="641"/>
      <c r="ET396" s="641"/>
      <c r="EU396" s="641"/>
      <c r="EV396" s="641"/>
      <c r="EW396" s="641"/>
      <c r="EX396" s="641"/>
      <c r="EY396" s="641"/>
      <c r="EZ396" s="641"/>
      <c r="FA396" s="641"/>
      <c r="FB396" s="641"/>
      <c r="FC396" s="641"/>
      <c r="FD396" s="641"/>
      <c r="FE396" s="641"/>
      <c r="FF396" s="641"/>
      <c r="FG396" s="641"/>
      <c r="FH396" s="641"/>
      <c r="FI396" s="641"/>
      <c r="FJ396" s="641"/>
      <c r="FK396" s="641"/>
      <c r="FL396" s="641"/>
      <c r="FM396" s="641"/>
      <c r="FN396" s="641"/>
      <c r="FO396" s="641"/>
      <c r="FP396" s="641"/>
      <c r="FQ396" s="641"/>
      <c r="FR396" s="641"/>
      <c r="FS396" s="641"/>
      <c r="FT396" s="641"/>
      <c r="FU396" s="641"/>
      <c r="FV396" s="641"/>
      <c r="FW396" s="641"/>
      <c r="FX396" s="641"/>
      <c r="FY396" s="641"/>
      <c r="FZ396" s="641"/>
      <c r="GA396" s="641"/>
      <c r="GB396" s="641"/>
      <c r="GC396" s="641"/>
      <c r="GD396" s="641"/>
      <c r="GE396" s="641"/>
      <c r="GF396" s="641"/>
      <c r="GG396" s="641"/>
      <c r="GH396" s="641"/>
      <c r="GI396" s="641"/>
      <c r="GJ396" s="641"/>
      <c r="GK396" s="641"/>
      <c r="GL396" s="641"/>
      <c r="GM396" s="641"/>
      <c r="GN396" s="641"/>
      <c r="GO396" s="641"/>
      <c r="GP396" s="641"/>
      <c r="GQ396" s="641"/>
      <c r="GR396" s="641"/>
      <c r="GS396" s="641"/>
      <c r="GT396" s="641"/>
      <c r="GU396" s="641"/>
      <c r="GV396" s="641"/>
      <c r="GW396" s="641"/>
      <c r="GX396" s="641"/>
      <c r="GY396" s="641"/>
      <c r="GZ396" s="641"/>
      <c r="HA396" s="641"/>
      <c r="HB396" s="641"/>
      <c r="HC396" s="641"/>
      <c r="HD396" s="641"/>
      <c r="HE396" s="641"/>
      <c r="HF396" s="641"/>
      <c r="HG396" s="641"/>
      <c r="HH396" s="641"/>
      <c r="HI396" s="641"/>
      <c r="HJ396" s="641"/>
      <c r="HK396" s="641"/>
      <c r="HL396" s="641"/>
      <c r="HM396" s="641"/>
      <c r="HN396" s="641"/>
      <c r="HO396" s="641"/>
      <c r="HP396" s="641"/>
      <c r="HQ396" s="641"/>
      <c r="HR396" s="641"/>
      <c r="HS396" s="641"/>
      <c r="HT396" s="641"/>
      <c r="HU396" s="641"/>
      <c r="HV396" s="641"/>
      <c r="HW396" s="641"/>
      <c r="HX396" s="641"/>
      <c r="HY396" s="641"/>
      <c r="HZ396" s="641"/>
      <c r="IA396" s="641"/>
      <c r="IB396" s="641"/>
      <c r="IC396" s="641"/>
      <c r="ID396" s="641"/>
      <c r="IE396" s="641"/>
      <c r="IF396" s="641"/>
      <c r="IG396" s="641"/>
      <c r="IH396" s="641"/>
      <c r="II396" s="641"/>
      <c r="IJ396" s="641"/>
      <c r="IK396" s="641"/>
      <c r="IL396" s="641"/>
      <c r="IM396" s="641"/>
      <c r="IN396" s="641"/>
      <c r="IO396" s="641"/>
      <c r="IP396" s="641"/>
      <c r="IQ396" s="641"/>
      <c r="IR396" s="641"/>
      <c r="IS396" s="641"/>
      <c r="IT396" s="641"/>
      <c r="IU396" s="641"/>
      <c r="IV396" s="641"/>
      <c r="IW396" s="641"/>
      <c r="IX396" s="641"/>
      <c r="IY396" s="641"/>
      <c r="IZ396" s="641"/>
      <c r="JA396" s="641"/>
      <c r="JB396" s="641"/>
      <c r="JC396" s="641"/>
      <c r="JD396" s="641"/>
      <c r="JE396" s="641"/>
      <c r="JF396" s="641"/>
      <c r="JG396" s="641"/>
      <c r="JH396" s="641"/>
      <c r="JI396" s="641"/>
      <c r="JJ396" s="641"/>
      <c r="JK396" s="641"/>
      <c r="JL396" s="641"/>
      <c r="JM396" s="641"/>
      <c r="JN396" s="641"/>
      <c r="JO396" s="641"/>
      <c r="JP396" s="641"/>
      <c r="JQ396" s="641"/>
      <c r="JR396" s="641"/>
      <c r="JS396" s="641"/>
      <c r="JT396" s="641"/>
      <c r="JU396" s="641"/>
      <c r="JV396" s="641"/>
      <c r="JW396" s="641"/>
      <c r="JX396" s="641"/>
      <c r="JY396" s="641"/>
      <c r="JZ396" s="641"/>
      <c r="KA396" s="641"/>
      <c r="KB396" s="641"/>
      <c r="KC396" s="641"/>
      <c r="KD396" s="641"/>
      <c r="KE396" s="641"/>
      <c r="KF396" s="641"/>
      <c r="KG396" s="641"/>
      <c r="KH396" s="641"/>
      <c r="KI396" s="641"/>
      <c r="KJ396" s="641"/>
      <c r="KK396" s="641"/>
      <c r="KL396" s="641"/>
      <c r="KM396" s="641"/>
      <c r="KN396" s="641"/>
      <c r="KO396" s="641"/>
      <c r="KP396" s="641"/>
      <c r="KQ396" s="641"/>
      <c r="KR396" s="641"/>
      <c r="KS396" s="641"/>
      <c r="KT396" s="641"/>
      <c r="KU396" s="641"/>
      <c r="KV396" s="641"/>
      <c r="KW396" s="641"/>
      <c r="KX396" s="641"/>
      <c r="KY396" s="641"/>
      <c r="KZ396" s="641"/>
      <c r="LA396" s="641"/>
      <c r="LB396" s="641"/>
      <c r="LC396" s="641"/>
      <c r="LD396" s="641"/>
      <c r="LE396" s="641"/>
      <c r="LF396" s="641"/>
      <c r="LG396" s="641"/>
      <c r="LH396" s="641"/>
      <c r="LI396" s="641"/>
      <c r="LJ396" s="641"/>
      <c r="LK396" s="641"/>
      <c r="LL396" s="641"/>
      <c r="LM396" s="641"/>
      <c r="LN396" s="641"/>
      <c r="LO396" s="641"/>
      <c r="LP396" s="641"/>
      <c r="LQ396" s="641"/>
      <c r="LR396" s="641"/>
      <c r="LS396" s="641"/>
      <c r="LT396" s="641"/>
      <c r="LU396" s="641"/>
      <c r="LV396" s="641"/>
      <c r="LW396" s="641"/>
      <c r="LX396" s="641"/>
      <c r="LY396" s="641"/>
      <c r="LZ396" s="641"/>
      <c r="MA396" s="641"/>
      <c r="MB396" s="641"/>
      <c r="MC396" s="641"/>
      <c r="MD396" s="641"/>
      <c r="ME396" s="641"/>
      <c r="MF396" s="641"/>
      <c r="MG396" s="641"/>
      <c r="MH396" s="641"/>
      <c r="MI396" s="641"/>
      <c r="MJ396" s="641"/>
      <c r="MK396" s="641"/>
      <c r="ML396" s="641"/>
      <c r="MM396" s="641"/>
      <c r="MN396" s="641"/>
      <c r="MO396" s="641"/>
      <c r="MP396" s="641"/>
      <c r="MQ396" s="641"/>
      <c r="MR396" s="641"/>
      <c r="MS396" s="641"/>
      <c r="MT396" s="641"/>
      <c r="MU396" s="641"/>
      <c r="MV396" s="641"/>
      <c r="MW396" s="641"/>
      <c r="MX396" s="641"/>
      <c r="MY396" s="641"/>
      <c r="MZ396" s="641"/>
      <c r="NA396" s="641"/>
      <c r="NB396" s="641"/>
      <c r="NC396" s="641"/>
      <c r="ND396" s="641"/>
      <c r="NE396" s="641"/>
      <c r="NF396" s="641"/>
      <c r="NG396" s="641"/>
      <c r="NH396" s="641"/>
      <c r="NI396" s="641"/>
      <c r="NJ396" s="641"/>
      <c r="NK396" s="641"/>
      <c r="NL396" s="641"/>
      <c r="NM396" s="641"/>
      <c r="NN396" s="641"/>
      <c r="NO396" s="641"/>
      <c r="NP396" s="641"/>
      <c r="NQ396" s="641"/>
      <c r="NR396" s="641"/>
      <c r="NS396" s="641"/>
      <c r="NT396" s="641"/>
      <c r="NU396" s="641"/>
      <c r="NV396" s="641"/>
      <c r="NW396" s="641"/>
      <c r="NX396" s="641"/>
      <c r="NY396" s="641"/>
      <c r="NZ396" s="641"/>
      <c r="OA396" s="641"/>
      <c r="OB396" s="641"/>
      <c r="OC396" s="641"/>
      <c r="OD396" s="641"/>
      <c r="OE396" s="641"/>
      <c r="OF396" s="641"/>
      <c r="OG396" s="641"/>
      <c r="OH396" s="641"/>
      <c r="OI396" s="641"/>
      <c r="OJ396" s="641"/>
      <c r="OK396" s="641"/>
      <c r="OL396" s="641"/>
      <c r="OM396" s="641"/>
      <c r="ON396" s="641"/>
      <c r="OO396" s="641"/>
      <c r="OP396" s="641"/>
      <c r="OQ396" s="641"/>
      <c r="OR396" s="641"/>
      <c r="OS396" s="641"/>
      <c r="OT396" s="641"/>
      <c r="OU396" s="641"/>
      <c r="OV396" s="641"/>
      <c r="OW396" s="641"/>
      <c r="OX396" s="641"/>
      <c r="OY396" s="641"/>
      <c r="OZ396" s="641"/>
      <c r="PA396" s="641"/>
      <c r="PB396" s="641"/>
      <c r="PC396" s="641"/>
      <c r="PD396" s="641"/>
      <c r="PE396" s="641"/>
      <c r="PF396" s="641"/>
      <c r="PG396" s="641"/>
      <c r="PH396" s="641"/>
      <c r="PI396" s="641"/>
      <c r="PJ396" s="641"/>
      <c r="PK396" s="641"/>
      <c r="PL396" s="641"/>
      <c r="PM396" s="641"/>
      <c r="PN396" s="641"/>
      <c r="PO396" s="641"/>
      <c r="PP396" s="641"/>
      <c r="PQ396" s="641"/>
      <c r="PR396" s="641"/>
      <c r="PS396" s="641"/>
      <c r="PT396" s="641"/>
      <c r="PU396" s="641"/>
      <c r="PV396" s="641"/>
      <c r="PW396" s="641"/>
      <c r="PX396" s="641"/>
      <c r="PY396" s="641"/>
      <c r="PZ396" s="641"/>
      <c r="QA396" s="641"/>
      <c r="QB396" s="641"/>
      <c r="QC396" s="641"/>
      <c r="QD396" s="641"/>
      <c r="QE396" s="641"/>
      <c r="QF396" s="641"/>
      <c r="QG396" s="641"/>
      <c r="QH396" s="641"/>
      <c r="QI396" s="641"/>
      <c r="QJ396" s="641"/>
      <c r="QK396" s="641"/>
      <c r="QL396" s="641"/>
      <c r="QM396" s="641"/>
      <c r="QN396" s="641"/>
      <c r="QO396" s="641"/>
      <c r="QP396" s="641"/>
      <c r="QQ396" s="641"/>
      <c r="QR396" s="641"/>
      <c r="QS396" s="641"/>
      <c r="QT396" s="641"/>
      <c r="QU396" s="641"/>
      <c r="QV396" s="641"/>
      <c r="QW396" s="641"/>
      <c r="QX396" s="641"/>
      <c r="QY396" s="641"/>
      <c r="QZ396" s="641"/>
      <c r="RA396" s="641"/>
      <c r="RB396" s="641"/>
      <c r="RC396" s="641"/>
      <c r="RD396" s="641"/>
      <c r="RE396" s="641"/>
      <c r="RF396" s="641"/>
      <c r="RG396" s="641"/>
      <c r="RH396" s="641"/>
      <c r="RI396" s="641"/>
      <c r="RJ396" s="641"/>
      <c r="RK396" s="641"/>
      <c r="RL396" s="641"/>
      <c r="RM396" s="641"/>
      <c r="RN396" s="641"/>
      <c r="RO396" s="641"/>
      <c r="RP396" s="641"/>
      <c r="RQ396" s="641"/>
      <c r="RR396" s="641"/>
      <c r="RS396" s="641"/>
      <c r="RT396" s="641"/>
      <c r="RU396" s="641"/>
      <c r="RV396" s="641"/>
      <c r="RW396" s="641"/>
      <c r="RX396" s="641"/>
      <c r="RY396" s="641"/>
      <c r="RZ396" s="641"/>
      <c r="SA396" s="641"/>
      <c r="SB396" s="641"/>
      <c r="SC396" s="641"/>
      <c r="SD396" s="641"/>
      <c r="SE396" s="641"/>
      <c r="SF396" s="641"/>
      <c r="SG396" s="641"/>
      <c r="SH396" s="641"/>
      <c r="SI396" s="641"/>
      <c r="SJ396" s="641"/>
      <c r="SK396" s="641"/>
      <c r="SL396" s="641"/>
      <c r="SM396" s="641"/>
      <c r="SN396" s="641"/>
      <c r="SO396" s="641"/>
      <c r="SP396" s="641"/>
      <c r="SQ396" s="641"/>
      <c r="SR396" s="641"/>
      <c r="SS396" s="641"/>
      <c r="ST396" s="641"/>
      <c r="SU396" s="641"/>
      <c r="SV396" s="641"/>
      <c r="SW396" s="641"/>
      <c r="SX396" s="641"/>
      <c r="SY396" s="641"/>
      <c r="SZ396" s="641"/>
      <c r="TA396" s="641"/>
      <c r="TB396" s="641"/>
      <c r="TC396" s="641"/>
      <c r="TD396" s="641"/>
      <c r="TE396" s="641"/>
      <c r="TF396" s="641"/>
      <c r="TG396" s="641"/>
      <c r="TH396" s="641"/>
      <c r="TI396" s="641"/>
      <c r="TJ396" s="641"/>
      <c r="TK396" s="641"/>
      <c r="TL396" s="641"/>
      <c r="TM396" s="641"/>
      <c r="TN396" s="641"/>
      <c r="TO396" s="641"/>
      <c r="TP396" s="641"/>
      <c r="TQ396" s="641"/>
      <c r="TR396" s="641"/>
      <c r="TS396" s="641"/>
      <c r="TT396" s="641"/>
      <c r="TU396" s="641"/>
      <c r="TV396" s="641"/>
      <c r="TW396" s="641"/>
      <c r="TX396" s="641"/>
      <c r="TY396" s="641"/>
      <c r="TZ396" s="641"/>
      <c r="UA396" s="641"/>
      <c r="UB396" s="641"/>
      <c r="UC396" s="641"/>
      <c r="UD396" s="641"/>
      <c r="UE396" s="641"/>
      <c r="UF396" s="641"/>
      <c r="UG396" s="641"/>
      <c r="UH396" s="641"/>
      <c r="UI396" s="641"/>
      <c r="UJ396" s="641"/>
      <c r="UK396" s="641"/>
      <c r="UL396" s="641"/>
      <c r="UM396" s="641"/>
      <c r="UN396" s="641"/>
      <c r="UO396" s="641"/>
      <c r="UP396" s="641"/>
      <c r="UQ396" s="641"/>
      <c r="UR396" s="641"/>
      <c r="US396" s="641"/>
      <c r="UT396" s="641"/>
      <c r="UU396" s="641"/>
      <c r="UV396" s="641"/>
      <c r="UW396" s="641"/>
      <c r="UX396" s="641"/>
      <c r="UY396" s="641"/>
      <c r="UZ396" s="641"/>
      <c r="VA396" s="641"/>
      <c r="VB396" s="641"/>
      <c r="VC396" s="641"/>
      <c r="VD396" s="641"/>
      <c r="VE396" s="641"/>
      <c r="VF396" s="641"/>
      <c r="VG396" s="641"/>
      <c r="VH396" s="641"/>
      <c r="VI396" s="641"/>
      <c r="VJ396" s="641"/>
      <c r="VK396" s="641"/>
      <c r="VL396" s="641"/>
      <c r="VM396" s="641"/>
      <c r="VN396" s="641"/>
      <c r="VO396" s="641"/>
      <c r="VP396" s="641"/>
      <c r="VQ396" s="641"/>
      <c r="VR396" s="641"/>
      <c r="VS396" s="641"/>
      <c r="VT396" s="641"/>
      <c r="VU396" s="641"/>
      <c r="VV396" s="641"/>
      <c r="VW396" s="641"/>
      <c r="VX396" s="641"/>
      <c r="VY396" s="641"/>
      <c r="VZ396" s="641"/>
      <c r="WA396" s="641"/>
      <c r="WB396" s="641"/>
      <c r="WC396" s="641"/>
      <c r="WD396" s="641"/>
      <c r="WE396" s="641"/>
      <c r="WF396" s="641"/>
      <c r="WG396" s="641"/>
      <c r="WH396" s="641"/>
      <c r="WI396" s="641"/>
      <c r="WJ396" s="641"/>
      <c r="WK396" s="641"/>
      <c r="WL396" s="641"/>
      <c r="WM396" s="641"/>
      <c r="WN396" s="641"/>
      <c r="WO396" s="641"/>
      <c r="WP396" s="641"/>
      <c r="WQ396" s="641"/>
      <c r="WR396" s="641"/>
      <c r="WS396" s="641"/>
      <c r="WT396" s="641"/>
      <c r="WU396" s="641"/>
      <c r="WV396" s="641"/>
      <c r="WW396" s="641"/>
      <c r="WX396" s="641"/>
      <c r="WY396" s="641"/>
      <c r="WZ396" s="641"/>
      <c r="XA396" s="641"/>
      <c r="XB396" s="641"/>
      <c r="XC396" s="641"/>
      <c r="XD396" s="641"/>
      <c r="XE396" s="641"/>
      <c r="XF396" s="641"/>
      <c r="XG396" s="641"/>
      <c r="XH396" s="641"/>
      <c r="XI396" s="641"/>
      <c r="XJ396" s="641"/>
      <c r="XK396" s="641"/>
      <c r="XL396" s="641"/>
      <c r="XM396" s="641"/>
      <c r="XN396" s="641"/>
      <c r="XO396" s="641"/>
      <c r="XP396" s="641"/>
      <c r="XQ396" s="641"/>
      <c r="XR396" s="641"/>
      <c r="XS396" s="641"/>
      <c r="XT396" s="641"/>
      <c r="XU396" s="641"/>
      <c r="XV396" s="641"/>
      <c r="XW396" s="641"/>
      <c r="XX396" s="641"/>
      <c r="XY396" s="641"/>
      <c r="XZ396" s="641"/>
      <c r="YA396" s="641"/>
      <c r="YB396" s="641"/>
      <c r="YC396" s="641"/>
      <c r="YD396" s="641"/>
      <c r="YE396" s="641"/>
      <c r="YF396" s="641"/>
      <c r="YG396" s="641"/>
      <c r="YH396" s="641"/>
      <c r="YI396" s="641"/>
      <c r="YJ396" s="641"/>
      <c r="YK396" s="641"/>
      <c r="YL396" s="641"/>
      <c r="YM396" s="641"/>
      <c r="YN396" s="641"/>
      <c r="YO396" s="641"/>
      <c r="YP396" s="641"/>
      <c r="YQ396" s="641"/>
      <c r="YR396" s="641"/>
      <c r="YS396" s="641"/>
      <c r="YT396" s="641"/>
      <c r="YU396" s="641"/>
      <c r="YV396" s="641"/>
      <c r="YW396" s="641"/>
      <c r="YX396" s="641"/>
      <c r="YY396" s="641"/>
      <c r="YZ396" s="641"/>
      <c r="ZA396" s="641"/>
      <c r="ZB396" s="641"/>
      <c r="ZC396" s="641"/>
      <c r="ZD396" s="641"/>
      <c r="ZE396" s="641"/>
      <c r="ZF396" s="641"/>
      <c r="ZG396" s="641"/>
      <c r="ZH396" s="641"/>
      <c r="ZI396" s="641"/>
      <c r="ZJ396" s="641"/>
      <c r="ZK396" s="641"/>
      <c r="ZL396" s="641"/>
      <c r="ZM396" s="641"/>
      <c r="ZN396" s="641"/>
      <c r="ZO396" s="641"/>
      <c r="ZP396" s="641"/>
      <c r="ZQ396" s="641"/>
      <c r="ZR396" s="641"/>
      <c r="ZS396" s="641"/>
      <c r="ZT396" s="641"/>
      <c r="ZU396" s="641"/>
      <c r="ZV396" s="641"/>
      <c r="ZW396" s="641"/>
      <c r="ZX396" s="641"/>
      <c r="ZY396" s="50"/>
      <c r="ZZ396" s="50"/>
      <c r="AAA396" s="588"/>
      <c r="AAD396" s="112"/>
      <c r="AAE396" s="551">
        <v>1</v>
      </c>
      <c r="AAF396" s="112"/>
      <c r="AAG396" s="78">
        <f>S.BANNER.EQCStart</f>
        <v>41530</v>
      </c>
      <c r="AAH396" s="78">
        <f>S.SubmitStaffRpt</f>
        <v>41676</v>
      </c>
      <c r="AAI396" s="77"/>
      <c r="AAJ396" s="57"/>
      <c r="AAK396" s="57"/>
      <c r="AAL396" s="57"/>
      <c r="AAM396" s="112"/>
      <c r="AAN396"/>
      <c r="AAT396" s="23"/>
      <c r="AAU396" s="44"/>
    </row>
    <row r="397" spans="1:732" s="23" customFormat="1" ht="15" customHeight="1" outlineLevel="1">
      <c r="A397" s="558" t="s">
        <v>216</v>
      </c>
      <c r="B397" s="480" t="str">
        <f>AAJ397</f>
        <v>STAFF.RPT.Permanent (blank in folder 6)</v>
      </c>
      <c r="C397" s="187"/>
      <c r="D397" s="277"/>
      <c r="E397" s="191"/>
      <c r="F397" s="495"/>
      <c r="G397" s="732"/>
      <c r="H397" s="732"/>
      <c r="I397" s="588"/>
      <c r="J397" s="640"/>
      <c r="K397" s="641"/>
      <c r="L397" s="641"/>
      <c r="M397" s="641"/>
      <c r="N397" s="641"/>
      <c r="O397" s="641"/>
      <c r="P397" s="641"/>
      <c r="Q397" s="641"/>
      <c r="R397" s="641"/>
      <c r="S397" s="641"/>
      <c r="T397" s="641"/>
      <c r="U397" s="641"/>
      <c r="V397" s="641"/>
      <c r="W397" s="641"/>
      <c r="X397" s="641"/>
      <c r="Y397" s="641"/>
      <c r="Z397" s="641"/>
      <c r="AA397" s="641"/>
      <c r="AB397" s="641"/>
      <c r="AC397" s="641"/>
      <c r="AD397" s="641"/>
      <c r="AE397" s="641"/>
      <c r="AF397" s="641"/>
      <c r="AG397" s="641"/>
      <c r="AH397" s="641"/>
      <c r="AI397" s="641"/>
      <c r="AJ397" s="641"/>
      <c r="AK397" s="641"/>
      <c r="AL397" s="641"/>
      <c r="AM397" s="641"/>
      <c r="AN397" s="641"/>
      <c r="AO397" s="641"/>
      <c r="AP397" s="641"/>
      <c r="AQ397" s="641"/>
      <c r="AR397" s="641"/>
      <c r="AS397" s="641"/>
      <c r="AT397" s="641"/>
      <c r="AU397" s="641"/>
      <c r="AV397" s="641"/>
      <c r="AW397" s="641"/>
      <c r="AX397" s="641"/>
      <c r="AY397" s="641"/>
      <c r="AZ397" s="641"/>
      <c r="BA397" s="641"/>
      <c r="BB397" s="641"/>
      <c r="BC397" s="641"/>
      <c r="BD397" s="641"/>
      <c r="BE397" s="641"/>
      <c r="BF397" s="641"/>
      <c r="BG397" s="641"/>
      <c r="BH397" s="641"/>
      <c r="BI397" s="641"/>
      <c r="BJ397" s="641"/>
      <c r="BK397" s="641"/>
      <c r="BL397" s="641"/>
      <c r="BM397" s="641"/>
      <c r="BN397" s="641"/>
      <c r="BO397" s="641"/>
      <c r="BP397" s="641"/>
      <c r="BQ397" s="641"/>
      <c r="BR397" s="641"/>
      <c r="BS397" s="641"/>
      <c r="BT397" s="641"/>
      <c r="BU397" s="641"/>
      <c r="BV397" s="641"/>
      <c r="BW397" s="641"/>
      <c r="BX397" s="641"/>
      <c r="BY397" s="641"/>
      <c r="BZ397" s="641"/>
      <c r="CA397" s="641"/>
      <c r="CB397" s="641"/>
      <c r="CC397" s="641"/>
      <c r="CD397" s="641"/>
      <c r="CE397" s="641"/>
      <c r="CF397" s="641"/>
      <c r="CG397" s="641"/>
      <c r="CH397" s="641"/>
      <c r="CI397" s="641"/>
      <c r="CJ397" s="641"/>
      <c r="CK397" s="641"/>
      <c r="CL397" s="641"/>
      <c r="CM397" s="641"/>
      <c r="CN397" s="641"/>
      <c r="CO397" s="641"/>
      <c r="CP397" s="641"/>
      <c r="CQ397" s="641"/>
      <c r="CR397" s="641"/>
      <c r="CS397" s="641"/>
      <c r="CT397" s="641"/>
      <c r="CU397" s="641"/>
      <c r="CV397" s="641"/>
      <c r="CW397" s="641"/>
      <c r="CX397" s="641"/>
      <c r="CY397" s="641"/>
      <c r="CZ397" s="641"/>
      <c r="DA397" s="641"/>
      <c r="DB397" s="641"/>
      <c r="DC397" s="641"/>
      <c r="DD397" s="641"/>
      <c r="DE397" s="641"/>
      <c r="DF397" s="641"/>
      <c r="DG397" s="641"/>
      <c r="DH397" s="641"/>
      <c r="DI397" s="641"/>
      <c r="DJ397" s="641"/>
      <c r="DK397" s="641"/>
      <c r="DL397" s="641"/>
      <c r="DM397" s="641"/>
      <c r="DN397" s="641"/>
      <c r="DO397" s="641"/>
      <c r="DP397" s="641"/>
      <c r="DQ397" s="641"/>
      <c r="DR397" s="641"/>
      <c r="DS397" s="641"/>
      <c r="DT397" s="641"/>
      <c r="DU397" s="641"/>
      <c r="DV397" s="641"/>
      <c r="DW397" s="641"/>
      <c r="DX397" s="641"/>
      <c r="DY397" s="641"/>
      <c r="DZ397" s="641"/>
      <c r="EA397" s="641"/>
      <c r="EB397" s="641"/>
      <c r="EC397" s="641"/>
      <c r="ED397" s="641"/>
      <c r="EE397" s="641"/>
      <c r="EF397" s="641"/>
      <c r="EG397" s="641"/>
      <c r="EH397" s="641"/>
      <c r="EI397" s="641"/>
      <c r="EJ397" s="641"/>
      <c r="EK397" s="641"/>
      <c r="EL397" s="641"/>
      <c r="EM397" s="641"/>
      <c r="EN397" s="641"/>
      <c r="EO397" s="641"/>
      <c r="EP397" s="641"/>
      <c r="EQ397" s="641"/>
      <c r="ER397" s="641"/>
      <c r="ES397" s="641"/>
      <c r="ET397" s="641"/>
      <c r="EU397" s="641"/>
      <c r="EV397" s="641"/>
      <c r="EW397" s="641"/>
      <c r="EX397" s="641"/>
      <c r="EY397" s="641"/>
      <c r="EZ397" s="641"/>
      <c r="FA397" s="641"/>
      <c r="FB397" s="641"/>
      <c r="FC397" s="641"/>
      <c r="FD397" s="641"/>
      <c r="FE397" s="641"/>
      <c r="FF397" s="641"/>
      <c r="FG397" s="641"/>
      <c r="FH397" s="641"/>
      <c r="FI397" s="641"/>
      <c r="FJ397" s="641"/>
      <c r="FK397" s="641"/>
      <c r="FL397" s="641"/>
      <c r="FM397" s="641"/>
      <c r="FN397" s="641"/>
      <c r="FO397" s="641"/>
      <c r="FP397" s="641"/>
      <c r="FQ397" s="641"/>
      <c r="FR397" s="641"/>
      <c r="FS397" s="641"/>
      <c r="FT397" s="641"/>
      <c r="FU397" s="641"/>
      <c r="FV397" s="641"/>
      <c r="FW397" s="641"/>
      <c r="FX397" s="641"/>
      <c r="FY397" s="641"/>
      <c r="FZ397" s="641"/>
      <c r="GA397" s="641"/>
      <c r="GB397" s="641"/>
      <c r="GC397" s="641"/>
      <c r="GD397" s="641"/>
      <c r="GE397" s="641"/>
      <c r="GF397" s="641"/>
      <c r="GG397" s="641"/>
      <c r="GH397" s="641"/>
      <c r="GI397" s="641"/>
      <c r="GJ397" s="641"/>
      <c r="GK397" s="641"/>
      <c r="GL397" s="641"/>
      <c r="GM397" s="641"/>
      <c r="GN397" s="641"/>
      <c r="GO397" s="641"/>
      <c r="GP397" s="641"/>
      <c r="GQ397" s="641"/>
      <c r="GR397" s="641"/>
      <c r="GS397" s="641"/>
      <c r="GT397" s="641"/>
      <c r="GU397" s="641"/>
      <c r="GV397" s="641"/>
      <c r="GW397" s="641"/>
      <c r="GX397" s="641"/>
      <c r="GY397" s="641"/>
      <c r="GZ397" s="641"/>
      <c r="HA397" s="641"/>
      <c r="HB397" s="641"/>
      <c r="HC397" s="641"/>
      <c r="HD397" s="641"/>
      <c r="HE397" s="641"/>
      <c r="HF397" s="641"/>
      <c r="HG397" s="641"/>
      <c r="HH397" s="641"/>
      <c r="HI397" s="641"/>
      <c r="HJ397" s="641"/>
      <c r="HK397" s="641"/>
      <c r="HL397" s="641"/>
      <c r="HM397" s="641"/>
      <c r="HN397" s="641"/>
      <c r="HO397" s="641"/>
      <c r="HP397" s="641"/>
      <c r="HQ397" s="641"/>
      <c r="HR397" s="641"/>
      <c r="HS397" s="641"/>
      <c r="HT397" s="641"/>
      <c r="HU397" s="641"/>
      <c r="HV397" s="641"/>
      <c r="HW397" s="641"/>
      <c r="HX397" s="641"/>
      <c r="HY397" s="641"/>
      <c r="HZ397" s="641"/>
      <c r="IA397" s="641"/>
      <c r="IB397" s="641"/>
      <c r="IC397" s="641"/>
      <c r="ID397" s="641"/>
      <c r="IE397" s="641"/>
      <c r="IF397" s="641"/>
      <c r="IG397" s="641"/>
      <c r="IH397" s="641"/>
      <c r="II397" s="641"/>
      <c r="IJ397" s="641"/>
      <c r="IK397" s="641"/>
      <c r="IL397" s="641"/>
      <c r="IM397" s="641"/>
      <c r="IN397" s="641"/>
      <c r="IO397" s="641"/>
      <c r="IP397" s="641"/>
      <c r="IQ397" s="641"/>
      <c r="IR397" s="641"/>
      <c r="IS397" s="641"/>
      <c r="IT397" s="641"/>
      <c r="IU397" s="641"/>
      <c r="IV397" s="641"/>
      <c r="IW397" s="641"/>
      <c r="IX397" s="641"/>
      <c r="IY397" s="641"/>
      <c r="IZ397" s="641"/>
      <c r="JA397" s="641"/>
      <c r="JB397" s="641"/>
      <c r="JC397" s="641"/>
      <c r="JD397" s="641"/>
      <c r="JE397" s="641"/>
      <c r="JF397" s="641"/>
      <c r="JG397" s="641"/>
      <c r="JH397" s="641"/>
      <c r="JI397" s="641"/>
      <c r="JJ397" s="641"/>
      <c r="JK397" s="641"/>
      <c r="JL397" s="641"/>
      <c r="JM397" s="641"/>
      <c r="JN397" s="641"/>
      <c r="JO397" s="641"/>
      <c r="JP397" s="641"/>
      <c r="JQ397" s="641"/>
      <c r="JR397" s="641"/>
      <c r="JS397" s="641"/>
      <c r="JT397" s="641"/>
      <c r="JU397" s="641"/>
      <c r="JV397" s="641"/>
      <c r="JW397" s="641"/>
      <c r="JX397" s="641"/>
      <c r="JY397" s="641"/>
      <c r="JZ397" s="641"/>
      <c r="KA397" s="641"/>
      <c r="KB397" s="641"/>
      <c r="KC397" s="641"/>
      <c r="KD397" s="641"/>
      <c r="KE397" s="641"/>
      <c r="KF397" s="641"/>
      <c r="KG397" s="641"/>
      <c r="KH397" s="641"/>
      <c r="KI397" s="641"/>
      <c r="KJ397" s="641"/>
      <c r="KK397" s="641"/>
      <c r="KL397" s="641"/>
      <c r="KM397" s="641"/>
      <c r="KN397" s="641"/>
      <c r="KO397" s="641"/>
      <c r="KP397" s="641"/>
      <c r="KQ397" s="641"/>
      <c r="KR397" s="641"/>
      <c r="KS397" s="641"/>
      <c r="KT397" s="641"/>
      <c r="KU397" s="641"/>
      <c r="KV397" s="641"/>
      <c r="KW397" s="641"/>
      <c r="KX397" s="641"/>
      <c r="KY397" s="641"/>
      <c r="KZ397" s="641"/>
      <c r="LA397" s="641"/>
      <c r="LB397" s="641"/>
      <c r="LC397" s="641"/>
      <c r="LD397" s="641"/>
      <c r="LE397" s="641"/>
      <c r="LF397" s="641"/>
      <c r="LG397" s="641"/>
      <c r="LH397" s="641"/>
      <c r="LI397" s="641"/>
      <c r="LJ397" s="641"/>
      <c r="LK397" s="641"/>
      <c r="LL397" s="641"/>
      <c r="LM397" s="641"/>
      <c r="LN397" s="641"/>
      <c r="LO397" s="641"/>
      <c r="LP397" s="641"/>
      <c r="LQ397" s="641"/>
      <c r="LR397" s="641"/>
      <c r="LS397" s="641"/>
      <c r="LT397" s="641"/>
      <c r="LU397" s="641"/>
      <c r="LV397" s="641"/>
      <c r="LW397" s="641"/>
      <c r="LX397" s="641"/>
      <c r="LY397" s="641"/>
      <c r="LZ397" s="641"/>
      <c r="MA397" s="641"/>
      <c r="MB397" s="641"/>
      <c r="MC397" s="641"/>
      <c r="MD397" s="641"/>
      <c r="ME397" s="641"/>
      <c r="MF397" s="641"/>
      <c r="MG397" s="641"/>
      <c r="MH397" s="641"/>
      <c r="MI397" s="641"/>
      <c r="MJ397" s="641"/>
      <c r="MK397" s="641"/>
      <c r="ML397" s="641"/>
      <c r="MM397" s="641"/>
      <c r="MN397" s="641"/>
      <c r="MO397" s="641"/>
      <c r="MP397" s="641"/>
      <c r="MQ397" s="641"/>
      <c r="MR397" s="641"/>
      <c r="MS397" s="641"/>
      <c r="MT397" s="641"/>
      <c r="MU397" s="641"/>
      <c r="MV397" s="641"/>
      <c r="MW397" s="641"/>
      <c r="MX397" s="641"/>
      <c r="MY397" s="641"/>
      <c r="MZ397" s="641"/>
      <c r="NA397" s="641"/>
      <c r="NB397" s="641"/>
      <c r="NC397" s="641"/>
      <c r="ND397" s="641"/>
      <c r="NE397" s="641"/>
      <c r="NF397" s="641"/>
      <c r="NG397" s="641"/>
      <c r="NH397" s="641"/>
      <c r="NI397" s="641"/>
      <c r="NJ397" s="641"/>
      <c r="NK397" s="641"/>
      <c r="NL397" s="641"/>
      <c r="NM397" s="641"/>
      <c r="NN397" s="641"/>
      <c r="NO397" s="641"/>
      <c r="NP397" s="641"/>
      <c r="NQ397" s="641"/>
      <c r="NR397" s="641"/>
      <c r="NS397" s="641"/>
      <c r="NT397" s="641"/>
      <c r="NU397" s="641"/>
      <c r="NV397" s="641"/>
      <c r="NW397" s="641"/>
      <c r="NX397" s="641"/>
      <c r="NY397" s="641"/>
      <c r="NZ397" s="641"/>
      <c r="OA397" s="641"/>
      <c r="OB397" s="641"/>
      <c r="OC397" s="641"/>
      <c r="OD397" s="641"/>
      <c r="OE397" s="641"/>
      <c r="OF397" s="641"/>
      <c r="OG397" s="641"/>
      <c r="OH397" s="641"/>
      <c r="OI397" s="641"/>
      <c r="OJ397" s="641"/>
      <c r="OK397" s="641"/>
      <c r="OL397" s="641"/>
      <c r="OM397" s="641"/>
      <c r="ON397" s="641"/>
      <c r="OO397" s="641"/>
      <c r="OP397" s="641"/>
      <c r="OQ397" s="641"/>
      <c r="OR397" s="641"/>
      <c r="OS397" s="641"/>
      <c r="OT397" s="641"/>
      <c r="OU397" s="641"/>
      <c r="OV397" s="641"/>
      <c r="OW397" s="641"/>
      <c r="OX397" s="641"/>
      <c r="OY397" s="641"/>
      <c r="OZ397" s="641"/>
      <c r="PA397" s="641"/>
      <c r="PB397" s="641"/>
      <c r="PC397" s="641"/>
      <c r="PD397" s="641"/>
      <c r="PE397" s="641"/>
      <c r="PF397" s="641"/>
      <c r="PG397" s="641"/>
      <c r="PH397" s="641"/>
      <c r="PI397" s="641"/>
      <c r="PJ397" s="641"/>
      <c r="PK397" s="641"/>
      <c r="PL397" s="641"/>
      <c r="PM397" s="641"/>
      <c r="PN397" s="641"/>
      <c r="PO397" s="641"/>
      <c r="PP397" s="641"/>
      <c r="PQ397" s="641"/>
      <c r="PR397" s="641"/>
      <c r="PS397" s="641"/>
      <c r="PT397" s="641"/>
      <c r="PU397" s="641"/>
      <c r="PV397" s="641"/>
      <c r="PW397" s="641"/>
      <c r="PX397" s="641"/>
      <c r="PY397" s="641"/>
      <c r="PZ397" s="641"/>
      <c r="QA397" s="641"/>
      <c r="QB397" s="641"/>
      <c r="QC397" s="641"/>
      <c r="QD397" s="641"/>
      <c r="QE397" s="641"/>
      <c r="QF397" s="641"/>
      <c r="QG397" s="641"/>
      <c r="QH397" s="641"/>
      <c r="QI397" s="641"/>
      <c r="QJ397" s="641"/>
      <c r="QK397" s="641"/>
      <c r="QL397" s="641"/>
      <c r="QM397" s="641"/>
      <c r="QN397" s="641"/>
      <c r="QO397" s="641"/>
      <c r="QP397" s="641"/>
      <c r="QQ397" s="641"/>
      <c r="QR397" s="641"/>
      <c r="QS397" s="641"/>
      <c r="QT397" s="641"/>
      <c r="QU397" s="641"/>
      <c r="QV397" s="641"/>
      <c r="QW397" s="641"/>
      <c r="QX397" s="641"/>
      <c r="QY397" s="641"/>
      <c r="QZ397" s="641"/>
      <c r="RA397" s="641"/>
      <c r="RB397" s="641"/>
      <c r="RC397" s="641"/>
      <c r="RD397" s="641"/>
      <c r="RE397" s="641"/>
      <c r="RF397" s="641"/>
      <c r="RG397" s="641"/>
      <c r="RH397" s="641"/>
      <c r="RI397" s="641"/>
      <c r="RJ397" s="641"/>
      <c r="RK397" s="641"/>
      <c r="RL397" s="641"/>
      <c r="RM397" s="641"/>
      <c r="RN397" s="641"/>
      <c r="RO397" s="641"/>
      <c r="RP397" s="641"/>
      <c r="RQ397" s="641"/>
      <c r="RR397" s="641"/>
      <c r="RS397" s="641"/>
      <c r="RT397" s="641"/>
      <c r="RU397" s="641"/>
      <c r="RV397" s="641"/>
      <c r="RW397" s="641"/>
      <c r="RX397" s="641"/>
      <c r="RY397" s="641"/>
      <c r="RZ397" s="641"/>
      <c r="SA397" s="641"/>
      <c r="SB397" s="641"/>
      <c r="SC397" s="641"/>
      <c r="SD397" s="641"/>
      <c r="SE397" s="641"/>
      <c r="SF397" s="641"/>
      <c r="SG397" s="641"/>
      <c r="SH397" s="641"/>
      <c r="SI397" s="641"/>
      <c r="SJ397" s="641"/>
      <c r="SK397" s="641"/>
      <c r="SL397" s="641"/>
      <c r="SM397" s="641"/>
      <c r="SN397" s="641"/>
      <c r="SO397" s="641"/>
      <c r="SP397" s="641"/>
      <c r="SQ397" s="641"/>
      <c r="SR397" s="641"/>
      <c r="SS397" s="641"/>
      <c r="ST397" s="641"/>
      <c r="SU397" s="641"/>
      <c r="SV397" s="641"/>
      <c r="SW397" s="641"/>
      <c r="SX397" s="641"/>
      <c r="SY397" s="641"/>
      <c r="SZ397" s="641"/>
      <c r="TA397" s="641"/>
      <c r="TB397" s="641"/>
      <c r="TC397" s="641"/>
      <c r="TD397" s="641"/>
      <c r="TE397" s="641"/>
      <c r="TF397" s="641"/>
      <c r="TG397" s="641"/>
      <c r="TH397" s="641"/>
      <c r="TI397" s="641"/>
      <c r="TJ397" s="641"/>
      <c r="TK397" s="641"/>
      <c r="TL397" s="641"/>
      <c r="TM397" s="641"/>
      <c r="TN397" s="641"/>
      <c r="TO397" s="641"/>
      <c r="TP397" s="641"/>
      <c r="TQ397" s="641"/>
      <c r="TR397" s="641"/>
      <c r="TS397" s="641"/>
      <c r="TT397" s="641"/>
      <c r="TU397" s="641"/>
      <c r="TV397" s="641"/>
      <c r="TW397" s="641"/>
      <c r="TX397" s="641"/>
      <c r="TY397" s="641"/>
      <c r="TZ397" s="641"/>
      <c r="UA397" s="641"/>
      <c r="UB397" s="641"/>
      <c r="UC397" s="641"/>
      <c r="UD397" s="641"/>
      <c r="UE397" s="641"/>
      <c r="UF397" s="641"/>
      <c r="UG397" s="641"/>
      <c r="UH397" s="641"/>
      <c r="UI397" s="641"/>
      <c r="UJ397" s="641"/>
      <c r="UK397" s="641"/>
      <c r="UL397" s="641"/>
      <c r="UM397" s="641"/>
      <c r="UN397" s="641"/>
      <c r="UO397" s="641"/>
      <c r="UP397" s="641"/>
      <c r="UQ397" s="641"/>
      <c r="UR397" s="641"/>
      <c r="US397" s="641"/>
      <c r="UT397" s="641"/>
      <c r="UU397" s="641"/>
      <c r="UV397" s="641"/>
      <c r="UW397" s="641"/>
      <c r="UX397" s="641"/>
      <c r="UY397" s="641"/>
      <c r="UZ397" s="641"/>
      <c r="VA397" s="641"/>
      <c r="VB397" s="641"/>
      <c r="VC397" s="641"/>
      <c r="VD397" s="641"/>
      <c r="VE397" s="641"/>
      <c r="VF397" s="641"/>
      <c r="VG397" s="641"/>
      <c r="VH397" s="641"/>
      <c r="VI397" s="641"/>
      <c r="VJ397" s="641"/>
      <c r="VK397" s="641"/>
      <c r="VL397" s="641"/>
      <c r="VM397" s="641"/>
      <c r="VN397" s="641"/>
      <c r="VO397" s="641"/>
      <c r="VP397" s="641"/>
      <c r="VQ397" s="641"/>
      <c r="VR397" s="641"/>
      <c r="VS397" s="641"/>
      <c r="VT397" s="641"/>
      <c r="VU397" s="641"/>
      <c r="VV397" s="641"/>
      <c r="VW397" s="641"/>
      <c r="VX397" s="641"/>
      <c r="VY397" s="641"/>
      <c r="VZ397" s="641"/>
      <c r="WA397" s="641"/>
      <c r="WB397" s="641"/>
      <c r="WC397" s="641"/>
      <c r="WD397" s="641"/>
      <c r="WE397" s="641"/>
      <c r="WF397" s="641"/>
      <c r="WG397" s="641"/>
      <c r="WH397" s="641"/>
      <c r="WI397" s="641"/>
      <c r="WJ397" s="641"/>
      <c r="WK397" s="641"/>
      <c r="WL397" s="641"/>
      <c r="WM397" s="641"/>
      <c r="WN397" s="641"/>
      <c r="WO397" s="641"/>
      <c r="WP397" s="641"/>
      <c r="WQ397" s="641"/>
      <c r="WR397" s="641"/>
      <c r="WS397" s="641"/>
      <c r="WT397" s="641"/>
      <c r="WU397" s="641"/>
      <c r="WV397" s="641"/>
      <c r="WW397" s="641"/>
      <c r="WX397" s="641"/>
      <c r="WY397" s="641"/>
      <c r="WZ397" s="641"/>
      <c r="XA397" s="641"/>
      <c r="XB397" s="641"/>
      <c r="XC397" s="641"/>
      <c r="XD397" s="641"/>
      <c r="XE397" s="641"/>
      <c r="XF397" s="641"/>
      <c r="XG397" s="641"/>
      <c r="XH397" s="641"/>
      <c r="XI397" s="641"/>
      <c r="XJ397" s="641"/>
      <c r="XK397" s="641"/>
      <c r="XL397" s="641"/>
      <c r="XM397" s="641"/>
      <c r="XN397" s="641"/>
      <c r="XO397" s="641"/>
      <c r="XP397" s="641"/>
      <c r="XQ397" s="641"/>
      <c r="XR397" s="641"/>
      <c r="XS397" s="641"/>
      <c r="XT397" s="641"/>
      <c r="XU397" s="641"/>
      <c r="XV397" s="641"/>
      <c r="XW397" s="641"/>
      <c r="XX397" s="641"/>
      <c r="XY397" s="641"/>
      <c r="XZ397" s="641"/>
      <c r="YA397" s="641"/>
      <c r="YB397" s="641"/>
      <c r="YC397" s="641"/>
      <c r="YD397" s="641"/>
      <c r="YE397" s="641"/>
      <c r="YF397" s="641"/>
      <c r="YG397" s="641"/>
      <c r="YH397" s="641"/>
      <c r="YI397" s="641"/>
      <c r="YJ397" s="641"/>
      <c r="YK397" s="641"/>
      <c r="YL397" s="641"/>
      <c r="YM397" s="641"/>
      <c r="YN397" s="641"/>
      <c r="YO397" s="641"/>
      <c r="YP397" s="641"/>
      <c r="YQ397" s="641"/>
      <c r="YR397" s="641"/>
      <c r="YS397" s="641"/>
      <c r="YT397" s="641"/>
      <c r="YU397" s="641"/>
      <c r="YV397" s="641"/>
      <c r="YW397" s="641"/>
      <c r="YX397" s="641"/>
      <c r="YY397" s="641"/>
      <c r="YZ397" s="641"/>
      <c r="ZA397" s="641"/>
      <c r="ZB397" s="641"/>
      <c r="ZC397" s="641"/>
      <c r="ZD397" s="641"/>
      <c r="ZE397" s="641"/>
      <c r="ZF397" s="641"/>
      <c r="ZG397" s="641"/>
      <c r="ZH397" s="641"/>
      <c r="ZI397" s="641"/>
      <c r="ZJ397" s="641"/>
      <c r="ZK397" s="641"/>
      <c r="ZL397" s="641"/>
      <c r="ZM397" s="641"/>
      <c r="ZN397" s="641"/>
      <c r="ZO397" s="641"/>
      <c r="ZP397" s="641"/>
      <c r="ZQ397" s="641"/>
      <c r="ZR397" s="641"/>
      <c r="ZS397" s="641"/>
      <c r="ZT397" s="641"/>
      <c r="ZU397" s="641"/>
      <c r="ZV397" s="641"/>
      <c r="ZW397" s="641"/>
      <c r="ZX397" s="641"/>
      <c r="ZY397" s="618"/>
      <c r="ZZ397" s="36"/>
      <c r="AAA397" s="588"/>
      <c r="AAD397" s="112"/>
      <c r="AAE397" s="551">
        <v>1</v>
      </c>
      <c r="AAF397" s="112"/>
      <c r="AAG397" s="78"/>
      <c r="AAH397" s="78"/>
      <c r="AAI397" s="77"/>
      <c r="AAJ397" s="89" t="str">
        <f>IF(S.RuleType=1,"STAFF.RPT.Permanent (blank in folder 6)","STAFF.RPT.Temporary (blank in folder 6)")</f>
        <v>STAFF.RPT.Permanent (blank in folder 6)</v>
      </c>
      <c r="AAK397" s="57"/>
      <c r="AAL397" s="57"/>
      <c r="AAM397" s="112"/>
      <c r="AAU397" s="44"/>
    </row>
    <row r="398" spans="1:732" ht="15" customHeight="1" outlineLevel="1">
      <c r="A398" s="558"/>
      <c r="B398" s="483" t="s">
        <v>370</v>
      </c>
      <c r="C398" s="722"/>
      <c r="D398" s="190" t="s">
        <v>0</v>
      </c>
      <c r="E398" s="191"/>
      <c r="F398" s="191"/>
      <c r="G398" s="192"/>
      <c r="H398" s="304"/>
      <c r="I398" s="588"/>
      <c r="J398" s="592"/>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18"/>
      <c r="ZZ398" s="36"/>
      <c r="AAA398" s="588"/>
      <c r="AAD398" s="112"/>
      <c r="AAE398" s="551">
        <v>1</v>
      </c>
      <c r="AAF398" s="583" t="s">
        <v>174</v>
      </c>
      <c r="AAG398" s="117"/>
      <c r="AAH398" s="117"/>
      <c r="AAI398" s="77"/>
      <c r="AAJ398" s="574" t="s">
        <v>0</v>
      </c>
      <c r="AAK398" s="574"/>
      <c r="AAL398" s="57"/>
      <c r="AAM398" s="112"/>
      <c r="AAN398"/>
      <c r="AAT398" s="23"/>
      <c r="AAU398" s="44"/>
      <c r="AAV398" s="23"/>
      <c r="AAW398" s="23"/>
      <c r="AAX398" s="23"/>
      <c r="AAY398" s="23"/>
      <c r="AAZ398" s="23"/>
      <c r="ABA398" s="23"/>
      <c r="ABB398" s="23"/>
      <c r="ABC398" s="23"/>
      <c r="ABD398" s="23"/>
    </row>
    <row r="399" spans="1:732" ht="15" customHeight="1" outlineLevel="1">
      <c r="A399" s="558"/>
      <c r="B399" s="132" t="s">
        <v>371</v>
      </c>
      <c r="C399" s="722"/>
      <c r="D399" s="161"/>
      <c r="E399" s="160"/>
      <c r="F399" s="160"/>
      <c r="G399" s="161"/>
      <c r="H399" s="161"/>
      <c r="I399" s="588"/>
      <c r="J399" s="592"/>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18"/>
      <c r="ZZ399" s="36"/>
      <c r="AAA399" s="588"/>
      <c r="AAD399" s="112"/>
      <c r="AAE399" s="551">
        <f>IF(S.InvolveNotice=TRUE,1,0)</f>
        <v>1</v>
      </c>
      <c r="AAF399" s="583" t="s">
        <v>174</v>
      </c>
      <c r="AAG399" s="117"/>
      <c r="AAH399" s="117"/>
      <c r="AAI399" s="77"/>
      <c r="AAJ399" s="89" t="str">
        <f>IF(S.InvolveNotice=TRUE,"Integrate NOTICE into staff report","Integrate NOTICE into "&amp;S.CodeName&amp;"STAFF.RPT.Temporary")</f>
        <v>Integrate NOTICE into staff report</v>
      </c>
      <c r="AAK399" s="574"/>
      <c r="AAL399" s="57"/>
      <c r="AAM399" s="112"/>
      <c r="AAN399"/>
      <c r="AAT399" s="23"/>
      <c r="AAU399" s="44"/>
    </row>
    <row r="400" spans="1:732" ht="15" customHeight="1" outlineLevel="1">
      <c r="A400" s="558"/>
      <c r="B400" s="669" t="s">
        <v>312</v>
      </c>
      <c r="C400" s="305" t="s">
        <v>88</v>
      </c>
      <c r="D400" s="153"/>
      <c r="E400" s="154"/>
      <c r="F400" s="154"/>
      <c r="G400" s="153"/>
      <c r="H400" s="153"/>
      <c r="I400" s="588"/>
      <c r="J400" s="592"/>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18"/>
      <c r="ZZ400" s="36"/>
      <c r="AAA400" s="588"/>
      <c r="AAD400" s="112"/>
      <c r="AAE400" s="551">
        <v>1</v>
      </c>
      <c r="AAF400" s="583" t="s">
        <v>174</v>
      </c>
      <c r="AAG400" s="117"/>
      <c r="AAH400" s="117"/>
      <c r="AAI400" s="77"/>
      <c r="AAJ400" s="89" t="str">
        <f>"Verify "&amp;S.CodeName&amp;"PROPOSED.RULES.6.01"</f>
        <v>Verify PROPOSED.RULES.6.01</v>
      </c>
      <c r="AAK400" s="574"/>
      <c r="AAL400" s="57"/>
      <c r="AAM400" s="112"/>
      <c r="AAN400"/>
      <c r="AAT400" s="23"/>
      <c r="AAU400" s="44"/>
    </row>
    <row r="401" spans="1:732" ht="15" customHeight="1" outlineLevel="1">
      <c r="A401" s="558"/>
      <c r="B401" s="481" t="s">
        <v>40</v>
      </c>
      <c r="C401" s="723"/>
      <c r="D401" s="174"/>
      <c r="E401" s="160"/>
      <c r="F401" s="160"/>
      <c r="G401" s="174"/>
      <c r="H401" s="174"/>
      <c r="I401" s="588"/>
      <c r="J401" s="592"/>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18"/>
      <c r="ZZ401" s="36"/>
      <c r="AAA401" s="588"/>
      <c r="AAD401" s="112"/>
      <c r="AAE401" s="551">
        <f t="shared" ref="AAE401:AAE406" si="983">IF(S.InvolveNotice=TRUE,1,0)</f>
        <v>1</v>
      </c>
      <c r="AAF401" s="583" t="s">
        <v>174</v>
      </c>
      <c r="AAG401" s="117"/>
      <c r="AAH401" s="117"/>
      <c r="AAI401" s="77"/>
      <c r="AAJ401" s="57"/>
      <c r="AAK401" s="57"/>
      <c r="AAL401" s="57"/>
      <c r="AAM401" s="112"/>
      <c r="AAN401"/>
      <c r="AAT401" s="23"/>
      <c r="AAU401" s="44"/>
    </row>
    <row r="402" spans="1:732" ht="15" customHeight="1" outlineLevel="1">
      <c r="A402" s="558"/>
      <c r="B402" s="346" t="s">
        <v>39</v>
      </c>
      <c r="C402" s="724"/>
      <c r="D402" s="174"/>
      <c r="E402" s="160"/>
      <c r="F402" s="160"/>
      <c r="G402" s="174"/>
      <c r="H402" s="174"/>
      <c r="I402" s="588"/>
      <c r="J402" s="592"/>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18"/>
      <c r="ZZ402" s="36"/>
      <c r="AAA402" s="588"/>
      <c r="AAD402" s="112"/>
      <c r="AAE402" s="551">
        <f t="shared" si="983"/>
        <v>1</v>
      </c>
      <c r="AAF402" s="583" t="s">
        <v>174</v>
      </c>
      <c r="AAG402" s="117"/>
      <c r="AAH402" s="117"/>
      <c r="AAI402" s="77"/>
      <c r="AAJ402" s="57"/>
      <c r="AAK402" s="57"/>
      <c r="AAL402" s="57"/>
      <c r="AAM402" s="112"/>
      <c r="AAN402"/>
      <c r="AAT402" s="23"/>
      <c r="AAU402" s="44"/>
    </row>
    <row r="403" spans="1:732" ht="15" customHeight="1" outlineLevel="1">
      <c r="A403" s="558"/>
      <c r="B403" s="346" t="s">
        <v>38</v>
      </c>
      <c r="C403" s="724"/>
      <c r="D403" s="174"/>
      <c r="E403" s="160"/>
      <c r="F403" s="160"/>
      <c r="G403" s="174"/>
      <c r="H403" s="174"/>
      <c r="I403" s="588"/>
      <c r="J403" s="592"/>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18"/>
      <c r="ZZ403" s="36"/>
      <c r="AAA403" s="588"/>
      <c r="AAD403" s="112"/>
      <c r="AAE403" s="551">
        <f t="shared" si="983"/>
        <v>1</v>
      </c>
      <c r="AAF403" s="583" t="s">
        <v>174</v>
      </c>
      <c r="AAG403" s="117"/>
      <c r="AAH403" s="117"/>
      <c r="AAI403" s="77"/>
      <c r="AAJ403" s="57"/>
      <c r="AAK403" s="57"/>
      <c r="AAL403" s="57"/>
      <c r="AAM403" s="112"/>
      <c r="AAN403"/>
      <c r="AAT403" s="23"/>
      <c r="AAU403" s="44"/>
    </row>
    <row r="404" spans="1:732" ht="15" customHeight="1" outlineLevel="1">
      <c r="A404" s="558"/>
      <c r="B404" s="346" t="s">
        <v>37</v>
      </c>
      <c r="C404" s="724"/>
      <c r="D404" s="174"/>
      <c r="E404" s="160"/>
      <c r="F404" s="160"/>
      <c r="G404" s="174"/>
      <c r="H404" s="174"/>
      <c r="I404" s="588"/>
      <c r="J404" s="592"/>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18"/>
      <c r="ZZ404" s="36"/>
      <c r="AAA404" s="588"/>
      <c r="AAD404" s="112"/>
      <c r="AAE404" s="551">
        <f t="shared" si="983"/>
        <v>1</v>
      </c>
      <c r="AAF404" s="583" t="s">
        <v>174</v>
      </c>
      <c r="AAG404" s="117"/>
      <c r="AAH404" s="117"/>
      <c r="AAI404" s="77"/>
      <c r="AAJ404" s="57"/>
      <c r="AAK404" s="57"/>
      <c r="AAL404" s="57"/>
      <c r="AAM404" s="112"/>
      <c r="AAN404"/>
      <c r="AAT404" s="23"/>
      <c r="AAU404" s="44"/>
    </row>
    <row r="405" spans="1:732" ht="15" customHeight="1" outlineLevel="1">
      <c r="A405" s="558"/>
      <c r="B405" s="346" t="s">
        <v>1</v>
      </c>
      <c r="C405" s="724"/>
      <c r="D405" s="174"/>
      <c r="E405" s="160"/>
      <c r="F405" s="160"/>
      <c r="G405" s="174"/>
      <c r="H405" s="174"/>
      <c r="I405" s="588"/>
      <c r="J405" s="592"/>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18"/>
      <c r="ZZ405" s="36"/>
      <c r="AAA405" s="588"/>
      <c r="AAD405" s="112"/>
      <c r="AAE405" s="551">
        <f t="shared" si="983"/>
        <v>1</v>
      </c>
      <c r="AAF405" s="583" t="s">
        <v>174</v>
      </c>
      <c r="AAG405" s="117"/>
      <c r="AAH405" s="117"/>
      <c r="AAI405" s="77"/>
      <c r="AAJ405" s="57"/>
      <c r="AAK405" s="57"/>
      <c r="AAL405" s="57"/>
      <c r="AAM405" s="112"/>
      <c r="AAN405"/>
      <c r="AAT405" s="23"/>
      <c r="AAU405" s="44"/>
    </row>
    <row r="406" spans="1:732" ht="15" customHeight="1" outlineLevel="1">
      <c r="A406" s="558"/>
      <c r="B406" s="482" t="s">
        <v>36</v>
      </c>
      <c r="C406" s="724"/>
      <c r="D406" s="174"/>
      <c r="E406" s="160"/>
      <c r="F406" s="160"/>
      <c r="G406" s="174"/>
      <c r="H406" s="174"/>
      <c r="I406" s="588"/>
      <c r="J406" s="592"/>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618"/>
      <c r="ZZ406" s="36"/>
      <c r="AAA406" s="588"/>
      <c r="AAD406" s="112"/>
      <c r="AAE406" s="551">
        <f t="shared" si="983"/>
        <v>1</v>
      </c>
      <c r="AAF406" s="583" t="s">
        <v>174</v>
      </c>
      <c r="AAG406" s="117"/>
      <c r="AAH406" s="117"/>
      <c r="AAI406" s="77"/>
      <c r="AAJ406" s="57"/>
      <c r="AAK406" s="57"/>
      <c r="AAL406" s="57"/>
      <c r="AAM406" s="112"/>
      <c r="AAN406"/>
      <c r="AAT406" s="23"/>
      <c r="AAU406" s="44"/>
    </row>
    <row r="407" spans="1:732" ht="15" customHeight="1" outlineLevel="1">
      <c r="A407" s="558"/>
      <c r="B407" s="462" t="s">
        <v>156</v>
      </c>
      <c r="C407" s="721" t="s">
        <v>0</v>
      </c>
      <c r="D407" s="277" t="s">
        <v>359</v>
      </c>
      <c r="E407" s="436">
        <f t="shared" ref="E407" si="984">NETWORKDAYS(G407,H407,S.DDL_DEQClosed)</f>
        <v>100</v>
      </c>
      <c r="F407" s="491">
        <f t="shared" ref="F407" ca="1" si="985">NETWORKDAYS(TODAY(),H407)</f>
        <v>19</v>
      </c>
      <c r="G407" s="437">
        <f t="shared" ref="G407:H407" si="986">AAG407</f>
        <v>41530</v>
      </c>
      <c r="H407" s="437">
        <f t="shared" si="986"/>
        <v>41676</v>
      </c>
      <c r="I407" s="627"/>
      <c r="J407" s="592"/>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50"/>
      <c r="ZZ407" s="50"/>
      <c r="AAA407" s="588"/>
      <c r="AAD407" s="112"/>
      <c r="AAE407" s="551">
        <v>1</v>
      </c>
      <c r="AAF407" s="112"/>
      <c r="AAG407" s="78">
        <f>S.BANNER.EQCStart</f>
        <v>41530</v>
      </c>
      <c r="AAH407" s="78">
        <f t="shared" ref="AAH407" si="987">S.SubmitStaffRpt</f>
        <v>41676</v>
      </c>
      <c r="AAI407" s="77"/>
      <c r="AAJ407" s="57"/>
      <c r="AAK407" s="57"/>
      <c r="AAL407" s="57"/>
      <c r="AAM407" s="112"/>
      <c r="AAN407"/>
      <c r="AAT407" s="23"/>
      <c r="AAU407" s="44"/>
    </row>
    <row r="408" spans="1:732" ht="15" customHeight="1" outlineLevel="1">
      <c r="A408" s="558"/>
      <c r="B408" s="483" t="str">
        <f>AAJ408</f>
        <v>Finalize following sections in STAFF.RPT.Permanent</v>
      </c>
      <c r="C408" s="193"/>
      <c r="D408" s="174"/>
      <c r="E408" s="160"/>
      <c r="F408" s="160"/>
      <c r="G408" s="174"/>
      <c r="H408" s="174"/>
      <c r="I408" s="588"/>
      <c r="J408" s="592"/>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18"/>
      <c r="ZZ408" s="36"/>
      <c r="AAA408" s="588"/>
      <c r="AAD408" s="112"/>
      <c r="AAE408" s="551">
        <v>1</v>
      </c>
      <c r="AAF408" s="583" t="s">
        <v>174</v>
      </c>
      <c r="AAG408" s="117"/>
      <c r="AAH408" s="117"/>
      <c r="AAI408" s="77"/>
      <c r="AAJ408" s="89" t="str">
        <f>IF(S.RuleType=1,"Finalize following sections in "&amp;S.CodeName&amp;"STAFF.RPT.Permanent","Finalize following sections in "&amp;S.CodeName&amp;"STAFF.RPT.Temporary")</f>
        <v>Finalize following sections in STAFF.RPT.Permanent</v>
      </c>
      <c r="AAK408" s="574"/>
      <c r="AAL408" s="57"/>
      <c r="AAM408" s="112"/>
      <c r="AAN408"/>
      <c r="AAT408" s="23"/>
      <c r="AAU408" s="44"/>
    </row>
    <row r="409" spans="1:732" ht="15" customHeight="1" outlineLevel="1">
      <c r="A409" s="558"/>
      <c r="B409" s="362" t="s">
        <v>35</v>
      </c>
      <c r="C409" s="722"/>
      <c r="D409" s="161"/>
      <c r="E409" s="160"/>
      <c r="F409" s="160"/>
      <c r="G409" s="161"/>
      <c r="H409" s="161"/>
      <c r="I409" s="588"/>
      <c r="J409" s="592"/>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18"/>
      <c r="ZZ409" s="36"/>
      <c r="AAA409" s="588"/>
      <c r="AAD409" s="112"/>
      <c r="AAE409" s="551">
        <v>1</v>
      </c>
      <c r="AAF409" s="583" t="s">
        <v>174</v>
      </c>
      <c r="AAG409" s="117"/>
      <c r="AAH409" s="117"/>
      <c r="AAI409" s="77"/>
      <c r="AAJ409" s="57"/>
      <c r="AAK409" s="57"/>
      <c r="AAL409" s="57"/>
      <c r="AAM409" s="112"/>
      <c r="AAN409"/>
      <c r="AAT409" s="23"/>
      <c r="AAU409" s="44"/>
    </row>
    <row r="410" spans="1:732" ht="15" customHeight="1" outlineLevel="1">
      <c r="A410" s="558"/>
      <c r="B410" s="362" t="s">
        <v>150</v>
      </c>
      <c r="C410" s="722"/>
      <c r="D410" s="161"/>
      <c r="E410" s="160"/>
      <c r="F410" s="160"/>
      <c r="G410" s="161"/>
      <c r="H410" s="161"/>
      <c r="I410" s="588"/>
      <c r="J410" s="592"/>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18"/>
      <c r="ZZ410" s="36"/>
      <c r="AAA410" s="588"/>
      <c r="AAD410" s="112"/>
      <c r="AAE410" s="551">
        <v>1</v>
      </c>
      <c r="AAF410" s="583" t="s">
        <v>174</v>
      </c>
      <c r="AAG410" s="117"/>
      <c r="AAH410" s="117"/>
      <c r="AAI410" s="77"/>
      <c r="AAJ410" s="57"/>
      <c r="AAK410" s="57"/>
      <c r="AAL410" s="57"/>
      <c r="AAM410" s="112"/>
      <c r="AAN410"/>
      <c r="AAT410" s="23"/>
      <c r="AAU410" s="44"/>
    </row>
    <row r="411" spans="1:732" ht="15" customHeight="1" outlineLevel="1">
      <c r="A411" s="558"/>
      <c r="B411" s="362" t="s">
        <v>34</v>
      </c>
      <c r="C411" s="722"/>
      <c r="D411" s="161"/>
      <c r="E411" s="160"/>
      <c r="F411" s="160"/>
      <c r="G411" s="161"/>
      <c r="H411" s="161"/>
      <c r="I411" s="588"/>
      <c r="J411" s="592"/>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18"/>
      <c r="ZZ411" s="36"/>
      <c r="AAA411" s="588"/>
      <c r="AAD411" s="112"/>
      <c r="AAE411" s="551">
        <v>1</v>
      </c>
      <c r="AAF411" s="583" t="s">
        <v>174</v>
      </c>
      <c r="AAG411" s="117"/>
      <c r="AAH411" s="117"/>
      <c r="AAI411" s="77"/>
      <c r="AAJ411" s="57"/>
      <c r="AAK411" s="57"/>
      <c r="AAL411" s="57"/>
      <c r="AAM411" s="112"/>
      <c r="AAN411"/>
      <c r="AAT411" s="23"/>
      <c r="AAU411" s="44"/>
    </row>
    <row r="412" spans="1:732" ht="15" customHeight="1" outlineLevel="1">
      <c r="A412" s="558"/>
      <c r="B412" s="362" t="s">
        <v>14</v>
      </c>
      <c r="C412" s="722"/>
      <c r="D412" s="161"/>
      <c r="E412" s="160"/>
      <c r="F412" s="160"/>
      <c r="G412" s="161"/>
      <c r="H412" s="161"/>
      <c r="I412" s="588"/>
      <c r="J412" s="592"/>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18"/>
      <c r="ZZ412" s="36"/>
      <c r="AAA412" s="588"/>
      <c r="AAD412" s="112"/>
      <c r="AAE412" s="551">
        <v>1</v>
      </c>
      <c r="AAF412" s="583" t="s">
        <v>174</v>
      </c>
      <c r="AAG412" s="117"/>
      <c r="AAH412" s="117"/>
      <c r="AAI412" s="77"/>
      <c r="AAJ412" s="57"/>
      <c r="AAK412" s="57"/>
      <c r="AAL412" s="57"/>
      <c r="AAM412" s="112"/>
      <c r="AAN412"/>
      <c r="AAT412" s="23"/>
      <c r="AAU412" s="44"/>
    </row>
    <row r="413" spans="1:732" ht="15" customHeight="1" outlineLevel="1">
      <c r="A413" s="558"/>
      <c r="B413" s="362" t="s">
        <v>33</v>
      </c>
      <c r="C413" s="722"/>
      <c r="D413" s="161"/>
      <c r="E413" s="160"/>
      <c r="F413" s="160"/>
      <c r="G413" s="161"/>
      <c r="H413" s="161"/>
      <c r="I413" s="588"/>
      <c r="J413" s="592"/>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18"/>
      <c r="ZZ413" s="36"/>
      <c r="AAA413" s="588"/>
      <c r="AAD413" s="112"/>
      <c r="AAE413" s="551">
        <f>IF(S.InvolveNotice=TRUE,1,0)</f>
        <v>1</v>
      </c>
      <c r="AAF413" s="583" t="s">
        <v>174</v>
      </c>
      <c r="AAG413" s="117"/>
      <c r="AAH413" s="117"/>
      <c r="AAI413" s="77"/>
      <c r="AAJ413" s="57"/>
      <c r="AAK413" s="57"/>
      <c r="AAL413" s="57"/>
      <c r="AAM413" s="112"/>
      <c r="AAN413"/>
      <c r="AAT413" s="23"/>
      <c r="AAU413" s="44"/>
    </row>
    <row r="414" spans="1:732" ht="15" customHeight="1" outlineLevel="1">
      <c r="A414" s="558"/>
      <c r="B414" s="362" t="s">
        <v>32</v>
      </c>
      <c r="C414" s="722"/>
      <c r="D414" s="174"/>
      <c r="E414" s="182"/>
      <c r="F414" s="182"/>
      <c r="G414" s="174"/>
      <c r="H414" s="174"/>
      <c r="I414" s="588"/>
      <c r="J414" s="592"/>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18"/>
      <c r="ZZ414" s="36"/>
      <c r="AAA414" s="588"/>
      <c r="AAD414" s="112"/>
      <c r="AAE414" s="551">
        <f>IF(S.InvolveNotice=TRUE,1,0)</f>
        <v>1</v>
      </c>
      <c r="AAF414" s="583" t="s">
        <v>174</v>
      </c>
      <c r="AAG414" s="117"/>
      <c r="AAH414" s="117"/>
      <c r="AAI414" s="77"/>
      <c r="AAJ414" s="57"/>
      <c r="AAK414" s="57"/>
      <c r="AAL414" s="57"/>
      <c r="AAM414" s="112"/>
      <c r="AAN414"/>
      <c r="AAT414" s="23"/>
      <c r="AAU414" s="44"/>
    </row>
    <row r="415" spans="1:732" ht="15" customHeight="1" outlineLevel="1">
      <c r="A415" s="558"/>
      <c r="B415" s="362" t="s">
        <v>182</v>
      </c>
      <c r="C415" s="722"/>
      <c r="D415" s="174"/>
      <c r="E415" s="182"/>
      <c r="F415" s="182"/>
      <c r="G415" s="174"/>
      <c r="H415" s="174"/>
      <c r="I415" s="588"/>
      <c r="J415" s="592"/>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618"/>
      <c r="ZZ415" s="36"/>
      <c r="AAA415" s="588"/>
      <c r="AAD415" s="112"/>
      <c r="AAE415" s="551">
        <v>1</v>
      </c>
      <c r="AAF415" s="583" t="s">
        <v>174</v>
      </c>
      <c r="AAG415" s="117"/>
      <c r="AAH415" s="117"/>
      <c r="AAI415" s="77"/>
      <c r="AAJ415" s="57"/>
      <c r="AAK415" s="57"/>
      <c r="AAL415" s="57"/>
      <c r="AAM415" s="112"/>
      <c r="AAN415"/>
      <c r="AAT415" s="23"/>
      <c r="AAU415" s="44"/>
      <c r="AAV415" s="23"/>
      <c r="AAW415" s="23"/>
      <c r="AAX415" s="23"/>
      <c r="AAY415" s="23"/>
      <c r="AAZ415" s="23"/>
      <c r="ABA415" s="23"/>
      <c r="ABB415" s="23"/>
      <c r="ABC415" s="23"/>
      <c r="ABD415" s="23"/>
    </row>
    <row r="416" spans="1:732" ht="15" customHeight="1" outlineLevel="1">
      <c r="A416" s="558"/>
      <c r="B416" s="343" t="s">
        <v>272</v>
      </c>
      <c r="C416" s="194"/>
      <c r="D416" s="277" t="s">
        <v>151</v>
      </c>
      <c r="E416" s="436">
        <f t="shared" ref="E416" si="988">NETWORKDAYS(G416,H416,S.DDL_DEQClosed)</f>
        <v>100</v>
      </c>
      <c r="F416" s="491">
        <f t="shared" ref="F416" ca="1" si="989">NETWORKDAYS(TODAY(),H416)</f>
        <v>19</v>
      </c>
      <c r="G416" s="437">
        <f t="shared" ref="G416:H416" si="990">AAG416</f>
        <v>41530</v>
      </c>
      <c r="H416" s="437">
        <f t="shared" si="990"/>
        <v>41676</v>
      </c>
      <c r="I416" s="627"/>
      <c r="J416" s="592"/>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50"/>
      <c r="ZZ416" s="50"/>
      <c r="AAA416" s="588"/>
      <c r="AAD416" s="112"/>
      <c r="AAE416" s="551">
        <v>1</v>
      </c>
      <c r="AAF416" s="112"/>
      <c r="AAG416" s="78">
        <f>S.BANNER.EQCStart</f>
        <v>41530</v>
      </c>
      <c r="AAH416" s="78">
        <f t="shared" ref="AAH416" si="991">S.SubmitStaffRpt</f>
        <v>41676</v>
      </c>
      <c r="AAI416" s="77"/>
      <c r="AAJ416" s="89" t="str">
        <f>IF(S.RuleType=1,"STAFF.RPT.Permanent","STAFF.RPT.Temporary")</f>
        <v>STAFF.RPT.Permanent</v>
      </c>
      <c r="AAK416" s="574"/>
      <c r="AAL416" s="57"/>
      <c r="AAM416" s="112"/>
      <c r="AAN416"/>
      <c r="AAT416" s="23"/>
      <c r="AAU416" s="44"/>
    </row>
    <row r="417" spans="1:732" s="23" customFormat="1" ht="15" customHeight="1" outlineLevel="1">
      <c r="A417" s="558"/>
      <c r="B417" s="132" t="str">
        <f>AAJ416</f>
        <v>STAFF.RPT.Permanent</v>
      </c>
      <c r="C417" s="722"/>
      <c r="D417" s="153"/>
      <c r="E417" s="154"/>
      <c r="F417" s="154"/>
      <c r="G417" s="153"/>
      <c r="H417" s="153"/>
      <c r="I417" s="588"/>
      <c r="J417" s="592"/>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18"/>
      <c r="ZZ417" s="36"/>
      <c r="AAA417" s="588"/>
      <c r="AAB417"/>
      <c r="AAC417"/>
      <c r="AAD417" s="112"/>
      <c r="AAE417" s="551">
        <v>1</v>
      </c>
      <c r="AAF417" s="583" t="s">
        <v>174</v>
      </c>
      <c r="AAG417" s="117"/>
      <c r="AAH417" s="117"/>
      <c r="AAI417" s="77"/>
      <c r="AAJ417" s="89" t="str">
        <f>S.CodeName&amp;"INVITATION.TO.COMMENT"</f>
        <v>INVITATION.TO.COMMENT</v>
      </c>
      <c r="AAK417" s="574"/>
      <c r="AAL417" s="57"/>
      <c r="AAM417" s="112"/>
      <c r="AAU417" s="44"/>
      <c r="AAV417"/>
      <c r="AAW417"/>
      <c r="AAX417"/>
      <c r="AAY417"/>
      <c r="AAZ417"/>
      <c r="ABA417"/>
      <c r="ABB417"/>
      <c r="ABC417"/>
      <c r="ABD417"/>
    </row>
    <row r="418" spans="1:732" ht="15" customHeight="1" outlineLevel="1">
      <c r="A418" s="558"/>
      <c r="B418" s="132" t="str">
        <f t="shared" ref="B418:B420" si="992">AAJ418</f>
        <v>PROPOSED RULES</v>
      </c>
      <c r="C418" s="722"/>
      <c r="D418" s="153"/>
      <c r="E418" s="154"/>
      <c r="F418" s="154"/>
      <c r="G418" s="153"/>
      <c r="H418" s="153"/>
      <c r="I418" s="588"/>
      <c r="J418" s="592"/>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18"/>
      <c r="ZZ418" s="36"/>
      <c r="AAA418" s="588"/>
      <c r="AAD418" s="112"/>
      <c r="AAE418" s="551">
        <v>1</v>
      </c>
      <c r="AAF418" s="583" t="s">
        <v>174</v>
      </c>
      <c r="AAG418" s="117"/>
      <c r="AAH418" s="117"/>
      <c r="AAI418" s="77"/>
      <c r="AAJ418" s="89" t="str">
        <f>S.CodeName&amp;"PROPOSED RULES"</f>
        <v>PROPOSED RULES</v>
      </c>
      <c r="AAK418" s="574"/>
      <c r="AAL418" s="57"/>
      <c r="AAM418" s="112"/>
      <c r="AAN418"/>
      <c r="AAT418" s="23"/>
      <c r="AAU418" s="44"/>
    </row>
    <row r="419" spans="1:732" ht="15" customHeight="1" outlineLevel="1">
      <c r="A419" s="558"/>
      <c r="B419" s="132" t="str">
        <f t="shared" si="992"/>
        <v>STATE IMPLEMENTATION PLAN</v>
      </c>
      <c r="C419" s="722"/>
      <c r="D419" s="174"/>
      <c r="E419" s="182"/>
      <c r="F419" s="182"/>
      <c r="G419" s="174"/>
      <c r="H419" s="174"/>
      <c r="I419" s="588"/>
      <c r="J419" s="592"/>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18"/>
      <c r="ZZ419" s="36"/>
      <c r="AAA419" s="588"/>
      <c r="AAD419" s="112"/>
      <c r="AAE419" s="551">
        <f>IF(S.InvolveSIP=TRUE,1,0)</f>
        <v>1</v>
      </c>
      <c r="AAF419" s="583" t="s">
        <v>174</v>
      </c>
      <c r="AAG419" s="117"/>
      <c r="AAH419" s="117"/>
      <c r="AAI419" s="77"/>
      <c r="AAJ419" s="89" t="s">
        <v>345</v>
      </c>
      <c r="AAK419" s="574"/>
      <c r="AAL419" s="57"/>
      <c r="AAM419" s="112"/>
      <c r="AAN419"/>
      <c r="AAT419" s="23"/>
      <c r="AAU419" s="44"/>
    </row>
    <row r="420" spans="1:732" ht="15" customHeight="1" outlineLevel="1">
      <c r="A420" s="558"/>
      <c r="B420" s="132" t="str">
        <f t="shared" si="992"/>
        <v>Optional SUPPORTING.DOCS</v>
      </c>
      <c r="C420" s="722"/>
      <c r="D420" s="174"/>
      <c r="E420" s="182"/>
      <c r="F420" s="182"/>
      <c r="G420" s="174"/>
      <c r="H420" s="174"/>
      <c r="I420" s="588"/>
      <c r="J420" s="592"/>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18"/>
      <c r="ZZ420" s="36"/>
      <c r="AAA420" s="588"/>
      <c r="AAD420" s="112"/>
      <c r="AAE420" s="551">
        <v>1</v>
      </c>
      <c r="AAF420" s="583" t="s">
        <v>174</v>
      </c>
      <c r="AAG420" s="117"/>
      <c r="AAH420" s="117"/>
      <c r="AAI420" s="77"/>
      <c r="AAJ420" s="89" t="str">
        <f>"Optional "&amp;S.CodeName&amp;"SUPPORTING.DOCS"</f>
        <v>Optional SUPPORTING.DOCS</v>
      </c>
      <c r="AAK420" s="574"/>
      <c r="AAL420" s="57"/>
      <c r="AAM420" s="112"/>
      <c r="AAN420"/>
      <c r="AAT420" s="23"/>
      <c r="AAU420" s="44"/>
    </row>
    <row r="421" spans="1:732" ht="15" customHeight="1" outlineLevel="1">
      <c r="A421" s="558"/>
      <c r="B421" s="465" t="s">
        <v>273</v>
      </c>
      <c r="C421" s="725"/>
      <c r="D421" s="174"/>
      <c r="E421" s="182"/>
      <c r="F421" s="182"/>
      <c r="G421" s="174"/>
      <c r="H421" s="174"/>
      <c r="I421" s="588"/>
      <c r="J421" s="592"/>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618"/>
      <c r="ZZ421" s="36"/>
      <c r="AAA421" s="588"/>
      <c r="AAD421" s="112"/>
      <c r="AAE421" s="551">
        <v>1</v>
      </c>
      <c r="AAF421" s="583" t="s">
        <v>174</v>
      </c>
      <c r="AAG421" s="117"/>
      <c r="AAH421" s="117"/>
      <c r="AAI421" s="77"/>
      <c r="AAJ421" s="57"/>
      <c r="AAK421" s="57"/>
      <c r="AAL421" s="57"/>
      <c r="AAM421" s="112"/>
      <c r="AAN421"/>
      <c r="AAT421" s="23"/>
      <c r="AAU421" s="44"/>
    </row>
    <row r="422" spans="1:732" ht="15" customHeight="1" outlineLevel="1">
      <c r="A422" s="558"/>
      <c r="B422" s="484" t="s">
        <v>109</v>
      </c>
      <c r="C422" s="239"/>
      <c r="D422" s="279" t="s">
        <v>384</v>
      </c>
      <c r="E422" s="379">
        <f>NETWORKDAYS(G422,H422,S.DDL_DEQClosed)</f>
        <v>100</v>
      </c>
      <c r="F422" s="491">
        <f t="shared" ref="F422:F425" ca="1" si="993">NETWORKDAYS(TODAY(),H422)</f>
        <v>19</v>
      </c>
      <c r="G422" s="437">
        <f t="shared" ref="G422:H425" si="994">AAG422</f>
        <v>41530</v>
      </c>
      <c r="H422" s="437">
        <f t="shared" si="994"/>
        <v>41676</v>
      </c>
      <c r="I422" s="627"/>
      <c r="J422" s="592"/>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588"/>
      <c r="AAD422" s="112"/>
      <c r="AAE422" s="551">
        <v>1</v>
      </c>
      <c r="AAF422" s="112"/>
      <c r="AAG422" s="78">
        <f>G396</f>
        <v>41530</v>
      </c>
      <c r="AAH422" s="78">
        <f>S.SubmitStaffRpt</f>
        <v>41676</v>
      </c>
      <c r="AAI422" s="77"/>
      <c r="AAJ422" s="57"/>
      <c r="AAK422" s="57"/>
      <c r="AAL422" s="57"/>
      <c r="AAM422" s="112"/>
      <c r="AAN422"/>
      <c r="AAT422" s="23"/>
      <c r="AAU422" s="44"/>
    </row>
    <row r="423" spans="1:732" ht="15" customHeight="1" outlineLevel="1">
      <c r="A423" s="558"/>
      <c r="B423" s="485" t="s">
        <v>106</v>
      </c>
      <c r="C423" s="239"/>
      <c r="D423" s="279" t="s">
        <v>384</v>
      </c>
      <c r="E423" s="379">
        <f>NETWORKDAYS(G423,H423,S.DDL_DEQClosed)</f>
        <v>1</v>
      </c>
      <c r="F423" s="491">
        <f t="shared" ca="1" si="993"/>
        <v>19</v>
      </c>
      <c r="G423" s="437">
        <f t="shared" si="994"/>
        <v>41676</v>
      </c>
      <c r="H423" s="437">
        <f t="shared" si="994"/>
        <v>41676</v>
      </c>
      <c r="I423" s="627"/>
      <c r="J423" s="592"/>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588"/>
      <c r="AAD423" s="112"/>
      <c r="AAE423" s="551">
        <v>1</v>
      </c>
      <c r="AAF423" s="112"/>
      <c r="AAG423" s="78">
        <f>H422</f>
        <v>41676</v>
      </c>
      <c r="AAH423" s="78">
        <f>S.SubmitStaffRpt</f>
        <v>41676</v>
      </c>
      <c r="AAI423" s="77"/>
      <c r="AAJ423" s="57"/>
      <c r="AAK423" s="57"/>
      <c r="AAL423" s="57"/>
      <c r="AAM423" s="112"/>
      <c r="AAN423"/>
      <c r="AAT423" s="23"/>
      <c r="AAU423" s="44"/>
    </row>
    <row r="424" spans="1:732" ht="15" customHeight="1" outlineLevel="1">
      <c r="A424" s="558"/>
      <c r="B424" s="424" t="s">
        <v>107</v>
      </c>
      <c r="C424" s="239"/>
      <c r="D424" s="279" t="s">
        <v>384</v>
      </c>
      <c r="E424" s="379">
        <f>NETWORKDAYS(G424,H424,S.DDL_DEQClosed)</f>
        <v>1</v>
      </c>
      <c r="F424" s="491">
        <f t="shared" ca="1" si="993"/>
        <v>19</v>
      </c>
      <c r="G424" s="437">
        <f t="shared" si="994"/>
        <v>41676</v>
      </c>
      <c r="H424" s="437">
        <f t="shared" si="994"/>
        <v>41676</v>
      </c>
      <c r="I424" s="627"/>
      <c r="J424" s="592"/>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588"/>
      <c r="AAD424" s="112"/>
      <c r="AAE424" s="551">
        <v>1</v>
      </c>
      <c r="AAF424" s="112"/>
      <c r="AAG424" s="78">
        <f>H423</f>
        <v>41676</v>
      </c>
      <c r="AAH424" s="78">
        <f>S.SubmitStaffRpt</f>
        <v>41676</v>
      </c>
      <c r="AAI424" s="77"/>
      <c r="AAJ424" s="57"/>
      <c r="AAK424" s="57"/>
      <c r="AAL424" s="57"/>
      <c r="AAM424" s="112"/>
      <c r="AAN424"/>
      <c r="AAT424" s="23"/>
      <c r="AAU424" s="44"/>
    </row>
    <row r="425" spans="1:732" ht="15" customHeight="1" outlineLevel="1">
      <c r="A425" s="558"/>
      <c r="B425" s="425" t="s">
        <v>108</v>
      </c>
      <c r="C425" s="239"/>
      <c r="D425" s="279" t="s">
        <v>384</v>
      </c>
      <c r="E425" s="379">
        <f>NETWORKDAYS(G425,H425,S.DDL_DEQClosed)</f>
        <v>1</v>
      </c>
      <c r="F425" s="491">
        <f t="shared" ca="1" si="993"/>
        <v>19</v>
      </c>
      <c r="G425" s="437">
        <f t="shared" si="994"/>
        <v>41676</v>
      </c>
      <c r="H425" s="437">
        <f t="shared" si="994"/>
        <v>41676</v>
      </c>
      <c r="I425" s="627"/>
      <c r="J425" s="592"/>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50"/>
      <c r="ZZ425" s="50"/>
      <c r="AAA425" s="588"/>
      <c r="AAD425" s="112"/>
      <c r="AAE425" s="551">
        <v>1</v>
      </c>
      <c r="AAF425" s="112"/>
      <c r="AAG425" s="78">
        <f>H424</f>
        <v>41676</v>
      </c>
      <c r="AAH425" s="78">
        <f>S.SubmitStaffRpt</f>
        <v>41676</v>
      </c>
      <c r="AAI425" s="77"/>
      <c r="AAJ425" s="57"/>
      <c r="AAK425" s="57"/>
      <c r="AAL425" s="57"/>
      <c r="AAM425" s="112"/>
      <c r="AAN425"/>
      <c r="AAT425" s="23"/>
      <c r="AAU425" s="44"/>
    </row>
    <row r="426" spans="1:732" ht="89.25" customHeight="1" outlineLevel="1">
      <c r="A426" s="558"/>
      <c r="B426" s="751" t="s">
        <v>346</v>
      </c>
      <c r="C426" s="751"/>
      <c r="D426" s="751"/>
      <c r="E426" s="751"/>
      <c r="F426" s="751"/>
      <c r="G426" s="751"/>
      <c r="H426" s="751"/>
      <c r="I426" s="588"/>
      <c r="J426" s="592"/>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18"/>
      <c r="ZZ426" s="36"/>
      <c r="AAA426" s="588"/>
      <c r="AAD426" s="112"/>
      <c r="AAE426" s="551">
        <v>1</v>
      </c>
      <c r="AAF426" s="583" t="s">
        <v>174</v>
      </c>
      <c r="AAG426" s="112"/>
      <c r="AAH426" s="112"/>
      <c r="AAI426" s="77"/>
      <c r="AAJ426" s="57"/>
      <c r="AAK426" s="57"/>
      <c r="AAL426" s="57"/>
      <c r="AAM426" s="112"/>
      <c r="AAN426"/>
      <c r="AAT426" s="23"/>
      <c r="AAU426" s="44"/>
    </row>
    <row r="427" spans="1:732" ht="15" customHeight="1" outlineLevel="1">
      <c r="A427" s="558"/>
      <c r="B427" s="479" t="s">
        <v>49</v>
      </c>
      <c r="C427" s="396"/>
      <c r="D427" s="281" t="s">
        <v>0</v>
      </c>
      <c r="E427" s="282"/>
      <c r="F427" s="282"/>
      <c r="G427" s="283"/>
      <c r="H427" s="283"/>
      <c r="I427" s="588"/>
      <c r="J427" s="592"/>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618"/>
      <c r="ZZ427" s="36"/>
      <c r="AAA427" s="588"/>
      <c r="AAD427" s="112"/>
      <c r="AAE427" s="551">
        <v>1</v>
      </c>
      <c r="AAF427" s="583" t="s">
        <v>174</v>
      </c>
      <c r="AAG427" s="112"/>
      <c r="AAH427" s="112"/>
      <c r="AAI427" s="77"/>
      <c r="AAJ427" s="57"/>
      <c r="AAK427" s="57"/>
      <c r="AAL427" s="57"/>
      <c r="AAM427" s="112"/>
      <c r="AAN427"/>
      <c r="AAT427" s="23"/>
      <c r="AAU427" s="44"/>
    </row>
    <row r="428" spans="1:732" ht="15" customHeight="1" outlineLevel="1">
      <c r="A428" s="558"/>
      <c r="B428" s="343" t="s">
        <v>271</v>
      </c>
      <c r="C428" s="722"/>
      <c r="D428" s="277" t="s">
        <v>378</v>
      </c>
      <c r="E428" s="368">
        <f>NETWORKDAYS(G428,H428,S.DDL_DEQClosed)</f>
        <v>1</v>
      </c>
      <c r="F428" s="491">
        <f t="shared" ref="F428" ca="1" si="995">NETWORKDAYS(TODAY(),H428)</f>
        <v>19</v>
      </c>
      <c r="G428" s="472">
        <f t="shared" ref="G428:H434" si="996">AAG428</f>
        <v>41676</v>
      </c>
      <c r="H428" s="370">
        <f>AAH428</f>
        <v>41676</v>
      </c>
      <c r="I428" s="627"/>
      <c r="J428" s="592"/>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588"/>
      <c r="AAD428" s="112"/>
      <c r="AAE428" s="551">
        <v>1</v>
      </c>
      <c r="AAF428" s="112" t="s">
        <v>0</v>
      </c>
      <c r="AAG428" s="78">
        <f>H425</f>
        <v>41676</v>
      </c>
      <c r="AAH428" s="78">
        <f>S.SubmitStaffRpt</f>
        <v>41676</v>
      </c>
      <c r="AAI428" s="77"/>
      <c r="AAJ428" s="57"/>
      <c r="AAK428" s="57"/>
      <c r="AAL428" s="57"/>
      <c r="AAM428" s="112"/>
      <c r="AAN428"/>
      <c r="AAT428" s="23"/>
      <c r="AAU428" s="44"/>
    </row>
    <row r="429" spans="1:732" ht="18" customHeight="1" outlineLevel="1">
      <c r="A429" s="558"/>
      <c r="B429" s="306" t="s">
        <v>254</v>
      </c>
      <c r="C429" s="722"/>
      <c r="D429" s="277" t="s">
        <v>151</v>
      </c>
      <c r="E429" s="448">
        <f>NETWORKDAYS(G429,H429,S.DDL_DEQClosed)</f>
        <v>1</v>
      </c>
      <c r="F429" s="491">
        <f ca="1">NETWORKDAYS(TODAY(),H429)</f>
        <v>19</v>
      </c>
      <c r="G429" s="455">
        <f t="shared" ref="G429:H429" si="997">AAG429</f>
        <v>41676</v>
      </c>
      <c r="H429" s="473">
        <f t="shared" si="997"/>
        <v>41676</v>
      </c>
      <c r="I429" s="627"/>
      <c r="J429" s="592"/>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588"/>
      <c r="AAD429" s="112"/>
      <c r="AAE429" s="551">
        <v>1</v>
      </c>
      <c r="AAF429" s="112"/>
      <c r="AAG429" s="78">
        <f>H429</f>
        <v>41676</v>
      </c>
      <c r="AAH429" s="78">
        <f>S.SubmitStaffRpt</f>
        <v>41676</v>
      </c>
      <c r="AAI429" s="77"/>
      <c r="AAJ429" s="57"/>
      <c r="AAK429" s="57"/>
      <c r="AAL429" s="57"/>
      <c r="AAM429" s="112"/>
      <c r="AAN429"/>
      <c r="AAT429" s="23"/>
      <c r="AAU429" s="44"/>
    </row>
    <row r="430" spans="1:732" ht="15" customHeight="1" outlineLevel="1">
      <c r="A430" s="558"/>
      <c r="B430" s="666" t="s">
        <v>116</v>
      </c>
      <c r="C430" s="722"/>
      <c r="D430" s="277" t="s">
        <v>366</v>
      </c>
      <c r="E430" s="448">
        <f>NETWORKDAYS(G430,H430,S.DDL_DEQClosed)</f>
        <v>4</v>
      </c>
      <c r="F430" s="491">
        <f ca="1">NETWORKDAYS(TODAY(),H430)</f>
        <v>22</v>
      </c>
      <c r="G430" s="472">
        <f t="shared" si="996"/>
        <v>41676</v>
      </c>
      <c r="H430" s="472">
        <f t="shared" si="996"/>
        <v>41681</v>
      </c>
      <c r="I430" s="627"/>
      <c r="J430" s="592"/>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588"/>
      <c r="AAD430" s="112"/>
      <c r="AAE430" s="551">
        <v>1</v>
      </c>
      <c r="AAF430" s="112"/>
      <c r="AAG430" s="78">
        <f>H429</f>
        <v>41676</v>
      </c>
      <c r="AAH430" s="78">
        <f>WORKDAY(S.SubmitStaffRpt+4,1, S.DDL_DEQClosed)</f>
        <v>41681</v>
      </c>
      <c r="AAI430" s="77"/>
      <c r="AAJ430" s="57"/>
      <c r="AAK430" s="57"/>
      <c r="AAL430" s="57"/>
      <c r="AAM430" s="112"/>
      <c r="AAN430"/>
      <c r="AAT430" s="23"/>
      <c r="AAU430" s="44"/>
    </row>
    <row r="431" spans="1:732" ht="15" customHeight="1" outlineLevel="1">
      <c r="A431" s="558"/>
      <c r="B431" s="133" t="s">
        <v>30</v>
      </c>
      <c r="C431" s="722"/>
      <c r="D431" s="277" t="s">
        <v>361</v>
      </c>
      <c r="E431" s="448">
        <f>NETWORKDAYS(G431,H431,S.DDL_DEQClosed)</f>
        <v>127</v>
      </c>
      <c r="F431" s="491">
        <f ca="1">NETWORKDAYS(TODAY(),H431)</f>
        <v>47</v>
      </c>
      <c r="G431" s="472">
        <f t="shared" si="996"/>
        <v>41530</v>
      </c>
      <c r="H431" s="472">
        <f t="shared" si="996"/>
        <v>41716</v>
      </c>
      <c r="I431" s="627"/>
      <c r="J431" s="592"/>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588"/>
      <c r="AAD431" s="112"/>
      <c r="AAE431" s="551">
        <v>1</v>
      </c>
      <c r="AAF431" s="112"/>
      <c r="AAG431" s="78">
        <f>S.BANNER.EQCStart</f>
        <v>41530</v>
      </c>
      <c r="AAH431" s="78">
        <f>S.EQCMeeting-1</f>
        <v>41716</v>
      </c>
      <c r="AAI431" s="77"/>
      <c r="AAJ431" s="57"/>
      <c r="AAK431" s="57"/>
      <c r="AAL431" s="57"/>
      <c r="AAM431" s="112"/>
      <c r="AAN431"/>
      <c r="AAT431" s="23"/>
      <c r="AAU431" s="44"/>
    </row>
    <row r="432" spans="1:732" ht="15" customHeight="1" outlineLevel="1">
      <c r="A432" s="558"/>
      <c r="B432" s="439" t="s">
        <v>183</v>
      </c>
      <c r="C432" s="307"/>
      <c r="D432" s="195" t="s">
        <v>0</v>
      </c>
      <c r="E432" s="123" t="s">
        <v>0</v>
      </c>
      <c r="F432" s="124" t="s">
        <v>0</v>
      </c>
      <c r="G432" s="196"/>
      <c r="H432" s="196"/>
      <c r="I432" s="627"/>
      <c r="J432" s="592"/>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50"/>
      <c r="ZZ432" s="50"/>
      <c r="AAA432" s="588"/>
      <c r="AAD432" s="112"/>
      <c r="AAE432" s="551">
        <v>1</v>
      </c>
      <c r="AAF432" s="583" t="s">
        <v>174</v>
      </c>
      <c r="AAG432" s="117"/>
      <c r="AAH432" s="117"/>
      <c r="AAI432" s="77"/>
      <c r="AAJ432" s="57"/>
      <c r="AAK432" s="57"/>
      <c r="AAL432" s="57"/>
      <c r="AAM432" s="112"/>
      <c r="AAN432"/>
      <c r="AAT432" s="23"/>
      <c r="AAU432" s="44"/>
    </row>
    <row r="433" spans="1:732" ht="15" customHeight="1" outlineLevel="1">
      <c r="A433" s="558"/>
      <c r="B433" s="475" t="s">
        <v>121</v>
      </c>
      <c r="C433" s="726"/>
      <c r="D433" s="278" t="s">
        <v>359</v>
      </c>
      <c r="E433" s="368">
        <f>NETWORKDAYS(G433,H433,S.DDL_DEQClosed)</f>
        <v>1</v>
      </c>
      <c r="F433" s="491">
        <f ca="1">NETWORKDAYS(TODAY(),H433)</f>
        <v>47</v>
      </c>
      <c r="G433" s="472">
        <f t="shared" si="996"/>
        <v>41716</v>
      </c>
      <c r="H433" s="472">
        <f t="shared" si="996"/>
        <v>41716</v>
      </c>
      <c r="I433" s="627"/>
      <c r="J433" s="592"/>
      <c r="K433" s="50"/>
      <c r="L433" s="50"/>
      <c r="M433" s="50"/>
      <c r="N433" s="50"/>
      <c r="O433" s="50"/>
      <c r="P433" s="50"/>
      <c r="Q433" s="50"/>
      <c r="R433" s="50"/>
      <c r="S433" s="50"/>
      <c r="T433" s="50"/>
      <c r="U433" s="50"/>
      <c r="V433" s="50"/>
      <c r="W433" s="50"/>
      <c r="X433" s="50"/>
      <c r="Y433" s="50"/>
      <c r="Z433" s="50"/>
      <c r="AA433" s="50"/>
      <c r="AB433" s="50"/>
      <c r="AC433" s="50"/>
      <c r="AD433" s="50"/>
      <c r="AE433" s="50"/>
      <c r="AF433" s="50"/>
      <c r="AG433" s="50"/>
      <c r="AH433" s="50"/>
      <c r="AI433" s="50"/>
      <c r="AJ433" s="50"/>
      <c r="AK433" s="50"/>
      <c r="AL433" s="50"/>
      <c r="AM433" s="50"/>
      <c r="AN433" s="50"/>
      <c r="AO433" s="50"/>
      <c r="AP433" s="50"/>
      <c r="AQ433" s="50"/>
      <c r="AR433" s="50"/>
      <c r="AS433" s="50"/>
      <c r="AT433" s="50"/>
      <c r="AU433" s="50"/>
      <c r="AV433" s="50"/>
      <c r="AW433" s="50"/>
      <c r="AX433" s="50"/>
      <c r="AY433" s="50"/>
      <c r="AZ433" s="50"/>
      <c r="BA433" s="50"/>
      <c r="BB433" s="50"/>
      <c r="BC433" s="50"/>
      <c r="BD433" s="50"/>
      <c r="BE433" s="50"/>
      <c r="BF433" s="50"/>
      <c r="BG433" s="50"/>
      <c r="BH433" s="50"/>
      <c r="BI433" s="50"/>
      <c r="BJ433" s="50"/>
      <c r="BK433" s="50"/>
      <c r="BL433" s="50"/>
      <c r="BM433" s="50"/>
      <c r="BN433" s="50"/>
      <c r="BO433" s="50"/>
      <c r="BP433" s="50"/>
      <c r="BQ433" s="50"/>
      <c r="BR433" s="50"/>
      <c r="BS433" s="50"/>
      <c r="BT433" s="50"/>
      <c r="BU433" s="50"/>
      <c r="BV433" s="50"/>
      <c r="BW433" s="50"/>
      <c r="BX433" s="50"/>
      <c r="BY433" s="50"/>
      <c r="BZ433" s="50"/>
      <c r="CA433" s="50"/>
      <c r="CB433" s="50"/>
      <c r="CC433" s="50"/>
      <c r="CD433" s="50"/>
      <c r="CE433" s="50"/>
      <c r="CF433" s="50"/>
      <c r="CG433" s="50"/>
      <c r="CH433" s="50"/>
      <c r="CI433" s="50"/>
      <c r="CJ433" s="50"/>
      <c r="CK433" s="50"/>
      <c r="CL433" s="50"/>
      <c r="CM433" s="50"/>
      <c r="CN433" s="50"/>
      <c r="CO433" s="50"/>
      <c r="CP433" s="50"/>
      <c r="CQ433" s="50"/>
      <c r="CR433" s="50"/>
      <c r="CS433" s="50"/>
      <c r="CT433" s="50"/>
      <c r="CU433" s="50"/>
      <c r="CV433" s="50"/>
      <c r="CW433" s="50"/>
      <c r="CX433" s="50"/>
      <c r="CY433" s="50"/>
      <c r="CZ433" s="50"/>
      <c r="DA433" s="50"/>
      <c r="DB433" s="50"/>
      <c r="DC433" s="50"/>
      <c r="DD433" s="50"/>
      <c r="DE433" s="50"/>
      <c r="DF433" s="50"/>
      <c r="DG433" s="50"/>
      <c r="DH433" s="50"/>
      <c r="DI433" s="50"/>
      <c r="DJ433" s="50"/>
      <c r="DK433" s="50"/>
      <c r="DL433" s="50"/>
      <c r="DM433" s="50"/>
      <c r="DN433" s="50"/>
      <c r="DO433" s="50"/>
      <c r="DP433" s="50"/>
      <c r="DQ433" s="50"/>
      <c r="DR433" s="50"/>
      <c r="DS433" s="50"/>
      <c r="DT433" s="50"/>
      <c r="DU433" s="50"/>
      <c r="DV433" s="50"/>
      <c r="DW433" s="50"/>
      <c r="DX433" s="50"/>
      <c r="DY433" s="50"/>
      <c r="DZ433" s="50"/>
      <c r="EA433" s="50"/>
      <c r="EB433" s="50"/>
      <c r="EC433" s="50"/>
      <c r="ED433" s="50"/>
      <c r="EE433" s="50"/>
      <c r="EF433" s="50"/>
      <c r="EG433" s="50"/>
      <c r="EH433" s="50"/>
      <c r="EI433" s="50"/>
      <c r="EJ433" s="50"/>
      <c r="EK433" s="50"/>
      <c r="EL433" s="50"/>
      <c r="EM433" s="50"/>
      <c r="EN433" s="50"/>
      <c r="EO433" s="50"/>
      <c r="EP433" s="50"/>
      <c r="EQ433" s="50"/>
      <c r="ER433" s="50"/>
      <c r="ES433" s="50"/>
      <c r="ET433" s="50"/>
      <c r="EU433" s="50"/>
      <c r="EV433" s="50"/>
      <c r="EW433" s="50"/>
      <c r="EX433" s="50"/>
      <c r="EY433" s="50"/>
      <c r="EZ433" s="50"/>
      <c r="FA433" s="50"/>
      <c r="FB433" s="50"/>
      <c r="FC433" s="50"/>
      <c r="FD433" s="50"/>
      <c r="FE433" s="50"/>
      <c r="FF433" s="50"/>
      <c r="FG433" s="50"/>
      <c r="FH433" s="50"/>
      <c r="FI433" s="50"/>
      <c r="FJ433" s="50"/>
      <c r="FK433" s="50"/>
      <c r="FL433" s="50"/>
      <c r="FM433" s="50"/>
      <c r="FN433" s="50"/>
      <c r="FO433" s="50"/>
      <c r="FP433" s="50"/>
      <c r="FQ433" s="50"/>
      <c r="FR433" s="50"/>
      <c r="FS433" s="50"/>
      <c r="FT433" s="50"/>
      <c r="FU433" s="50"/>
      <c r="FV433" s="50"/>
      <c r="FW433" s="50"/>
      <c r="FX433" s="50"/>
      <c r="FY433" s="50"/>
      <c r="FZ433" s="50"/>
      <c r="GA433" s="50"/>
      <c r="GB433" s="50"/>
      <c r="GC433" s="50"/>
      <c r="GD433" s="50"/>
      <c r="GE433" s="50"/>
      <c r="GF433" s="50"/>
      <c r="GG433" s="50"/>
      <c r="GH433" s="50"/>
      <c r="GI433" s="50"/>
      <c r="GJ433" s="50"/>
      <c r="GK433" s="50"/>
      <c r="GL433" s="50"/>
      <c r="GM433" s="50"/>
      <c r="GN433" s="50"/>
      <c r="GO433" s="50"/>
      <c r="GP433" s="50"/>
      <c r="GQ433" s="50"/>
      <c r="GR433" s="50"/>
      <c r="GS433" s="50"/>
      <c r="GT433" s="50"/>
      <c r="GU433" s="50"/>
      <c r="GV433" s="50"/>
      <c r="GW433" s="50"/>
      <c r="GX433" s="50"/>
      <c r="GY433" s="50"/>
      <c r="GZ433" s="50"/>
      <c r="HA433" s="50"/>
      <c r="HB433" s="50"/>
      <c r="HC433" s="50"/>
      <c r="HD433" s="50"/>
      <c r="HE433" s="50"/>
      <c r="HF433" s="50"/>
      <c r="HG433" s="50"/>
      <c r="HH433" s="50"/>
      <c r="HI433" s="50"/>
      <c r="HJ433" s="50"/>
      <c r="HK433" s="50"/>
      <c r="HL433" s="50"/>
      <c r="HM433" s="50"/>
      <c r="HN433" s="50"/>
      <c r="HO433" s="50"/>
      <c r="HP433" s="50"/>
      <c r="HQ433" s="50"/>
      <c r="HR433" s="50"/>
      <c r="HS433" s="50"/>
      <c r="HT433" s="50"/>
      <c r="HU433" s="50"/>
      <c r="HV433" s="50"/>
      <c r="HW433" s="50"/>
      <c r="HX433" s="50"/>
      <c r="HY433" s="50"/>
      <c r="HZ433" s="50"/>
      <c r="IA433" s="50"/>
      <c r="IB433" s="50"/>
      <c r="IC433" s="50"/>
      <c r="ID433" s="50"/>
      <c r="IE433" s="50"/>
      <c r="IF433" s="50"/>
      <c r="IG433" s="50"/>
      <c r="IH433" s="50"/>
      <c r="II433" s="50"/>
      <c r="IJ433" s="50"/>
      <c r="IK433" s="50"/>
      <c r="IL433" s="50"/>
      <c r="IM433" s="50"/>
      <c r="IN433" s="50"/>
      <c r="IO433" s="50"/>
      <c r="IP433" s="50"/>
      <c r="IQ433" s="50"/>
      <c r="IR433" s="50"/>
      <c r="IS433" s="50"/>
      <c r="IT433" s="50"/>
      <c r="IU433" s="50"/>
      <c r="IV433" s="50"/>
      <c r="IW433" s="50"/>
      <c r="IX433" s="50"/>
      <c r="IY433" s="50"/>
      <c r="IZ433" s="50"/>
      <c r="JA433" s="50"/>
      <c r="JB433" s="50"/>
      <c r="JC433" s="50"/>
      <c r="JD433" s="50"/>
      <c r="JE433" s="50"/>
      <c r="JF433" s="50"/>
      <c r="JG433" s="50"/>
      <c r="JH433" s="50"/>
      <c r="JI433" s="50"/>
      <c r="JJ433" s="50"/>
      <c r="JK433" s="50"/>
      <c r="JL433" s="50"/>
      <c r="JM433" s="50"/>
      <c r="JN433" s="50"/>
      <c r="JO433" s="50"/>
      <c r="JP433" s="50"/>
      <c r="JQ433" s="50"/>
      <c r="JR433" s="50"/>
      <c r="JS433" s="50"/>
      <c r="JT433" s="50"/>
      <c r="JU433" s="50"/>
      <c r="JV433" s="50"/>
      <c r="JW433" s="50"/>
      <c r="JX433" s="50"/>
      <c r="JY433" s="50"/>
      <c r="JZ433" s="50"/>
      <c r="KA433" s="50"/>
      <c r="KB433" s="50"/>
      <c r="KC433" s="50"/>
      <c r="KD433" s="50"/>
      <c r="KE433" s="50"/>
      <c r="KF433" s="50"/>
      <c r="KG433" s="50"/>
      <c r="KH433" s="50"/>
      <c r="KI433" s="50"/>
      <c r="KJ433" s="50"/>
      <c r="KK433" s="50"/>
      <c r="KL433" s="50"/>
      <c r="KM433" s="50"/>
      <c r="KN433" s="50"/>
      <c r="KO433" s="50"/>
      <c r="KP433" s="50"/>
      <c r="KQ433" s="50"/>
      <c r="KR433" s="50"/>
      <c r="KS433" s="50"/>
      <c r="KT433" s="50"/>
      <c r="KU433" s="50"/>
      <c r="KV433" s="50"/>
      <c r="KW433" s="50"/>
      <c r="KX433" s="50"/>
      <c r="KY433" s="50"/>
      <c r="KZ433" s="50"/>
      <c r="LA433" s="50"/>
      <c r="LB433" s="50"/>
      <c r="LC433" s="50"/>
      <c r="LD433" s="50"/>
      <c r="LE433" s="50"/>
      <c r="LF433" s="50"/>
      <c r="LG433" s="50"/>
      <c r="LH433" s="50"/>
      <c r="LI433" s="50"/>
      <c r="LJ433" s="50"/>
      <c r="LK433" s="50"/>
      <c r="LL433" s="50"/>
      <c r="LM433" s="50"/>
      <c r="LN433" s="50"/>
      <c r="LO433" s="50"/>
      <c r="LP433" s="50"/>
      <c r="LQ433" s="50"/>
      <c r="LR433" s="50"/>
      <c r="LS433" s="50"/>
      <c r="LT433" s="50"/>
      <c r="LU433" s="50"/>
      <c r="LV433" s="50"/>
      <c r="LW433" s="50"/>
      <c r="LX433" s="50"/>
      <c r="LY433" s="50"/>
      <c r="LZ433" s="50"/>
      <c r="MA433" s="50"/>
      <c r="MB433" s="50"/>
      <c r="MC433" s="50"/>
      <c r="MD433" s="50"/>
      <c r="ME433" s="50"/>
      <c r="MF433" s="50"/>
      <c r="MG433" s="50"/>
      <c r="MH433" s="50"/>
      <c r="MI433" s="50"/>
      <c r="MJ433" s="50"/>
      <c r="MK433" s="50"/>
      <c r="ML433" s="50"/>
      <c r="MM433" s="50"/>
      <c r="MN433" s="50"/>
      <c r="MO433" s="50"/>
      <c r="MP433" s="50"/>
      <c r="MQ433" s="50"/>
      <c r="MR433" s="50"/>
      <c r="MS433" s="50"/>
      <c r="MT433" s="50"/>
      <c r="MU433" s="50"/>
      <c r="MV433" s="50"/>
      <c r="MW433" s="50"/>
      <c r="MX433" s="50"/>
      <c r="MY433" s="50"/>
      <c r="MZ433" s="50"/>
      <c r="NA433" s="50"/>
      <c r="NB433" s="50"/>
      <c r="NC433" s="50"/>
      <c r="ND433" s="50"/>
      <c r="NE433" s="50"/>
      <c r="NF433" s="50"/>
      <c r="NG433" s="50"/>
      <c r="NH433" s="50"/>
      <c r="NI433" s="50"/>
      <c r="NJ433" s="50"/>
      <c r="NK433" s="50"/>
      <c r="NL433" s="50"/>
      <c r="NM433" s="50"/>
      <c r="NN433" s="50"/>
      <c r="NO433" s="50"/>
      <c r="NP433" s="50"/>
      <c r="NQ433" s="50"/>
      <c r="NR433" s="50"/>
      <c r="NS433" s="50"/>
      <c r="NT433" s="50"/>
      <c r="NU433" s="50"/>
      <c r="NV433" s="50"/>
      <c r="NW433" s="50"/>
      <c r="NX433" s="50"/>
      <c r="NY433" s="50"/>
      <c r="NZ433" s="50"/>
      <c r="OA433" s="50"/>
      <c r="OB433" s="50"/>
      <c r="OC433" s="50"/>
      <c r="OD433" s="50"/>
      <c r="OE433" s="50"/>
      <c r="OF433" s="50"/>
      <c r="OG433" s="50"/>
      <c r="OH433" s="50"/>
      <c r="OI433" s="50"/>
      <c r="OJ433" s="50"/>
      <c r="OK433" s="50"/>
      <c r="OL433" s="50"/>
      <c r="OM433" s="50"/>
      <c r="ON433" s="50"/>
      <c r="OO433" s="50"/>
      <c r="OP433" s="50"/>
      <c r="OQ433" s="50"/>
      <c r="OR433" s="50"/>
      <c r="OS433" s="50"/>
      <c r="OT433" s="50"/>
      <c r="OU433" s="50"/>
      <c r="OV433" s="50"/>
      <c r="OW433" s="50"/>
      <c r="OX433" s="50"/>
      <c r="OY433" s="50"/>
      <c r="OZ433" s="50"/>
      <c r="PA433" s="50"/>
      <c r="PB433" s="50"/>
      <c r="PC433" s="50"/>
      <c r="PD433" s="50"/>
      <c r="PE433" s="50"/>
      <c r="PF433" s="50"/>
      <c r="PG433" s="50"/>
      <c r="PH433" s="50"/>
      <c r="PI433" s="50"/>
      <c r="PJ433" s="50"/>
      <c r="PK433" s="50"/>
      <c r="PL433" s="50"/>
      <c r="PM433" s="50"/>
      <c r="PN433" s="50"/>
      <c r="PO433" s="50"/>
      <c r="PP433" s="50"/>
      <c r="PQ433" s="50"/>
      <c r="PR433" s="50"/>
      <c r="PS433" s="50"/>
      <c r="PT433" s="50"/>
      <c r="PU433" s="50"/>
      <c r="PV433" s="50"/>
      <c r="PW433" s="50"/>
      <c r="PX433" s="50"/>
      <c r="PY433" s="50"/>
      <c r="PZ433" s="50"/>
      <c r="QA433" s="50"/>
      <c r="QB433" s="50"/>
      <c r="QC433" s="50"/>
      <c r="QD433" s="50"/>
      <c r="QE433" s="50"/>
      <c r="QF433" s="50"/>
      <c r="QG433" s="50"/>
      <c r="QH433" s="50"/>
      <c r="QI433" s="50"/>
      <c r="QJ433" s="50"/>
      <c r="QK433" s="50"/>
      <c r="QL433" s="50"/>
      <c r="QM433" s="50"/>
      <c r="QN433" s="50"/>
      <c r="QO433" s="50"/>
      <c r="QP433" s="50"/>
      <c r="QQ433" s="50"/>
      <c r="QR433" s="50"/>
      <c r="QS433" s="50"/>
      <c r="QT433" s="50"/>
      <c r="QU433" s="50"/>
      <c r="QV433" s="50"/>
      <c r="QW433" s="50"/>
      <c r="QX433" s="50"/>
      <c r="QY433" s="50"/>
      <c r="QZ433" s="50"/>
      <c r="RA433" s="50"/>
      <c r="RB433" s="50"/>
      <c r="RC433" s="50"/>
      <c r="RD433" s="50"/>
      <c r="RE433" s="50"/>
      <c r="RF433" s="50"/>
      <c r="RG433" s="50"/>
      <c r="RH433" s="50"/>
      <c r="RI433" s="50"/>
      <c r="RJ433" s="50"/>
      <c r="RK433" s="50"/>
      <c r="RL433" s="50"/>
      <c r="RM433" s="50"/>
      <c r="RN433" s="50"/>
      <c r="RO433" s="50"/>
      <c r="RP433" s="50"/>
      <c r="RQ433" s="50"/>
      <c r="RR433" s="50"/>
      <c r="RS433" s="50"/>
      <c r="RT433" s="50"/>
      <c r="RU433" s="50"/>
      <c r="RV433" s="50"/>
      <c r="RW433" s="50"/>
      <c r="RX433" s="50"/>
      <c r="RY433" s="50"/>
      <c r="RZ433" s="50"/>
      <c r="SA433" s="50"/>
      <c r="SB433" s="50"/>
      <c r="SC433" s="50"/>
      <c r="SD433" s="50"/>
      <c r="SE433" s="50"/>
      <c r="SF433" s="50"/>
      <c r="SG433" s="50"/>
      <c r="SH433" s="50"/>
      <c r="SI433" s="50"/>
      <c r="SJ433" s="50"/>
      <c r="SK433" s="50"/>
      <c r="SL433" s="50"/>
      <c r="SM433" s="50"/>
      <c r="SN433" s="50"/>
      <c r="SO433" s="50"/>
      <c r="SP433" s="50"/>
      <c r="SQ433" s="50"/>
      <c r="SR433" s="50"/>
      <c r="SS433" s="50"/>
      <c r="ST433" s="50"/>
      <c r="SU433" s="50"/>
      <c r="SV433" s="50"/>
      <c r="SW433" s="50"/>
      <c r="SX433" s="50"/>
      <c r="SY433" s="50"/>
      <c r="SZ433" s="50"/>
      <c r="TA433" s="50"/>
      <c r="TB433" s="50"/>
      <c r="TC433" s="50"/>
      <c r="TD433" s="50"/>
      <c r="TE433" s="50"/>
      <c r="TF433" s="50"/>
      <c r="TG433" s="50"/>
      <c r="TH433" s="50"/>
      <c r="TI433" s="50"/>
      <c r="TJ433" s="50"/>
      <c r="TK433" s="50"/>
      <c r="TL433" s="50"/>
      <c r="TM433" s="50"/>
      <c r="TN433" s="50"/>
      <c r="TO433" s="50"/>
      <c r="TP433" s="50"/>
      <c r="TQ433" s="50"/>
      <c r="TR433" s="50"/>
      <c r="TS433" s="50"/>
      <c r="TT433" s="50"/>
      <c r="TU433" s="50"/>
      <c r="TV433" s="50"/>
      <c r="TW433" s="50"/>
      <c r="TX433" s="50"/>
      <c r="TY433" s="50"/>
      <c r="TZ433" s="50"/>
      <c r="UA433" s="50"/>
      <c r="UB433" s="50"/>
      <c r="UC433" s="50"/>
      <c r="UD433" s="50"/>
      <c r="UE433" s="50"/>
      <c r="UF433" s="50"/>
      <c r="UG433" s="50"/>
      <c r="UH433" s="50"/>
      <c r="UI433" s="50"/>
      <c r="UJ433" s="50"/>
      <c r="UK433" s="50"/>
      <c r="UL433" s="50"/>
      <c r="UM433" s="50"/>
      <c r="UN433" s="50"/>
      <c r="UO433" s="50"/>
      <c r="UP433" s="50"/>
      <c r="UQ433" s="50"/>
      <c r="UR433" s="50"/>
      <c r="US433" s="50"/>
      <c r="UT433" s="50"/>
      <c r="UU433" s="50"/>
      <c r="UV433" s="50"/>
      <c r="UW433" s="50"/>
      <c r="UX433" s="50"/>
      <c r="UY433" s="50"/>
      <c r="UZ433" s="50"/>
      <c r="VA433" s="50"/>
      <c r="VB433" s="50"/>
      <c r="VC433" s="50"/>
      <c r="VD433" s="50"/>
      <c r="VE433" s="50"/>
      <c r="VF433" s="50"/>
      <c r="VG433" s="50"/>
      <c r="VH433" s="50"/>
      <c r="VI433" s="50"/>
      <c r="VJ433" s="50"/>
      <c r="VK433" s="50"/>
      <c r="VL433" s="50"/>
      <c r="VM433" s="50"/>
      <c r="VN433" s="50"/>
      <c r="VO433" s="50"/>
      <c r="VP433" s="50"/>
      <c r="VQ433" s="50"/>
      <c r="VR433" s="50"/>
      <c r="VS433" s="50"/>
      <c r="VT433" s="50"/>
      <c r="VU433" s="50"/>
      <c r="VV433" s="50"/>
      <c r="VW433" s="50"/>
      <c r="VX433" s="50"/>
      <c r="VY433" s="50"/>
      <c r="VZ433" s="50"/>
      <c r="WA433" s="50"/>
      <c r="WB433" s="50"/>
      <c r="WC433" s="50"/>
      <c r="WD433" s="50"/>
      <c r="WE433" s="50"/>
      <c r="WF433" s="50"/>
      <c r="WG433" s="50"/>
      <c r="WH433" s="50"/>
      <c r="WI433" s="50"/>
      <c r="WJ433" s="50"/>
      <c r="WK433" s="50"/>
      <c r="WL433" s="50"/>
      <c r="WM433" s="50"/>
      <c r="WN433" s="50"/>
      <c r="WO433" s="50"/>
      <c r="WP433" s="50"/>
      <c r="WQ433" s="50"/>
      <c r="WR433" s="50"/>
      <c r="WS433" s="50"/>
      <c r="WT433" s="50"/>
      <c r="WU433" s="50"/>
      <c r="WV433" s="50"/>
      <c r="WW433" s="50"/>
      <c r="WX433" s="50"/>
      <c r="WY433" s="50"/>
      <c r="WZ433" s="50"/>
      <c r="XA433" s="50"/>
      <c r="XB433" s="50"/>
      <c r="XC433" s="50"/>
      <c r="XD433" s="50"/>
      <c r="XE433" s="50"/>
      <c r="XF433" s="50"/>
      <c r="XG433" s="50"/>
      <c r="XH433" s="50"/>
      <c r="XI433" s="50"/>
      <c r="XJ433" s="50"/>
      <c r="XK433" s="50"/>
      <c r="XL433" s="50"/>
      <c r="XM433" s="50"/>
      <c r="XN433" s="50"/>
      <c r="XO433" s="50"/>
      <c r="XP433" s="50"/>
      <c r="XQ433" s="50"/>
      <c r="XR433" s="50"/>
      <c r="XS433" s="50"/>
      <c r="XT433" s="50"/>
      <c r="XU433" s="50"/>
      <c r="XV433" s="50"/>
      <c r="XW433" s="50"/>
      <c r="XX433" s="50"/>
      <c r="XY433" s="50"/>
      <c r="XZ433" s="50"/>
      <c r="YA433" s="50"/>
      <c r="YB433" s="50"/>
      <c r="YC433" s="50"/>
      <c r="YD433" s="50"/>
      <c r="YE433" s="50"/>
      <c r="YF433" s="50"/>
      <c r="YG433" s="50"/>
      <c r="YH433" s="50"/>
      <c r="YI433" s="50"/>
      <c r="YJ433" s="50"/>
      <c r="YK433" s="50"/>
      <c r="YL433" s="50"/>
      <c r="YM433" s="50"/>
      <c r="YN433" s="50"/>
      <c r="YO433" s="50"/>
      <c r="YP433" s="50"/>
      <c r="YQ433" s="50"/>
      <c r="YR433" s="50"/>
      <c r="YS433" s="50"/>
      <c r="YT433" s="50"/>
      <c r="YU433" s="50"/>
      <c r="YV433" s="50"/>
      <c r="YW433" s="50"/>
      <c r="YX433" s="50"/>
      <c r="YY433" s="50"/>
      <c r="YZ433" s="50"/>
      <c r="ZA433" s="50"/>
      <c r="ZB433" s="50"/>
      <c r="ZC433" s="50"/>
      <c r="ZD433" s="50"/>
      <c r="ZE433" s="50"/>
      <c r="ZF433" s="50"/>
      <c r="ZG433" s="50"/>
      <c r="ZH433" s="50"/>
      <c r="ZI433" s="50"/>
      <c r="ZJ433" s="50"/>
      <c r="ZK433" s="50"/>
      <c r="ZL433" s="50"/>
      <c r="ZM433" s="50"/>
      <c r="ZN433" s="50"/>
      <c r="ZO433" s="50"/>
      <c r="ZP433" s="50"/>
      <c r="ZQ433" s="50"/>
      <c r="ZR433" s="50"/>
      <c r="ZS433" s="50"/>
      <c r="ZT433" s="50"/>
      <c r="ZU433" s="50"/>
      <c r="ZV433" s="50"/>
      <c r="ZW433" s="50"/>
      <c r="ZX433" s="50"/>
      <c r="ZY433" s="50"/>
      <c r="ZZ433" s="50"/>
      <c r="AAA433" s="588"/>
      <c r="AAD433" s="112"/>
      <c r="AAE433" s="551">
        <v>1</v>
      </c>
      <c r="AAF433" s="112"/>
      <c r="AAG433" s="78">
        <f>H431</f>
        <v>41716</v>
      </c>
      <c r="AAH433" s="78">
        <f>G433</f>
        <v>41716</v>
      </c>
      <c r="AAI433" s="77"/>
      <c r="AAJ433" s="57"/>
      <c r="AAK433" s="57"/>
      <c r="AAL433" s="57" t="s">
        <v>0</v>
      </c>
      <c r="AAM433" s="112"/>
      <c r="AAN433"/>
      <c r="AAT433" s="23"/>
      <c r="AAU433" s="44"/>
    </row>
    <row r="434" spans="1:732" ht="15" customHeight="1" outlineLevel="1">
      <c r="A434" s="558"/>
      <c r="B434" s="476" t="s">
        <v>29</v>
      </c>
      <c r="C434" s="726"/>
      <c r="D434" s="308" t="s">
        <v>151</v>
      </c>
      <c r="E434" s="368">
        <f>NETWORKDAYS(G434,H434,S.DDL_DEQClosed)</f>
        <v>1</v>
      </c>
      <c r="F434" s="491">
        <f ca="1">NETWORKDAYS(TODAY(),H434)</f>
        <v>47</v>
      </c>
      <c r="G434" s="472">
        <f t="shared" si="996"/>
        <v>41716</v>
      </c>
      <c r="H434" s="472">
        <f t="shared" si="996"/>
        <v>41716</v>
      </c>
      <c r="I434" s="627"/>
      <c r="J434" s="591"/>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c r="BF434" s="47"/>
      <c r="BG434" s="47"/>
      <c r="BH434" s="47"/>
      <c r="BI434" s="47"/>
      <c r="BJ434" s="47"/>
      <c r="BK434" s="47"/>
      <c r="BL434" s="47"/>
      <c r="BM434" s="47"/>
      <c r="BN434" s="47"/>
      <c r="BO434" s="47"/>
      <c r="BP434" s="47"/>
      <c r="BQ434" s="47"/>
      <c r="BR434" s="47"/>
      <c r="BS434" s="47"/>
      <c r="BT434" s="47"/>
      <c r="BU434" s="47"/>
      <c r="BV434" s="47"/>
      <c r="BW434" s="47"/>
      <c r="BX434" s="47"/>
      <c r="BY434" s="47"/>
      <c r="BZ434" s="47"/>
      <c r="CA434" s="47"/>
      <c r="CB434" s="47"/>
      <c r="CC434" s="47"/>
      <c r="CD434" s="47"/>
      <c r="CE434" s="47"/>
      <c r="CF434" s="47"/>
      <c r="CG434" s="47"/>
      <c r="CH434" s="47"/>
      <c r="CI434" s="47"/>
      <c r="CJ434" s="47"/>
      <c r="CK434" s="47"/>
      <c r="CL434" s="47"/>
      <c r="CM434" s="47"/>
      <c r="CN434" s="47"/>
      <c r="CO434" s="47"/>
      <c r="CP434" s="47"/>
      <c r="CQ434" s="47"/>
      <c r="CR434" s="47"/>
      <c r="CS434" s="47"/>
      <c r="CT434" s="47"/>
      <c r="CU434" s="47"/>
      <c r="CV434" s="47"/>
      <c r="CW434" s="47"/>
      <c r="CX434" s="47"/>
      <c r="CY434" s="47"/>
      <c r="CZ434" s="47"/>
      <c r="DA434" s="47"/>
      <c r="DB434" s="47"/>
      <c r="DC434" s="47"/>
      <c r="DD434" s="47"/>
      <c r="DE434" s="47"/>
      <c r="DF434" s="47"/>
      <c r="DG434" s="47"/>
      <c r="DH434" s="47"/>
      <c r="DI434" s="47"/>
      <c r="DJ434" s="47"/>
      <c r="DK434" s="47"/>
      <c r="DL434" s="47"/>
      <c r="DM434" s="47"/>
      <c r="DN434" s="47"/>
      <c r="DO434" s="47"/>
      <c r="DP434" s="47"/>
      <c r="DQ434" s="47"/>
      <c r="DR434" s="47"/>
      <c r="DS434" s="47"/>
      <c r="DT434" s="47"/>
      <c r="DU434" s="47"/>
      <c r="DV434" s="47"/>
      <c r="DW434" s="47"/>
      <c r="DX434" s="47"/>
      <c r="DY434" s="47"/>
      <c r="DZ434" s="47"/>
      <c r="EA434" s="47"/>
      <c r="EB434" s="47"/>
      <c r="EC434" s="47"/>
      <c r="ED434" s="47"/>
      <c r="EE434" s="47"/>
      <c r="EF434" s="47"/>
      <c r="EG434" s="47"/>
      <c r="EH434" s="47"/>
      <c r="EI434" s="47"/>
      <c r="EJ434" s="47"/>
      <c r="EK434" s="47"/>
      <c r="EL434" s="47"/>
      <c r="EM434" s="47"/>
      <c r="EN434" s="47"/>
      <c r="EO434" s="47"/>
      <c r="EP434" s="47"/>
      <c r="EQ434" s="47"/>
      <c r="ER434" s="47"/>
      <c r="ES434" s="47"/>
      <c r="ET434" s="47"/>
      <c r="EU434" s="47"/>
      <c r="EV434" s="47"/>
      <c r="EW434" s="47"/>
      <c r="EX434" s="47"/>
      <c r="EY434" s="47"/>
      <c r="EZ434" s="47"/>
      <c r="FA434" s="47"/>
      <c r="FB434" s="47"/>
      <c r="FC434" s="47"/>
      <c r="FD434" s="47"/>
      <c r="FE434" s="47"/>
      <c r="FF434" s="47"/>
      <c r="FG434" s="47"/>
      <c r="FH434" s="47"/>
      <c r="FI434" s="47"/>
      <c r="FJ434" s="47"/>
      <c r="FK434" s="47"/>
      <c r="FL434" s="47"/>
      <c r="FM434" s="47"/>
      <c r="FN434" s="47"/>
      <c r="FO434" s="47"/>
      <c r="FP434" s="47"/>
      <c r="FQ434" s="47"/>
      <c r="FR434" s="47"/>
      <c r="FS434" s="47"/>
      <c r="FT434" s="47"/>
      <c r="FU434" s="47"/>
      <c r="FV434" s="47"/>
      <c r="FW434" s="47"/>
      <c r="FX434" s="47"/>
      <c r="FY434" s="47"/>
      <c r="FZ434" s="47"/>
      <c r="GA434" s="47"/>
      <c r="GB434" s="47"/>
      <c r="GC434" s="47"/>
      <c r="GD434" s="47"/>
      <c r="GE434" s="47"/>
      <c r="GF434" s="47"/>
      <c r="GG434" s="47"/>
      <c r="GH434" s="47"/>
      <c r="GI434" s="47"/>
      <c r="GJ434" s="47"/>
      <c r="GK434" s="47"/>
      <c r="GL434" s="47"/>
      <c r="GM434" s="47"/>
      <c r="GN434" s="47"/>
      <c r="GO434" s="47"/>
      <c r="GP434" s="47"/>
      <c r="GQ434" s="47"/>
      <c r="GR434" s="47"/>
      <c r="GS434" s="47"/>
      <c r="GT434" s="47"/>
      <c r="GU434" s="47"/>
      <c r="GV434" s="47"/>
      <c r="GW434" s="47"/>
      <c r="GX434" s="47"/>
      <c r="GY434" s="47"/>
      <c r="GZ434" s="47"/>
      <c r="HA434" s="47"/>
      <c r="HB434" s="47"/>
      <c r="HC434" s="47"/>
      <c r="HD434" s="47"/>
      <c r="HE434" s="47"/>
      <c r="HF434" s="47"/>
      <c r="HG434" s="47"/>
      <c r="HH434" s="47"/>
      <c r="HI434" s="47"/>
      <c r="HJ434" s="47"/>
      <c r="HK434" s="47"/>
      <c r="HL434" s="47"/>
      <c r="HM434" s="47"/>
      <c r="HN434" s="47"/>
      <c r="HO434" s="47"/>
      <c r="HP434" s="47"/>
      <c r="HQ434" s="47"/>
      <c r="HR434" s="47"/>
      <c r="HS434" s="47"/>
      <c r="HT434" s="47"/>
      <c r="HU434" s="47"/>
      <c r="HV434" s="47"/>
      <c r="HW434" s="47"/>
      <c r="HX434" s="47"/>
      <c r="HY434" s="47"/>
      <c r="HZ434" s="47"/>
      <c r="IA434" s="47"/>
      <c r="IB434" s="47"/>
      <c r="IC434" s="47"/>
      <c r="ID434" s="47"/>
      <c r="IE434" s="47"/>
      <c r="IF434" s="47"/>
      <c r="IG434" s="47"/>
      <c r="IH434" s="47"/>
      <c r="II434" s="47"/>
      <c r="IJ434" s="47"/>
      <c r="IK434" s="47"/>
      <c r="IL434" s="47"/>
      <c r="IM434" s="47"/>
      <c r="IN434" s="47"/>
      <c r="IO434" s="47"/>
      <c r="IP434" s="47"/>
      <c r="IQ434" s="47"/>
      <c r="IR434" s="47"/>
      <c r="IS434" s="47"/>
      <c r="IT434" s="47"/>
      <c r="IU434" s="47"/>
      <c r="IV434" s="47"/>
      <c r="IW434" s="47"/>
      <c r="IX434" s="47"/>
      <c r="IY434" s="47"/>
      <c r="IZ434" s="47"/>
      <c r="JA434" s="47"/>
      <c r="JB434" s="47"/>
      <c r="JC434" s="47"/>
      <c r="JD434" s="47"/>
      <c r="JE434" s="47"/>
      <c r="JF434" s="47"/>
      <c r="JG434" s="47"/>
      <c r="JH434" s="47"/>
      <c r="JI434" s="47"/>
      <c r="JJ434" s="47"/>
      <c r="JK434" s="47"/>
      <c r="JL434" s="47"/>
      <c r="JM434" s="47"/>
      <c r="JN434" s="47"/>
      <c r="JO434" s="47"/>
      <c r="JP434" s="47"/>
      <c r="JQ434" s="47"/>
      <c r="JR434" s="47"/>
      <c r="JS434" s="47"/>
      <c r="JT434" s="47"/>
      <c r="JU434" s="47"/>
      <c r="JV434" s="47"/>
      <c r="JW434" s="47"/>
      <c r="JX434" s="47"/>
      <c r="JY434" s="47"/>
      <c r="JZ434" s="47"/>
      <c r="KA434" s="47"/>
      <c r="KB434" s="47"/>
      <c r="KC434" s="47"/>
      <c r="KD434" s="47"/>
      <c r="KE434" s="47"/>
      <c r="KF434" s="47"/>
      <c r="KG434" s="47"/>
      <c r="KH434" s="47"/>
      <c r="KI434" s="47"/>
      <c r="KJ434" s="47"/>
      <c r="KK434" s="47"/>
      <c r="KL434" s="47"/>
      <c r="KM434" s="47"/>
      <c r="KN434" s="47"/>
      <c r="KO434" s="47"/>
      <c r="KP434" s="47"/>
      <c r="KQ434" s="47"/>
      <c r="KR434" s="47"/>
      <c r="KS434" s="47"/>
      <c r="KT434" s="47"/>
      <c r="KU434" s="47"/>
      <c r="KV434" s="47"/>
      <c r="KW434" s="47"/>
      <c r="KX434" s="47"/>
      <c r="KY434" s="47"/>
      <c r="KZ434" s="47"/>
      <c r="LA434" s="47"/>
      <c r="LB434" s="47"/>
      <c r="LC434" s="47"/>
      <c r="LD434" s="47"/>
      <c r="LE434" s="47"/>
      <c r="LF434" s="47"/>
      <c r="LG434" s="47"/>
      <c r="LH434" s="47"/>
      <c r="LI434" s="47"/>
      <c r="LJ434" s="47"/>
      <c r="LK434" s="47"/>
      <c r="LL434" s="47"/>
      <c r="LM434" s="47"/>
      <c r="LN434" s="47"/>
      <c r="LO434" s="47"/>
      <c r="LP434" s="47"/>
      <c r="LQ434" s="47"/>
      <c r="LR434" s="47"/>
      <c r="LS434" s="47"/>
      <c r="LT434" s="47"/>
      <c r="LU434" s="47"/>
      <c r="LV434" s="47"/>
      <c r="LW434" s="47"/>
      <c r="LX434" s="47"/>
      <c r="LY434" s="47"/>
      <c r="LZ434" s="47"/>
      <c r="MA434" s="47"/>
      <c r="MB434" s="47"/>
      <c r="MC434" s="47"/>
      <c r="MD434" s="47"/>
      <c r="ME434" s="47"/>
      <c r="MF434" s="47"/>
      <c r="MG434" s="47"/>
      <c r="MH434" s="47"/>
      <c r="MI434" s="47"/>
      <c r="MJ434" s="47"/>
      <c r="MK434" s="47"/>
      <c r="ML434" s="47"/>
      <c r="MM434" s="47"/>
      <c r="MN434" s="47"/>
      <c r="MO434" s="47"/>
      <c r="MP434" s="47"/>
      <c r="MQ434" s="47"/>
      <c r="MR434" s="47"/>
      <c r="MS434" s="47"/>
      <c r="MT434" s="47"/>
      <c r="MU434" s="47"/>
      <c r="MV434" s="47"/>
      <c r="MW434" s="47"/>
      <c r="MX434" s="47"/>
      <c r="MY434" s="47"/>
      <c r="MZ434" s="47"/>
      <c r="NA434" s="47"/>
      <c r="NB434" s="47"/>
      <c r="NC434" s="47"/>
      <c r="ND434" s="47"/>
      <c r="NE434" s="47"/>
      <c r="NF434" s="47"/>
      <c r="NG434" s="47"/>
      <c r="NH434" s="47"/>
      <c r="NI434" s="47"/>
      <c r="NJ434" s="47"/>
      <c r="NK434" s="47"/>
      <c r="NL434" s="47"/>
      <c r="NM434" s="47"/>
      <c r="NN434" s="47"/>
      <c r="NO434" s="47"/>
      <c r="NP434" s="47"/>
      <c r="NQ434" s="47"/>
      <c r="NR434" s="47"/>
      <c r="NS434" s="47"/>
      <c r="NT434" s="47"/>
      <c r="NU434" s="47"/>
      <c r="NV434" s="47"/>
      <c r="NW434" s="47"/>
      <c r="NX434" s="47"/>
      <c r="NY434" s="47"/>
      <c r="NZ434" s="47"/>
      <c r="OA434" s="47"/>
      <c r="OB434" s="47"/>
      <c r="OC434" s="47"/>
      <c r="OD434" s="47"/>
      <c r="OE434" s="47"/>
      <c r="OF434" s="47"/>
      <c r="OG434" s="47"/>
      <c r="OH434" s="47"/>
      <c r="OI434" s="47"/>
      <c r="OJ434" s="47"/>
      <c r="OK434" s="47"/>
      <c r="OL434" s="47"/>
      <c r="OM434" s="47"/>
      <c r="ON434" s="47"/>
      <c r="OO434" s="47"/>
      <c r="OP434" s="47"/>
      <c r="OQ434" s="47"/>
      <c r="OR434" s="47"/>
      <c r="OS434" s="47"/>
      <c r="OT434" s="47"/>
      <c r="OU434" s="47"/>
      <c r="OV434" s="47"/>
      <c r="OW434" s="47"/>
      <c r="OX434" s="47"/>
      <c r="OY434" s="47"/>
      <c r="OZ434" s="47"/>
      <c r="PA434" s="47"/>
      <c r="PB434" s="47"/>
      <c r="PC434" s="47"/>
      <c r="PD434" s="47"/>
      <c r="PE434" s="47"/>
      <c r="PF434" s="47"/>
      <c r="PG434" s="47"/>
      <c r="PH434" s="47"/>
      <c r="PI434" s="47"/>
      <c r="PJ434" s="47"/>
      <c r="PK434" s="47"/>
      <c r="PL434" s="47"/>
      <c r="PM434" s="47"/>
      <c r="PN434" s="47"/>
      <c r="PO434" s="47"/>
      <c r="PP434" s="47"/>
      <c r="PQ434" s="47"/>
      <c r="PR434" s="47"/>
      <c r="PS434" s="47"/>
      <c r="PT434" s="47"/>
      <c r="PU434" s="47"/>
      <c r="PV434" s="47"/>
      <c r="PW434" s="47"/>
      <c r="PX434" s="47"/>
      <c r="PY434" s="47"/>
      <c r="PZ434" s="47"/>
      <c r="QA434" s="47"/>
      <c r="QB434" s="47"/>
      <c r="QC434" s="47"/>
      <c r="QD434" s="47"/>
      <c r="QE434" s="47"/>
      <c r="QF434" s="47"/>
      <c r="QG434" s="47"/>
      <c r="QH434" s="47"/>
      <c r="QI434" s="47"/>
      <c r="QJ434" s="47"/>
      <c r="QK434" s="47"/>
      <c r="QL434" s="47"/>
      <c r="QM434" s="47"/>
      <c r="QN434" s="47"/>
      <c r="QO434" s="47"/>
      <c r="QP434" s="47"/>
      <c r="QQ434" s="47"/>
      <c r="QR434" s="47"/>
      <c r="QS434" s="47"/>
      <c r="QT434" s="47"/>
      <c r="QU434" s="47"/>
      <c r="QV434" s="47"/>
      <c r="QW434" s="47"/>
      <c r="QX434" s="47"/>
      <c r="QY434" s="47"/>
      <c r="QZ434" s="47"/>
      <c r="RA434" s="47"/>
      <c r="RB434" s="47"/>
      <c r="RC434" s="47"/>
      <c r="RD434" s="47"/>
      <c r="RE434" s="47"/>
      <c r="RF434" s="47"/>
      <c r="RG434" s="47"/>
      <c r="RH434" s="47"/>
      <c r="RI434" s="47"/>
      <c r="RJ434" s="47"/>
      <c r="RK434" s="47"/>
      <c r="RL434" s="47"/>
      <c r="RM434" s="47"/>
      <c r="RN434" s="47"/>
      <c r="RO434" s="47"/>
      <c r="RP434" s="47"/>
      <c r="RQ434" s="47"/>
      <c r="RR434" s="47"/>
      <c r="RS434" s="47"/>
      <c r="RT434" s="47"/>
      <c r="RU434" s="47"/>
      <c r="RV434" s="47"/>
      <c r="RW434" s="47"/>
      <c r="RX434" s="47"/>
      <c r="RY434" s="47"/>
      <c r="RZ434" s="47"/>
      <c r="SA434" s="47"/>
      <c r="SB434" s="47"/>
      <c r="SC434" s="47"/>
      <c r="SD434" s="47"/>
      <c r="SE434" s="47"/>
      <c r="SF434" s="47"/>
      <c r="SG434" s="47"/>
      <c r="SH434" s="47"/>
      <c r="SI434" s="47"/>
      <c r="SJ434" s="47"/>
      <c r="SK434" s="47"/>
      <c r="SL434" s="47"/>
      <c r="SM434" s="47"/>
      <c r="SN434" s="47"/>
      <c r="SO434" s="47"/>
      <c r="SP434" s="47"/>
      <c r="SQ434" s="47"/>
      <c r="SR434" s="47"/>
      <c r="SS434" s="47"/>
      <c r="ST434" s="47"/>
      <c r="SU434" s="47"/>
      <c r="SV434" s="47"/>
      <c r="SW434" s="47"/>
      <c r="SX434" s="47"/>
      <c r="SY434" s="47"/>
      <c r="SZ434" s="47"/>
      <c r="TA434" s="47"/>
      <c r="TB434" s="47"/>
      <c r="TC434" s="47"/>
      <c r="TD434" s="47"/>
      <c r="TE434" s="47"/>
      <c r="TF434" s="47"/>
      <c r="TG434" s="47"/>
      <c r="TH434" s="47"/>
      <c r="TI434" s="47"/>
      <c r="TJ434" s="47"/>
      <c r="TK434" s="47"/>
      <c r="TL434" s="47"/>
      <c r="TM434" s="47"/>
      <c r="TN434" s="47"/>
      <c r="TO434" s="47"/>
      <c r="TP434" s="47"/>
      <c r="TQ434" s="47"/>
      <c r="TR434" s="47"/>
      <c r="TS434" s="47"/>
      <c r="TT434" s="47"/>
      <c r="TU434" s="47"/>
      <c r="TV434" s="47"/>
      <c r="TW434" s="47"/>
      <c r="TX434" s="47"/>
      <c r="TY434" s="47"/>
      <c r="TZ434" s="47"/>
      <c r="UA434" s="47"/>
      <c r="UB434" s="47"/>
      <c r="UC434" s="47"/>
      <c r="UD434" s="47"/>
      <c r="UE434" s="47"/>
      <c r="UF434" s="47"/>
      <c r="UG434" s="47"/>
      <c r="UH434" s="47"/>
      <c r="UI434" s="47"/>
      <c r="UJ434" s="47"/>
      <c r="UK434" s="47"/>
      <c r="UL434" s="47"/>
      <c r="UM434" s="47"/>
      <c r="UN434" s="47"/>
      <c r="UO434" s="47"/>
      <c r="UP434" s="47"/>
      <c r="UQ434" s="47"/>
      <c r="UR434" s="47"/>
      <c r="US434" s="47"/>
      <c r="UT434" s="47"/>
      <c r="UU434" s="47"/>
      <c r="UV434" s="47"/>
      <c r="UW434" s="47"/>
      <c r="UX434" s="47"/>
      <c r="UY434" s="47"/>
      <c r="UZ434" s="47"/>
      <c r="VA434" s="47"/>
      <c r="VB434" s="47"/>
      <c r="VC434" s="47"/>
      <c r="VD434" s="47"/>
      <c r="VE434" s="47"/>
      <c r="VF434" s="47"/>
      <c r="VG434" s="47"/>
      <c r="VH434" s="47"/>
      <c r="VI434" s="47"/>
      <c r="VJ434" s="47"/>
      <c r="VK434" s="47"/>
      <c r="VL434" s="47"/>
      <c r="VM434" s="47"/>
      <c r="VN434" s="47"/>
      <c r="VO434" s="47"/>
      <c r="VP434" s="47"/>
      <c r="VQ434" s="47"/>
      <c r="VR434" s="47"/>
      <c r="VS434" s="47"/>
      <c r="VT434" s="47"/>
      <c r="VU434" s="47"/>
      <c r="VV434" s="47"/>
      <c r="VW434" s="47"/>
      <c r="VX434" s="47"/>
      <c r="VY434" s="47"/>
      <c r="VZ434" s="47"/>
      <c r="WA434" s="47"/>
      <c r="WB434" s="47"/>
      <c r="WC434" s="47"/>
      <c r="WD434" s="47"/>
      <c r="WE434" s="47"/>
      <c r="WF434" s="47"/>
      <c r="WG434" s="47"/>
      <c r="WH434" s="47"/>
      <c r="WI434" s="47"/>
      <c r="WJ434" s="47"/>
      <c r="WK434" s="47"/>
      <c r="WL434" s="47"/>
      <c r="WM434" s="47"/>
      <c r="WN434" s="47"/>
      <c r="WO434" s="47"/>
      <c r="WP434" s="47"/>
      <c r="WQ434" s="47"/>
      <c r="WR434" s="47"/>
      <c r="WS434" s="47"/>
      <c r="WT434" s="47"/>
      <c r="WU434" s="47"/>
      <c r="WV434" s="47"/>
      <c r="WW434" s="47"/>
      <c r="WX434" s="47"/>
      <c r="WY434" s="47"/>
      <c r="WZ434" s="47"/>
      <c r="XA434" s="47"/>
      <c r="XB434" s="47"/>
      <c r="XC434" s="47"/>
      <c r="XD434" s="47"/>
      <c r="XE434" s="47"/>
      <c r="XF434" s="47"/>
      <c r="XG434" s="47"/>
      <c r="XH434" s="47"/>
      <c r="XI434" s="47"/>
      <c r="XJ434" s="47"/>
      <c r="XK434" s="47"/>
      <c r="XL434" s="47"/>
      <c r="XM434" s="47"/>
      <c r="XN434" s="47"/>
      <c r="XO434" s="47"/>
      <c r="XP434" s="47"/>
      <c r="XQ434" s="47"/>
      <c r="XR434" s="47"/>
      <c r="XS434" s="47"/>
      <c r="XT434" s="47"/>
      <c r="XU434" s="47"/>
      <c r="XV434" s="47"/>
      <c r="XW434" s="47"/>
      <c r="XX434" s="47"/>
      <c r="XY434" s="47"/>
      <c r="XZ434" s="47"/>
      <c r="YA434" s="47"/>
      <c r="YB434" s="47"/>
      <c r="YC434" s="47"/>
      <c r="YD434" s="47"/>
      <c r="YE434" s="47"/>
      <c r="YF434" s="47"/>
      <c r="YG434" s="47"/>
      <c r="YH434" s="47"/>
      <c r="YI434" s="47"/>
      <c r="YJ434" s="47"/>
      <c r="YK434" s="47"/>
      <c r="YL434" s="47"/>
      <c r="YM434" s="47"/>
      <c r="YN434" s="47"/>
      <c r="YO434" s="47"/>
      <c r="YP434" s="47"/>
      <c r="YQ434" s="47"/>
      <c r="YR434" s="47"/>
      <c r="YS434" s="47"/>
      <c r="YT434" s="47"/>
      <c r="YU434" s="47"/>
      <c r="YV434" s="47"/>
      <c r="YW434" s="47"/>
      <c r="YX434" s="47"/>
      <c r="YY434" s="47"/>
      <c r="YZ434" s="47"/>
      <c r="ZA434" s="47"/>
      <c r="ZB434" s="47"/>
      <c r="ZC434" s="47"/>
      <c r="ZD434" s="47"/>
      <c r="ZE434" s="47"/>
      <c r="ZF434" s="47"/>
      <c r="ZG434" s="47"/>
      <c r="ZH434" s="47"/>
      <c r="ZI434" s="47"/>
      <c r="ZJ434" s="47"/>
      <c r="ZK434" s="47"/>
      <c r="ZL434" s="47"/>
      <c r="ZM434" s="47"/>
      <c r="ZN434" s="47"/>
      <c r="ZO434" s="47"/>
      <c r="ZP434" s="47"/>
      <c r="ZQ434" s="47"/>
      <c r="ZR434" s="47"/>
      <c r="ZS434" s="47"/>
      <c r="ZT434" s="47"/>
      <c r="ZU434" s="47"/>
      <c r="ZV434" s="47"/>
      <c r="ZW434" s="47"/>
      <c r="ZX434" s="47"/>
      <c r="ZY434" s="50"/>
      <c r="ZZ434" s="50"/>
      <c r="AAA434" s="588"/>
      <c r="AAD434" s="112"/>
      <c r="AAE434" s="551">
        <v>1</v>
      </c>
      <c r="AAF434" s="112"/>
      <c r="AAG434" s="78">
        <f>H433</f>
        <v>41716</v>
      </c>
      <c r="AAH434" s="78">
        <f>G434</f>
        <v>41716</v>
      </c>
      <c r="AAI434" s="77"/>
      <c r="AAJ434" s="56"/>
      <c r="AAK434" s="56"/>
      <c r="AAL434" s="56"/>
      <c r="AAM434" s="112"/>
      <c r="AAN434"/>
      <c r="AAT434" s="23"/>
      <c r="AAU434" s="44"/>
    </row>
    <row r="435" spans="1:732" ht="15" customHeight="1" outlineLevel="1">
      <c r="A435" s="558"/>
      <c r="B435" s="477" t="s">
        <v>21</v>
      </c>
      <c r="C435" s="309"/>
      <c r="D435" s="197"/>
      <c r="E435" s="123"/>
      <c r="F435" s="124"/>
      <c r="G435" s="196"/>
      <c r="H435" s="196"/>
      <c r="I435" s="588"/>
      <c r="J435" s="591"/>
      <c r="K435" s="47"/>
      <c r="L435" s="47"/>
      <c r="M435" s="47"/>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7"/>
      <c r="AL435" s="47"/>
      <c r="AM435" s="47"/>
      <c r="AN435" s="47"/>
      <c r="AO435" s="47"/>
      <c r="AP435" s="47"/>
      <c r="AQ435" s="47"/>
      <c r="AR435" s="47"/>
      <c r="AS435" s="47"/>
      <c r="AT435" s="47"/>
      <c r="AU435" s="47"/>
      <c r="AV435" s="47"/>
      <c r="AW435" s="47"/>
      <c r="AX435" s="47"/>
      <c r="AY435" s="47"/>
      <c r="AZ435" s="47"/>
      <c r="BA435" s="47"/>
      <c r="BB435" s="47"/>
      <c r="BC435" s="47"/>
      <c r="BD435" s="47"/>
      <c r="BE435" s="47"/>
      <c r="BF435" s="47"/>
      <c r="BG435" s="47"/>
      <c r="BH435" s="47"/>
      <c r="BI435" s="47"/>
      <c r="BJ435" s="47"/>
      <c r="BK435" s="47"/>
      <c r="BL435" s="47"/>
      <c r="BM435" s="47"/>
      <c r="BN435" s="47"/>
      <c r="BO435" s="47"/>
      <c r="BP435" s="47"/>
      <c r="BQ435" s="47"/>
      <c r="BR435" s="47"/>
      <c r="BS435" s="47"/>
      <c r="BT435" s="47"/>
      <c r="BU435" s="47"/>
      <c r="BV435" s="47"/>
      <c r="BW435" s="47"/>
      <c r="BX435" s="47"/>
      <c r="BY435" s="47"/>
      <c r="BZ435" s="47"/>
      <c r="CA435" s="47"/>
      <c r="CB435" s="47"/>
      <c r="CC435" s="47"/>
      <c r="CD435" s="47"/>
      <c r="CE435" s="47"/>
      <c r="CF435" s="47"/>
      <c r="CG435" s="47"/>
      <c r="CH435" s="47"/>
      <c r="CI435" s="47"/>
      <c r="CJ435" s="47"/>
      <c r="CK435" s="47"/>
      <c r="CL435" s="47"/>
      <c r="CM435" s="47"/>
      <c r="CN435" s="47"/>
      <c r="CO435" s="47"/>
      <c r="CP435" s="47"/>
      <c r="CQ435" s="47"/>
      <c r="CR435" s="47"/>
      <c r="CS435" s="47"/>
      <c r="CT435" s="47"/>
      <c r="CU435" s="47"/>
      <c r="CV435" s="47"/>
      <c r="CW435" s="47"/>
      <c r="CX435" s="47"/>
      <c r="CY435" s="47"/>
      <c r="CZ435" s="47"/>
      <c r="DA435" s="47"/>
      <c r="DB435" s="47"/>
      <c r="DC435" s="47"/>
      <c r="DD435" s="47"/>
      <c r="DE435" s="47"/>
      <c r="DF435" s="47"/>
      <c r="DG435" s="47"/>
      <c r="DH435" s="47"/>
      <c r="DI435" s="47"/>
      <c r="DJ435" s="47"/>
      <c r="DK435" s="47"/>
      <c r="DL435" s="47"/>
      <c r="DM435" s="47"/>
      <c r="DN435" s="47"/>
      <c r="DO435" s="47"/>
      <c r="DP435" s="47"/>
      <c r="DQ435" s="47"/>
      <c r="DR435" s="47"/>
      <c r="DS435" s="47"/>
      <c r="DT435" s="47"/>
      <c r="DU435" s="47"/>
      <c r="DV435" s="47"/>
      <c r="DW435" s="47"/>
      <c r="DX435" s="47"/>
      <c r="DY435" s="47"/>
      <c r="DZ435" s="47"/>
      <c r="EA435" s="47"/>
      <c r="EB435" s="47"/>
      <c r="EC435" s="47"/>
      <c r="ED435" s="47"/>
      <c r="EE435" s="47"/>
      <c r="EF435" s="47"/>
      <c r="EG435" s="47"/>
      <c r="EH435" s="47"/>
      <c r="EI435" s="47"/>
      <c r="EJ435" s="47"/>
      <c r="EK435" s="47"/>
      <c r="EL435" s="47"/>
      <c r="EM435" s="47"/>
      <c r="EN435" s="47"/>
      <c r="EO435" s="47"/>
      <c r="EP435" s="47"/>
      <c r="EQ435" s="47"/>
      <c r="ER435" s="47"/>
      <c r="ES435" s="47"/>
      <c r="ET435" s="47"/>
      <c r="EU435" s="47"/>
      <c r="EV435" s="47"/>
      <c r="EW435" s="47"/>
      <c r="EX435" s="47"/>
      <c r="EY435" s="47"/>
      <c r="EZ435" s="47"/>
      <c r="FA435" s="47"/>
      <c r="FB435" s="47"/>
      <c r="FC435" s="47"/>
      <c r="FD435" s="47"/>
      <c r="FE435" s="47"/>
      <c r="FF435" s="47"/>
      <c r="FG435" s="47"/>
      <c r="FH435" s="47"/>
      <c r="FI435" s="47"/>
      <c r="FJ435" s="47"/>
      <c r="FK435" s="47"/>
      <c r="FL435" s="47"/>
      <c r="FM435" s="47"/>
      <c r="FN435" s="47"/>
      <c r="FO435" s="47"/>
      <c r="FP435" s="47"/>
      <c r="FQ435" s="47"/>
      <c r="FR435" s="47"/>
      <c r="FS435" s="47"/>
      <c r="FT435" s="47"/>
      <c r="FU435" s="47"/>
      <c r="FV435" s="47"/>
      <c r="FW435" s="47"/>
      <c r="FX435" s="47"/>
      <c r="FY435" s="47"/>
      <c r="FZ435" s="47"/>
      <c r="GA435" s="47"/>
      <c r="GB435" s="47"/>
      <c r="GC435" s="47"/>
      <c r="GD435" s="47"/>
      <c r="GE435" s="47"/>
      <c r="GF435" s="47"/>
      <c r="GG435" s="47"/>
      <c r="GH435" s="47"/>
      <c r="GI435" s="47"/>
      <c r="GJ435" s="47"/>
      <c r="GK435" s="47"/>
      <c r="GL435" s="47"/>
      <c r="GM435" s="47"/>
      <c r="GN435" s="47"/>
      <c r="GO435" s="47"/>
      <c r="GP435" s="47"/>
      <c r="GQ435" s="47"/>
      <c r="GR435" s="47"/>
      <c r="GS435" s="47"/>
      <c r="GT435" s="47"/>
      <c r="GU435" s="47"/>
      <c r="GV435" s="47"/>
      <c r="GW435" s="47"/>
      <c r="GX435" s="47"/>
      <c r="GY435" s="47"/>
      <c r="GZ435" s="47"/>
      <c r="HA435" s="47"/>
      <c r="HB435" s="47"/>
      <c r="HC435" s="47"/>
      <c r="HD435" s="47"/>
      <c r="HE435" s="47"/>
      <c r="HF435" s="47"/>
      <c r="HG435" s="47"/>
      <c r="HH435" s="47"/>
      <c r="HI435" s="47"/>
      <c r="HJ435" s="47"/>
      <c r="HK435" s="47"/>
      <c r="HL435" s="47"/>
      <c r="HM435" s="47"/>
      <c r="HN435" s="47"/>
      <c r="HO435" s="47"/>
      <c r="HP435" s="47"/>
      <c r="HQ435" s="47"/>
      <c r="HR435" s="47"/>
      <c r="HS435" s="47"/>
      <c r="HT435" s="47"/>
      <c r="HU435" s="47"/>
      <c r="HV435" s="47"/>
      <c r="HW435" s="47"/>
      <c r="HX435" s="47"/>
      <c r="HY435" s="47"/>
      <c r="HZ435" s="47"/>
      <c r="IA435" s="47"/>
      <c r="IB435" s="47"/>
      <c r="IC435" s="47"/>
      <c r="ID435" s="47"/>
      <c r="IE435" s="47"/>
      <c r="IF435" s="47"/>
      <c r="IG435" s="47"/>
      <c r="IH435" s="47"/>
      <c r="II435" s="47"/>
      <c r="IJ435" s="47"/>
      <c r="IK435" s="47"/>
      <c r="IL435" s="47"/>
      <c r="IM435" s="47"/>
      <c r="IN435" s="47"/>
      <c r="IO435" s="47"/>
      <c r="IP435" s="47"/>
      <c r="IQ435" s="47"/>
      <c r="IR435" s="47"/>
      <c r="IS435" s="47"/>
      <c r="IT435" s="47"/>
      <c r="IU435" s="47"/>
      <c r="IV435" s="47"/>
      <c r="IW435" s="47"/>
      <c r="IX435" s="47"/>
      <c r="IY435" s="47"/>
      <c r="IZ435" s="47"/>
      <c r="JA435" s="47"/>
      <c r="JB435" s="47"/>
      <c r="JC435" s="47"/>
      <c r="JD435" s="47"/>
      <c r="JE435" s="47"/>
      <c r="JF435" s="47"/>
      <c r="JG435" s="47"/>
      <c r="JH435" s="47"/>
      <c r="JI435" s="47"/>
      <c r="JJ435" s="47"/>
      <c r="JK435" s="47"/>
      <c r="JL435" s="47"/>
      <c r="JM435" s="47"/>
      <c r="JN435" s="47"/>
      <c r="JO435" s="47"/>
      <c r="JP435" s="47"/>
      <c r="JQ435" s="47"/>
      <c r="JR435" s="47"/>
      <c r="JS435" s="47"/>
      <c r="JT435" s="47"/>
      <c r="JU435" s="47"/>
      <c r="JV435" s="47"/>
      <c r="JW435" s="47"/>
      <c r="JX435" s="47"/>
      <c r="JY435" s="47"/>
      <c r="JZ435" s="47"/>
      <c r="KA435" s="47"/>
      <c r="KB435" s="47"/>
      <c r="KC435" s="47"/>
      <c r="KD435" s="47"/>
      <c r="KE435" s="47"/>
      <c r="KF435" s="47"/>
      <c r="KG435" s="47"/>
      <c r="KH435" s="47"/>
      <c r="KI435" s="47"/>
      <c r="KJ435" s="47"/>
      <c r="KK435" s="47"/>
      <c r="KL435" s="47"/>
      <c r="KM435" s="47"/>
      <c r="KN435" s="47"/>
      <c r="KO435" s="47"/>
      <c r="KP435" s="47"/>
      <c r="KQ435" s="47"/>
      <c r="KR435" s="47"/>
      <c r="KS435" s="47"/>
      <c r="KT435" s="47"/>
      <c r="KU435" s="47"/>
      <c r="KV435" s="47"/>
      <c r="KW435" s="47"/>
      <c r="KX435" s="47"/>
      <c r="KY435" s="47"/>
      <c r="KZ435" s="47"/>
      <c r="LA435" s="47"/>
      <c r="LB435" s="47"/>
      <c r="LC435" s="47"/>
      <c r="LD435" s="47"/>
      <c r="LE435" s="47"/>
      <c r="LF435" s="47"/>
      <c r="LG435" s="47"/>
      <c r="LH435" s="47"/>
      <c r="LI435" s="47"/>
      <c r="LJ435" s="47"/>
      <c r="LK435" s="47"/>
      <c r="LL435" s="47"/>
      <c r="LM435" s="47"/>
      <c r="LN435" s="47"/>
      <c r="LO435" s="47"/>
      <c r="LP435" s="47"/>
      <c r="LQ435" s="47"/>
      <c r="LR435" s="47"/>
      <c r="LS435" s="47"/>
      <c r="LT435" s="47"/>
      <c r="LU435" s="47"/>
      <c r="LV435" s="47"/>
      <c r="LW435" s="47"/>
      <c r="LX435" s="47"/>
      <c r="LY435" s="47"/>
      <c r="LZ435" s="47"/>
      <c r="MA435" s="47"/>
      <c r="MB435" s="47"/>
      <c r="MC435" s="47"/>
      <c r="MD435" s="47"/>
      <c r="ME435" s="47"/>
      <c r="MF435" s="47"/>
      <c r="MG435" s="47"/>
      <c r="MH435" s="47"/>
      <c r="MI435" s="47"/>
      <c r="MJ435" s="47"/>
      <c r="MK435" s="47"/>
      <c r="ML435" s="47"/>
      <c r="MM435" s="47"/>
      <c r="MN435" s="47"/>
      <c r="MO435" s="47"/>
      <c r="MP435" s="47"/>
      <c r="MQ435" s="47"/>
      <c r="MR435" s="47"/>
      <c r="MS435" s="47"/>
      <c r="MT435" s="47"/>
      <c r="MU435" s="47"/>
      <c r="MV435" s="47"/>
      <c r="MW435" s="47"/>
      <c r="MX435" s="47"/>
      <c r="MY435" s="47"/>
      <c r="MZ435" s="47"/>
      <c r="NA435" s="47"/>
      <c r="NB435" s="47"/>
      <c r="NC435" s="47"/>
      <c r="ND435" s="47"/>
      <c r="NE435" s="47"/>
      <c r="NF435" s="47"/>
      <c r="NG435" s="47"/>
      <c r="NH435" s="47"/>
      <c r="NI435" s="47"/>
      <c r="NJ435" s="47"/>
      <c r="NK435" s="47"/>
      <c r="NL435" s="47"/>
      <c r="NM435" s="47"/>
      <c r="NN435" s="47"/>
      <c r="NO435" s="47"/>
      <c r="NP435" s="47"/>
      <c r="NQ435" s="47"/>
      <c r="NR435" s="47"/>
      <c r="NS435" s="47"/>
      <c r="NT435" s="47"/>
      <c r="NU435" s="47"/>
      <c r="NV435" s="47"/>
      <c r="NW435" s="47"/>
      <c r="NX435" s="47"/>
      <c r="NY435" s="47"/>
      <c r="NZ435" s="47"/>
      <c r="OA435" s="47"/>
      <c r="OB435" s="47"/>
      <c r="OC435" s="47"/>
      <c r="OD435" s="47"/>
      <c r="OE435" s="47"/>
      <c r="OF435" s="47"/>
      <c r="OG435" s="47"/>
      <c r="OH435" s="47"/>
      <c r="OI435" s="47"/>
      <c r="OJ435" s="47"/>
      <c r="OK435" s="47"/>
      <c r="OL435" s="47"/>
      <c r="OM435" s="47"/>
      <c r="ON435" s="47"/>
      <c r="OO435" s="47"/>
      <c r="OP435" s="47"/>
      <c r="OQ435" s="47"/>
      <c r="OR435" s="47"/>
      <c r="OS435" s="47"/>
      <c r="OT435" s="47"/>
      <c r="OU435" s="47"/>
      <c r="OV435" s="47"/>
      <c r="OW435" s="47"/>
      <c r="OX435" s="47"/>
      <c r="OY435" s="47"/>
      <c r="OZ435" s="47"/>
      <c r="PA435" s="47"/>
      <c r="PB435" s="47"/>
      <c r="PC435" s="47"/>
      <c r="PD435" s="47"/>
      <c r="PE435" s="47"/>
      <c r="PF435" s="47"/>
      <c r="PG435" s="47"/>
      <c r="PH435" s="47"/>
      <c r="PI435" s="47"/>
      <c r="PJ435" s="47"/>
      <c r="PK435" s="47"/>
      <c r="PL435" s="47"/>
      <c r="PM435" s="47"/>
      <c r="PN435" s="47"/>
      <c r="PO435" s="47"/>
      <c r="PP435" s="47"/>
      <c r="PQ435" s="47"/>
      <c r="PR435" s="47"/>
      <c r="PS435" s="47"/>
      <c r="PT435" s="47"/>
      <c r="PU435" s="47"/>
      <c r="PV435" s="47"/>
      <c r="PW435" s="47"/>
      <c r="PX435" s="47"/>
      <c r="PY435" s="47"/>
      <c r="PZ435" s="47"/>
      <c r="QA435" s="47"/>
      <c r="QB435" s="47"/>
      <c r="QC435" s="47"/>
      <c r="QD435" s="47"/>
      <c r="QE435" s="47"/>
      <c r="QF435" s="47"/>
      <c r="QG435" s="47"/>
      <c r="QH435" s="47"/>
      <c r="QI435" s="47"/>
      <c r="QJ435" s="47"/>
      <c r="QK435" s="47"/>
      <c r="QL435" s="47"/>
      <c r="QM435" s="47"/>
      <c r="QN435" s="47"/>
      <c r="QO435" s="47"/>
      <c r="QP435" s="47"/>
      <c r="QQ435" s="47"/>
      <c r="QR435" s="47"/>
      <c r="QS435" s="47"/>
      <c r="QT435" s="47"/>
      <c r="QU435" s="47"/>
      <c r="QV435" s="47"/>
      <c r="QW435" s="47"/>
      <c r="QX435" s="47"/>
      <c r="QY435" s="47"/>
      <c r="QZ435" s="47"/>
      <c r="RA435" s="47"/>
      <c r="RB435" s="47"/>
      <c r="RC435" s="47"/>
      <c r="RD435" s="47"/>
      <c r="RE435" s="47"/>
      <c r="RF435" s="47"/>
      <c r="RG435" s="47"/>
      <c r="RH435" s="47"/>
      <c r="RI435" s="47"/>
      <c r="RJ435" s="47"/>
      <c r="RK435" s="47"/>
      <c r="RL435" s="47"/>
      <c r="RM435" s="47"/>
      <c r="RN435" s="47"/>
      <c r="RO435" s="47"/>
      <c r="RP435" s="47"/>
      <c r="RQ435" s="47"/>
      <c r="RR435" s="47"/>
      <c r="RS435" s="47"/>
      <c r="RT435" s="47"/>
      <c r="RU435" s="47"/>
      <c r="RV435" s="47"/>
      <c r="RW435" s="47"/>
      <c r="RX435" s="47"/>
      <c r="RY435" s="47"/>
      <c r="RZ435" s="47"/>
      <c r="SA435" s="47"/>
      <c r="SB435" s="47"/>
      <c r="SC435" s="47"/>
      <c r="SD435" s="47"/>
      <c r="SE435" s="47"/>
      <c r="SF435" s="47"/>
      <c r="SG435" s="47"/>
      <c r="SH435" s="47"/>
      <c r="SI435" s="47"/>
      <c r="SJ435" s="47"/>
      <c r="SK435" s="47"/>
      <c r="SL435" s="47"/>
      <c r="SM435" s="47"/>
      <c r="SN435" s="47"/>
      <c r="SO435" s="47"/>
      <c r="SP435" s="47"/>
      <c r="SQ435" s="47"/>
      <c r="SR435" s="47"/>
      <c r="SS435" s="47"/>
      <c r="ST435" s="47"/>
      <c r="SU435" s="47"/>
      <c r="SV435" s="47"/>
      <c r="SW435" s="47"/>
      <c r="SX435" s="47"/>
      <c r="SY435" s="47"/>
      <c r="SZ435" s="47"/>
      <c r="TA435" s="47"/>
      <c r="TB435" s="47"/>
      <c r="TC435" s="47"/>
      <c r="TD435" s="47"/>
      <c r="TE435" s="47"/>
      <c r="TF435" s="47"/>
      <c r="TG435" s="47"/>
      <c r="TH435" s="47"/>
      <c r="TI435" s="47"/>
      <c r="TJ435" s="47"/>
      <c r="TK435" s="47"/>
      <c r="TL435" s="47"/>
      <c r="TM435" s="47"/>
      <c r="TN435" s="47"/>
      <c r="TO435" s="47"/>
      <c r="TP435" s="47"/>
      <c r="TQ435" s="47"/>
      <c r="TR435" s="47"/>
      <c r="TS435" s="47"/>
      <c r="TT435" s="47"/>
      <c r="TU435" s="47"/>
      <c r="TV435" s="47"/>
      <c r="TW435" s="47"/>
      <c r="TX435" s="47"/>
      <c r="TY435" s="47"/>
      <c r="TZ435" s="47"/>
      <c r="UA435" s="47"/>
      <c r="UB435" s="47"/>
      <c r="UC435" s="47"/>
      <c r="UD435" s="47"/>
      <c r="UE435" s="47"/>
      <c r="UF435" s="47"/>
      <c r="UG435" s="47"/>
      <c r="UH435" s="47"/>
      <c r="UI435" s="47"/>
      <c r="UJ435" s="47"/>
      <c r="UK435" s="47"/>
      <c r="UL435" s="47"/>
      <c r="UM435" s="47"/>
      <c r="UN435" s="47"/>
      <c r="UO435" s="47"/>
      <c r="UP435" s="47"/>
      <c r="UQ435" s="47"/>
      <c r="UR435" s="47"/>
      <c r="US435" s="47"/>
      <c r="UT435" s="47"/>
      <c r="UU435" s="47"/>
      <c r="UV435" s="47"/>
      <c r="UW435" s="47"/>
      <c r="UX435" s="47"/>
      <c r="UY435" s="47"/>
      <c r="UZ435" s="47"/>
      <c r="VA435" s="47"/>
      <c r="VB435" s="47"/>
      <c r="VC435" s="47"/>
      <c r="VD435" s="47"/>
      <c r="VE435" s="47"/>
      <c r="VF435" s="47"/>
      <c r="VG435" s="47"/>
      <c r="VH435" s="47"/>
      <c r="VI435" s="47"/>
      <c r="VJ435" s="47"/>
      <c r="VK435" s="47"/>
      <c r="VL435" s="47"/>
      <c r="VM435" s="47"/>
      <c r="VN435" s="47"/>
      <c r="VO435" s="47"/>
      <c r="VP435" s="47"/>
      <c r="VQ435" s="47"/>
      <c r="VR435" s="47"/>
      <c r="VS435" s="47"/>
      <c r="VT435" s="47"/>
      <c r="VU435" s="47"/>
      <c r="VV435" s="47"/>
      <c r="VW435" s="47"/>
      <c r="VX435" s="47"/>
      <c r="VY435" s="47"/>
      <c r="VZ435" s="47"/>
      <c r="WA435" s="47"/>
      <c r="WB435" s="47"/>
      <c r="WC435" s="47"/>
      <c r="WD435" s="47"/>
      <c r="WE435" s="47"/>
      <c r="WF435" s="47"/>
      <c r="WG435" s="47"/>
      <c r="WH435" s="47"/>
      <c r="WI435" s="47"/>
      <c r="WJ435" s="47"/>
      <c r="WK435" s="47"/>
      <c r="WL435" s="47"/>
      <c r="WM435" s="47"/>
      <c r="WN435" s="47"/>
      <c r="WO435" s="47"/>
      <c r="WP435" s="47"/>
      <c r="WQ435" s="47"/>
      <c r="WR435" s="47"/>
      <c r="WS435" s="47"/>
      <c r="WT435" s="47"/>
      <c r="WU435" s="47"/>
      <c r="WV435" s="47"/>
      <c r="WW435" s="47"/>
      <c r="WX435" s="47"/>
      <c r="WY435" s="47"/>
      <c r="WZ435" s="47"/>
      <c r="XA435" s="47"/>
      <c r="XB435" s="47"/>
      <c r="XC435" s="47"/>
      <c r="XD435" s="47"/>
      <c r="XE435" s="47"/>
      <c r="XF435" s="47"/>
      <c r="XG435" s="47"/>
      <c r="XH435" s="47"/>
      <c r="XI435" s="47"/>
      <c r="XJ435" s="47"/>
      <c r="XK435" s="47"/>
      <c r="XL435" s="47"/>
      <c r="XM435" s="47"/>
      <c r="XN435" s="47"/>
      <c r="XO435" s="47"/>
      <c r="XP435" s="47"/>
      <c r="XQ435" s="47"/>
      <c r="XR435" s="47"/>
      <c r="XS435" s="47"/>
      <c r="XT435" s="47"/>
      <c r="XU435" s="47"/>
      <c r="XV435" s="47"/>
      <c r="XW435" s="47"/>
      <c r="XX435" s="47"/>
      <c r="XY435" s="47"/>
      <c r="XZ435" s="47"/>
      <c r="YA435" s="47"/>
      <c r="YB435" s="47"/>
      <c r="YC435" s="47"/>
      <c r="YD435" s="47"/>
      <c r="YE435" s="47"/>
      <c r="YF435" s="47"/>
      <c r="YG435" s="47"/>
      <c r="YH435" s="47"/>
      <c r="YI435" s="47"/>
      <c r="YJ435" s="47"/>
      <c r="YK435" s="47"/>
      <c r="YL435" s="47"/>
      <c r="YM435" s="47"/>
      <c r="YN435" s="47"/>
      <c r="YO435" s="47"/>
      <c r="YP435" s="47"/>
      <c r="YQ435" s="47"/>
      <c r="YR435" s="47"/>
      <c r="YS435" s="47"/>
      <c r="YT435" s="47"/>
      <c r="YU435" s="47"/>
      <c r="YV435" s="47"/>
      <c r="YW435" s="47"/>
      <c r="YX435" s="47"/>
      <c r="YY435" s="47"/>
      <c r="YZ435" s="47"/>
      <c r="ZA435" s="47"/>
      <c r="ZB435" s="47"/>
      <c r="ZC435" s="47"/>
      <c r="ZD435" s="47"/>
      <c r="ZE435" s="47"/>
      <c r="ZF435" s="47"/>
      <c r="ZG435" s="47"/>
      <c r="ZH435" s="47"/>
      <c r="ZI435" s="47"/>
      <c r="ZJ435" s="47"/>
      <c r="ZK435" s="47"/>
      <c r="ZL435" s="47"/>
      <c r="ZM435" s="47"/>
      <c r="ZN435" s="47"/>
      <c r="ZO435" s="47"/>
      <c r="ZP435" s="47"/>
      <c r="ZQ435" s="47"/>
      <c r="ZR435" s="47"/>
      <c r="ZS435" s="47"/>
      <c r="ZT435" s="47"/>
      <c r="ZU435" s="47"/>
      <c r="ZV435" s="47"/>
      <c r="ZW435" s="47"/>
      <c r="ZX435" s="47"/>
      <c r="ZY435" s="617"/>
      <c r="ZZ435" s="622"/>
      <c r="AAA435" s="588"/>
      <c r="AAD435" s="112"/>
      <c r="AAE435" s="551">
        <v>1</v>
      </c>
      <c r="AAF435" s="583" t="s">
        <v>174</v>
      </c>
      <c r="AAG435" s="112"/>
      <c r="AAH435" s="112"/>
      <c r="AAI435" s="77"/>
      <c r="AAJ435" s="56"/>
      <c r="AAK435" s="56"/>
      <c r="AAL435" s="56"/>
      <c r="AAM435" s="112"/>
      <c r="AAN435"/>
      <c r="AAT435" s="23"/>
      <c r="AAU435" s="44"/>
    </row>
    <row r="436" spans="1:732" ht="15" customHeight="1" outlineLevel="1">
      <c r="A436" s="558"/>
      <c r="B436" s="478" t="s">
        <v>165</v>
      </c>
      <c r="C436" s="307"/>
      <c r="D436" s="195"/>
      <c r="E436" s="123"/>
      <c r="F436" s="124"/>
      <c r="G436" s="280"/>
      <c r="H436" s="232"/>
      <c r="I436" s="588"/>
      <c r="J436" s="592"/>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618"/>
      <c r="ZZ436" s="36"/>
      <c r="AAA436" s="588"/>
      <c r="AAD436" s="112"/>
      <c r="AAE436" s="551">
        <v>1</v>
      </c>
      <c r="AAF436" s="583" t="s">
        <v>174</v>
      </c>
      <c r="AAG436" s="112"/>
      <c r="AAH436" s="112"/>
      <c r="AAI436" s="77"/>
      <c r="AAJ436" s="57"/>
      <c r="AAK436" s="57"/>
      <c r="AAL436" s="57"/>
      <c r="AAM436" s="112"/>
      <c r="AAN436"/>
      <c r="AAT436" s="23"/>
      <c r="AAU436" s="44"/>
    </row>
    <row r="437" spans="1:732" ht="18" outlineLevel="1">
      <c r="A437" s="558"/>
      <c r="B437" s="306" t="s">
        <v>28</v>
      </c>
      <c r="C437" s="306"/>
      <c r="D437" s="122"/>
      <c r="E437" s="122"/>
      <c r="F437" s="122"/>
      <c r="G437" s="122"/>
      <c r="H437" s="486">
        <f>AAH437</f>
        <v>41717</v>
      </c>
      <c r="I437" s="627"/>
      <c r="J437" s="592"/>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50"/>
      <c r="ZZ437" s="50"/>
      <c r="AAA437" s="588"/>
      <c r="AAD437" s="112"/>
      <c r="AAE437" s="551">
        <v>1</v>
      </c>
      <c r="AAF437" s="112"/>
      <c r="AAG437" s="78">
        <f>S.EQCMeeting</f>
        <v>41717</v>
      </c>
      <c r="AAH437" s="78">
        <f>S.EQCMeeting</f>
        <v>41717</v>
      </c>
      <c r="AAI437" s="77"/>
      <c r="AAJ437" s="57"/>
      <c r="AAK437" s="57"/>
      <c r="AAL437" s="57"/>
      <c r="AAM437" s="112"/>
      <c r="AAN437"/>
      <c r="AAT437" s="23"/>
      <c r="AAU437" s="44"/>
    </row>
    <row r="438" spans="1:732" ht="5.25" customHeight="1">
      <c r="A438" s="558"/>
      <c r="B438" s="310"/>
      <c r="C438" s="198"/>
      <c r="D438" s="199"/>
      <c r="E438" s="200"/>
      <c r="F438" s="200"/>
      <c r="G438" s="311"/>
      <c r="H438" s="312"/>
      <c r="I438" s="588"/>
      <c r="J438" s="633"/>
      <c r="K438" s="50"/>
      <c r="L438" s="50"/>
      <c r="M438" s="50"/>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c r="AM438" s="50"/>
      <c r="AN438" s="50"/>
      <c r="AO438" s="50"/>
      <c r="AP438" s="50"/>
      <c r="AQ438" s="50"/>
      <c r="AR438" s="50"/>
      <c r="AS438" s="50"/>
      <c r="AT438" s="50"/>
      <c r="AU438" s="50"/>
      <c r="AV438" s="50"/>
      <c r="AW438" s="50"/>
      <c r="AX438" s="50"/>
      <c r="AY438" s="50"/>
      <c r="AZ438" s="50"/>
      <c r="BA438" s="50"/>
      <c r="BB438" s="50"/>
      <c r="BC438" s="50"/>
      <c r="BD438" s="50"/>
      <c r="BE438" s="50"/>
      <c r="BF438" s="50"/>
      <c r="BG438" s="50"/>
      <c r="BH438" s="50"/>
      <c r="BI438" s="50"/>
      <c r="BJ438" s="50"/>
      <c r="BK438" s="50"/>
      <c r="BL438" s="50"/>
      <c r="BM438" s="50"/>
      <c r="BN438" s="50"/>
      <c r="BO438" s="50"/>
      <c r="BP438" s="50"/>
      <c r="BQ438" s="50"/>
      <c r="BR438" s="50"/>
      <c r="BS438" s="50"/>
      <c r="BT438" s="50"/>
      <c r="BU438" s="50"/>
      <c r="BV438" s="50"/>
      <c r="BW438" s="50"/>
      <c r="BX438" s="50"/>
      <c r="BY438" s="50"/>
      <c r="BZ438" s="50"/>
      <c r="CA438" s="50"/>
      <c r="CB438" s="50"/>
      <c r="CC438" s="50"/>
      <c r="CD438" s="50"/>
      <c r="CE438" s="50"/>
      <c r="CF438" s="50"/>
      <c r="CG438" s="50"/>
      <c r="CH438" s="50"/>
      <c r="CI438" s="50"/>
      <c r="CJ438" s="50"/>
      <c r="CK438" s="50"/>
      <c r="CL438" s="50"/>
      <c r="CM438" s="50"/>
      <c r="CN438" s="50"/>
      <c r="CO438" s="50"/>
      <c r="CP438" s="50"/>
      <c r="CQ438" s="50"/>
      <c r="CR438" s="50"/>
      <c r="CS438" s="50"/>
      <c r="CT438" s="50"/>
      <c r="CU438" s="50"/>
      <c r="CV438" s="50"/>
      <c r="CW438" s="50"/>
      <c r="CX438" s="50"/>
      <c r="CY438" s="50"/>
      <c r="CZ438" s="50"/>
      <c r="DA438" s="50"/>
      <c r="DB438" s="50"/>
      <c r="DC438" s="50"/>
      <c r="DD438" s="50"/>
      <c r="DE438" s="50"/>
      <c r="DF438" s="50"/>
      <c r="DG438" s="50"/>
      <c r="DH438" s="50"/>
      <c r="DI438" s="50"/>
      <c r="DJ438" s="50"/>
      <c r="DK438" s="50"/>
      <c r="DL438" s="50"/>
      <c r="DM438" s="50"/>
      <c r="DN438" s="50"/>
      <c r="DO438" s="50"/>
      <c r="DP438" s="50"/>
      <c r="DQ438" s="50"/>
      <c r="DR438" s="50"/>
      <c r="DS438" s="50"/>
      <c r="DT438" s="50"/>
      <c r="DU438" s="50"/>
      <c r="DV438" s="50"/>
      <c r="DW438" s="50"/>
      <c r="DX438" s="50"/>
      <c r="DY438" s="50"/>
      <c r="DZ438" s="50"/>
      <c r="EA438" s="50"/>
      <c r="EB438" s="50"/>
      <c r="EC438" s="50"/>
      <c r="ED438" s="50"/>
      <c r="EE438" s="50"/>
      <c r="EF438" s="50"/>
      <c r="EG438" s="50"/>
      <c r="EH438" s="50"/>
      <c r="EI438" s="50"/>
      <c r="EJ438" s="50"/>
      <c r="EK438" s="50"/>
      <c r="EL438" s="50"/>
      <c r="EM438" s="50"/>
      <c r="EN438" s="50"/>
      <c r="EO438" s="50"/>
      <c r="EP438" s="50"/>
      <c r="EQ438" s="50"/>
      <c r="ER438" s="50"/>
      <c r="ES438" s="50"/>
      <c r="ET438" s="50"/>
      <c r="EU438" s="50"/>
      <c r="EV438" s="50"/>
      <c r="EW438" s="50"/>
      <c r="EX438" s="50"/>
      <c r="EY438" s="50"/>
      <c r="EZ438" s="50"/>
      <c r="FA438" s="50"/>
      <c r="FB438" s="50"/>
      <c r="FC438" s="50"/>
      <c r="FD438" s="50"/>
      <c r="FE438" s="50"/>
      <c r="FF438" s="50"/>
      <c r="FG438" s="50"/>
      <c r="FH438" s="50"/>
      <c r="FI438" s="50"/>
      <c r="FJ438" s="50"/>
      <c r="FK438" s="50"/>
      <c r="FL438" s="50"/>
      <c r="FM438" s="50"/>
      <c r="FN438" s="50"/>
      <c r="FO438" s="50"/>
      <c r="FP438" s="50"/>
      <c r="FQ438" s="50"/>
      <c r="FR438" s="50"/>
      <c r="FS438" s="50"/>
      <c r="FT438" s="50"/>
      <c r="FU438" s="50"/>
      <c r="FV438" s="50"/>
      <c r="FW438" s="50"/>
      <c r="FX438" s="50"/>
      <c r="FY438" s="50"/>
      <c r="FZ438" s="50"/>
      <c r="GA438" s="50"/>
      <c r="GB438" s="50"/>
      <c r="GC438" s="50"/>
      <c r="GD438" s="50"/>
      <c r="GE438" s="50"/>
      <c r="GF438" s="50"/>
      <c r="GG438" s="50"/>
      <c r="GH438" s="50"/>
      <c r="GI438" s="50"/>
      <c r="GJ438" s="50"/>
      <c r="GK438" s="50"/>
      <c r="GL438" s="50"/>
      <c r="GM438" s="50"/>
      <c r="GN438" s="50"/>
      <c r="GO438" s="50"/>
      <c r="GP438" s="50"/>
      <c r="GQ438" s="50"/>
      <c r="GR438" s="50"/>
      <c r="GS438" s="50"/>
      <c r="GT438" s="50"/>
      <c r="GU438" s="50"/>
      <c r="GV438" s="50"/>
      <c r="GW438" s="50"/>
      <c r="GX438" s="50"/>
      <c r="GY438" s="50"/>
      <c r="GZ438" s="50"/>
      <c r="HA438" s="50"/>
      <c r="HB438" s="50"/>
      <c r="HC438" s="50"/>
      <c r="HD438" s="50"/>
      <c r="HE438" s="50"/>
      <c r="HF438" s="50"/>
      <c r="HG438" s="50"/>
      <c r="HH438" s="50"/>
      <c r="HI438" s="50"/>
      <c r="HJ438" s="50"/>
      <c r="HK438" s="50"/>
      <c r="HL438" s="50"/>
      <c r="HM438" s="50"/>
      <c r="HN438" s="50"/>
      <c r="HO438" s="50"/>
      <c r="HP438" s="50"/>
      <c r="HQ438" s="50"/>
      <c r="HR438" s="50"/>
      <c r="HS438" s="50"/>
      <c r="HT438" s="50"/>
      <c r="HU438" s="50"/>
      <c r="HV438" s="50"/>
      <c r="HW438" s="50"/>
      <c r="HX438" s="50"/>
      <c r="HY438" s="50"/>
      <c r="HZ438" s="50"/>
      <c r="IA438" s="50"/>
      <c r="IB438" s="50"/>
      <c r="IC438" s="50"/>
      <c r="ID438" s="50"/>
      <c r="IE438" s="50"/>
      <c r="IF438" s="50"/>
      <c r="IG438" s="50"/>
      <c r="IH438" s="50"/>
      <c r="II438" s="50"/>
      <c r="IJ438" s="50"/>
      <c r="IK438" s="50"/>
      <c r="IL438" s="50"/>
      <c r="IM438" s="50"/>
      <c r="IN438" s="50"/>
      <c r="IO438" s="50"/>
      <c r="IP438" s="50"/>
      <c r="IQ438" s="50"/>
      <c r="IR438" s="50"/>
      <c r="IS438" s="50"/>
      <c r="IT438" s="50"/>
      <c r="IU438" s="50"/>
      <c r="IV438" s="50"/>
      <c r="IW438" s="50"/>
      <c r="IX438" s="50"/>
      <c r="IY438" s="50"/>
      <c r="IZ438" s="50"/>
      <c r="JA438" s="50"/>
      <c r="JB438" s="50"/>
      <c r="JC438" s="50"/>
      <c r="JD438" s="50"/>
      <c r="JE438" s="50"/>
      <c r="JF438" s="50"/>
      <c r="JG438" s="50"/>
      <c r="JH438" s="50"/>
      <c r="JI438" s="50"/>
      <c r="JJ438" s="50"/>
      <c r="JK438" s="50"/>
      <c r="JL438" s="50"/>
      <c r="JM438" s="50"/>
      <c r="JN438" s="50"/>
      <c r="JO438" s="50"/>
      <c r="JP438" s="50"/>
      <c r="JQ438" s="50"/>
      <c r="JR438" s="50"/>
      <c r="JS438" s="50"/>
      <c r="JT438" s="50"/>
      <c r="JU438" s="50"/>
      <c r="JV438" s="50"/>
      <c r="JW438" s="50"/>
      <c r="JX438" s="50"/>
      <c r="JY438" s="50"/>
      <c r="JZ438" s="50"/>
      <c r="KA438" s="50"/>
      <c r="KB438" s="50"/>
      <c r="KC438" s="50"/>
      <c r="KD438" s="50"/>
      <c r="KE438" s="50"/>
      <c r="KF438" s="50"/>
      <c r="KG438" s="50"/>
      <c r="KH438" s="50"/>
      <c r="KI438" s="50"/>
      <c r="KJ438" s="50"/>
      <c r="KK438" s="50"/>
      <c r="KL438" s="50"/>
      <c r="KM438" s="50"/>
      <c r="KN438" s="50"/>
      <c r="KO438" s="50"/>
      <c r="KP438" s="50"/>
      <c r="KQ438" s="50"/>
      <c r="KR438" s="50"/>
      <c r="KS438" s="50"/>
      <c r="KT438" s="50"/>
      <c r="KU438" s="50"/>
      <c r="KV438" s="50"/>
      <c r="KW438" s="50"/>
      <c r="KX438" s="50"/>
      <c r="KY438" s="50"/>
      <c r="KZ438" s="50"/>
      <c r="LA438" s="50"/>
      <c r="LB438" s="50"/>
      <c r="LC438" s="50"/>
      <c r="LD438" s="50"/>
      <c r="LE438" s="50"/>
      <c r="LF438" s="50"/>
      <c r="LG438" s="50"/>
      <c r="LH438" s="50"/>
      <c r="LI438" s="50"/>
      <c r="LJ438" s="50"/>
      <c r="LK438" s="50"/>
      <c r="LL438" s="50"/>
      <c r="LM438" s="50"/>
      <c r="LN438" s="50"/>
      <c r="LO438" s="50"/>
      <c r="LP438" s="50"/>
      <c r="LQ438" s="50"/>
      <c r="LR438" s="50"/>
      <c r="LS438" s="50"/>
      <c r="LT438" s="50"/>
      <c r="LU438" s="50"/>
      <c r="LV438" s="50"/>
      <c r="LW438" s="50"/>
      <c r="LX438" s="50"/>
      <c r="LY438" s="50"/>
      <c r="LZ438" s="50"/>
      <c r="MA438" s="50"/>
      <c r="MB438" s="50"/>
      <c r="MC438" s="50"/>
      <c r="MD438" s="50"/>
      <c r="ME438" s="50"/>
      <c r="MF438" s="50"/>
      <c r="MG438" s="50"/>
      <c r="MH438" s="50"/>
      <c r="MI438" s="50"/>
      <c r="MJ438" s="50"/>
      <c r="MK438" s="50"/>
      <c r="ML438" s="50"/>
      <c r="MM438" s="50"/>
      <c r="MN438" s="50"/>
      <c r="MO438" s="50"/>
      <c r="MP438" s="50"/>
      <c r="MQ438" s="50"/>
      <c r="MR438" s="50"/>
      <c r="MS438" s="50"/>
      <c r="MT438" s="50"/>
      <c r="MU438" s="50"/>
      <c r="MV438" s="50"/>
      <c r="MW438" s="50"/>
      <c r="MX438" s="50"/>
      <c r="MY438" s="50"/>
      <c r="MZ438" s="50"/>
      <c r="NA438" s="50"/>
      <c r="NB438" s="50"/>
      <c r="NC438" s="50"/>
      <c r="ND438" s="50"/>
      <c r="NE438" s="50"/>
      <c r="NF438" s="50"/>
      <c r="NG438" s="50"/>
      <c r="NH438" s="50"/>
      <c r="NI438" s="50"/>
      <c r="NJ438" s="50"/>
      <c r="NK438" s="50"/>
      <c r="NL438" s="50"/>
      <c r="NM438" s="50"/>
      <c r="NN438" s="50"/>
      <c r="NO438" s="50"/>
      <c r="NP438" s="50"/>
      <c r="NQ438" s="50"/>
      <c r="NR438" s="50"/>
      <c r="NS438" s="50"/>
      <c r="NT438" s="50"/>
      <c r="NU438" s="50"/>
      <c r="NV438" s="50"/>
      <c r="NW438" s="50"/>
      <c r="NX438" s="50"/>
      <c r="NY438" s="50"/>
      <c r="NZ438" s="50"/>
      <c r="OA438" s="50"/>
      <c r="OB438" s="50"/>
      <c r="OC438" s="50"/>
      <c r="OD438" s="50"/>
      <c r="OE438" s="50"/>
      <c r="OF438" s="50"/>
      <c r="OG438" s="50"/>
      <c r="OH438" s="50"/>
      <c r="OI438" s="50"/>
      <c r="OJ438" s="50"/>
      <c r="OK438" s="50"/>
      <c r="OL438" s="50"/>
      <c r="OM438" s="50"/>
      <c r="ON438" s="50"/>
      <c r="OO438" s="50"/>
      <c r="OP438" s="50"/>
      <c r="OQ438" s="50"/>
      <c r="OR438" s="50"/>
      <c r="OS438" s="50"/>
      <c r="OT438" s="50"/>
      <c r="OU438" s="50"/>
      <c r="OV438" s="50"/>
      <c r="OW438" s="50"/>
      <c r="OX438" s="50"/>
      <c r="OY438" s="50"/>
      <c r="OZ438" s="50"/>
      <c r="PA438" s="50"/>
      <c r="PB438" s="50"/>
      <c r="PC438" s="50"/>
      <c r="PD438" s="50"/>
      <c r="PE438" s="50"/>
      <c r="PF438" s="50"/>
      <c r="PG438" s="50"/>
      <c r="PH438" s="50"/>
      <c r="PI438" s="50"/>
      <c r="PJ438" s="50"/>
      <c r="PK438" s="50"/>
      <c r="PL438" s="50"/>
      <c r="PM438" s="50"/>
      <c r="PN438" s="50"/>
      <c r="PO438" s="50"/>
      <c r="PP438" s="50"/>
      <c r="PQ438" s="50"/>
      <c r="PR438" s="50"/>
      <c r="PS438" s="50"/>
      <c r="PT438" s="50"/>
      <c r="PU438" s="50"/>
      <c r="PV438" s="50"/>
      <c r="PW438" s="50"/>
      <c r="PX438" s="50"/>
      <c r="PY438" s="50"/>
      <c r="PZ438" s="50"/>
      <c r="QA438" s="50"/>
      <c r="QB438" s="50"/>
      <c r="QC438" s="50"/>
      <c r="QD438" s="50"/>
      <c r="QE438" s="50"/>
      <c r="QF438" s="50"/>
      <c r="QG438" s="50"/>
      <c r="QH438" s="50"/>
      <c r="QI438" s="50"/>
      <c r="QJ438" s="50"/>
      <c r="QK438" s="50"/>
      <c r="QL438" s="50"/>
      <c r="QM438" s="50"/>
      <c r="QN438" s="50"/>
      <c r="QO438" s="50"/>
      <c r="QP438" s="50"/>
      <c r="QQ438" s="50"/>
      <c r="QR438" s="50"/>
      <c r="QS438" s="50"/>
      <c r="QT438" s="50"/>
      <c r="QU438" s="50"/>
      <c r="QV438" s="50"/>
      <c r="QW438" s="50"/>
      <c r="QX438" s="50"/>
      <c r="QY438" s="50"/>
      <c r="QZ438" s="50"/>
      <c r="RA438" s="50"/>
      <c r="RB438" s="50"/>
      <c r="RC438" s="50"/>
      <c r="RD438" s="50"/>
      <c r="RE438" s="50"/>
      <c r="RF438" s="50"/>
      <c r="RG438" s="50"/>
      <c r="RH438" s="50"/>
      <c r="RI438" s="50"/>
      <c r="RJ438" s="50"/>
      <c r="RK438" s="50"/>
      <c r="RL438" s="50"/>
      <c r="RM438" s="50"/>
      <c r="RN438" s="50"/>
      <c r="RO438" s="50"/>
      <c r="RP438" s="50"/>
      <c r="RQ438" s="50"/>
      <c r="RR438" s="50"/>
      <c r="RS438" s="50"/>
      <c r="RT438" s="50"/>
      <c r="RU438" s="50"/>
      <c r="RV438" s="50"/>
      <c r="RW438" s="50"/>
      <c r="RX438" s="50"/>
      <c r="RY438" s="50"/>
      <c r="RZ438" s="50"/>
      <c r="SA438" s="50"/>
      <c r="SB438" s="50"/>
      <c r="SC438" s="50"/>
      <c r="SD438" s="50"/>
      <c r="SE438" s="50"/>
      <c r="SF438" s="50"/>
      <c r="SG438" s="50"/>
      <c r="SH438" s="50"/>
      <c r="SI438" s="50"/>
      <c r="SJ438" s="50"/>
      <c r="SK438" s="50"/>
      <c r="SL438" s="50"/>
      <c r="SM438" s="50"/>
      <c r="SN438" s="50"/>
      <c r="SO438" s="50"/>
      <c r="SP438" s="50"/>
      <c r="SQ438" s="50"/>
      <c r="SR438" s="50"/>
      <c r="SS438" s="50"/>
      <c r="ST438" s="50"/>
      <c r="SU438" s="50"/>
      <c r="SV438" s="50"/>
      <c r="SW438" s="50"/>
      <c r="SX438" s="50"/>
      <c r="SY438" s="50"/>
      <c r="SZ438" s="50"/>
      <c r="TA438" s="50"/>
      <c r="TB438" s="50"/>
      <c r="TC438" s="50"/>
      <c r="TD438" s="50"/>
      <c r="TE438" s="50"/>
      <c r="TF438" s="50"/>
      <c r="TG438" s="50"/>
      <c r="TH438" s="50"/>
      <c r="TI438" s="50"/>
      <c r="TJ438" s="50"/>
      <c r="TK438" s="50"/>
      <c r="TL438" s="50"/>
      <c r="TM438" s="50"/>
      <c r="TN438" s="50"/>
      <c r="TO438" s="50"/>
      <c r="TP438" s="50"/>
      <c r="TQ438" s="50"/>
      <c r="TR438" s="50"/>
      <c r="TS438" s="50"/>
      <c r="TT438" s="50"/>
      <c r="TU438" s="50"/>
      <c r="TV438" s="50"/>
      <c r="TW438" s="50"/>
      <c r="TX438" s="50"/>
      <c r="TY438" s="50"/>
      <c r="TZ438" s="50"/>
      <c r="UA438" s="50"/>
      <c r="UB438" s="50"/>
      <c r="UC438" s="50"/>
      <c r="UD438" s="50"/>
      <c r="UE438" s="50"/>
      <c r="UF438" s="50"/>
      <c r="UG438" s="50"/>
      <c r="UH438" s="50"/>
      <c r="UI438" s="50"/>
      <c r="UJ438" s="50"/>
      <c r="UK438" s="50"/>
      <c r="UL438" s="50"/>
      <c r="UM438" s="50"/>
      <c r="UN438" s="50"/>
      <c r="UO438" s="50"/>
      <c r="UP438" s="50"/>
      <c r="UQ438" s="50"/>
      <c r="UR438" s="50"/>
      <c r="US438" s="50"/>
      <c r="UT438" s="50"/>
      <c r="UU438" s="50"/>
      <c r="UV438" s="50"/>
      <c r="UW438" s="50"/>
      <c r="UX438" s="50"/>
      <c r="UY438" s="50"/>
      <c r="UZ438" s="50"/>
      <c r="VA438" s="50"/>
      <c r="VB438" s="50"/>
      <c r="VC438" s="50"/>
      <c r="VD438" s="50"/>
      <c r="VE438" s="50"/>
      <c r="VF438" s="50"/>
      <c r="VG438" s="50"/>
      <c r="VH438" s="50"/>
      <c r="VI438" s="50"/>
      <c r="VJ438" s="50"/>
      <c r="VK438" s="50"/>
      <c r="VL438" s="50"/>
      <c r="VM438" s="50"/>
      <c r="VN438" s="50"/>
      <c r="VO438" s="50"/>
      <c r="VP438" s="50"/>
      <c r="VQ438" s="50"/>
      <c r="VR438" s="50"/>
      <c r="VS438" s="50"/>
      <c r="VT438" s="50"/>
      <c r="VU438" s="50"/>
      <c r="VV438" s="50"/>
      <c r="VW438" s="50"/>
      <c r="VX438" s="50"/>
      <c r="VY438" s="50"/>
      <c r="VZ438" s="50"/>
      <c r="WA438" s="50"/>
      <c r="WB438" s="50"/>
      <c r="WC438" s="50"/>
      <c r="WD438" s="50"/>
      <c r="WE438" s="50"/>
      <c r="WF438" s="50"/>
      <c r="WG438" s="50"/>
      <c r="WH438" s="50"/>
      <c r="WI438" s="50"/>
      <c r="WJ438" s="50"/>
      <c r="WK438" s="50"/>
      <c r="WL438" s="50"/>
      <c r="WM438" s="50"/>
      <c r="WN438" s="50"/>
      <c r="WO438" s="50"/>
      <c r="WP438" s="50"/>
      <c r="WQ438" s="50"/>
      <c r="WR438" s="50"/>
      <c r="WS438" s="50"/>
      <c r="WT438" s="50"/>
      <c r="WU438" s="50"/>
      <c r="WV438" s="50"/>
      <c r="WW438" s="50"/>
      <c r="WX438" s="50"/>
      <c r="WY438" s="50"/>
      <c r="WZ438" s="50"/>
      <c r="XA438" s="50"/>
      <c r="XB438" s="50"/>
      <c r="XC438" s="50"/>
      <c r="XD438" s="50"/>
      <c r="XE438" s="50"/>
      <c r="XF438" s="50"/>
      <c r="XG438" s="50"/>
      <c r="XH438" s="50"/>
      <c r="XI438" s="50"/>
      <c r="XJ438" s="50"/>
      <c r="XK438" s="50"/>
      <c r="XL438" s="50"/>
      <c r="XM438" s="50"/>
      <c r="XN438" s="50"/>
      <c r="XO438" s="50"/>
      <c r="XP438" s="50"/>
      <c r="XQ438" s="50"/>
      <c r="XR438" s="50"/>
      <c r="XS438" s="50"/>
      <c r="XT438" s="50"/>
      <c r="XU438" s="50"/>
      <c r="XV438" s="50"/>
      <c r="XW438" s="50"/>
      <c r="XX438" s="50"/>
      <c r="XY438" s="50"/>
      <c r="XZ438" s="50"/>
      <c r="YA438" s="50"/>
      <c r="YB438" s="50"/>
      <c r="YC438" s="50"/>
      <c r="YD438" s="50"/>
      <c r="YE438" s="50"/>
      <c r="YF438" s="50"/>
      <c r="YG438" s="50"/>
      <c r="YH438" s="50"/>
      <c r="YI438" s="50"/>
      <c r="YJ438" s="50"/>
      <c r="YK438" s="50"/>
      <c r="YL438" s="50"/>
      <c r="YM438" s="50"/>
      <c r="YN438" s="50"/>
      <c r="YO438" s="50"/>
      <c r="YP438" s="50"/>
      <c r="YQ438" s="50"/>
      <c r="YR438" s="50"/>
      <c r="YS438" s="50"/>
      <c r="YT438" s="50"/>
      <c r="YU438" s="50"/>
      <c r="YV438" s="50"/>
      <c r="YW438" s="50"/>
      <c r="YX438" s="50"/>
      <c r="YY438" s="50"/>
      <c r="YZ438" s="50"/>
      <c r="ZA438" s="50"/>
      <c r="ZB438" s="50"/>
      <c r="ZC438" s="50"/>
      <c r="ZD438" s="50"/>
      <c r="ZE438" s="50"/>
      <c r="ZF438" s="50"/>
      <c r="ZG438" s="50"/>
      <c r="ZH438" s="50"/>
      <c r="ZI438" s="50"/>
      <c r="ZJ438" s="50"/>
      <c r="ZK438" s="50"/>
      <c r="ZL438" s="50"/>
      <c r="ZM438" s="50"/>
      <c r="ZN438" s="50"/>
      <c r="ZO438" s="50"/>
      <c r="ZP438" s="50"/>
      <c r="ZQ438" s="50"/>
      <c r="ZR438" s="50"/>
      <c r="ZS438" s="50"/>
      <c r="ZT438" s="50"/>
      <c r="ZU438" s="50"/>
      <c r="ZV438" s="50"/>
      <c r="ZW438" s="50"/>
      <c r="ZX438" s="50"/>
      <c r="ZY438" s="618"/>
      <c r="ZZ438" s="36"/>
      <c r="AAA438" s="588"/>
      <c r="AAD438" s="112"/>
      <c r="AAE438" s="551" t="s">
        <v>26</v>
      </c>
      <c r="AAF438" s="583" t="s">
        <v>174</v>
      </c>
      <c r="AAG438" s="63"/>
      <c r="AAH438" s="63"/>
      <c r="AAI438" s="77"/>
      <c r="AAJ438" s="57"/>
      <c r="AAK438" s="57"/>
      <c r="AAL438" s="57"/>
      <c r="AAM438" s="112"/>
      <c r="AAN438"/>
      <c r="AAT438" s="23"/>
      <c r="AAU438" s="44"/>
    </row>
    <row r="439" spans="1:732" s="23" customFormat="1" ht="18" customHeight="1">
      <c r="A439" s="558"/>
      <c r="B439" s="749" t="s">
        <v>172</v>
      </c>
      <c r="C439" s="749"/>
      <c r="D439" s="749"/>
      <c r="E439" s="749"/>
      <c r="F439" s="749"/>
      <c r="G439" s="749"/>
      <c r="H439" s="749"/>
      <c r="I439" s="627"/>
      <c r="J439" s="632"/>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c r="CG439" s="48"/>
      <c r="CH439" s="48"/>
      <c r="CI439" s="48"/>
      <c r="CJ439" s="48"/>
      <c r="CK439" s="48"/>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c r="DV439" s="48"/>
      <c r="DW439" s="48"/>
      <c r="DX439" s="48"/>
      <c r="DY439" s="48"/>
      <c r="DZ439" s="48"/>
      <c r="EA439" s="48"/>
      <c r="EB439" s="48"/>
      <c r="EC439" s="48"/>
      <c r="ED439" s="48"/>
      <c r="EE439" s="48"/>
      <c r="EF439" s="48"/>
      <c r="EG439" s="48"/>
      <c r="EH439" s="48"/>
      <c r="EI439" s="48"/>
      <c r="EJ439" s="48"/>
      <c r="EK439" s="48"/>
      <c r="EL439" s="48"/>
      <c r="EM439" s="48"/>
      <c r="EN439" s="48"/>
      <c r="EO439" s="48"/>
      <c r="EP439" s="48"/>
      <c r="EQ439" s="48"/>
      <c r="ER439" s="48"/>
      <c r="ES439" s="48"/>
      <c r="ET439" s="48"/>
      <c r="EU439" s="48"/>
      <c r="EV439" s="48"/>
      <c r="EW439" s="48"/>
      <c r="EX439" s="48"/>
      <c r="EY439" s="48"/>
      <c r="EZ439" s="48"/>
      <c r="FA439" s="48"/>
      <c r="FB439" s="48"/>
      <c r="FC439" s="48"/>
      <c r="FD439" s="48"/>
      <c r="FE439" s="48"/>
      <c r="FF439" s="48"/>
      <c r="FG439" s="48"/>
      <c r="FH439" s="48"/>
      <c r="FI439" s="48"/>
      <c r="FJ439" s="48"/>
      <c r="FK439" s="48"/>
      <c r="FL439" s="48"/>
      <c r="FM439" s="48"/>
      <c r="FN439" s="48"/>
      <c r="FO439" s="48"/>
      <c r="FP439" s="48"/>
      <c r="FQ439" s="48"/>
      <c r="FR439" s="48"/>
      <c r="FS439" s="48"/>
      <c r="FT439" s="48"/>
      <c r="FU439" s="48"/>
      <c r="FV439" s="48"/>
      <c r="FW439" s="48"/>
      <c r="FX439" s="48"/>
      <c r="FY439" s="48"/>
      <c r="FZ439" s="48"/>
      <c r="GA439" s="48"/>
      <c r="GB439" s="48"/>
      <c r="GC439" s="48"/>
      <c r="GD439" s="48"/>
      <c r="GE439" s="48"/>
      <c r="GF439" s="48"/>
      <c r="GG439" s="48"/>
      <c r="GH439" s="48"/>
      <c r="GI439" s="48"/>
      <c r="GJ439" s="48"/>
      <c r="GK439" s="48"/>
      <c r="GL439" s="48"/>
      <c r="GM439" s="48"/>
      <c r="GN439" s="48"/>
      <c r="GO439" s="48"/>
      <c r="GP439" s="48"/>
      <c r="GQ439" s="48"/>
      <c r="GR439" s="48"/>
      <c r="GS439" s="48"/>
      <c r="GT439" s="48"/>
      <c r="GU439" s="48"/>
      <c r="GV439" s="48"/>
      <c r="GW439" s="48"/>
      <c r="GX439" s="48"/>
      <c r="GY439" s="48"/>
      <c r="GZ439" s="48"/>
      <c r="HA439" s="48"/>
      <c r="HB439" s="48"/>
      <c r="HC439" s="48"/>
      <c r="HD439" s="48"/>
      <c r="HE439" s="48"/>
      <c r="HF439" s="48"/>
      <c r="HG439" s="48"/>
      <c r="HH439" s="48"/>
      <c r="HI439" s="48"/>
      <c r="HJ439" s="48"/>
      <c r="HK439" s="48"/>
      <c r="HL439" s="48"/>
      <c r="HM439" s="48"/>
      <c r="HN439" s="48"/>
      <c r="HO439" s="48"/>
      <c r="HP439" s="48"/>
      <c r="HQ439" s="48"/>
      <c r="HR439" s="48"/>
      <c r="HS439" s="48"/>
      <c r="HT439" s="48"/>
      <c r="HU439" s="48"/>
      <c r="HV439" s="48"/>
      <c r="HW439" s="48"/>
      <c r="HX439" s="48"/>
      <c r="HY439" s="48"/>
      <c r="HZ439" s="48"/>
      <c r="IA439" s="48"/>
      <c r="IB439" s="48"/>
      <c r="IC439" s="48"/>
      <c r="ID439" s="48"/>
      <c r="IE439" s="48"/>
      <c r="IF439" s="48"/>
      <c r="IG439" s="48"/>
      <c r="IH439" s="48"/>
      <c r="II439" s="48"/>
      <c r="IJ439" s="48"/>
      <c r="IK439" s="48"/>
      <c r="IL439" s="48"/>
      <c r="IM439" s="48"/>
      <c r="IN439" s="48"/>
      <c r="IO439" s="48"/>
      <c r="IP439" s="48"/>
      <c r="IQ439" s="48"/>
      <c r="IR439" s="48"/>
      <c r="IS439" s="48"/>
      <c r="IT439" s="48"/>
      <c r="IU439" s="48"/>
      <c r="IV439" s="48"/>
      <c r="IW439" s="48"/>
      <c r="IX439" s="48"/>
      <c r="IY439" s="48"/>
      <c r="IZ439" s="48"/>
      <c r="JA439" s="48"/>
      <c r="JB439" s="48"/>
      <c r="JC439" s="48"/>
      <c r="JD439" s="48"/>
      <c r="JE439" s="48"/>
      <c r="JF439" s="48"/>
      <c r="JG439" s="48"/>
      <c r="JH439" s="48"/>
      <c r="JI439" s="48"/>
      <c r="JJ439" s="48"/>
      <c r="JK439" s="48"/>
      <c r="JL439" s="48"/>
      <c r="JM439" s="48"/>
      <c r="JN439" s="48"/>
      <c r="JO439" s="48"/>
      <c r="JP439" s="48"/>
      <c r="JQ439" s="48"/>
      <c r="JR439" s="48"/>
      <c r="JS439" s="48"/>
      <c r="JT439" s="48"/>
      <c r="JU439" s="48"/>
      <c r="JV439" s="48"/>
      <c r="JW439" s="48"/>
      <c r="JX439" s="48"/>
      <c r="JY439" s="48"/>
      <c r="JZ439" s="48"/>
      <c r="KA439" s="48"/>
      <c r="KB439" s="48"/>
      <c r="KC439" s="48"/>
      <c r="KD439" s="48"/>
      <c r="KE439" s="48"/>
      <c r="KF439" s="48"/>
      <c r="KG439" s="48"/>
      <c r="KH439" s="48"/>
      <c r="KI439" s="48"/>
      <c r="KJ439" s="48"/>
      <c r="KK439" s="48"/>
      <c r="KL439" s="48"/>
      <c r="KM439" s="48"/>
      <c r="KN439" s="48"/>
      <c r="KO439" s="48"/>
      <c r="KP439" s="48"/>
      <c r="KQ439" s="48"/>
      <c r="KR439" s="48"/>
      <c r="KS439" s="48"/>
      <c r="KT439" s="48"/>
      <c r="KU439" s="48"/>
      <c r="KV439" s="48"/>
      <c r="KW439" s="48"/>
      <c r="KX439" s="48"/>
      <c r="KY439" s="48"/>
      <c r="KZ439" s="48"/>
      <c r="LA439" s="48"/>
      <c r="LB439" s="48"/>
      <c r="LC439" s="48"/>
      <c r="LD439" s="48"/>
      <c r="LE439" s="48"/>
      <c r="LF439" s="48"/>
      <c r="LG439" s="48"/>
      <c r="LH439" s="48"/>
      <c r="LI439" s="48"/>
      <c r="LJ439" s="48"/>
      <c r="LK439" s="48"/>
      <c r="LL439" s="48"/>
      <c r="LM439" s="48"/>
      <c r="LN439" s="48"/>
      <c r="LO439" s="48"/>
      <c r="LP439" s="48"/>
      <c r="LQ439" s="48"/>
      <c r="LR439" s="48"/>
      <c r="LS439" s="48"/>
      <c r="LT439" s="48"/>
      <c r="LU439" s="48"/>
      <c r="LV439" s="48"/>
      <c r="LW439" s="48"/>
      <c r="LX439" s="48"/>
      <c r="LY439" s="48"/>
      <c r="LZ439" s="48"/>
      <c r="MA439" s="48"/>
      <c r="MB439" s="48"/>
      <c r="MC439" s="48"/>
      <c r="MD439" s="48"/>
      <c r="ME439" s="48"/>
      <c r="MF439" s="48"/>
      <c r="MG439" s="48"/>
      <c r="MH439" s="48"/>
      <c r="MI439" s="48"/>
      <c r="MJ439" s="48"/>
      <c r="MK439" s="48"/>
      <c r="ML439" s="48"/>
      <c r="MM439" s="48"/>
      <c r="MN439" s="48"/>
      <c r="MO439" s="48"/>
      <c r="MP439" s="48"/>
      <c r="MQ439" s="48"/>
      <c r="MR439" s="48"/>
      <c r="MS439" s="48"/>
      <c r="MT439" s="48"/>
      <c r="MU439" s="48"/>
      <c r="MV439" s="48"/>
      <c r="MW439" s="48"/>
      <c r="MX439" s="48"/>
      <c r="MY439" s="48"/>
      <c r="MZ439" s="48"/>
      <c r="NA439" s="48"/>
      <c r="NB439" s="48"/>
      <c r="NC439" s="48"/>
      <c r="ND439" s="48"/>
      <c r="NE439" s="48"/>
      <c r="NF439" s="48"/>
      <c r="NG439" s="48"/>
      <c r="NH439" s="48"/>
      <c r="NI439" s="48"/>
      <c r="NJ439" s="48"/>
      <c r="NK439" s="48"/>
      <c r="NL439" s="48"/>
      <c r="NM439" s="48"/>
      <c r="NN439" s="48"/>
      <c r="NO439" s="48"/>
      <c r="NP439" s="48"/>
      <c r="NQ439" s="48"/>
      <c r="NR439" s="48"/>
      <c r="NS439" s="48"/>
      <c r="NT439" s="48"/>
      <c r="NU439" s="48"/>
      <c r="NV439" s="48"/>
      <c r="NW439" s="48"/>
      <c r="NX439" s="48"/>
      <c r="NY439" s="48"/>
      <c r="NZ439" s="48"/>
      <c r="OA439" s="48"/>
      <c r="OB439" s="48"/>
      <c r="OC439" s="48"/>
      <c r="OD439" s="48"/>
      <c r="OE439" s="48"/>
      <c r="OF439" s="48"/>
      <c r="OG439" s="48"/>
      <c r="OH439" s="48"/>
      <c r="OI439" s="48"/>
      <c r="OJ439" s="48"/>
      <c r="OK439" s="48"/>
      <c r="OL439" s="48"/>
      <c r="OM439" s="48"/>
      <c r="ON439" s="48"/>
      <c r="OO439" s="48"/>
      <c r="OP439" s="48"/>
      <c r="OQ439" s="48"/>
      <c r="OR439" s="48"/>
      <c r="OS439" s="48"/>
      <c r="OT439" s="48"/>
      <c r="OU439" s="48"/>
      <c r="OV439" s="48"/>
      <c r="OW439" s="48"/>
      <c r="OX439" s="48"/>
      <c r="OY439" s="48"/>
      <c r="OZ439" s="48"/>
      <c r="PA439" s="48"/>
      <c r="PB439" s="48"/>
      <c r="PC439" s="48"/>
      <c r="PD439" s="48"/>
      <c r="PE439" s="48"/>
      <c r="PF439" s="48"/>
      <c r="PG439" s="48"/>
      <c r="PH439" s="48"/>
      <c r="PI439" s="48"/>
      <c r="PJ439" s="48"/>
      <c r="PK439" s="48"/>
      <c r="PL439" s="48"/>
      <c r="PM439" s="48"/>
      <c r="PN439" s="48"/>
      <c r="PO439" s="48"/>
      <c r="PP439" s="48"/>
      <c r="PQ439" s="48"/>
      <c r="PR439" s="48"/>
      <c r="PS439" s="48"/>
      <c r="PT439" s="48"/>
      <c r="PU439" s="48"/>
      <c r="PV439" s="48"/>
      <c r="PW439" s="48"/>
      <c r="PX439" s="48"/>
      <c r="PY439" s="48"/>
      <c r="PZ439" s="48"/>
      <c r="QA439" s="48"/>
      <c r="QB439" s="48"/>
      <c r="QC439" s="48"/>
      <c r="QD439" s="48"/>
      <c r="QE439" s="48"/>
      <c r="QF439" s="48"/>
      <c r="QG439" s="48"/>
      <c r="QH439" s="48"/>
      <c r="QI439" s="48"/>
      <c r="QJ439" s="48"/>
      <c r="QK439" s="48"/>
      <c r="QL439" s="48"/>
      <c r="QM439" s="48"/>
      <c r="QN439" s="48"/>
      <c r="QO439" s="48"/>
      <c r="QP439" s="48"/>
      <c r="QQ439" s="48"/>
      <c r="QR439" s="48"/>
      <c r="QS439" s="48"/>
      <c r="QT439" s="48"/>
      <c r="QU439" s="48"/>
      <c r="QV439" s="48"/>
      <c r="QW439" s="48"/>
      <c r="QX439" s="48"/>
      <c r="QY439" s="48"/>
      <c r="QZ439" s="48"/>
      <c r="RA439" s="48"/>
      <c r="RB439" s="48"/>
      <c r="RC439" s="48"/>
      <c r="RD439" s="48"/>
      <c r="RE439" s="48"/>
      <c r="RF439" s="48"/>
      <c r="RG439" s="48"/>
      <c r="RH439" s="48"/>
      <c r="RI439" s="48"/>
      <c r="RJ439" s="48"/>
      <c r="RK439" s="48"/>
      <c r="RL439" s="48"/>
      <c r="RM439" s="48"/>
      <c r="RN439" s="48"/>
      <c r="RO439" s="48"/>
      <c r="RP439" s="48"/>
      <c r="RQ439" s="48"/>
      <c r="RR439" s="48"/>
      <c r="RS439" s="48"/>
      <c r="RT439" s="48"/>
      <c r="RU439" s="48"/>
      <c r="RV439" s="48"/>
      <c r="RW439" s="48"/>
      <c r="RX439" s="48"/>
      <c r="RY439" s="48"/>
      <c r="RZ439" s="48"/>
      <c r="SA439" s="48"/>
      <c r="SB439" s="48"/>
      <c r="SC439" s="48"/>
      <c r="SD439" s="48"/>
      <c r="SE439" s="48"/>
      <c r="SF439" s="48"/>
      <c r="SG439" s="48"/>
      <c r="SH439" s="48"/>
      <c r="SI439" s="48"/>
      <c r="SJ439" s="48"/>
      <c r="SK439" s="48"/>
      <c r="SL439" s="48"/>
      <c r="SM439" s="48"/>
      <c r="SN439" s="48"/>
      <c r="SO439" s="48"/>
      <c r="SP439" s="48"/>
      <c r="SQ439" s="48"/>
      <c r="SR439" s="48"/>
      <c r="SS439" s="48"/>
      <c r="ST439" s="48"/>
      <c r="SU439" s="48"/>
      <c r="SV439" s="48"/>
      <c r="SW439" s="48"/>
      <c r="SX439" s="48"/>
      <c r="SY439" s="48"/>
      <c r="SZ439" s="48"/>
      <c r="TA439" s="48"/>
      <c r="TB439" s="48"/>
      <c r="TC439" s="48"/>
      <c r="TD439" s="48"/>
      <c r="TE439" s="48"/>
      <c r="TF439" s="48"/>
      <c r="TG439" s="48"/>
      <c r="TH439" s="48"/>
      <c r="TI439" s="48"/>
      <c r="TJ439" s="48"/>
      <c r="TK439" s="48"/>
      <c r="TL439" s="48"/>
      <c r="TM439" s="48"/>
      <c r="TN439" s="48"/>
      <c r="TO439" s="48"/>
      <c r="TP439" s="48"/>
      <c r="TQ439" s="48"/>
      <c r="TR439" s="48"/>
      <c r="TS439" s="48"/>
      <c r="TT439" s="48"/>
      <c r="TU439" s="48"/>
      <c r="TV439" s="48"/>
      <c r="TW439" s="48"/>
      <c r="TX439" s="48"/>
      <c r="TY439" s="48"/>
      <c r="TZ439" s="48"/>
      <c r="UA439" s="48"/>
      <c r="UB439" s="48"/>
      <c r="UC439" s="48"/>
      <c r="UD439" s="48"/>
      <c r="UE439" s="48"/>
      <c r="UF439" s="48"/>
      <c r="UG439" s="48"/>
      <c r="UH439" s="48"/>
      <c r="UI439" s="48"/>
      <c r="UJ439" s="48"/>
      <c r="UK439" s="48"/>
      <c r="UL439" s="48"/>
      <c r="UM439" s="48"/>
      <c r="UN439" s="48"/>
      <c r="UO439" s="48"/>
      <c r="UP439" s="48"/>
      <c r="UQ439" s="48"/>
      <c r="UR439" s="48"/>
      <c r="US439" s="48"/>
      <c r="UT439" s="48"/>
      <c r="UU439" s="48"/>
      <c r="UV439" s="48"/>
      <c r="UW439" s="48"/>
      <c r="UX439" s="48"/>
      <c r="UY439" s="48"/>
      <c r="UZ439" s="48"/>
      <c r="VA439" s="48"/>
      <c r="VB439" s="48"/>
      <c r="VC439" s="48"/>
      <c r="VD439" s="48"/>
      <c r="VE439" s="48"/>
      <c r="VF439" s="48"/>
      <c r="VG439" s="48"/>
      <c r="VH439" s="48"/>
      <c r="VI439" s="48"/>
      <c r="VJ439" s="48"/>
      <c r="VK439" s="48"/>
      <c r="VL439" s="48"/>
      <c r="VM439" s="48"/>
      <c r="VN439" s="48"/>
      <c r="VO439" s="48"/>
      <c r="VP439" s="48"/>
      <c r="VQ439" s="48"/>
      <c r="VR439" s="48"/>
      <c r="VS439" s="48"/>
      <c r="VT439" s="48"/>
      <c r="VU439" s="48"/>
      <c r="VV439" s="48"/>
      <c r="VW439" s="48"/>
      <c r="VX439" s="48"/>
      <c r="VY439" s="48"/>
      <c r="VZ439" s="48"/>
      <c r="WA439" s="48"/>
      <c r="WB439" s="48"/>
      <c r="WC439" s="48"/>
      <c r="WD439" s="48"/>
      <c r="WE439" s="48"/>
      <c r="WF439" s="48"/>
      <c r="WG439" s="48"/>
      <c r="WH439" s="48"/>
      <c r="WI439" s="48"/>
      <c r="WJ439" s="48"/>
      <c r="WK439" s="48"/>
      <c r="WL439" s="48"/>
      <c r="WM439" s="48"/>
      <c r="WN439" s="48"/>
      <c r="WO439" s="48"/>
      <c r="WP439" s="48"/>
      <c r="WQ439" s="48"/>
      <c r="WR439" s="48"/>
      <c r="WS439" s="48"/>
      <c r="WT439" s="48"/>
      <c r="WU439" s="48"/>
      <c r="WV439" s="48"/>
      <c r="WW439" s="48"/>
      <c r="WX439" s="48"/>
      <c r="WY439" s="48"/>
      <c r="WZ439" s="48"/>
      <c r="XA439" s="48"/>
      <c r="XB439" s="48"/>
      <c r="XC439" s="48"/>
      <c r="XD439" s="48"/>
      <c r="XE439" s="48"/>
      <c r="XF439" s="48"/>
      <c r="XG439" s="48"/>
      <c r="XH439" s="48"/>
      <c r="XI439" s="48"/>
      <c r="XJ439" s="48"/>
      <c r="XK439" s="48"/>
      <c r="XL439" s="48"/>
      <c r="XM439" s="48"/>
      <c r="XN439" s="48"/>
      <c r="XO439" s="48"/>
      <c r="XP439" s="48"/>
      <c r="XQ439" s="48"/>
      <c r="XR439" s="48"/>
      <c r="XS439" s="48"/>
      <c r="XT439" s="48"/>
      <c r="XU439" s="48"/>
      <c r="XV439" s="48"/>
      <c r="XW439" s="48"/>
      <c r="XX439" s="48"/>
      <c r="XY439" s="48"/>
      <c r="XZ439" s="48"/>
      <c r="YA439" s="48"/>
      <c r="YB439" s="48"/>
      <c r="YC439" s="48"/>
      <c r="YD439" s="48"/>
      <c r="YE439" s="48"/>
      <c r="YF439" s="48"/>
      <c r="YG439" s="48"/>
      <c r="YH439" s="48"/>
      <c r="YI439" s="48"/>
      <c r="YJ439" s="48"/>
      <c r="YK439" s="48"/>
      <c r="YL439" s="48"/>
      <c r="YM439" s="48"/>
      <c r="YN439" s="48"/>
      <c r="YO439" s="48"/>
      <c r="YP439" s="48"/>
      <c r="YQ439" s="48"/>
      <c r="YR439" s="48"/>
      <c r="YS439" s="48"/>
      <c r="YT439" s="48"/>
      <c r="YU439" s="48"/>
      <c r="YV439" s="48"/>
      <c r="YW439" s="48"/>
      <c r="YX439" s="48"/>
      <c r="YY439" s="48"/>
      <c r="YZ439" s="48"/>
      <c r="ZA439" s="48"/>
      <c r="ZB439" s="48"/>
      <c r="ZC439" s="48"/>
      <c r="ZD439" s="48"/>
      <c r="ZE439" s="48"/>
      <c r="ZF439" s="48"/>
      <c r="ZG439" s="48"/>
      <c r="ZH439" s="48"/>
      <c r="ZI439" s="48"/>
      <c r="ZJ439" s="48"/>
      <c r="ZK439" s="48"/>
      <c r="ZL439" s="48"/>
      <c r="ZM439" s="48"/>
      <c r="ZN439" s="48"/>
      <c r="ZO439" s="48"/>
      <c r="ZP439" s="48"/>
      <c r="ZQ439" s="48"/>
      <c r="ZR439" s="48"/>
      <c r="ZS439" s="48"/>
      <c r="ZT439" s="48"/>
      <c r="ZU439" s="48"/>
      <c r="ZV439" s="48"/>
      <c r="ZW439" s="48"/>
      <c r="ZX439" s="48"/>
      <c r="ZY439" s="619"/>
      <c r="ZZ439" s="119"/>
      <c r="AAA439" s="588"/>
      <c r="AAB439"/>
      <c r="AAC439"/>
      <c r="AAD439" s="112"/>
      <c r="AAE439" s="551" t="s">
        <v>27</v>
      </c>
      <c r="AAF439" s="583" t="s">
        <v>174</v>
      </c>
      <c r="AAG439" s="77"/>
      <c r="AAH439" s="77"/>
      <c r="AAI439" s="77"/>
      <c r="AAJ439" s="90"/>
      <c r="AAK439" s="90"/>
      <c r="AAL439" s="76"/>
      <c r="AAM439" s="112"/>
      <c r="AAU439" s="44"/>
    </row>
    <row r="440" spans="1:732" s="23" customFormat="1" ht="18" customHeight="1">
      <c r="A440" s="558"/>
      <c r="B440" s="301" t="s">
        <v>15</v>
      </c>
      <c r="C440" s="703"/>
      <c r="D440" s="150" t="s">
        <v>241</v>
      </c>
      <c r="E440" s="151" t="s">
        <v>15</v>
      </c>
      <c r="F440" s="487" t="s">
        <v>2</v>
      </c>
      <c r="G440" s="152" t="s">
        <v>85</v>
      </c>
      <c r="H440" s="152" t="s">
        <v>86</v>
      </c>
      <c r="I440" s="627"/>
      <c r="J440" s="593"/>
      <c r="K440" s="48"/>
      <c r="L440" s="48"/>
      <c r="M440" s="48"/>
      <c r="N440" s="48"/>
      <c r="O440" s="48"/>
      <c r="P440" s="48"/>
      <c r="Q440" s="48"/>
      <c r="R440" s="48"/>
      <c r="S440" s="48"/>
      <c r="T440" s="48"/>
      <c r="U440" s="48"/>
      <c r="V440" s="48"/>
      <c r="W440" s="48"/>
      <c r="X440" s="48"/>
      <c r="Y440" s="48"/>
      <c r="Z440" s="48"/>
      <c r="AA440" s="48"/>
      <c r="AB440" s="48"/>
      <c r="AC440" s="48"/>
      <c r="AD440" s="48"/>
      <c r="AE440" s="48"/>
      <c r="AF440" s="48"/>
      <c r="AG440" s="48"/>
      <c r="AH440" s="48"/>
      <c r="AI440" s="48"/>
      <c r="AJ440" s="48"/>
      <c r="AK440" s="48"/>
      <c r="AL440" s="48"/>
      <c r="AM440" s="48"/>
      <c r="AN440" s="48"/>
      <c r="AO440" s="48"/>
      <c r="AP440" s="48"/>
      <c r="AQ440" s="48"/>
      <c r="AR440" s="48"/>
      <c r="AS440" s="48"/>
      <c r="AT440" s="48"/>
      <c r="AU440" s="48"/>
      <c r="AV440" s="48"/>
      <c r="AW440" s="48"/>
      <c r="AX440" s="48"/>
      <c r="AY440" s="48"/>
      <c r="AZ440" s="48"/>
      <c r="BA440" s="48"/>
      <c r="BB440" s="48"/>
      <c r="BC440" s="48"/>
      <c r="BD440" s="48"/>
      <c r="BE440" s="48"/>
      <c r="BF440" s="48"/>
      <c r="BG440" s="48"/>
      <c r="BH440" s="48"/>
      <c r="BI440" s="48"/>
      <c r="BJ440" s="48"/>
      <c r="BK440" s="48"/>
      <c r="BL440" s="48"/>
      <c r="BM440" s="48"/>
      <c r="BN440" s="48"/>
      <c r="BO440" s="48"/>
      <c r="BP440" s="48"/>
      <c r="BQ440" s="48"/>
      <c r="BR440" s="48"/>
      <c r="BS440" s="48"/>
      <c r="BT440" s="48"/>
      <c r="BU440" s="48"/>
      <c r="BV440" s="48"/>
      <c r="BW440" s="48"/>
      <c r="BX440" s="48"/>
      <c r="BY440" s="48"/>
      <c r="BZ440" s="48"/>
      <c r="CA440" s="48"/>
      <c r="CB440" s="48"/>
      <c r="CC440" s="48"/>
      <c r="CD440" s="48"/>
      <c r="CE440" s="48"/>
      <c r="CF440" s="48"/>
      <c r="CG440" s="48"/>
      <c r="CH440" s="48"/>
      <c r="CI440" s="48"/>
      <c r="CJ440" s="48"/>
      <c r="CK440" s="48"/>
      <c r="CL440" s="48"/>
      <c r="CM440" s="48"/>
      <c r="CN440" s="48"/>
      <c r="CO440" s="48"/>
      <c r="CP440" s="48"/>
      <c r="CQ440" s="48"/>
      <c r="CR440" s="48"/>
      <c r="CS440" s="48"/>
      <c r="CT440" s="48"/>
      <c r="CU440" s="48"/>
      <c r="CV440" s="48"/>
      <c r="CW440" s="48"/>
      <c r="CX440" s="48"/>
      <c r="CY440" s="48"/>
      <c r="CZ440" s="48"/>
      <c r="DA440" s="48"/>
      <c r="DB440" s="48"/>
      <c r="DC440" s="48"/>
      <c r="DD440" s="48"/>
      <c r="DE440" s="48"/>
      <c r="DF440" s="48"/>
      <c r="DG440" s="48"/>
      <c r="DH440" s="48"/>
      <c r="DI440" s="48"/>
      <c r="DJ440" s="48"/>
      <c r="DK440" s="48"/>
      <c r="DL440" s="48"/>
      <c r="DM440" s="48"/>
      <c r="DN440" s="48"/>
      <c r="DO440" s="48"/>
      <c r="DP440" s="48"/>
      <c r="DQ440" s="48"/>
      <c r="DR440" s="48"/>
      <c r="DS440" s="48"/>
      <c r="DT440" s="48"/>
      <c r="DU440" s="48"/>
      <c r="DV440" s="48"/>
      <c r="DW440" s="48"/>
      <c r="DX440" s="48"/>
      <c r="DY440" s="48"/>
      <c r="DZ440" s="48"/>
      <c r="EA440" s="48"/>
      <c r="EB440" s="48"/>
      <c r="EC440" s="48"/>
      <c r="ED440" s="48"/>
      <c r="EE440" s="48"/>
      <c r="EF440" s="48"/>
      <c r="EG440" s="48"/>
      <c r="EH440" s="48"/>
      <c r="EI440" s="48"/>
      <c r="EJ440" s="48"/>
      <c r="EK440" s="48"/>
      <c r="EL440" s="48"/>
      <c r="EM440" s="48"/>
      <c r="EN440" s="48"/>
      <c r="EO440" s="48"/>
      <c r="EP440" s="48"/>
      <c r="EQ440" s="48"/>
      <c r="ER440" s="48"/>
      <c r="ES440" s="48"/>
      <c r="ET440" s="48"/>
      <c r="EU440" s="48"/>
      <c r="EV440" s="48"/>
      <c r="EW440" s="48"/>
      <c r="EX440" s="48"/>
      <c r="EY440" s="48"/>
      <c r="EZ440" s="48"/>
      <c r="FA440" s="48"/>
      <c r="FB440" s="48"/>
      <c r="FC440" s="48"/>
      <c r="FD440" s="48"/>
      <c r="FE440" s="48"/>
      <c r="FF440" s="48"/>
      <c r="FG440" s="48"/>
      <c r="FH440" s="48"/>
      <c r="FI440" s="48"/>
      <c r="FJ440" s="48"/>
      <c r="FK440" s="48"/>
      <c r="FL440" s="48"/>
      <c r="FM440" s="48"/>
      <c r="FN440" s="48"/>
      <c r="FO440" s="48"/>
      <c r="FP440" s="48"/>
      <c r="FQ440" s="48"/>
      <c r="FR440" s="48"/>
      <c r="FS440" s="48"/>
      <c r="FT440" s="48"/>
      <c r="FU440" s="48"/>
      <c r="FV440" s="48"/>
      <c r="FW440" s="48"/>
      <c r="FX440" s="48"/>
      <c r="FY440" s="48"/>
      <c r="FZ440" s="48"/>
      <c r="GA440" s="48"/>
      <c r="GB440" s="48"/>
      <c r="GC440" s="48"/>
      <c r="GD440" s="48"/>
      <c r="GE440" s="48"/>
      <c r="GF440" s="48"/>
      <c r="GG440" s="48"/>
      <c r="GH440" s="48"/>
      <c r="GI440" s="48"/>
      <c r="GJ440" s="48"/>
      <c r="GK440" s="48"/>
      <c r="GL440" s="48"/>
      <c r="GM440" s="48"/>
      <c r="GN440" s="48"/>
      <c r="GO440" s="48"/>
      <c r="GP440" s="48"/>
      <c r="GQ440" s="48"/>
      <c r="GR440" s="48"/>
      <c r="GS440" s="48"/>
      <c r="GT440" s="48"/>
      <c r="GU440" s="48"/>
      <c r="GV440" s="48"/>
      <c r="GW440" s="48"/>
      <c r="GX440" s="48"/>
      <c r="GY440" s="48"/>
      <c r="GZ440" s="48"/>
      <c r="HA440" s="48"/>
      <c r="HB440" s="48"/>
      <c r="HC440" s="48"/>
      <c r="HD440" s="48"/>
      <c r="HE440" s="48"/>
      <c r="HF440" s="48"/>
      <c r="HG440" s="48"/>
      <c r="HH440" s="48"/>
      <c r="HI440" s="48"/>
      <c r="HJ440" s="48"/>
      <c r="HK440" s="48"/>
      <c r="HL440" s="48"/>
      <c r="HM440" s="48"/>
      <c r="HN440" s="48"/>
      <c r="HO440" s="48"/>
      <c r="HP440" s="48"/>
      <c r="HQ440" s="48"/>
      <c r="HR440" s="48"/>
      <c r="HS440" s="48"/>
      <c r="HT440" s="48"/>
      <c r="HU440" s="48"/>
      <c r="HV440" s="48"/>
      <c r="HW440" s="48"/>
      <c r="HX440" s="48"/>
      <c r="HY440" s="48"/>
      <c r="HZ440" s="48"/>
      <c r="IA440" s="48"/>
      <c r="IB440" s="48"/>
      <c r="IC440" s="48"/>
      <c r="ID440" s="48"/>
      <c r="IE440" s="48"/>
      <c r="IF440" s="48"/>
      <c r="IG440" s="48"/>
      <c r="IH440" s="48"/>
      <c r="II440" s="48"/>
      <c r="IJ440" s="48"/>
      <c r="IK440" s="48"/>
      <c r="IL440" s="48"/>
      <c r="IM440" s="48"/>
      <c r="IN440" s="48"/>
      <c r="IO440" s="48"/>
      <c r="IP440" s="48"/>
      <c r="IQ440" s="48"/>
      <c r="IR440" s="48"/>
      <c r="IS440" s="48"/>
      <c r="IT440" s="48"/>
      <c r="IU440" s="48"/>
      <c r="IV440" s="48"/>
      <c r="IW440" s="48"/>
      <c r="IX440" s="48"/>
      <c r="IY440" s="48"/>
      <c r="IZ440" s="48"/>
      <c r="JA440" s="48"/>
      <c r="JB440" s="48"/>
      <c r="JC440" s="48"/>
      <c r="JD440" s="48"/>
      <c r="JE440" s="48"/>
      <c r="JF440" s="48"/>
      <c r="JG440" s="48"/>
      <c r="JH440" s="48"/>
      <c r="JI440" s="48"/>
      <c r="JJ440" s="48"/>
      <c r="JK440" s="48"/>
      <c r="JL440" s="48"/>
      <c r="JM440" s="48"/>
      <c r="JN440" s="48"/>
      <c r="JO440" s="48"/>
      <c r="JP440" s="48"/>
      <c r="JQ440" s="48"/>
      <c r="JR440" s="48"/>
      <c r="JS440" s="48"/>
      <c r="JT440" s="48"/>
      <c r="JU440" s="48"/>
      <c r="JV440" s="48"/>
      <c r="JW440" s="48"/>
      <c r="JX440" s="48"/>
      <c r="JY440" s="48"/>
      <c r="JZ440" s="48"/>
      <c r="KA440" s="48"/>
      <c r="KB440" s="48"/>
      <c r="KC440" s="48"/>
      <c r="KD440" s="48"/>
      <c r="KE440" s="48"/>
      <c r="KF440" s="48"/>
      <c r="KG440" s="48"/>
      <c r="KH440" s="48"/>
      <c r="KI440" s="48"/>
      <c r="KJ440" s="48"/>
      <c r="KK440" s="48"/>
      <c r="KL440" s="48"/>
      <c r="KM440" s="48"/>
      <c r="KN440" s="48"/>
      <c r="KO440" s="48"/>
      <c r="KP440" s="48"/>
      <c r="KQ440" s="48"/>
      <c r="KR440" s="48"/>
      <c r="KS440" s="48"/>
      <c r="KT440" s="48"/>
      <c r="KU440" s="48"/>
      <c r="KV440" s="48"/>
      <c r="KW440" s="48"/>
      <c r="KX440" s="48"/>
      <c r="KY440" s="48"/>
      <c r="KZ440" s="48"/>
      <c r="LA440" s="48"/>
      <c r="LB440" s="48"/>
      <c r="LC440" s="48"/>
      <c r="LD440" s="48"/>
      <c r="LE440" s="48"/>
      <c r="LF440" s="48"/>
      <c r="LG440" s="48"/>
      <c r="LH440" s="48"/>
      <c r="LI440" s="48"/>
      <c r="LJ440" s="48"/>
      <c r="LK440" s="48"/>
      <c r="LL440" s="48"/>
      <c r="LM440" s="48"/>
      <c r="LN440" s="48"/>
      <c r="LO440" s="48"/>
      <c r="LP440" s="48"/>
      <c r="LQ440" s="48"/>
      <c r="LR440" s="48"/>
      <c r="LS440" s="48"/>
      <c r="LT440" s="48"/>
      <c r="LU440" s="48"/>
      <c r="LV440" s="48"/>
      <c r="LW440" s="48"/>
      <c r="LX440" s="48"/>
      <c r="LY440" s="48"/>
      <c r="LZ440" s="48"/>
      <c r="MA440" s="48"/>
      <c r="MB440" s="48"/>
      <c r="MC440" s="48"/>
      <c r="MD440" s="48"/>
      <c r="ME440" s="48"/>
      <c r="MF440" s="48"/>
      <c r="MG440" s="48"/>
      <c r="MH440" s="48"/>
      <c r="MI440" s="48"/>
      <c r="MJ440" s="48"/>
      <c r="MK440" s="48"/>
      <c r="ML440" s="48"/>
      <c r="MM440" s="48"/>
      <c r="MN440" s="48"/>
      <c r="MO440" s="48"/>
      <c r="MP440" s="48"/>
      <c r="MQ440" s="48"/>
      <c r="MR440" s="48"/>
      <c r="MS440" s="48"/>
      <c r="MT440" s="48"/>
      <c r="MU440" s="48"/>
      <c r="MV440" s="48"/>
      <c r="MW440" s="48"/>
      <c r="MX440" s="48"/>
      <c r="MY440" s="48"/>
      <c r="MZ440" s="48"/>
      <c r="NA440" s="48"/>
      <c r="NB440" s="48"/>
      <c r="NC440" s="48"/>
      <c r="ND440" s="48"/>
      <c r="NE440" s="48"/>
      <c r="NF440" s="48"/>
      <c r="NG440" s="48"/>
      <c r="NH440" s="48"/>
      <c r="NI440" s="48"/>
      <c r="NJ440" s="48"/>
      <c r="NK440" s="48"/>
      <c r="NL440" s="48"/>
      <c r="NM440" s="48"/>
      <c r="NN440" s="48"/>
      <c r="NO440" s="48"/>
      <c r="NP440" s="48"/>
      <c r="NQ440" s="48"/>
      <c r="NR440" s="48"/>
      <c r="NS440" s="48"/>
      <c r="NT440" s="48"/>
      <c r="NU440" s="48"/>
      <c r="NV440" s="48"/>
      <c r="NW440" s="48"/>
      <c r="NX440" s="48"/>
      <c r="NY440" s="48"/>
      <c r="NZ440" s="48"/>
      <c r="OA440" s="48"/>
      <c r="OB440" s="48"/>
      <c r="OC440" s="48"/>
      <c r="OD440" s="48"/>
      <c r="OE440" s="48"/>
      <c r="OF440" s="48"/>
      <c r="OG440" s="48"/>
      <c r="OH440" s="48"/>
      <c r="OI440" s="48"/>
      <c r="OJ440" s="48"/>
      <c r="OK440" s="48"/>
      <c r="OL440" s="48"/>
      <c r="OM440" s="48"/>
      <c r="ON440" s="48"/>
      <c r="OO440" s="48"/>
      <c r="OP440" s="48"/>
      <c r="OQ440" s="48"/>
      <c r="OR440" s="48"/>
      <c r="OS440" s="48"/>
      <c r="OT440" s="48"/>
      <c r="OU440" s="48"/>
      <c r="OV440" s="48"/>
      <c r="OW440" s="48"/>
      <c r="OX440" s="48"/>
      <c r="OY440" s="48"/>
      <c r="OZ440" s="48"/>
      <c r="PA440" s="48"/>
      <c r="PB440" s="48"/>
      <c r="PC440" s="48"/>
      <c r="PD440" s="48"/>
      <c r="PE440" s="48"/>
      <c r="PF440" s="48"/>
      <c r="PG440" s="48"/>
      <c r="PH440" s="48"/>
      <c r="PI440" s="48"/>
      <c r="PJ440" s="48"/>
      <c r="PK440" s="48"/>
      <c r="PL440" s="48"/>
      <c r="PM440" s="48"/>
      <c r="PN440" s="48"/>
      <c r="PO440" s="48"/>
      <c r="PP440" s="48"/>
      <c r="PQ440" s="48"/>
      <c r="PR440" s="48"/>
      <c r="PS440" s="48"/>
      <c r="PT440" s="48"/>
      <c r="PU440" s="48"/>
      <c r="PV440" s="48"/>
      <c r="PW440" s="48"/>
      <c r="PX440" s="48"/>
      <c r="PY440" s="48"/>
      <c r="PZ440" s="48"/>
      <c r="QA440" s="48"/>
      <c r="QB440" s="48"/>
      <c r="QC440" s="48"/>
      <c r="QD440" s="48"/>
      <c r="QE440" s="48"/>
      <c r="QF440" s="48"/>
      <c r="QG440" s="48"/>
      <c r="QH440" s="48"/>
      <c r="QI440" s="48"/>
      <c r="QJ440" s="48"/>
      <c r="QK440" s="48"/>
      <c r="QL440" s="48"/>
      <c r="QM440" s="48"/>
      <c r="QN440" s="48"/>
      <c r="QO440" s="48"/>
      <c r="QP440" s="48"/>
      <c r="QQ440" s="48"/>
      <c r="QR440" s="48"/>
      <c r="QS440" s="48"/>
      <c r="QT440" s="48"/>
      <c r="QU440" s="48"/>
      <c r="QV440" s="48"/>
      <c r="QW440" s="48"/>
      <c r="QX440" s="48"/>
      <c r="QY440" s="48"/>
      <c r="QZ440" s="48"/>
      <c r="RA440" s="48"/>
      <c r="RB440" s="48"/>
      <c r="RC440" s="48"/>
      <c r="RD440" s="48"/>
      <c r="RE440" s="48"/>
      <c r="RF440" s="48"/>
      <c r="RG440" s="48"/>
      <c r="RH440" s="48"/>
      <c r="RI440" s="48"/>
      <c r="RJ440" s="48"/>
      <c r="RK440" s="48"/>
      <c r="RL440" s="48"/>
      <c r="RM440" s="48"/>
      <c r="RN440" s="48"/>
      <c r="RO440" s="48"/>
      <c r="RP440" s="48"/>
      <c r="RQ440" s="48"/>
      <c r="RR440" s="48"/>
      <c r="RS440" s="48"/>
      <c r="RT440" s="48"/>
      <c r="RU440" s="48"/>
      <c r="RV440" s="48"/>
      <c r="RW440" s="48"/>
      <c r="RX440" s="48"/>
      <c r="RY440" s="48"/>
      <c r="RZ440" s="48"/>
      <c r="SA440" s="48"/>
      <c r="SB440" s="48"/>
      <c r="SC440" s="48"/>
      <c r="SD440" s="48"/>
      <c r="SE440" s="48"/>
      <c r="SF440" s="48"/>
      <c r="SG440" s="48"/>
      <c r="SH440" s="48"/>
      <c r="SI440" s="48"/>
      <c r="SJ440" s="48"/>
      <c r="SK440" s="48"/>
      <c r="SL440" s="48"/>
      <c r="SM440" s="48"/>
      <c r="SN440" s="48"/>
      <c r="SO440" s="48"/>
      <c r="SP440" s="48"/>
      <c r="SQ440" s="48"/>
      <c r="SR440" s="48"/>
      <c r="SS440" s="48"/>
      <c r="ST440" s="48"/>
      <c r="SU440" s="48"/>
      <c r="SV440" s="48"/>
      <c r="SW440" s="48"/>
      <c r="SX440" s="48"/>
      <c r="SY440" s="48"/>
      <c r="SZ440" s="48"/>
      <c r="TA440" s="48"/>
      <c r="TB440" s="48"/>
      <c r="TC440" s="48"/>
      <c r="TD440" s="48"/>
      <c r="TE440" s="48"/>
      <c r="TF440" s="48"/>
      <c r="TG440" s="48"/>
      <c r="TH440" s="48"/>
      <c r="TI440" s="48"/>
      <c r="TJ440" s="48"/>
      <c r="TK440" s="48"/>
      <c r="TL440" s="48"/>
      <c r="TM440" s="48"/>
      <c r="TN440" s="48"/>
      <c r="TO440" s="48"/>
      <c r="TP440" s="48"/>
      <c r="TQ440" s="48"/>
      <c r="TR440" s="48"/>
      <c r="TS440" s="48"/>
      <c r="TT440" s="48"/>
      <c r="TU440" s="48"/>
      <c r="TV440" s="48"/>
      <c r="TW440" s="48"/>
      <c r="TX440" s="48"/>
      <c r="TY440" s="48"/>
      <c r="TZ440" s="48"/>
      <c r="UA440" s="48"/>
      <c r="UB440" s="48"/>
      <c r="UC440" s="48"/>
      <c r="UD440" s="48"/>
      <c r="UE440" s="48"/>
      <c r="UF440" s="48"/>
      <c r="UG440" s="48"/>
      <c r="UH440" s="48"/>
      <c r="UI440" s="48"/>
      <c r="UJ440" s="48"/>
      <c r="UK440" s="48"/>
      <c r="UL440" s="48"/>
      <c r="UM440" s="48"/>
      <c r="UN440" s="48"/>
      <c r="UO440" s="48"/>
      <c r="UP440" s="48"/>
      <c r="UQ440" s="48"/>
      <c r="UR440" s="48"/>
      <c r="US440" s="48"/>
      <c r="UT440" s="48"/>
      <c r="UU440" s="48"/>
      <c r="UV440" s="48"/>
      <c r="UW440" s="48"/>
      <c r="UX440" s="48"/>
      <c r="UY440" s="48"/>
      <c r="UZ440" s="48"/>
      <c r="VA440" s="48"/>
      <c r="VB440" s="48"/>
      <c r="VC440" s="48"/>
      <c r="VD440" s="48"/>
      <c r="VE440" s="48"/>
      <c r="VF440" s="48"/>
      <c r="VG440" s="48"/>
      <c r="VH440" s="48"/>
      <c r="VI440" s="48"/>
      <c r="VJ440" s="48"/>
      <c r="VK440" s="48"/>
      <c r="VL440" s="48"/>
      <c r="VM440" s="48"/>
      <c r="VN440" s="48"/>
      <c r="VO440" s="48"/>
      <c r="VP440" s="48"/>
      <c r="VQ440" s="48"/>
      <c r="VR440" s="48"/>
      <c r="VS440" s="48"/>
      <c r="VT440" s="48"/>
      <c r="VU440" s="48"/>
      <c r="VV440" s="48"/>
      <c r="VW440" s="48"/>
      <c r="VX440" s="48"/>
      <c r="VY440" s="48"/>
      <c r="VZ440" s="48"/>
      <c r="WA440" s="48"/>
      <c r="WB440" s="48"/>
      <c r="WC440" s="48"/>
      <c r="WD440" s="48"/>
      <c r="WE440" s="48"/>
      <c r="WF440" s="48"/>
      <c r="WG440" s="48"/>
      <c r="WH440" s="48"/>
      <c r="WI440" s="48"/>
      <c r="WJ440" s="48"/>
      <c r="WK440" s="48"/>
      <c r="WL440" s="48"/>
      <c r="WM440" s="48"/>
      <c r="WN440" s="48"/>
      <c r="WO440" s="48"/>
      <c r="WP440" s="48"/>
      <c r="WQ440" s="48"/>
      <c r="WR440" s="48"/>
      <c r="WS440" s="48"/>
      <c r="WT440" s="48"/>
      <c r="WU440" s="48"/>
      <c r="WV440" s="48"/>
      <c r="WW440" s="48"/>
      <c r="WX440" s="48"/>
      <c r="WY440" s="48"/>
      <c r="WZ440" s="48"/>
      <c r="XA440" s="48"/>
      <c r="XB440" s="48"/>
      <c r="XC440" s="48"/>
      <c r="XD440" s="48"/>
      <c r="XE440" s="48"/>
      <c r="XF440" s="48"/>
      <c r="XG440" s="48"/>
      <c r="XH440" s="48"/>
      <c r="XI440" s="48"/>
      <c r="XJ440" s="48"/>
      <c r="XK440" s="48"/>
      <c r="XL440" s="48"/>
      <c r="XM440" s="48"/>
      <c r="XN440" s="48"/>
      <c r="XO440" s="48"/>
      <c r="XP440" s="48"/>
      <c r="XQ440" s="48"/>
      <c r="XR440" s="48"/>
      <c r="XS440" s="48"/>
      <c r="XT440" s="48"/>
      <c r="XU440" s="48"/>
      <c r="XV440" s="48"/>
      <c r="XW440" s="48"/>
      <c r="XX440" s="48"/>
      <c r="XY440" s="48"/>
      <c r="XZ440" s="48"/>
      <c r="YA440" s="48"/>
      <c r="YB440" s="48"/>
      <c r="YC440" s="48"/>
      <c r="YD440" s="48"/>
      <c r="YE440" s="48"/>
      <c r="YF440" s="48"/>
      <c r="YG440" s="48"/>
      <c r="YH440" s="48"/>
      <c r="YI440" s="48"/>
      <c r="YJ440" s="48"/>
      <c r="YK440" s="48"/>
      <c r="YL440" s="48"/>
      <c r="YM440" s="48"/>
      <c r="YN440" s="48"/>
      <c r="YO440" s="48"/>
      <c r="YP440" s="48"/>
      <c r="YQ440" s="48"/>
      <c r="YR440" s="48"/>
      <c r="YS440" s="48"/>
      <c r="YT440" s="48"/>
      <c r="YU440" s="48"/>
      <c r="YV440" s="48"/>
      <c r="YW440" s="48"/>
      <c r="YX440" s="48"/>
      <c r="YY440" s="48"/>
      <c r="YZ440" s="48"/>
      <c r="ZA440" s="48"/>
      <c r="ZB440" s="48"/>
      <c r="ZC440" s="48"/>
      <c r="ZD440" s="48"/>
      <c r="ZE440" s="48"/>
      <c r="ZF440" s="48"/>
      <c r="ZG440" s="48"/>
      <c r="ZH440" s="48"/>
      <c r="ZI440" s="48"/>
      <c r="ZJ440" s="48"/>
      <c r="ZK440" s="48"/>
      <c r="ZL440" s="48"/>
      <c r="ZM440" s="48"/>
      <c r="ZN440" s="48"/>
      <c r="ZO440" s="48"/>
      <c r="ZP440" s="48"/>
      <c r="ZQ440" s="48"/>
      <c r="ZR440" s="48"/>
      <c r="ZS440" s="48"/>
      <c r="ZT440" s="48"/>
      <c r="ZU440" s="48"/>
      <c r="ZV440" s="48"/>
      <c r="ZW440" s="48"/>
      <c r="ZX440" s="48"/>
      <c r="ZY440" s="619"/>
      <c r="ZZ440" s="119"/>
      <c r="AAA440" s="588"/>
      <c r="AAB440"/>
      <c r="AAC440"/>
      <c r="AAD440" s="112"/>
      <c r="AAE440" s="551" t="s">
        <v>245</v>
      </c>
      <c r="AAF440" s="583" t="s">
        <v>174</v>
      </c>
      <c r="AAG440" s="77"/>
      <c r="AAH440" s="77"/>
      <c r="AAI440" s="77"/>
      <c r="AAJ440" s="90"/>
      <c r="AAK440" s="90"/>
      <c r="AAL440" s="76"/>
      <c r="AAM440" s="112"/>
      <c r="AAU440" s="44"/>
    </row>
    <row r="441" spans="1:732" ht="18" customHeight="1">
      <c r="A441" s="558"/>
      <c r="B441" s="223"/>
      <c r="C441" s="224"/>
      <c r="D441" s="313" t="s">
        <v>0</v>
      </c>
      <c r="E441" s="293"/>
      <c r="F441" s="466">
        <f>NETWORKDAYS(S.BANNER.PostEQCStart,S.BANNER.PostEQCEnd,S.DDL_DEQClosed)</f>
        <v>1</v>
      </c>
      <c r="G441" s="314">
        <f>AAG441</f>
        <v>41676</v>
      </c>
      <c r="H441" s="274">
        <f>AAH441</f>
        <v>41778</v>
      </c>
      <c r="I441" s="627"/>
      <c r="J441" s="629"/>
      <c r="K441" s="635"/>
      <c r="L441" s="635"/>
      <c r="M441" s="635"/>
      <c r="N441" s="635"/>
      <c r="O441" s="635"/>
      <c r="P441" s="635"/>
      <c r="Q441" s="635"/>
      <c r="R441" s="635"/>
      <c r="S441" s="635"/>
      <c r="T441" s="635"/>
      <c r="U441" s="635"/>
      <c r="V441" s="635"/>
      <c r="W441" s="635"/>
      <c r="X441" s="635"/>
      <c r="Y441" s="635"/>
      <c r="Z441" s="635"/>
      <c r="AA441" s="635"/>
      <c r="AB441" s="635"/>
      <c r="AC441" s="635"/>
      <c r="AD441" s="635"/>
      <c r="AE441" s="635"/>
      <c r="AF441" s="635"/>
      <c r="AG441" s="635"/>
      <c r="AH441" s="635"/>
      <c r="AI441" s="635"/>
      <c r="AJ441" s="635"/>
      <c r="AK441" s="635"/>
      <c r="AL441" s="635"/>
      <c r="AM441" s="635"/>
      <c r="AN441" s="635"/>
      <c r="AO441" s="635"/>
      <c r="AP441" s="635"/>
      <c r="AQ441" s="635"/>
      <c r="AR441" s="635"/>
      <c r="AS441" s="635"/>
      <c r="AT441" s="635"/>
      <c r="AU441" s="635"/>
      <c r="AV441" s="635"/>
      <c r="AW441" s="635"/>
      <c r="AX441" s="635"/>
      <c r="AY441" s="635"/>
      <c r="AZ441" s="635"/>
      <c r="BA441" s="635"/>
      <c r="BB441" s="635"/>
      <c r="BC441" s="635"/>
      <c r="BD441" s="635"/>
      <c r="BE441" s="635"/>
      <c r="BF441" s="635"/>
      <c r="BG441" s="635"/>
      <c r="BH441" s="635"/>
      <c r="BI441" s="635"/>
      <c r="BJ441" s="635"/>
      <c r="BK441" s="635"/>
      <c r="BL441" s="635"/>
      <c r="BM441" s="635"/>
      <c r="BN441" s="635"/>
      <c r="BO441" s="635"/>
      <c r="BP441" s="635"/>
      <c r="BQ441" s="635"/>
      <c r="BR441" s="635"/>
      <c r="BS441" s="635"/>
      <c r="BT441" s="635"/>
      <c r="BU441" s="635"/>
      <c r="BV441" s="635"/>
      <c r="BW441" s="635"/>
      <c r="BX441" s="635"/>
      <c r="BY441" s="635"/>
      <c r="BZ441" s="635"/>
      <c r="CA441" s="635"/>
      <c r="CB441" s="635"/>
      <c r="CC441" s="635"/>
      <c r="CD441" s="635"/>
      <c r="CE441" s="635"/>
      <c r="CF441" s="635"/>
      <c r="CG441" s="635"/>
      <c r="CH441" s="635"/>
      <c r="CI441" s="635"/>
      <c r="CJ441" s="635"/>
      <c r="CK441" s="635"/>
      <c r="CL441" s="635"/>
      <c r="CM441" s="635"/>
      <c r="CN441" s="635"/>
      <c r="CO441" s="635"/>
      <c r="CP441" s="635"/>
      <c r="CQ441" s="635"/>
      <c r="CR441" s="635"/>
      <c r="CS441" s="635"/>
      <c r="CT441" s="635"/>
      <c r="CU441" s="635"/>
      <c r="CV441" s="635"/>
      <c r="CW441" s="635"/>
      <c r="CX441" s="635"/>
      <c r="CY441" s="635"/>
      <c r="CZ441" s="635"/>
      <c r="DA441" s="635"/>
      <c r="DB441" s="635"/>
      <c r="DC441" s="635"/>
      <c r="DD441" s="635"/>
      <c r="DE441" s="635"/>
      <c r="DF441" s="635"/>
      <c r="DG441" s="635"/>
      <c r="DH441" s="635"/>
      <c r="DI441" s="635"/>
      <c r="DJ441" s="635"/>
      <c r="DK441" s="635"/>
      <c r="DL441" s="635"/>
      <c r="DM441" s="635"/>
      <c r="DN441" s="635"/>
      <c r="DO441" s="635"/>
      <c r="DP441" s="635"/>
      <c r="DQ441" s="635"/>
      <c r="DR441" s="635"/>
      <c r="DS441" s="635"/>
      <c r="DT441" s="635"/>
      <c r="DU441" s="635"/>
      <c r="DV441" s="635"/>
      <c r="DW441" s="635"/>
      <c r="DX441" s="635"/>
      <c r="DY441" s="635"/>
      <c r="DZ441" s="635"/>
      <c r="EA441" s="635"/>
      <c r="EB441" s="635"/>
      <c r="EC441" s="635"/>
      <c r="ED441" s="635"/>
      <c r="EE441" s="635"/>
      <c r="EF441" s="635"/>
      <c r="EG441" s="635"/>
      <c r="EH441" s="635"/>
      <c r="EI441" s="635"/>
      <c r="EJ441" s="635"/>
      <c r="EK441" s="635"/>
      <c r="EL441" s="635"/>
      <c r="EM441" s="635"/>
      <c r="EN441" s="635"/>
      <c r="EO441" s="635"/>
      <c r="EP441" s="635"/>
      <c r="EQ441" s="635"/>
      <c r="ER441" s="635"/>
      <c r="ES441" s="635"/>
      <c r="ET441" s="635"/>
      <c r="EU441" s="635"/>
      <c r="EV441" s="635"/>
      <c r="EW441" s="635"/>
      <c r="EX441" s="635"/>
      <c r="EY441" s="635"/>
      <c r="EZ441" s="635"/>
      <c r="FA441" s="635"/>
      <c r="FB441" s="635"/>
      <c r="FC441" s="635"/>
      <c r="FD441" s="635"/>
      <c r="FE441" s="635"/>
      <c r="FF441" s="635"/>
      <c r="FG441" s="635"/>
      <c r="FH441" s="635"/>
      <c r="FI441" s="635"/>
      <c r="FJ441" s="635"/>
      <c r="FK441" s="635"/>
      <c r="FL441" s="635"/>
      <c r="FM441" s="635"/>
      <c r="FN441" s="635"/>
      <c r="FO441" s="635"/>
      <c r="FP441" s="635"/>
      <c r="FQ441" s="635"/>
      <c r="FR441" s="635"/>
      <c r="FS441" s="635"/>
      <c r="FT441" s="635"/>
      <c r="FU441" s="635"/>
      <c r="FV441" s="635"/>
      <c r="FW441" s="635"/>
      <c r="FX441" s="635"/>
      <c r="FY441" s="635"/>
      <c r="FZ441" s="635"/>
      <c r="GA441" s="635"/>
      <c r="GB441" s="635"/>
      <c r="GC441" s="635"/>
      <c r="GD441" s="635"/>
      <c r="GE441" s="635"/>
      <c r="GF441" s="635"/>
      <c r="GG441" s="635"/>
      <c r="GH441" s="635"/>
      <c r="GI441" s="635"/>
      <c r="GJ441" s="635"/>
      <c r="GK441" s="635"/>
      <c r="GL441" s="635"/>
      <c r="GM441" s="635"/>
      <c r="GN441" s="635"/>
      <c r="GO441" s="635"/>
      <c r="GP441" s="635"/>
      <c r="GQ441" s="635"/>
      <c r="GR441" s="635"/>
      <c r="GS441" s="635"/>
      <c r="GT441" s="635"/>
      <c r="GU441" s="635"/>
      <c r="GV441" s="635"/>
      <c r="GW441" s="635"/>
      <c r="GX441" s="635"/>
      <c r="GY441" s="635"/>
      <c r="GZ441" s="635"/>
      <c r="HA441" s="635"/>
      <c r="HB441" s="635"/>
      <c r="HC441" s="635"/>
      <c r="HD441" s="635"/>
      <c r="HE441" s="635"/>
      <c r="HF441" s="635"/>
      <c r="HG441" s="635"/>
      <c r="HH441" s="635"/>
      <c r="HI441" s="635"/>
      <c r="HJ441" s="635"/>
      <c r="HK441" s="635"/>
      <c r="HL441" s="635"/>
      <c r="HM441" s="635"/>
      <c r="HN441" s="635"/>
      <c r="HO441" s="635"/>
      <c r="HP441" s="635"/>
      <c r="HQ441" s="635"/>
      <c r="HR441" s="635"/>
      <c r="HS441" s="635"/>
      <c r="HT441" s="635"/>
      <c r="HU441" s="635"/>
      <c r="HV441" s="635"/>
      <c r="HW441" s="635"/>
      <c r="HX441" s="635"/>
      <c r="HY441" s="635"/>
      <c r="HZ441" s="635"/>
      <c r="IA441" s="635"/>
      <c r="IB441" s="635"/>
      <c r="IC441" s="635"/>
      <c r="ID441" s="635"/>
      <c r="IE441" s="635"/>
      <c r="IF441" s="635"/>
      <c r="IG441" s="635"/>
      <c r="IH441" s="635"/>
      <c r="II441" s="635"/>
      <c r="IJ441" s="635"/>
      <c r="IK441" s="635"/>
      <c r="IL441" s="635"/>
      <c r="IM441" s="635"/>
      <c r="IN441" s="635"/>
      <c r="IO441" s="635"/>
      <c r="IP441" s="635"/>
      <c r="IQ441" s="635"/>
      <c r="IR441" s="635"/>
      <c r="IS441" s="635"/>
      <c r="IT441" s="635"/>
      <c r="IU441" s="635"/>
      <c r="IV441" s="635"/>
      <c r="IW441" s="635"/>
      <c r="IX441" s="635"/>
      <c r="IY441" s="635"/>
      <c r="IZ441" s="635"/>
      <c r="JA441" s="635"/>
      <c r="JB441" s="635"/>
      <c r="JC441" s="635"/>
      <c r="JD441" s="635"/>
      <c r="JE441" s="635"/>
      <c r="JF441" s="635"/>
      <c r="JG441" s="635"/>
      <c r="JH441" s="635"/>
      <c r="JI441" s="635"/>
      <c r="JJ441" s="635"/>
      <c r="JK441" s="635"/>
      <c r="JL441" s="635"/>
      <c r="JM441" s="635"/>
      <c r="JN441" s="635"/>
      <c r="JO441" s="635"/>
      <c r="JP441" s="635"/>
      <c r="JQ441" s="635"/>
      <c r="JR441" s="635"/>
      <c r="JS441" s="635"/>
      <c r="JT441" s="635"/>
      <c r="JU441" s="635"/>
      <c r="JV441" s="635"/>
      <c r="JW441" s="635"/>
      <c r="JX441" s="635"/>
      <c r="JY441" s="635"/>
      <c r="JZ441" s="635"/>
      <c r="KA441" s="635"/>
      <c r="KB441" s="635"/>
      <c r="KC441" s="635"/>
      <c r="KD441" s="635"/>
      <c r="KE441" s="635"/>
      <c r="KF441" s="635"/>
      <c r="KG441" s="635"/>
      <c r="KH441" s="635"/>
      <c r="KI441" s="635"/>
      <c r="KJ441" s="635"/>
      <c r="KK441" s="635"/>
      <c r="KL441" s="635"/>
      <c r="KM441" s="635"/>
      <c r="KN441" s="635"/>
      <c r="KO441" s="635"/>
      <c r="KP441" s="635"/>
      <c r="KQ441" s="635"/>
      <c r="KR441" s="635"/>
      <c r="KS441" s="635"/>
      <c r="KT441" s="635"/>
      <c r="KU441" s="635"/>
      <c r="KV441" s="635"/>
      <c r="KW441" s="635"/>
      <c r="KX441" s="635"/>
      <c r="KY441" s="635"/>
      <c r="KZ441" s="635"/>
      <c r="LA441" s="635"/>
      <c r="LB441" s="635"/>
      <c r="LC441" s="635"/>
      <c r="LD441" s="635"/>
      <c r="LE441" s="635"/>
      <c r="LF441" s="635"/>
      <c r="LG441" s="635"/>
      <c r="LH441" s="635"/>
      <c r="LI441" s="635"/>
      <c r="LJ441" s="635"/>
      <c r="LK441" s="635"/>
      <c r="LL441" s="635"/>
      <c r="LM441" s="635"/>
      <c r="LN441" s="635"/>
      <c r="LO441" s="635"/>
      <c r="LP441" s="635"/>
      <c r="LQ441" s="635"/>
      <c r="LR441" s="635"/>
      <c r="LS441" s="635"/>
      <c r="LT441" s="635"/>
      <c r="LU441" s="635"/>
      <c r="LV441" s="635"/>
      <c r="LW441" s="635"/>
      <c r="LX441" s="635"/>
      <c r="LY441" s="635"/>
      <c r="LZ441" s="635"/>
      <c r="MA441" s="635"/>
      <c r="MB441" s="635"/>
      <c r="MC441" s="635"/>
      <c r="MD441" s="635"/>
      <c r="ME441" s="635"/>
      <c r="MF441" s="635"/>
      <c r="MG441" s="635"/>
      <c r="MH441" s="635"/>
      <c r="MI441" s="635"/>
      <c r="MJ441" s="635"/>
      <c r="MK441" s="635"/>
      <c r="ML441" s="635"/>
      <c r="MM441" s="635"/>
      <c r="MN441" s="635"/>
      <c r="MO441" s="635"/>
      <c r="MP441" s="635"/>
      <c r="MQ441" s="635"/>
      <c r="MR441" s="635"/>
      <c r="MS441" s="635"/>
      <c r="MT441" s="635"/>
      <c r="MU441" s="635"/>
      <c r="MV441" s="635"/>
      <c r="MW441" s="635"/>
      <c r="MX441" s="635"/>
      <c r="MY441" s="635"/>
      <c r="MZ441" s="635"/>
      <c r="NA441" s="635"/>
      <c r="NB441" s="635"/>
      <c r="NC441" s="635"/>
      <c r="ND441" s="635"/>
      <c r="NE441" s="635"/>
      <c r="NF441" s="635"/>
      <c r="NG441" s="635"/>
      <c r="NH441" s="635"/>
      <c r="NI441" s="635"/>
      <c r="NJ441" s="635"/>
      <c r="NK441" s="635"/>
      <c r="NL441" s="635"/>
      <c r="NM441" s="635"/>
      <c r="NN441" s="635"/>
      <c r="NO441" s="635"/>
      <c r="NP441" s="635"/>
      <c r="NQ441" s="635"/>
      <c r="NR441" s="635"/>
      <c r="NS441" s="635"/>
      <c r="NT441" s="635"/>
      <c r="NU441" s="635"/>
      <c r="NV441" s="635"/>
      <c r="NW441" s="635"/>
      <c r="NX441" s="635"/>
      <c r="NY441" s="635"/>
      <c r="NZ441" s="635"/>
      <c r="OA441" s="635"/>
      <c r="OB441" s="635"/>
      <c r="OC441" s="635"/>
      <c r="OD441" s="635"/>
      <c r="OE441" s="635"/>
      <c r="OF441" s="635"/>
      <c r="OG441" s="635"/>
      <c r="OH441" s="635"/>
      <c r="OI441" s="635"/>
      <c r="OJ441" s="635"/>
      <c r="OK441" s="635"/>
      <c r="OL441" s="635"/>
      <c r="OM441" s="635"/>
      <c r="ON441" s="635"/>
      <c r="OO441" s="635"/>
      <c r="OP441" s="635"/>
      <c r="OQ441" s="635"/>
      <c r="OR441" s="635"/>
      <c r="OS441" s="635"/>
      <c r="OT441" s="635"/>
      <c r="OU441" s="635"/>
      <c r="OV441" s="635"/>
      <c r="OW441" s="635"/>
      <c r="OX441" s="635"/>
      <c r="OY441" s="635"/>
      <c r="OZ441" s="635"/>
      <c r="PA441" s="635"/>
      <c r="PB441" s="635"/>
      <c r="PC441" s="635"/>
      <c r="PD441" s="635"/>
      <c r="PE441" s="635"/>
      <c r="PF441" s="635"/>
      <c r="PG441" s="635"/>
      <c r="PH441" s="635"/>
      <c r="PI441" s="635"/>
      <c r="PJ441" s="635"/>
      <c r="PK441" s="635"/>
      <c r="PL441" s="635"/>
      <c r="PM441" s="635"/>
      <c r="PN441" s="635"/>
      <c r="PO441" s="635"/>
      <c r="PP441" s="635"/>
      <c r="PQ441" s="635"/>
      <c r="PR441" s="635"/>
      <c r="PS441" s="635"/>
      <c r="PT441" s="635"/>
      <c r="PU441" s="635"/>
      <c r="PV441" s="635"/>
      <c r="PW441" s="635"/>
      <c r="PX441" s="635"/>
      <c r="PY441" s="635"/>
      <c r="PZ441" s="635"/>
      <c r="QA441" s="635"/>
      <c r="QB441" s="635"/>
      <c r="QC441" s="635"/>
      <c r="QD441" s="635"/>
      <c r="QE441" s="635"/>
      <c r="QF441" s="635"/>
      <c r="QG441" s="635"/>
      <c r="QH441" s="635"/>
      <c r="QI441" s="635"/>
      <c r="QJ441" s="635"/>
      <c r="QK441" s="635"/>
      <c r="QL441" s="635"/>
      <c r="QM441" s="635"/>
      <c r="QN441" s="635"/>
      <c r="QO441" s="635"/>
      <c r="QP441" s="635"/>
      <c r="QQ441" s="635"/>
      <c r="QR441" s="635"/>
      <c r="QS441" s="635"/>
      <c r="QT441" s="635"/>
      <c r="QU441" s="635"/>
      <c r="QV441" s="635"/>
      <c r="QW441" s="635"/>
      <c r="QX441" s="635"/>
      <c r="QY441" s="635"/>
      <c r="QZ441" s="635"/>
      <c r="RA441" s="635"/>
      <c r="RB441" s="635"/>
      <c r="RC441" s="635"/>
      <c r="RD441" s="635"/>
      <c r="RE441" s="635"/>
      <c r="RF441" s="635"/>
      <c r="RG441" s="635"/>
      <c r="RH441" s="635"/>
      <c r="RI441" s="635"/>
      <c r="RJ441" s="635"/>
      <c r="RK441" s="635"/>
      <c r="RL441" s="635"/>
      <c r="RM441" s="635"/>
      <c r="RN441" s="635"/>
      <c r="RO441" s="635"/>
      <c r="RP441" s="635"/>
      <c r="RQ441" s="635"/>
      <c r="RR441" s="635"/>
      <c r="RS441" s="635"/>
      <c r="RT441" s="635"/>
      <c r="RU441" s="635"/>
      <c r="RV441" s="635"/>
      <c r="RW441" s="635"/>
      <c r="RX441" s="635"/>
      <c r="RY441" s="635"/>
      <c r="RZ441" s="635"/>
      <c r="SA441" s="635"/>
      <c r="SB441" s="635"/>
      <c r="SC441" s="635"/>
      <c r="SD441" s="635"/>
      <c r="SE441" s="635"/>
      <c r="SF441" s="635"/>
      <c r="SG441" s="635"/>
      <c r="SH441" s="635"/>
      <c r="SI441" s="635"/>
      <c r="SJ441" s="635"/>
      <c r="SK441" s="635"/>
      <c r="SL441" s="635"/>
      <c r="SM441" s="635"/>
      <c r="SN441" s="635"/>
      <c r="SO441" s="635"/>
      <c r="SP441" s="635"/>
      <c r="SQ441" s="635"/>
      <c r="SR441" s="635"/>
      <c r="SS441" s="635"/>
      <c r="ST441" s="635"/>
      <c r="SU441" s="635"/>
      <c r="SV441" s="635"/>
      <c r="SW441" s="635"/>
      <c r="SX441" s="635"/>
      <c r="SY441" s="635"/>
      <c r="SZ441" s="635"/>
      <c r="TA441" s="635"/>
      <c r="TB441" s="635"/>
      <c r="TC441" s="635"/>
      <c r="TD441" s="635"/>
      <c r="TE441" s="635"/>
      <c r="TF441" s="635"/>
      <c r="TG441" s="635"/>
      <c r="TH441" s="635"/>
      <c r="TI441" s="635"/>
      <c r="TJ441" s="635"/>
      <c r="TK441" s="635"/>
      <c r="TL441" s="635"/>
      <c r="TM441" s="635"/>
      <c r="TN441" s="635"/>
      <c r="TO441" s="635"/>
      <c r="TP441" s="635"/>
      <c r="TQ441" s="635"/>
      <c r="TR441" s="635"/>
      <c r="TS441" s="635"/>
      <c r="TT441" s="635"/>
      <c r="TU441" s="635"/>
      <c r="TV441" s="635"/>
      <c r="TW441" s="635"/>
      <c r="TX441" s="635"/>
      <c r="TY441" s="635"/>
      <c r="TZ441" s="635"/>
      <c r="UA441" s="635"/>
      <c r="UB441" s="635"/>
      <c r="UC441" s="635"/>
      <c r="UD441" s="635"/>
      <c r="UE441" s="635"/>
      <c r="UF441" s="635"/>
      <c r="UG441" s="635"/>
      <c r="UH441" s="635"/>
      <c r="UI441" s="635"/>
      <c r="UJ441" s="635"/>
      <c r="UK441" s="635"/>
      <c r="UL441" s="635"/>
      <c r="UM441" s="635"/>
      <c r="UN441" s="635"/>
      <c r="UO441" s="635"/>
      <c r="UP441" s="635"/>
      <c r="UQ441" s="635"/>
      <c r="UR441" s="635"/>
      <c r="US441" s="635"/>
      <c r="UT441" s="635"/>
      <c r="UU441" s="635"/>
      <c r="UV441" s="635"/>
      <c r="UW441" s="635"/>
      <c r="UX441" s="635"/>
      <c r="UY441" s="635"/>
      <c r="UZ441" s="635"/>
      <c r="VA441" s="635"/>
      <c r="VB441" s="635"/>
      <c r="VC441" s="635"/>
      <c r="VD441" s="635"/>
      <c r="VE441" s="635"/>
      <c r="VF441" s="635"/>
      <c r="VG441" s="635"/>
      <c r="VH441" s="635"/>
      <c r="VI441" s="635"/>
      <c r="VJ441" s="635"/>
      <c r="VK441" s="635"/>
      <c r="VL441" s="635"/>
      <c r="VM441" s="635"/>
      <c r="VN441" s="635"/>
      <c r="VO441" s="635"/>
      <c r="VP441" s="635"/>
      <c r="VQ441" s="635"/>
      <c r="VR441" s="635"/>
      <c r="VS441" s="635"/>
      <c r="VT441" s="635"/>
      <c r="VU441" s="635"/>
      <c r="VV441" s="635"/>
      <c r="VW441" s="635"/>
      <c r="VX441" s="635"/>
      <c r="VY441" s="635"/>
      <c r="VZ441" s="635"/>
      <c r="WA441" s="635"/>
      <c r="WB441" s="635"/>
      <c r="WC441" s="635"/>
      <c r="WD441" s="635"/>
      <c r="WE441" s="635"/>
      <c r="WF441" s="635"/>
      <c r="WG441" s="635"/>
      <c r="WH441" s="635"/>
      <c r="WI441" s="635"/>
      <c r="WJ441" s="635"/>
      <c r="WK441" s="635"/>
      <c r="WL441" s="635"/>
      <c r="WM441" s="635"/>
      <c r="WN441" s="635"/>
      <c r="WO441" s="635"/>
      <c r="WP441" s="635"/>
      <c r="WQ441" s="635"/>
      <c r="WR441" s="635"/>
      <c r="WS441" s="635"/>
      <c r="WT441" s="635"/>
      <c r="WU441" s="635"/>
      <c r="WV441" s="635"/>
      <c r="WW441" s="635"/>
      <c r="WX441" s="635"/>
      <c r="WY441" s="635"/>
      <c r="WZ441" s="635"/>
      <c r="XA441" s="635"/>
      <c r="XB441" s="635"/>
      <c r="XC441" s="635"/>
      <c r="XD441" s="635"/>
      <c r="XE441" s="635"/>
      <c r="XF441" s="635"/>
      <c r="XG441" s="635"/>
      <c r="XH441" s="635"/>
      <c r="XI441" s="635"/>
      <c r="XJ441" s="635"/>
      <c r="XK441" s="635"/>
      <c r="XL441" s="635"/>
      <c r="XM441" s="635"/>
      <c r="XN441" s="635"/>
      <c r="XO441" s="635"/>
      <c r="XP441" s="635"/>
      <c r="XQ441" s="635"/>
      <c r="XR441" s="635"/>
      <c r="XS441" s="635"/>
      <c r="XT441" s="635"/>
      <c r="XU441" s="635"/>
      <c r="XV441" s="635"/>
      <c r="XW441" s="635"/>
      <c r="XX441" s="635"/>
      <c r="XY441" s="635"/>
      <c r="XZ441" s="635"/>
      <c r="YA441" s="635"/>
      <c r="YB441" s="635"/>
      <c r="YC441" s="635"/>
      <c r="YD441" s="635"/>
      <c r="YE441" s="635"/>
      <c r="YF441" s="635"/>
      <c r="YG441" s="635"/>
      <c r="YH441" s="635"/>
      <c r="YI441" s="635"/>
      <c r="YJ441" s="635"/>
      <c r="YK441" s="635"/>
      <c r="YL441" s="635"/>
      <c r="YM441" s="635"/>
      <c r="YN441" s="635"/>
      <c r="YO441" s="635"/>
      <c r="YP441" s="635"/>
      <c r="YQ441" s="635"/>
      <c r="YR441" s="635"/>
      <c r="YS441" s="635"/>
      <c r="YT441" s="635"/>
      <c r="YU441" s="635"/>
      <c r="YV441" s="635"/>
      <c r="YW441" s="635"/>
      <c r="YX441" s="635"/>
      <c r="YY441" s="635"/>
      <c r="YZ441" s="635"/>
      <c r="ZA441" s="635"/>
      <c r="ZB441" s="635"/>
      <c r="ZC441" s="635"/>
      <c r="ZD441" s="635"/>
      <c r="ZE441" s="635"/>
      <c r="ZF441" s="635"/>
      <c r="ZG441" s="635"/>
      <c r="ZH441" s="635"/>
      <c r="ZI441" s="635"/>
      <c r="ZJ441" s="635"/>
      <c r="ZK441" s="635"/>
      <c r="ZL441" s="635"/>
      <c r="ZM441" s="635"/>
      <c r="ZN441" s="635"/>
      <c r="ZO441" s="635"/>
      <c r="ZP441" s="635"/>
      <c r="ZQ441" s="635"/>
      <c r="ZR441" s="635"/>
      <c r="ZS441" s="635"/>
      <c r="ZT441" s="635"/>
      <c r="ZU441" s="635"/>
      <c r="ZV441" s="635"/>
      <c r="ZW441" s="635"/>
      <c r="ZX441" s="635"/>
      <c r="ZY441" s="638"/>
      <c r="ZZ441" s="119"/>
      <c r="AAA441" s="588"/>
      <c r="AAD441" s="112"/>
      <c r="AAE441" s="551" t="s">
        <v>245</v>
      </c>
      <c r="AAF441" s="583" t="s">
        <v>174</v>
      </c>
      <c r="AAG441" s="78">
        <f>S.SubmitStaffRpt</f>
        <v>41676</v>
      </c>
      <c r="AAH441" s="78">
        <f>WORKDAY(S.EQCMeeting+60,1,S.DDL_DEQClosed)</f>
        <v>41778</v>
      </c>
      <c r="AAI441" s="77"/>
      <c r="AAJ441" s="57"/>
      <c r="AAK441" s="57"/>
      <c r="AAL441" s="57"/>
      <c r="AAM441" s="112"/>
      <c r="AAN441"/>
      <c r="AAT441" s="23"/>
      <c r="AAU441" s="44"/>
    </row>
    <row r="442" spans="1:732" ht="6" customHeight="1">
      <c r="A442" s="558"/>
      <c r="B442" s="206"/>
      <c r="C442" s="688"/>
      <c r="D442" s="180"/>
      <c r="E442" s="181"/>
      <c r="F442" s="181"/>
      <c r="G442" s="180"/>
      <c r="H442" s="180"/>
      <c r="I442" s="588"/>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c r="AL442" s="32"/>
      <c r="AM442" s="32"/>
      <c r="AN442" s="32"/>
      <c r="AO442" s="32"/>
      <c r="AP442" s="32"/>
      <c r="AQ442" s="32"/>
      <c r="AR442" s="32"/>
      <c r="AS442" s="32"/>
      <c r="AT442" s="32"/>
      <c r="AU442" s="32"/>
      <c r="AV442" s="32"/>
      <c r="AW442" s="32"/>
      <c r="AX442" s="32"/>
      <c r="AY442" s="32"/>
      <c r="AZ442" s="32"/>
      <c r="BA442" s="32"/>
      <c r="BB442" s="32"/>
      <c r="BC442" s="32"/>
      <c r="BD442" s="32"/>
      <c r="BE442" s="32"/>
      <c r="BF442" s="32"/>
      <c r="BG442" s="32"/>
      <c r="BH442" s="32"/>
      <c r="BI442" s="32"/>
      <c r="BJ442" s="32"/>
      <c r="BK442" s="32"/>
      <c r="BL442" s="32"/>
      <c r="BM442" s="32"/>
      <c r="BN442" s="32"/>
      <c r="BO442" s="32"/>
      <c r="BP442" s="32"/>
      <c r="BQ442" s="32"/>
      <c r="BR442" s="32"/>
      <c r="BS442" s="32"/>
      <c r="BT442" s="32"/>
      <c r="BU442" s="32"/>
      <c r="BV442" s="32"/>
      <c r="BW442" s="32"/>
      <c r="BX442" s="32"/>
      <c r="BY442" s="32"/>
      <c r="BZ442" s="32"/>
      <c r="CA442" s="32"/>
      <c r="CB442" s="32"/>
      <c r="CC442" s="32"/>
      <c r="CD442" s="32"/>
      <c r="CE442" s="32"/>
      <c r="CF442" s="32"/>
      <c r="CG442" s="32"/>
      <c r="CH442" s="32"/>
      <c r="CI442" s="32"/>
      <c r="CJ442" s="32"/>
      <c r="CK442" s="32"/>
      <c r="CL442" s="32"/>
      <c r="CM442" s="32"/>
      <c r="CN442" s="32"/>
      <c r="CO442" s="32"/>
      <c r="CP442" s="32"/>
      <c r="CQ442" s="32"/>
      <c r="CR442" s="32"/>
      <c r="CS442" s="32"/>
      <c r="CT442" s="32"/>
      <c r="CU442" s="32"/>
      <c r="CV442" s="32"/>
      <c r="CW442" s="32"/>
      <c r="CX442" s="32"/>
      <c r="CY442" s="32"/>
      <c r="CZ442" s="32"/>
      <c r="DA442" s="32"/>
      <c r="DB442" s="32"/>
      <c r="DC442" s="32"/>
      <c r="DD442" s="32"/>
      <c r="DE442" s="32"/>
      <c r="DF442" s="32"/>
      <c r="DG442" s="32"/>
      <c r="DH442" s="32"/>
      <c r="DI442" s="32"/>
      <c r="DJ442" s="32"/>
      <c r="DK442" s="32"/>
      <c r="DL442" s="32"/>
      <c r="DM442" s="32"/>
      <c r="DN442" s="32"/>
      <c r="DO442" s="32"/>
      <c r="DP442" s="32"/>
      <c r="DQ442" s="32"/>
      <c r="DR442" s="32"/>
      <c r="DS442" s="32"/>
      <c r="DT442" s="32"/>
      <c r="DU442" s="32"/>
      <c r="DV442" s="32"/>
      <c r="DW442" s="32"/>
      <c r="DX442" s="32"/>
      <c r="DY442" s="32"/>
      <c r="DZ442" s="32"/>
      <c r="EA442" s="32"/>
      <c r="EB442" s="32"/>
      <c r="EC442" s="32"/>
      <c r="ED442" s="32"/>
      <c r="EE442" s="32"/>
      <c r="EF442" s="32"/>
      <c r="EG442" s="32"/>
      <c r="EH442" s="32"/>
      <c r="EI442" s="32"/>
      <c r="EJ442" s="32"/>
      <c r="EK442" s="32"/>
      <c r="EL442" s="32"/>
      <c r="EM442" s="32"/>
      <c r="EN442" s="32"/>
      <c r="EO442" s="32"/>
      <c r="EP442" s="32"/>
      <c r="EQ442" s="32"/>
      <c r="ER442" s="32"/>
      <c r="ES442" s="32"/>
      <c r="ET442" s="32"/>
      <c r="EU442" s="32"/>
      <c r="EV442" s="32"/>
      <c r="EW442" s="32"/>
      <c r="EX442" s="32"/>
      <c r="EY442" s="32"/>
      <c r="EZ442" s="32"/>
      <c r="FA442" s="32"/>
      <c r="FB442" s="32"/>
      <c r="FC442" s="32"/>
      <c r="FD442" s="32"/>
      <c r="FE442" s="32"/>
      <c r="FF442" s="32"/>
      <c r="FG442" s="32"/>
      <c r="FH442" s="32"/>
      <c r="FI442" s="32"/>
      <c r="FJ442" s="32"/>
      <c r="FK442" s="32"/>
      <c r="FL442" s="32"/>
      <c r="FM442" s="32"/>
      <c r="FN442" s="32"/>
      <c r="FO442" s="32"/>
      <c r="FP442" s="32"/>
      <c r="FQ442" s="32"/>
      <c r="FR442" s="32"/>
      <c r="FS442" s="32"/>
      <c r="FT442" s="32"/>
      <c r="FU442" s="32"/>
      <c r="FV442" s="32"/>
      <c r="FW442" s="32"/>
      <c r="FX442" s="32"/>
      <c r="FY442" s="32"/>
      <c r="FZ442" s="32"/>
      <c r="GA442" s="32"/>
      <c r="GB442" s="32"/>
      <c r="GC442" s="32"/>
      <c r="GD442" s="32"/>
      <c r="GE442" s="32"/>
      <c r="GF442" s="32"/>
      <c r="GG442" s="32"/>
      <c r="GH442" s="32"/>
      <c r="GI442" s="32"/>
      <c r="GJ442" s="32"/>
      <c r="GK442" s="32"/>
      <c r="GL442" s="32"/>
      <c r="GM442" s="32"/>
      <c r="GN442" s="32"/>
      <c r="GO442" s="32"/>
      <c r="GP442" s="32"/>
      <c r="GQ442" s="32"/>
      <c r="GR442" s="32"/>
      <c r="GS442" s="32"/>
      <c r="GT442" s="32"/>
      <c r="GU442" s="32"/>
      <c r="GV442" s="32"/>
      <c r="GW442" s="32"/>
      <c r="GX442" s="32"/>
      <c r="GY442" s="32"/>
      <c r="GZ442" s="32"/>
      <c r="HA442" s="32"/>
      <c r="HB442" s="32"/>
      <c r="HC442" s="32"/>
      <c r="HD442" s="32"/>
      <c r="HE442" s="32"/>
      <c r="HF442" s="32"/>
      <c r="HG442" s="32"/>
      <c r="HH442" s="32"/>
      <c r="HI442" s="32"/>
      <c r="HJ442" s="32"/>
      <c r="HK442" s="32"/>
      <c r="HL442" s="32"/>
      <c r="HM442" s="32"/>
      <c r="HN442" s="32"/>
      <c r="HO442" s="32"/>
      <c r="HP442" s="32"/>
      <c r="HQ442" s="32"/>
      <c r="HR442" s="32"/>
      <c r="HS442" s="32"/>
      <c r="HT442" s="32"/>
      <c r="HU442" s="32"/>
      <c r="HV442" s="32"/>
      <c r="HW442" s="32"/>
      <c r="HX442" s="32"/>
      <c r="HY442" s="32"/>
      <c r="HZ442" s="32"/>
      <c r="IA442" s="32"/>
      <c r="IB442" s="32"/>
      <c r="IC442" s="32"/>
      <c r="ID442" s="32"/>
      <c r="IE442" s="32"/>
      <c r="IF442" s="32"/>
      <c r="IG442" s="32"/>
      <c r="IH442" s="32"/>
      <c r="II442" s="32"/>
      <c r="IJ442" s="32"/>
      <c r="IK442" s="32"/>
      <c r="IL442" s="32"/>
      <c r="IM442" s="32"/>
      <c r="IN442" s="32"/>
      <c r="IO442" s="32"/>
      <c r="IP442" s="32"/>
      <c r="IQ442" s="32"/>
      <c r="IR442" s="32"/>
      <c r="IS442" s="32"/>
      <c r="IT442" s="32"/>
      <c r="IU442" s="32"/>
      <c r="IV442" s="32"/>
      <c r="IW442" s="32"/>
      <c r="IX442" s="32"/>
      <c r="IY442" s="32"/>
      <c r="IZ442" s="32"/>
      <c r="JA442" s="32"/>
      <c r="JB442" s="32"/>
      <c r="JC442" s="32"/>
      <c r="JD442" s="32"/>
      <c r="JE442" s="32"/>
      <c r="JF442" s="32"/>
      <c r="JG442" s="32"/>
      <c r="JH442" s="32"/>
      <c r="JI442" s="32"/>
      <c r="JJ442" s="32"/>
      <c r="JK442" s="32"/>
      <c r="JL442" s="32"/>
      <c r="JM442" s="32"/>
      <c r="JN442" s="32"/>
      <c r="JO442" s="32"/>
      <c r="JP442" s="32"/>
      <c r="JQ442" s="32"/>
      <c r="JR442" s="32"/>
      <c r="JS442" s="32"/>
      <c r="JT442" s="32"/>
      <c r="JU442" s="32"/>
      <c r="JV442" s="32"/>
      <c r="JW442" s="32"/>
      <c r="JX442" s="32"/>
      <c r="JY442" s="32"/>
      <c r="JZ442" s="32"/>
      <c r="KA442" s="32"/>
      <c r="KB442" s="32"/>
      <c r="KC442" s="32"/>
      <c r="KD442" s="32"/>
      <c r="KE442" s="32"/>
      <c r="KF442" s="32"/>
      <c r="KG442" s="32"/>
      <c r="KH442" s="32"/>
      <c r="KI442" s="32"/>
      <c r="KJ442" s="32"/>
      <c r="KK442" s="32"/>
      <c r="KL442" s="32"/>
      <c r="KM442" s="32"/>
      <c r="KN442" s="32"/>
      <c r="KO442" s="32"/>
      <c r="KP442" s="32"/>
      <c r="KQ442" s="32"/>
      <c r="KR442" s="32"/>
      <c r="KS442" s="32"/>
      <c r="KT442" s="32"/>
      <c r="KU442" s="32"/>
      <c r="KV442" s="32"/>
      <c r="KW442" s="32"/>
      <c r="KX442" s="32"/>
      <c r="KY442" s="32"/>
      <c r="KZ442" s="32"/>
      <c r="LA442" s="32"/>
      <c r="LB442" s="32"/>
      <c r="LC442" s="32"/>
      <c r="LD442" s="32"/>
      <c r="LE442" s="32"/>
      <c r="LF442" s="32"/>
      <c r="LG442" s="32"/>
      <c r="LH442" s="32"/>
      <c r="LI442" s="32"/>
      <c r="LJ442" s="32"/>
      <c r="LK442" s="32"/>
      <c r="LL442" s="32"/>
      <c r="LM442" s="32"/>
      <c r="LN442" s="32"/>
      <c r="LO442" s="32"/>
      <c r="LP442" s="32"/>
      <c r="LQ442" s="32"/>
      <c r="LR442" s="32"/>
      <c r="LS442" s="32"/>
      <c r="LT442" s="32"/>
      <c r="LU442" s="32"/>
      <c r="LV442" s="32"/>
      <c r="LW442" s="32"/>
      <c r="LX442" s="32"/>
      <c r="LY442" s="32"/>
      <c r="LZ442" s="32"/>
      <c r="MA442" s="32"/>
      <c r="MB442" s="32"/>
      <c r="MC442" s="32"/>
      <c r="MD442" s="32"/>
      <c r="ME442" s="32"/>
      <c r="MF442" s="32"/>
      <c r="MG442" s="32"/>
      <c r="MH442" s="32"/>
      <c r="MI442" s="32"/>
      <c r="MJ442" s="32"/>
      <c r="MK442" s="32"/>
      <c r="ML442" s="32"/>
      <c r="MM442" s="32"/>
      <c r="MN442" s="32"/>
      <c r="MO442" s="32"/>
      <c r="MP442" s="32"/>
      <c r="MQ442" s="32"/>
      <c r="MR442" s="32"/>
      <c r="MS442" s="32"/>
      <c r="MT442" s="32"/>
      <c r="MU442" s="32"/>
      <c r="MV442" s="32"/>
      <c r="MW442" s="32"/>
      <c r="MX442" s="32"/>
      <c r="MY442" s="32"/>
      <c r="MZ442" s="32"/>
      <c r="NA442" s="32"/>
      <c r="NB442" s="32"/>
      <c r="NC442" s="32"/>
      <c r="ND442" s="32"/>
      <c r="NE442" s="32"/>
      <c r="NF442" s="32"/>
      <c r="NG442" s="32"/>
      <c r="NH442" s="32"/>
      <c r="NI442" s="32"/>
      <c r="NJ442" s="32"/>
      <c r="NK442" s="32"/>
      <c r="NL442" s="32"/>
      <c r="NM442" s="32"/>
      <c r="NN442" s="32"/>
      <c r="NO442" s="32"/>
      <c r="NP442" s="32"/>
      <c r="NQ442" s="32"/>
      <c r="NR442" s="32"/>
      <c r="NS442" s="32"/>
      <c r="NT442" s="32"/>
      <c r="NU442" s="32"/>
      <c r="NV442" s="32"/>
      <c r="NW442" s="32"/>
      <c r="NX442" s="32"/>
      <c r="NY442" s="32"/>
      <c r="NZ442" s="32"/>
      <c r="OA442" s="32"/>
      <c r="OB442" s="32"/>
      <c r="OC442" s="32"/>
      <c r="OD442" s="32"/>
      <c r="OE442" s="32"/>
      <c r="OF442" s="32"/>
      <c r="OG442" s="32"/>
      <c r="OH442" s="32"/>
      <c r="OI442" s="32"/>
      <c r="OJ442" s="32"/>
      <c r="OK442" s="32"/>
      <c r="OL442" s="32"/>
      <c r="OM442" s="32"/>
      <c r="ON442" s="32"/>
      <c r="OO442" s="32"/>
      <c r="OP442" s="32"/>
      <c r="OQ442" s="32"/>
      <c r="OR442" s="32"/>
      <c r="OS442" s="32"/>
      <c r="OT442" s="32"/>
      <c r="OU442" s="32"/>
      <c r="OV442" s="32"/>
      <c r="OW442" s="32"/>
      <c r="OX442" s="32"/>
      <c r="OY442" s="32"/>
      <c r="OZ442" s="32"/>
      <c r="PA442" s="32"/>
      <c r="PB442" s="32"/>
      <c r="PC442" s="32"/>
      <c r="PD442" s="32"/>
      <c r="PE442" s="32"/>
      <c r="PF442" s="32"/>
      <c r="PG442" s="32"/>
      <c r="PH442" s="32"/>
      <c r="PI442" s="32"/>
      <c r="PJ442" s="32"/>
      <c r="PK442" s="32"/>
      <c r="PL442" s="32"/>
      <c r="PM442" s="32"/>
      <c r="PN442" s="32"/>
      <c r="PO442" s="32"/>
      <c r="PP442" s="32"/>
      <c r="PQ442" s="32"/>
      <c r="PR442" s="32"/>
      <c r="PS442" s="32"/>
      <c r="PT442" s="32"/>
      <c r="PU442" s="32"/>
      <c r="PV442" s="32"/>
      <c r="PW442" s="32"/>
      <c r="PX442" s="32"/>
      <c r="PY442" s="32"/>
      <c r="PZ442" s="32"/>
      <c r="QA442" s="32"/>
      <c r="QB442" s="32"/>
      <c r="QC442" s="32"/>
      <c r="QD442" s="32"/>
      <c r="QE442" s="32"/>
      <c r="QF442" s="32"/>
      <c r="QG442" s="32"/>
      <c r="QH442" s="32"/>
      <c r="QI442" s="32"/>
      <c r="QJ442" s="32"/>
      <c r="QK442" s="32"/>
      <c r="QL442" s="32"/>
      <c r="QM442" s="32"/>
      <c r="QN442" s="32"/>
      <c r="QO442" s="32"/>
      <c r="QP442" s="32"/>
      <c r="QQ442" s="32"/>
      <c r="QR442" s="32"/>
      <c r="QS442" s="32"/>
      <c r="QT442" s="32"/>
      <c r="QU442" s="32"/>
      <c r="QV442" s="32"/>
      <c r="QW442" s="32"/>
      <c r="QX442" s="32"/>
      <c r="QY442" s="32"/>
      <c r="QZ442" s="32"/>
      <c r="RA442" s="32"/>
      <c r="RB442" s="32"/>
      <c r="RC442" s="32"/>
      <c r="RD442" s="32"/>
      <c r="RE442" s="32"/>
      <c r="RF442" s="32"/>
      <c r="RG442" s="32"/>
      <c r="RH442" s="32"/>
      <c r="RI442" s="32"/>
      <c r="RJ442" s="32"/>
      <c r="RK442" s="32"/>
      <c r="RL442" s="32"/>
      <c r="RM442" s="32"/>
      <c r="RN442" s="32"/>
      <c r="RO442" s="32"/>
      <c r="RP442" s="32"/>
      <c r="RQ442" s="32"/>
      <c r="RR442" s="32"/>
      <c r="RS442" s="32"/>
      <c r="RT442" s="32"/>
      <c r="RU442" s="32"/>
      <c r="RV442" s="32"/>
      <c r="RW442" s="32"/>
      <c r="RX442" s="32"/>
      <c r="RY442" s="32"/>
      <c r="RZ442" s="32"/>
      <c r="SA442" s="32"/>
      <c r="SB442" s="32"/>
      <c r="SC442" s="32"/>
      <c r="SD442" s="32"/>
      <c r="SE442" s="32"/>
      <c r="SF442" s="32"/>
      <c r="SG442" s="32"/>
      <c r="SH442" s="32"/>
      <c r="SI442" s="32"/>
      <c r="SJ442" s="32"/>
      <c r="SK442" s="32"/>
      <c r="SL442" s="32"/>
      <c r="SM442" s="32"/>
      <c r="SN442" s="32"/>
      <c r="SO442" s="32"/>
      <c r="SP442" s="32"/>
      <c r="SQ442" s="32"/>
      <c r="SR442" s="32"/>
      <c r="SS442" s="32"/>
      <c r="ST442" s="32"/>
      <c r="SU442" s="32"/>
      <c r="SV442" s="32"/>
      <c r="SW442" s="32"/>
      <c r="SX442" s="32"/>
      <c r="SY442" s="32"/>
      <c r="SZ442" s="32"/>
      <c r="TA442" s="32"/>
      <c r="TB442" s="32"/>
      <c r="TC442" s="32"/>
      <c r="TD442" s="32"/>
      <c r="TE442" s="32"/>
      <c r="TF442" s="32"/>
      <c r="TG442" s="32"/>
      <c r="TH442" s="32"/>
      <c r="TI442" s="32"/>
      <c r="TJ442" s="32"/>
      <c r="TK442" s="32"/>
      <c r="TL442" s="32"/>
      <c r="TM442" s="32"/>
      <c r="TN442" s="32"/>
      <c r="TO442" s="32"/>
      <c r="TP442" s="32"/>
      <c r="TQ442" s="32"/>
      <c r="TR442" s="32"/>
      <c r="TS442" s="32"/>
      <c r="TT442" s="32"/>
      <c r="TU442" s="32"/>
      <c r="TV442" s="32"/>
      <c r="TW442" s="32"/>
      <c r="TX442" s="32"/>
      <c r="TY442" s="32"/>
      <c r="TZ442" s="32"/>
      <c r="UA442" s="32"/>
      <c r="UB442" s="32"/>
      <c r="UC442" s="32"/>
      <c r="UD442" s="32"/>
      <c r="UE442" s="32"/>
      <c r="UF442" s="32"/>
      <c r="UG442" s="32"/>
      <c r="UH442" s="32"/>
      <c r="UI442" s="32"/>
      <c r="UJ442" s="32"/>
      <c r="UK442" s="32"/>
      <c r="UL442" s="32"/>
      <c r="UM442" s="32"/>
      <c r="UN442" s="32"/>
      <c r="UO442" s="32"/>
      <c r="UP442" s="32"/>
      <c r="UQ442" s="32"/>
      <c r="UR442" s="32"/>
      <c r="US442" s="32"/>
      <c r="UT442" s="32"/>
      <c r="UU442" s="32"/>
      <c r="UV442" s="32"/>
      <c r="UW442" s="32"/>
      <c r="UX442" s="32"/>
      <c r="UY442" s="32"/>
      <c r="UZ442" s="32"/>
      <c r="VA442" s="32"/>
      <c r="VB442" s="32"/>
      <c r="VC442" s="32"/>
      <c r="VD442" s="32"/>
      <c r="VE442" s="32"/>
      <c r="VF442" s="32"/>
      <c r="VG442" s="32"/>
      <c r="VH442" s="32"/>
      <c r="VI442" s="32"/>
      <c r="VJ442" s="32"/>
      <c r="VK442" s="32"/>
      <c r="VL442" s="32"/>
      <c r="VM442" s="32"/>
      <c r="VN442" s="32"/>
      <c r="VO442" s="32"/>
      <c r="VP442" s="32"/>
      <c r="VQ442" s="32"/>
      <c r="VR442" s="32"/>
      <c r="VS442" s="32"/>
      <c r="VT442" s="32"/>
      <c r="VU442" s="32"/>
      <c r="VV442" s="32"/>
      <c r="VW442" s="32"/>
      <c r="VX442" s="32"/>
      <c r="VY442" s="32"/>
      <c r="VZ442" s="32"/>
      <c r="WA442" s="32"/>
      <c r="WB442" s="32"/>
      <c r="WC442" s="32"/>
      <c r="WD442" s="32"/>
      <c r="WE442" s="32"/>
      <c r="WF442" s="32"/>
      <c r="WG442" s="32"/>
      <c r="WH442" s="32"/>
      <c r="WI442" s="32"/>
      <c r="WJ442" s="32"/>
      <c r="WK442" s="32"/>
      <c r="WL442" s="32"/>
      <c r="WM442" s="32"/>
      <c r="WN442" s="32"/>
      <c r="WO442" s="32"/>
      <c r="WP442" s="32"/>
      <c r="WQ442" s="32"/>
      <c r="WR442" s="32"/>
      <c r="WS442" s="32"/>
      <c r="WT442" s="32"/>
      <c r="WU442" s="32"/>
      <c r="WV442" s="32"/>
      <c r="WW442" s="32"/>
      <c r="WX442" s="32"/>
      <c r="WY442" s="32"/>
      <c r="WZ442" s="32"/>
      <c r="XA442" s="32"/>
      <c r="XB442" s="32"/>
      <c r="XC442" s="32"/>
      <c r="XD442" s="32"/>
      <c r="XE442" s="32"/>
      <c r="XF442" s="32"/>
      <c r="XG442" s="32"/>
      <c r="XH442" s="32"/>
      <c r="XI442" s="32"/>
      <c r="XJ442" s="32"/>
      <c r="XK442" s="32"/>
      <c r="XL442" s="32"/>
      <c r="XM442" s="32"/>
      <c r="XN442" s="32"/>
      <c r="XO442" s="32"/>
      <c r="XP442" s="32"/>
      <c r="XQ442" s="32"/>
      <c r="XR442" s="32"/>
      <c r="XS442" s="32"/>
      <c r="XT442" s="32"/>
      <c r="XU442" s="32"/>
      <c r="XV442" s="32"/>
      <c r="XW442" s="32"/>
      <c r="XX442" s="32"/>
      <c r="XY442" s="32"/>
      <c r="XZ442" s="32"/>
      <c r="YA442" s="32"/>
      <c r="YB442" s="32"/>
      <c r="YC442" s="32"/>
      <c r="YD442" s="32"/>
      <c r="YE442" s="32"/>
      <c r="YF442" s="32"/>
      <c r="YG442" s="32"/>
      <c r="YH442" s="32"/>
      <c r="YI442" s="32"/>
      <c r="YJ442" s="32"/>
      <c r="YK442" s="32"/>
      <c r="YL442" s="32"/>
      <c r="YM442" s="32"/>
      <c r="YN442" s="32"/>
      <c r="YO442" s="32"/>
      <c r="YP442" s="32"/>
      <c r="YQ442" s="32"/>
      <c r="YR442" s="32"/>
      <c r="YS442" s="32"/>
      <c r="YT442" s="32"/>
      <c r="YU442" s="32"/>
      <c r="YV442" s="32"/>
      <c r="YW442" s="32"/>
      <c r="YX442" s="32"/>
      <c r="YY442" s="32"/>
      <c r="YZ442" s="32"/>
      <c r="ZA442" s="32"/>
      <c r="ZB442" s="32"/>
      <c r="ZC442" s="32"/>
      <c r="ZD442" s="32"/>
      <c r="ZE442" s="32"/>
      <c r="ZF442" s="32"/>
      <c r="ZG442" s="32"/>
      <c r="ZH442" s="32"/>
      <c r="ZI442" s="32"/>
      <c r="ZJ442" s="32"/>
      <c r="ZK442" s="32"/>
      <c r="ZL442" s="32"/>
      <c r="ZM442" s="32"/>
      <c r="ZN442" s="32"/>
      <c r="ZO442" s="32"/>
      <c r="ZP442" s="32"/>
      <c r="ZQ442" s="32"/>
      <c r="ZR442" s="32"/>
      <c r="ZS442" s="32"/>
      <c r="ZT442" s="32"/>
      <c r="ZU442" s="32"/>
      <c r="ZV442" s="32"/>
      <c r="ZW442" s="32"/>
      <c r="ZX442" s="32"/>
      <c r="ZY442" s="32"/>
      <c r="ZZ442" s="32"/>
      <c r="AAA442" s="588"/>
      <c r="AAD442" s="112"/>
      <c r="AAE442" s="551" t="s">
        <v>20</v>
      </c>
      <c r="AAF442" s="583" t="s">
        <v>174</v>
      </c>
      <c r="AAG442" s="63"/>
      <c r="AAH442" s="63"/>
      <c r="AAI442" s="77"/>
      <c r="AAJ442" s="57"/>
      <c r="AAK442" s="57"/>
      <c r="AAL442" s="57"/>
      <c r="AAM442" s="112"/>
      <c r="AAN442"/>
      <c r="AAT442" s="23"/>
      <c r="AAU442" s="44"/>
    </row>
    <row r="443" spans="1:732" ht="16.5" customHeight="1" outlineLevel="2">
      <c r="A443" s="558"/>
      <c r="B443" s="462" t="s">
        <v>162</v>
      </c>
      <c r="C443" s="689"/>
      <c r="D443" s="145"/>
      <c r="E443" s="146"/>
      <c r="F443" s="146"/>
      <c r="G443" s="161"/>
      <c r="H443" s="161"/>
      <c r="I443" s="588"/>
      <c r="J443" s="631"/>
      <c r="K443" s="630"/>
      <c r="L443" s="630"/>
      <c r="M443" s="630"/>
      <c r="N443" s="630"/>
      <c r="O443" s="630"/>
      <c r="P443" s="630"/>
      <c r="Q443" s="630"/>
      <c r="R443" s="630"/>
      <c r="S443" s="630"/>
      <c r="T443" s="630"/>
      <c r="U443" s="630"/>
      <c r="V443" s="630"/>
      <c r="W443" s="630"/>
      <c r="X443" s="630"/>
      <c r="Y443" s="630"/>
      <c r="Z443" s="630"/>
      <c r="AA443" s="630"/>
      <c r="AB443" s="630"/>
      <c r="AC443" s="630"/>
      <c r="AD443" s="630"/>
      <c r="AE443" s="630"/>
      <c r="AF443" s="630"/>
      <c r="AG443" s="630"/>
      <c r="AH443" s="630"/>
      <c r="AI443" s="630"/>
      <c r="AJ443" s="630"/>
      <c r="AK443" s="630"/>
      <c r="AL443" s="630"/>
      <c r="AM443" s="630"/>
      <c r="AN443" s="630"/>
      <c r="AO443" s="630"/>
      <c r="AP443" s="630"/>
      <c r="AQ443" s="630"/>
      <c r="AR443" s="630"/>
      <c r="AS443" s="630"/>
      <c r="AT443" s="630"/>
      <c r="AU443" s="630"/>
      <c r="AV443" s="630"/>
      <c r="AW443" s="630"/>
      <c r="AX443" s="630"/>
      <c r="AY443" s="630"/>
      <c r="AZ443" s="630"/>
      <c r="BA443" s="630"/>
      <c r="BB443" s="630"/>
      <c r="BC443" s="630"/>
      <c r="BD443" s="630"/>
      <c r="BE443" s="630"/>
      <c r="BF443" s="630"/>
      <c r="BG443" s="630"/>
      <c r="BH443" s="630"/>
      <c r="BI443" s="630"/>
      <c r="BJ443" s="630"/>
      <c r="BK443" s="630"/>
      <c r="BL443" s="630"/>
      <c r="BM443" s="630"/>
      <c r="BN443" s="630"/>
      <c r="BO443" s="630"/>
      <c r="BP443" s="630"/>
      <c r="BQ443" s="630"/>
      <c r="BR443" s="630"/>
      <c r="BS443" s="630"/>
      <c r="BT443" s="630"/>
      <c r="BU443" s="630"/>
      <c r="BV443" s="630"/>
      <c r="BW443" s="630"/>
      <c r="BX443" s="630"/>
      <c r="BY443" s="630"/>
      <c r="BZ443" s="630"/>
      <c r="CA443" s="630"/>
      <c r="CB443" s="630"/>
      <c r="CC443" s="630"/>
      <c r="CD443" s="630"/>
      <c r="CE443" s="630"/>
      <c r="CF443" s="630"/>
      <c r="CG443" s="630"/>
      <c r="CH443" s="630"/>
      <c r="CI443" s="630"/>
      <c r="CJ443" s="630"/>
      <c r="CK443" s="630"/>
      <c r="CL443" s="630"/>
      <c r="CM443" s="630"/>
      <c r="CN443" s="630"/>
      <c r="CO443" s="630"/>
      <c r="CP443" s="630"/>
      <c r="CQ443" s="630"/>
      <c r="CR443" s="630"/>
      <c r="CS443" s="630"/>
      <c r="CT443" s="630"/>
      <c r="CU443" s="630"/>
      <c r="CV443" s="630"/>
      <c r="CW443" s="630"/>
      <c r="CX443" s="630"/>
      <c r="CY443" s="630"/>
      <c r="CZ443" s="630"/>
      <c r="DA443" s="630"/>
      <c r="DB443" s="630"/>
      <c r="DC443" s="630"/>
      <c r="DD443" s="630"/>
      <c r="DE443" s="630"/>
      <c r="DF443" s="630"/>
      <c r="DG443" s="630"/>
      <c r="DH443" s="630"/>
      <c r="DI443" s="630"/>
      <c r="DJ443" s="630"/>
      <c r="DK443" s="630"/>
      <c r="DL443" s="630"/>
      <c r="DM443" s="630"/>
      <c r="DN443" s="630"/>
      <c r="DO443" s="630"/>
      <c r="DP443" s="630"/>
      <c r="DQ443" s="630"/>
      <c r="DR443" s="630"/>
      <c r="DS443" s="630"/>
      <c r="DT443" s="630"/>
      <c r="DU443" s="630"/>
      <c r="DV443" s="630"/>
      <c r="DW443" s="630"/>
      <c r="DX443" s="630"/>
      <c r="DY443" s="630"/>
      <c r="DZ443" s="630"/>
      <c r="EA443" s="630"/>
      <c r="EB443" s="630"/>
      <c r="EC443" s="630"/>
      <c r="ED443" s="630"/>
      <c r="EE443" s="630"/>
      <c r="EF443" s="630"/>
      <c r="EG443" s="630"/>
      <c r="EH443" s="630"/>
      <c r="EI443" s="630"/>
      <c r="EJ443" s="630"/>
      <c r="EK443" s="630"/>
      <c r="EL443" s="630"/>
      <c r="EM443" s="630"/>
      <c r="EN443" s="630"/>
      <c r="EO443" s="630"/>
      <c r="EP443" s="630"/>
      <c r="EQ443" s="630"/>
      <c r="ER443" s="630"/>
      <c r="ES443" s="630"/>
      <c r="ET443" s="630"/>
      <c r="EU443" s="630"/>
      <c r="EV443" s="630"/>
      <c r="EW443" s="630"/>
      <c r="EX443" s="630"/>
      <c r="EY443" s="630"/>
      <c r="EZ443" s="630"/>
      <c r="FA443" s="630"/>
      <c r="FB443" s="630"/>
      <c r="FC443" s="630"/>
      <c r="FD443" s="630"/>
      <c r="FE443" s="630"/>
      <c r="FF443" s="630"/>
      <c r="FG443" s="630"/>
      <c r="FH443" s="630"/>
      <c r="FI443" s="630"/>
      <c r="FJ443" s="630"/>
      <c r="FK443" s="630"/>
      <c r="FL443" s="630"/>
      <c r="FM443" s="630"/>
      <c r="FN443" s="630"/>
      <c r="FO443" s="630"/>
      <c r="FP443" s="630"/>
      <c r="FQ443" s="630"/>
      <c r="FR443" s="630"/>
      <c r="FS443" s="630"/>
      <c r="FT443" s="630"/>
      <c r="FU443" s="630"/>
      <c r="FV443" s="630"/>
      <c r="FW443" s="630"/>
      <c r="FX443" s="630"/>
      <c r="FY443" s="630"/>
      <c r="FZ443" s="630"/>
      <c r="GA443" s="630"/>
      <c r="GB443" s="630"/>
      <c r="GC443" s="630"/>
      <c r="GD443" s="630"/>
      <c r="GE443" s="630"/>
      <c r="GF443" s="630"/>
      <c r="GG443" s="630"/>
      <c r="GH443" s="630"/>
      <c r="GI443" s="630"/>
      <c r="GJ443" s="630"/>
      <c r="GK443" s="630"/>
      <c r="GL443" s="630"/>
      <c r="GM443" s="630"/>
      <c r="GN443" s="630"/>
      <c r="GO443" s="630"/>
      <c r="GP443" s="630"/>
      <c r="GQ443" s="630"/>
      <c r="GR443" s="630"/>
      <c r="GS443" s="630"/>
      <c r="GT443" s="630"/>
      <c r="GU443" s="630"/>
      <c r="GV443" s="630"/>
      <c r="GW443" s="630"/>
      <c r="GX443" s="630"/>
      <c r="GY443" s="630"/>
      <c r="GZ443" s="630"/>
      <c r="HA443" s="630"/>
      <c r="HB443" s="630"/>
      <c r="HC443" s="630"/>
      <c r="HD443" s="630"/>
      <c r="HE443" s="630"/>
      <c r="HF443" s="630"/>
      <c r="HG443" s="630"/>
      <c r="HH443" s="630"/>
      <c r="HI443" s="630"/>
      <c r="HJ443" s="630"/>
      <c r="HK443" s="630"/>
      <c r="HL443" s="630"/>
      <c r="HM443" s="630"/>
      <c r="HN443" s="630"/>
      <c r="HO443" s="630"/>
      <c r="HP443" s="630"/>
      <c r="HQ443" s="630"/>
      <c r="HR443" s="630"/>
      <c r="HS443" s="630"/>
      <c r="HT443" s="630"/>
      <c r="HU443" s="630"/>
      <c r="HV443" s="630"/>
      <c r="HW443" s="630"/>
      <c r="HX443" s="630"/>
      <c r="HY443" s="630"/>
      <c r="HZ443" s="630"/>
      <c r="IA443" s="630"/>
      <c r="IB443" s="630"/>
      <c r="IC443" s="630"/>
      <c r="ID443" s="630"/>
      <c r="IE443" s="630"/>
      <c r="IF443" s="630"/>
      <c r="IG443" s="630"/>
      <c r="IH443" s="630"/>
      <c r="II443" s="630"/>
      <c r="IJ443" s="630"/>
      <c r="IK443" s="630"/>
      <c r="IL443" s="630"/>
      <c r="IM443" s="630"/>
      <c r="IN443" s="630"/>
      <c r="IO443" s="630"/>
      <c r="IP443" s="630"/>
      <c r="IQ443" s="630"/>
      <c r="IR443" s="630"/>
      <c r="IS443" s="630"/>
      <c r="IT443" s="630"/>
      <c r="IU443" s="630"/>
      <c r="IV443" s="630"/>
      <c r="IW443" s="630"/>
      <c r="IX443" s="630"/>
      <c r="IY443" s="630"/>
      <c r="IZ443" s="630"/>
      <c r="JA443" s="630"/>
      <c r="JB443" s="630"/>
      <c r="JC443" s="630"/>
      <c r="JD443" s="630"/>
      <c r="JE443" s="630"/>
      <c r="JF443" s="630"/>
      <c r="JG443" s="630"/>
      <c r="JH443" s="630"/>
      <c r="JI443" s="630"/>
      <c r="JJ443" s="630"/>
      <c r="JK443" s="630"/>
      <c r="JL443" s="630"/>
      <c r="JM443" s="630"/>
      <c r="JN443" s="630"/>
      <c r="JO443" s="630"/>
      <c r="JP443" s="630"/>
      <c r="JQ443" s="630"/>
      <c r="JR443" s="630"/>
      <c r="JS443" s="630"/>
      <c r="JT443" s="630"/>
      <c r="JU443" s="630"/>
      <c r="JV443" s="630"/>
      <c r="JW443" s="630"/>
      <c r="JX443" s="630"/>
      <c r="JY443" s="630"/>
      <c r="JZ443" s="630"/>
      <c r="KA443" s="630"/>
      <c r="KB443" s="630"/>
      <c r="KC443" s="630"/>
      <c r="KD443" s="630"/>
      <c r="KE443" s="630"/>
      <c r="KF443" s="630"/>
      <c r="KG443" s="630"/>
      <c r="KH443" s="630"/>
      <c r="KI443" s="630"/>
      <c r="KJ443" s="630"/>
      <c r="KK443" s="630"/>
      <c r="KL443" s="630"/>
      <c r="KM443" s="630"/>
      <c r="KN443" s="630"/>
      <c r="KO443" s="630"/>
      <c r="KP443" s="630"/>
      <c r="KQ443" s="630"/>
      <c r="KR443" s="630"/>
      <c r="KS443" s="630"/>
      <c r="KT443" s="630"/>
      <c r="KU443" s="630"/>
      <c r="KV443" s="630"/>
      <c r="KW443" s="630"/>
      <c r="KX443" s="630"/>
      <c r="KY443" s="630"/>
      <c r="KZ443" s="630"/>
      <c r="LA443" s="630"/>
      <c r="LB443" s="630"/>
      <c r="LC443" s="630"/>
      <c r="LD443" s="630"/>
      <c r="LE443" s="630"/>
      <c r="LF443" s="630"/>
      <c r="LG443" s="630"/>
      <c r="LH443" s="630"/>
      <c r="LI443" s="630"/>
      <c r="LJ443" s="630"/>
      <c r="LK443" s="630"/>
      <c r="LL443" s="630"/>
      <c r="LM443" s="630"/>
      <c r="LN443" s="630"/>
      <c r="LO443" s="630"/>
      <c r="LP443" s="630"/>
      <c r="LQ443" s="630"/>
      <c r="LR443" s="630"/>
      <c r="LS443" s="630"/>
      <c r="LT443" s="630"/>
      <c r="LU443" s="630"/>
      <c r="LV443" s="630"/>
      <c r="LW443" s="630"/>
      <c r="LX443" s="630"/>
      <c r="LY443" s="630"/>
      <c r="LZ443" s="630"/>
      <c r="MA443" s="630"/>
      <c r="MB443" s="630"/>
      <c r="MC443" s="630"/>
      <c r="MD443" s="630"/>
      <c r="ME443" s="630"/>
      <c r="MF443" s="630"/>
      <c r="MG443" s="630"/>
      <c r="MH443" s="630"/>
      <c r="MI443" s="630"/>
      <c r="MJ443" s="630"/>
      <c r="MK443" s="630"/>
      <c r="ML443" s="630"/>
      <c r="MM443" s="630"/>
      <c r="MN443" s="630"/>
      <c r="MO443" s="630"/>
      <c r="MP443" s="630"/>
      <c r="MQ443" s="630"/>
      <c r="MR443" s="630"/>
      <c r="MS443" s="630"/>
      <c r="MT443" s="630"/>
      <c r="MU443" s="630"/>
      <c r="MV443" s="630"/>
      <c r="MW443" s="630"/>
      <c r="MX443" s="630"/>
      <c r="MY443" s="630"/>
      <c r="MZ443" s="630"/>
      <c r="NA443" s="630"/>
      <c r="NB443" s="630"/>
      <c r="NC443" s="630"/>
      <c r="ND443" s="630"/>
      <c r="NE443" s="630"/>
      <c r="NF443" s="630"/>
      <c r="NG443" s="630"/>
      <c r="NH443" s="630"/>
      <c r="NI443" s="630"/>
      <c r="NJ443" s="630"/>
      <c r="NK443" s="630"/>
      <c r="NL443" s="630"/>
      <c r="NM443" s="630"/>
      <c r="NN443" s="630"/>
      <c r="NO443" s="630"/>
      <c r="NP443" s="630"/>
      <c r="NQ443" s="630"/>
      <c r="NR443" s="630"/>
      <c r="NS443" s="630"/>
      <c r="NT443" s="630"/>
      <c r="NU443" s="630"/>
      <c r="NV443" s="630"/>
      <c r="NW443" s="630"/>
      <c r="NX443" s="630"/>
      <c r="NY443" s="630"/>
      <c r="NZ443" s="630"/>
      <c r="OA443" s="630"/>
      <c r="OB443" s="630"/>
      <c r="OC443" s="630"/>
      <c r="OD443" s="630"/>
      <c r="OE443" s="630"/>
      <c r="OF443" s="630"/>
      <c r="OG443" s="630"/>
      <c r="OH443" s="630"/>
      <c r="OI443" s="630"/>
      <c r="OJ443" s="630"/>
      <c r="OK443" s="630"/>
      <c r="OL443" s="630"/>
      <c r="OM443" s="630"/>
      <c r="ON443" s="630"/>
      <c r="OO443" s="630"/>
      <c r="OP443" s="630"/>
      <c r="OQ443" s="630"/>
      <c r="OR443" s="630"/>
      <c r="OS443" s="630"/>
      <c r="OT443" s="630"/>
      <c r="OU443" s="630"/>
      <c r="OV443" s="630"/>
      <c r="OW443" s="630"/>
      <c r="OX443" s="630"/>
      <c r="OY443" s="630"/>
      <c r="OZ443" s="630"/>
      <c r="PA443" s="630"/>
      <c r="PB443" s="630"/>
      <c r="PC443" s="630"/>
      <c r="PD443" s="630"/>
      <c r="PE443" s="630"/>
      <c r="PF443" s="630"/>
      <c r="PG443" s="630"/>
      <c r="PH443" s="630"/>
      <c r="PI443" s="630"/>
      <c r="PJ443" s="630"/>
      <c r="PK443" s="630"/>
      <c r="PL443" s="630"/>
      <c r="PM443" s="630"/>
      <c r="PN443" s="630"/>
      <c r="PO443" s="630"/>
      <c r="PP443" s="630"/>
      <c r="PQ443" s="630"/>
      <c r="PR443" s="630"/>
      <c r="PS443" s="630"/>
      <c r="PT443" s="630"/>
      <c r="PU443" s="630"/>
      <c r="PV443" s="630"/>
      <c r="PW443" s="630"/>
      <c r="PX443" s="630"/>
      <c r="PY443" s="630"/>
      <c r="PZ443" s="630"/>
      <c r="QA443" s="630"/>
      <c r="QB443" s="630"/>
      <c r="QC443" s="630"/>
      <c r="QD443" s="630"/>
      <c r="QE443" s="630"/>
      <c r="QF443" s="630"/>
      <c r="QG443" s="630"/>
      <c r="QH443" s="630"/>
      <c r="QI443" s="630"/>
      <c r="QJ443" s="630"/>
      <c r="QK443" s="630"/>
      <c r="QL443" s="630"/>
      <c r="QM443" s="630"/>
      <c r="QN443" s="630"/>
      <c r="QO443" s="630"/>
      <c r="QP443" s="630"/>
      <c r="QQ443" s="630"/>
      <c r="QR443" s="630"/>
      <c r="QS443" s="630"/>
      <c r="QT443" s="630"/>
      <c r="QU443" s="630"/>
      <c r="QV443" s="630"/>
      <c r="QW443" s="630"/>
      <c r="QX443" s="630"/>
      <c r="QY443" s="630"/>
      <c r="QZ443" s="630"/>
      <c r="RA443" s="630"/>
      <c r="RB443" s="630"/>
      <c r="RC443" s="630"/>
      <c r="RD443" s="630"/>
      <c r="RE443" s="630"/>
      <c r="RF443" s="630"/>
      <c r="RG443" s="630"/>
      <c r="RH443" s="630"/>
      <c r="RI443" s="630"/>
      <c r="RJ443" s="630"/>
      <c r="RK443" s="630"/>
      <c r="RL443" s="630"/>
      <c r="RM443" s="630"/>
      <c r="RN443" s="630"/>
      <c r="RO443" s="630"/>
      <c r="RP443" s="630"/>
      <c r="RQ443" s="630"/>
      <c r="RR443" s="630"/>
      <c r="RS443" s="630"/>
      <c r="RT443" s="630"/>
      <c r="RU443" s="630"/>
      <c r="RV443" s="630"/>
      <c r="RW443" s="630"/>
      <c r="RX443" s="630"/>
      <c r="RY443" s="630"/>
      <c r="RZ443" s="630"/>
      <c r="SA443" s="630"/>
      <c r="SB443" s="630"/>
      <c r="SC443" s="630"/>
      <c r="SD443" s="630"/>
      <c r="SE443" s="630"/>
      <c r="SF443" s="630"/>
      <c r="SG443" s="630"/>
      <c r="SH443" s="630"/>
      <c r="SI443" s="630"/>
      <c r="SJ443" s="630"/>
      <c r="SK443" s="630"/>
      <c r="SL443" s="630"/>
      <c r="SM443" s="630"/>
      <c r="SN443" s="630"/>
      <c r="SO443" s="630"/>
      <c r="SP443" s="630"/>
      <c r="SQ443" s="630"/>
      <c r="SR443" s="630"/>
      <c r="SS443" s="630"/>
      <c r="ST443" s="630"/>
      <c r="SU443" s="630"/>
      <c r="SV443" s="630"/>
      <c r="SW443" s="630"/>
      <c r="SX443" s="630"/>
      <c r="SY443" s="630"/>
      <c r="SZ443" s="630"/>
      <c r="TA443" s="630"/>
      <c r="TB443" s="630"/>
      <c r="TC443" s="630"/>
      <c r="TD443" s="630"/>
      <c r="TE443" s="630"/>
      <c r="TF443" s="630"/>
      <c r="TG443" s="630"/>
      <c r="TH443" s="630"/>
      <c r="TI443" s="630"/>
      <c r="TJ443" s="630"/>
      <c r="TK443" s="630"/>
      <c r="TL443" s="630"/>
      <c r="TM443" s="630"/>
      <c r="TN443" s="630"/>
      <c r="TO443" s="630"/>
      <c r="TP443" s="630"/>
      <c r="TQ443" s="630"/>
      <c r="TR443" s="630"/>
      <c r="TS443" s="630"/>
      <c r="TT443" s="630"/>
      <c r="TU443" s="630"/>
      <c r="TV443" s="630"/>
      <c r="TW443" s="630"/>
      <c r="TX443" s="630"/>
      <c r="TY443" s="630"/>
      <c r="TZ443" s="630"/>
      <c r="UA443" s="630"/>
      <c r="UB443" s="630"/>
      <c r="UC443" s="630"/>
      <c r="UD443" s="630"/>
      <c r="UE443" s="630"/>
      <c r="UF443" s="630"/>
      <c r="UG443" s="630"/>
      <c r="UH443" s="630"/>
      <c r="UI443" s="630"/>
      <c r="UJ443" s="630"/>
      <c r="UK443" s="630"/>
      <c r="UL443" s="630"/>
      <c r="UM443" s="630"/>
      <c r="UN443" s="630"/>
      <c r="UO443" s="630"/>
      <c r="UP443" s="630"/>
      <c r="UQ443" s="630"/>
      <c r="UR443" s="630"/>
      <c r="US443" s="630"/>
      <c r="UT443" s="630"/>
      <c r="UU443" s="630"/>
      <c r="UV443" s="630"/>
      <c r="UW443" s="630"/>
      <c r="UX443" s="630"/>
      <c r="UY443" s="630"/>
      <c r="UZ443" s="630"/>
      <c r="VA443" s="630"/>
      <c r="VB443" s="630"/>
      <c r="VC443" s="630"/>
      <c r="VD443" s="630"/>
      <c r="VE443" s="630"/>
      <c r="VF443" s="630"/>
      <c r="VG443" s="630"/>
      <c r="VH443" s="630"/>
      <c r="VI443" s="630"/>
      <c r="VJ443" s="630"/>
      <c r="VK443" s="630"/>
      <c r="VL443" s="630"/>
      <c r="VM443" s="630"/>
      <c r="VN443" s="630"/>
      <c r="VO443" s="630"/>
      <c r="VP443" s="630"/>
      <c r="VQ443" s="630"/>
      <c r="VR443" s="630"/>
      <c r="VS443" s="630"/>
      <c r="VT443" s="630"/>
      <c r="VU443" s="630"/>
      <c r="VV443" s="630"/>
      <c r="VW443" s="630"/>
      <c r="VX443" s="630"/>
      <c r="VY443" s="630"/>
      <c r="VZ443" s="630"/>
      <c r="WA443" s="630"/>
      <c r="WB443" s="630"/>
      <c r="WC443" s="630"/>
      <c r="WD443" s="630"/>
      <c r="WE443" s="630"/>
      <c r="WF443" s="630"/>
      <c r="WG443" s="630"/>
      <c r="WH443" s="630"/>
      <c r="WI443" s="630"/>
      <c r="WJ443" s="630"/>
      <c r="WK443" s="630"/>
      <c r="WL443" s="630"/>
      <c r="WM443" s="630"/>
      <c r="WN443" s="630"/>
      <c r="WO443" s="630"/>
      <c r="WP443" s="630"/>
      <c r="WQ443" s="630"/>
      <c r="WR443" s="630"/>
      <c r="WS443" s="630"/>
      <c r="WT443" s="630"/>
      <c r="WU443" s="630"/>
      <c r="WV443" s="630"/>
      <c r="WW443" s="630"/>
      <c r="WX443" s="630"/>
      <c r="WY443" s="630"/>
      <c r="WZ443" s="630"/>
      <c r="XA443" s="630"/>
      <c r="XB443" s="630"/>
      <c r="XC443" s="630"/>
      <c r="XD443" s="630"/>
      <c r="XE443" s="630"/>
      <c r="XF443" s="630"/>
      <c r="XG443" s="630"/>
      <c r="XH443" s="630"/>
      <c r="XI443" s="630"/>
      <c r="XJ443" s="630"/>
      <c r="XK443" s="630"/>
      <c r="XL443" s="630"/>
      <c r="XM443" s="630"/>
      <c r="XN443" s="630"/>
      <c r="XO443" s="630"/>
      <c r="XP443" s="630"/>
      <c r="XQ443" s="630"/>
      <c r="XR443" s="630"/>
      <c r="XS443" s="630"/>
      <c r="XT443" s="630"/>
      <c r="XU443" s="630"/>
      <c r="XV443" s="630"/>
      <c r="XW443" s="630"/>
      <c r="XX443" s="630"/>
      <c r="XY443" s="630"/>
      <c r="XZ443" s="630"/>
      <c r="YA443" s="630"/>
      <c r="YB443" s="630"/>
      <c r="YC443" s="630"/>
      <c r="YD443" s="630"/>
      <c r="YE443" s="630"/>
      <c r="YF443" s="630"/>
      <c r="YG443" s="630"/>
      <c r="YH443" s="630"/>
      <c r="YI443" s="630"/>
      <c r="YJ443" s="630"/>
      <c r="YK443" s="630"/>
      <c r="YL443" s="630"/>
      <c r="YM443" s="630"/>
      <c r="YN443" s="630"/>
      <c r="YO443" s="630"/>
      <c r="YP443" s="630"/>
      <c r="YQ443" s="630"/>
      <c r="YR443" s="630"/>
      <c r="YS443" s="630"/>
      <c r="YT443" s="630"/>
      <c r="YU443" s="630"/>
      <c r="YV443" s="630"/>
      <c r="YW443" s="630"/>
      <c r="YX443" s="630"/>
      <c r="YY443" s="630"/>
      <c r="YZ443" s="630"/>
      <c r="ZA443" s="630"/>
      <c r="ZB443" s="630"/>
      <c r="ZC443" s="630"/>
      <c r="ZD443" s="630"/>
      <c r="ZE443" s="630"/>
      <c r="ZF443" s="630"/>
      <c r="ZG443" s="630"/>
      <c r="ZH443" s="630"/>
      <c r="ZI443" s="630"/>
      <c r="ZJ443" s="630"/>
      <c r="ZK443" s="630"/>
      <c r="ZL443" s="630"/>
      <c r="ZM443" s="630"/>
      <c r="ZN443" s="630"/>
      <c r="ZO443" s="630"/>
      <c r="ZP443" s="630"/>
      <c r="ZQ443" s="630"/>
      <c r="ZR443" s="630"/>
      <c r="ZS443" s="630"/>
      <c r="ZT443" s="630"/>
      <c r="ZU443" s="630"/>
      <c r="ZV443" s="630"/>
      <c r="ZW443" s="630"/>
      <c r="ZX443" s="630"/>
      <c r="ZY443" s="643"/>
      <c r="ZZ443" s="32"/>
      <c r="AAA443" s="588"/>
      <c r="AAD443" s="112"/>
      <c r="AAE443" s="551">
        <v>0</v>
      </c>
      <c r="AAF443" s="583" t="s">
        <v>174</v>
      </c>
      <c r="AAG443" s="63"/>
      <c r="AAH443" s="63"/>
      <c r="AAI443" s="77"/>
      <c r="AAJ443" s="57"/>
      <c r="AAK443" s="57"/>
      <c r="AAL443" s="57"/>
      <c r="AAM443" s="112"/>
      <c r="AAN443"/>
      <c r="AAT443" s="23"/>
      <c r="AAU443" s="44"/>
    </row>
    <row r="444" spans="1:732" ht="15.75" customHeight="1" outlineLevel="2">
      <c r="A444" s="558"/>
      <c r="B444" s="415" t="s">
        <v>126</v>
      </c>
      <c r="C444" s="727"/>
      <c r="D444" s="277" t="s">
        <v>390</v>
      </c>
      <c r="E444" s="368">
        <f t="shared" ref="E444:E459" si="998">NETWORKDAYS(G444,H444,S.DDL_DEQClosed)</f>
        <v>1</v>
      </c>
      <c r="F444" s="372">
        <f t="shared" ref="F444:F459" ca="1" si="999">NETWORKDAYS(TODAY(),H444)</f>
        <v>48</v>
      </c>
      <c r="G444" s="471">
        <f>AAG444</f>
        <v>41717</v>
      </c>
      <c r="H444" s="369">
        <f>AAH444</f>
        <v>41717</v>
      </c>
      <c r="I444" s="627"/>
      <c r="J444" s="50"/>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50"/>
      <c r="CA444" s="50"/>
      <c r="CB444" s="50"/>
      <c r="CC444" s="50"/>
      <c r="CD444" s="50"/>
      <c r="CE444" s="50"/>
      <c r="CF444" s="50"/>
      <c r="CG444" s="50"/>
      <c r="CH444" s="50"/>
      <c r="CI444" s="50"/>
      <c r="CJ444" s="50"/>
      <c r="CK444" s="50"/>
      <c r="CL444" s="50"/>
      <c r="CM444" s="50"/>
      <c r="CN444" s="50"/>
      <c r="CO444" s="50"/>
      <c r="CP444" s="50"/>
      <c r="CQ444" s="50"/>
      <c r="CR444" s="50"/>
      <c r="CS444" s="50"/>
      <c r="CT444" s="50"/>
      <c r="CU444" s="50"/>
      <c r="CV444" s="50"/>
      <c r="CW444" s="50"/>
      <c r="CX444" s="50"/>
      <c r="CY444" s="50"/>
      <c r="CZ444" s="50"/>
      <c r="DA444" s="50"/>
      <c r="DB444" s="50"/>
      <c r="DC444" s="50"/>
      <c r="DD444" s="50"/>
      <c r="DE444" s="50"/>
      <c r="DF444" s="50"/>
      <c r="DG444" s="50"/>
      <c r="DH444" s="50"/>
      <c r="DI444" s="50"/>
      <c r="DJ444" s="50"/>
      <c r="DK444" s="50"/>
      <c r="DL444" s="50"/>
      <c r="DM444" s="50"/>
      <c r="DN444" s="50"/>
      <c r="DO444" s="50"/>
      <c r="DP444" s="50"/>
      <c r="DQ444" s="50"/>
      <c r="DR444" s="50"/>
      <c r="DS444" s="50"/>
      <c r="DT444" s="50"/>
      <c r="DU444" s="50"/>
      <c r="DV444" s="50"/>
      <c r="DW444" s="50"/>
      <c r="DX444" s="50"/>
      <c r="DY444" s="50"/>
      <c r="DZ444" s="50"/>
      <c r="EA444" s="50"/>
      <c r="EB444" s="50"/>
      <c r="EC444" s="50"/>
      <c r="ED444" s="50"/>
      <c r="EE444" s="50"/>
      <c r="EF444" s="50"/>
      <c r="EG444" s="50"/>
      <c r="EH444" s="50"/>
      <c r="EI444" s="50"/>
      <c r="EJ444" s="50"/>
      <c r="EK444" s="50"/>
      <c r="EL444" s="50"/>
      <c r="EM444" s="50"/>
      <c r="EN444" s="50"/>
      <c r="EO444" s="50"/>
      <c r="EP444" s="50"/>
      <c r="EQ444" s="50"/>
      <c r="ER444" s="50"/>
      <c r="ES444" s="50"/>
      <c r="ET444" s="50"/>
      <c r="EU444" s="50"/>
      <c r="EV444" s="50"/>
      <c r="EW444" s="50"/>
      <c r="EX444" s="50"/>
      <c r="EY444" s="50"/>
      <c r="EZ444" s="50"/>
      <c r="FA444" s="50"/>
      <c r="FB444" s="50"/>
      <c r="FC444" s="50"/>
      <c r="FD444" s="50"/>
      <c r="FE444" s="50"/>
      <c r="FF444" s="50"/>
      <c r="FG444" s="50"/>
      <c r="FH444" s="50"/>
      <c r="FI444" s="50"/>
      <c r="FJ444" s="50"/>
      <c r="FK444" s="50"/>
      <c r="FL444" s="50"/>
      <c r="FM444" s="50"/>
      <c r="FN444" s="50"/>
      <c r="FO444" s="50"/>
      <c r="FP444" s="50"/>
      <c r="FQ444" s="50"/>
      <c r="FR444" s="50"/>
      <c r="FS444" s="50"/>
      <c r="FT444" s="50"/>
      <c r="FU444" s="50"/>
      <c r="FV444" s="50"/>
      <c r="FW444" s="50"/>
      <c r="FX444" s="50"/>
      <c r="FY444" s="50"/>
      <c r="FZ444" s="50"/>
      <c r="GA444" s="50"/>
      <c r="GB444" s="50"/>
      <c r="GC444" s="50"/>
      <c r="GD444" s="50"/>
      <c r="GE444" s="50"/>
      <c r="GF444" s="50"/>
      <c r="GG444" s="50"/>
      <c r="GH444" s="50"/>
      <c r="GI444" s="50"/>
      <c r="GJ444" s="50"/>
      <c r="GK444" s="50"/>
      <c r="GL444" s="50"/>
      <c r="GM444" s="50"/>
      <c r="GN444" s="50"/>
      <c r="GO444" s="50"/>
      <c r="GP444" s="50"/>
      <c r="GQ444" s="50"/>
      <c r="GR444" s="50"/>
      <c r="GS444" s="50"/>
      <c r="GT444" s="50"/>
      <c r="GU444" s="50"/>
      <c r="GV444" s="50"/>
      <c r="GW444" s="50"/>
      <c r="GX444" s="50"/>
      <c r="GY444" s="50"/>
      <c r="GZ444" s="50"/>
      <c r="HA444" s="50"/>
      <c r="HB444" s="50"/>
      <c r="HC444" s="50"/>
      <c r="HD444" s="50"/>
      <c r="HE444" s="50"/>
      <c r="HF444" s="50"/>
      <c r="HG444" s="50"/>
      <c r="HH444" s="50"/>
      <c r="HI444" s="50"/>
      <c r="HJ444" s="50"/>
      <c r="HK444" s="50"/>
      <c r="HL444" s="50"/>
      <c r="HM444" s="50"/>
      <c r="HN444" s="50"/>
      <c r="HO444" s="50"/>
      <c r="HP444" s="50"/>
      <c r="HQ444" s="50"/>
      <c r="HR444" s="50"/>
      <c r="HS444" s="50"/>
      <c r="HT444" s="50"/>
      <c r="HU444" s="50"/>
      <c r="HV444" s="50"/>
      <c r="HW444" s="50"/>
      <c r="HX444" s="50"/>
      <c r="HY444" s="50"/>
      <c r="HZ444" s="50"/>
      <c r="IA444" s="50"/>
      <c r="IB444" s="50"/>
      <c r="IC444" s="50"/>
      <c r="ID444" s="50"/>
      <c r="IE444" s="50"/>
      <c r="IF444" s="50"/>
      <c r="IG444" s="50"/>
      <c r="IH444" s="50"/>
      <c r="II444" s="50"/>
      <c r="IJ444" s="50"/>
      <c r="IK444" s="50"/>
      <c r="IL444" s="50"/>
      <c r="IM444" s="50"/>
      <c r="IN444" s="50"/>
      <c r="IO444" s="50"/>
      <c r="IP444" s="50"/>
      <c r="IQ444" s="50"/>
      <c r="IR444" s="50"/>
      <c r="IS444" s="50"/>
      <c r="IT444" s="50"/>
      <c r="IU444" s="50"/>
      <c r="IV444" s="50"/>
      <c r="IW444" s="50"/>
      <c r="IX444" s="50"/>
      <c r="IY444" s="50"/>
      <c r="IZ444" s="50"/>
      <c r="JA444" s="50"/>
      <c r="JB444" s="50"/>
      <c r="JC444" s="50"/>
      <c r="JD444" s="50"/>
      <c r="JE444" s="50"/>
      <c r="JF444" s="50"/>
      <c r="JG444" s="50"/>
      <c r="JH444" s="50"/>
      <c r="JI444" s="50"/>
      <c r="JJ444" s="50"/>
      <c r="JK444" s="50"/>
      <c r="JL444" s="50"/>
      <c r="JM444" s="50"/>
      <c r="JN444" s="50"/>
      <c r="JO444" s="50"/>
      <c r="JP444" s="50"/>
      <c r="JQ444" s="50"/>
      <c r="JR444" s="50"/>
      <c r="JS444" s="50"/>
      <c r="JT444" s="50"/>
      <c r="JU444" s="50"/>
      <c r="JV444" s="50"/>
      <c r="JW444" s="50"/>
      <c r="JX444" s="50"/>
      <c r="JY444" s="50"/>
      <c r="JZ444" s="50"/>
      <c r="KA444" s="50"/>
      <c r="KB444" s="50"/>
      <c r="KC444" s="50"/>
      <c r="KD444" s="50"/>
      <c r="KE444" s="50"/>
      <c r="KF444" s="50"/>
      <c r="KG444" s="50"/>
      <c r="KH444" s="50"/>
      <c r="KI444" s="50"/>
      <c r="KJ444" s="50"/>
      <c r="KK444" s="50"/>
      <c r="KL444" s="50"/>
      <c r="KM444" s="50"/>
      <c r="KN444" s="50"/>
      <c r="KO444" s="50"/>
      <c r="KP444" s="50"/>
      <c r="KQ444" s="50"/>
      <c r="KR444" s="50"/>
      <c r="KS444" s="50"/>
      <c r="KT444" s="50"/>
      <c r="KU444" s="50"/>
      <c r="KV444" s="50"/>
      <c r="KW444" s="50"/>
      <c r="KX444" s="50"/>
      <c r="KY444" s="50"/>
      <c r="KZ444" s="50"/>
      <c r="LA444" s="50"/>
      <c r="LB444" s="50"/>
      <c r="LC444" s="50"/>
      <c r="LD444" s="50"/>
      <c r="LE444" s="50"/>
      <c r="LF444" s="50"/>
      <c r="LG444" s="50"/>
      <c r="LH444" s="50"/>
      <c r="LI444" s="50"/>
      <c r="LJ444" s="50"/>
      <c r="LK444" s="50"/>
      <c r="LL444" s="50"/>
      <c r="LM444" s="50"/>
      <c r="LN444" s="50"/>
      <c r="LO444" s="50"/>
      <c r="LP444" s="50"/>
      <c r="LQ444" s="50"/>
      <c r="LR444" s="50"/>
      <c r="LS444" s="50"/>
      <c r="LT444" s="50"/>
      <c r="LU444" s="50"/>
      <c r="LV444" s="50"/>
      <c r="LW444" s="50"/>
      <c r="LX444" s="50"/>
      <c r="LY444" s="50"/>
      <c r="LZ444" s="50"/>
      <c r="MA444" s="50"/>
      <c r="MB444" s="50"/>
      <c r="MC444" s="50"/>
      <c r="MD444" s="50"/>
      <c r="ME444" s="50"/>
      <c r="MF444" s="50"/>
      <c r="MG444" s="50"/>
      <c r="MH444" s="50"/>
      <c r="MI444" s="50"/>
      <c r="MJ444" s="50"/>
      <c r="MK444" s="50"/>
      <c r="ML444" s="50"/>
      <c r="MM444" s="50"/>
      <c r="MN444" s="50"/>
      <c r="MO444" s="50"/>
      <c r="MP444" s="50"/>
      <c r="MQ444" s="50"/>
      <c r="MR444" s="50"/>
      <c r="MS444" s="50"/>
      <c r="MT444" s="50"/>
      <c r="MU444" s="50"/>
      <c r="MV444" s="50"/>
      <c r="MW444" s="50"/>
      <c r="MX444" s="50"/>
      <c r="MY444" s="50"/>
      <c r="MZ444" s="50"/>
      <c r="NA444" s="50"/>
      <c r="NB444" s="50"/>
      <c r="NC444" s="50"/>
      <c r="ND444" s="50"/>
      <c r="NE444" s="50"/>
      <c r="NF444" s="50"/>
      <c r="NG444" s="50"/>
      <c r="NH444" s="50"/>
      <c r="NI444" s="50"/>
      <c r="NJ444" s="50"/>
      <c r="NK444" s="50"/>
      <c r="NL444" s="50"/>
      <c r="NM444" s="50"/>
      <c r="NN444" s="50"/>
      <c r="NO444" s="50"/>
      <c r="NP444" s="50"/>
      <c r="NQ444" s="50"/>
      <c r="NR444" s="50"/>
      <c r="NS444" s="50"/>
      <c r="NT444" s="50"/>
      <c r="NU444" s="50"/>
      <c r="NV444" s="50"/>
      <c r="NW444" s="50"/>
      <c r="NX444" s="50"/>
      <c r="NY444" s="50"/>
      <c r="NZ444" s="50"/>
      <c r="OA444" s="50"/>
      <c r="OB444" s="50"/>
      <c r="OC444" s="50"/>
      <c r="OD444" s="50"/>
      <c r="OE444" s="50"/>
      <c r="OF444" s="50"/>
      <c r="OG444" s="50"/>
      <c r="OH444" s="50"/>
      <c r="OI444" s="50"/>
      <c r="OJ444" s="50"/>
      <c r="OK444" s="50"/>
      <c r="OL444" s="50"/>
      <c r="OM444" s="50"/>
      <c r="ON444" s="50"/>
      <c r="OO444" s="50"/>
      <c r="OP444" s="50"/>
      <c r="OQ444" s="50"/>
      <c r="OR444" s="50"/>
      <c r="OS444" s="50"/>
      <c r="OT444" s="50"/>
      <c r="OU444" s="50"/>
      <c r="OV444" s="50"/>
      <c r="OW444" s="50"/>
      <c r="OX444" s="50"/>
      <c r="OY444" s="50"/>
      <c r="OZ444" s="50"/>
      <c r="PA444" s="50"/>
      <c r="PB444" s="50"/>
      <c r="PC444" s="50"/>
      <c r="PD444" s="50"/>
      <c r="PE444" s="50"/>
      <c r="PF444" s="50"/>
      <c r="PG444" s="50"/>
      <c r="PH444" s="50"/>
      <c r="PI444" s="50"/>
      <c r="PJ444" s="50"/>
      <c r="PK444" s="50"/>
      <c r="PL444" s="50"/>
      <c r="PM444" s="50"/>
      <c r="PN444" s="50"/>
      <c r="PO444" s="50"/>
      <c r="PP444" s="50"/>
      <c r="PQ444" s="50"/>
      <c r="PR444" s="50"/>
      <c r="PS444" s="50"/>
      <c r="PT444" s="50"/>
      <c r="PU444" s="50"/>
      <c r="PV444" s="50"/>
      <c r="PW444" s="50"/>
      <c r="PX444" s="50"/>
      <c r="PY444" s="50"/>
      <c r="PZ444" s="50"/>
      <c r="QA444" s="50"/>
      <c r="QB444" s="50"/>
      <c r="QC444" s="50"/>
      <c r="QD444" s="50"/>
      <c r="QE444" s="50"/>
      <c r="QF444" s="50"/>
      <c r="QG444" s="50"/>
      <c r="QH444" s="50"/>
      <c r="QI444" s="50"/>
      <c r="QJ444" s="50"/>
      <c r="QK444" s="50"/>
      <c r="QL444" s="50"/>
      <c r="QM444" s="50"/>
      <c r="QN444" s="50"/>
      <c r="QO444" s="50"/>
      <c r="QP444" s="50"/>
      <c r="QQ444" s="50"/>
      <c r="QR444" s="50"/>
      <c r="QS444" s="50"/>
      <c r="QT444" s="50"/>
      <c r="QU444" s="50"/>
      <c r="QV444" s="50"/>
      <c r="QW444" s="50"/>
      <c r="QX444" s="50"/>
      <c r="QY444" s="50"/>
      <c r="QZ444" s="50"/>
      <c r="RA444" s="50"/>
      <c r="RB444" s="50"/>
      <c r="RC444" s="50"/>
      <c r="RD444" s="50"/>
      <c r="RE444" s="50"/>
      <c r="RF444" s="50"/>
      <c r="RG444" s="50"/>
      <c r="RH444" s="50"/>
      <c r="RI444" s="50"/>
      <c r="RJ444" s="50"/>
      <c r="RK444" s="50"/>
      <c r="RL444" s="50"/>
      <c r="RM444" s="50"/>
      <c r="RN444" s="50"/>
      <c r="RO444" s="50"/>
      <c r="RP444" s="50"/>
      <c r="RQ444" s="50"/>
      <c r="RR444" s="50"/>
      <c r="RS444" s="50"/>
      <c r="RT444" s="50"/>
      <c r="RU444" s="50"/>
      <c r="RV444" s="50"/>
      <c r="RW444" s="50"/>
      <c r="RX444" s="50"/>
      <c r="RY444" s="50"/>
      <c r="RZ444" s="50"/>
      <c r="SA444" s="50"/>
      <c r="SB444" s="50"/>
      <c r="SC444" s="50"/>
      <c r="SD444" s="50"/>
      <c r="SE444" s="50"/>
      <c r="SF444" s="50"/>
      <c r="SG444" s="50"/>
      <c r="SH444" s="50"/>
      <c r="SI444" s="50"/>
      <c r="SJ444" s="50"/>
      <c r="SK444" s="50"/>
      <c r="SL444" s="50"/>
      <c r="SM444" s="50"/>
      <c r="SN444" s="50"/>
      <c r="SO444" s="50"/>
      <c r="SP444" s="50"/>
      <c r="SQ444" s="50"/>
      <c r="SR444" s="50"/>
      <c r="SS444" s="50"/>
      <c r="ST444" s="50"/>
      <c r="SU444" s="50"/>
      <c r="SV444" s="50"/>
      <c r="SW444" s="50"/>
      <c r="SX444" s="50"/>
      <c r="SY444" s="50"/>
      <c r="SZ444" s="50"/>
      <c r="TA444" s="50"/>
      <c r="TB444" s="50"/>
      <c r="TC444" s="50"/>
      <c r="TD444" s="50"/>
      <c r="TE444" s="50"/>
      <c r="TF444" s="50"/>
      <c r="TG444" s="50"/>
      <c r="TH444" s="50"/>
      <c r="TI444" s="50"/>
      <c r="TJ444" s="50"/>
      <c r="TK444" s="50"/>
      <c r="TL444" s="50"/>
      <c r="TM444" s="50"/>
      <c r="TN444" s="50"/>
      <c r="TO444" s="50"/>
      <c r="TP444" s="50"/>
      <c r="TQ444" s="50"/>
      <c r="TR444" s="50"/>
      <c r="TS444" s="50"/>
      <c r="TT444" s="50"/>
      <c r="TU444" s="50"/>
      <c r="TV444" s="50"/>
      <c r="TW444" s="50"/>
      <c r="TX444" s="50"/>
      <c r="TY444" s="50"/>
      <c r="TZ444" s="50"/>
      <c r="UA444" s="50"/>
      <c r="UB444" s="50"/>
      <c r="UC444" s="50"/>
      <c r="UD444" s="50"/>
      <c r="UE444" s="50"/>
      <c r="UF444" s="50"/>
      <c r="UG444" s="50"/>
      <c r="UH444" s="50"/>
      <c r="UI444" s="50"/>
      <c r="UJ444" s="50"/>
      <c r="UK444" s="50"/>
      <c r="UL444" s="50"/>
      <c r="UM444" s="50"/>
      <c r="UN444" s="50"/>
      <c r="UO444" s="50"/>
      <c r="UP444" s="50"/>
      <c r="UQ444" s="50"/>
      <c r="UR444" s="50"/>
      <c r="US444" s="50"/>
      <c r="UT444" s="50"/>
      <c r="UU444" s="50"/>
      <c r="UV444" s="50"/>
      <c r="UW444" s="50"/>
      <c r="UX444" s="50"/>
      <c r="UY444" s="50"/>
      <c r="UZ444" s="50"/>
      <c r="VA444" s="50"/>
      <c r="VB444" s="50"/>
      <c r="VC444" s="50"/>
      <c r="VD444" s="50"/>
      <c r="VE444" s="50"/>
      <c r="VF444" s="50"/>
      <c r="VG444" s="50"/>
      <c r="VH444" s="50"/>
      <c r="VI444" s="50"/>
      <c r="VJ444" s="50"/>
      <c r="VK444" s="50"/>
      <c r="VL444" s="50"/>
      <c r="VM444" s="50"/>
      <c r="VN444" s="50"/>
      <c r="VO444" s="50"/>
      <c r="VP444" s="50"/>
      <c r="VQ444" s="50"/>
      <c r="VR444" s="50"/>
      <c r="VS444" s="50"/>
      <c r="VT444" s="50"/>
      <c r="VU444" s="50"/>
      <c r="VV444" s="50"/>
      <c r="VW444" s="50"/>
      <c r="VX444" s="50"/>
      <c r="VY444" s="50"/>
      <c r="VZ444" s="50"/>
      <c r="WA444" s="50"/>
      <c r="WB444" s="50"/>
      <c r="WC444" s="50"/>
      <c r="WD444" s="50"/>
      <c r="WE444" s="50"/>
      <c r="WF444" s="50"/>
      <c r="WG444" s="50"/>
      <c r="WH444" s="50"/>
      <c r="WI444" s="50"/>
      <c r="WJ444" s="50"/>
      <c r="WK444" s="50"/>
      <c r="WL444" s="50"/>
      <c r="WM444" s="50"/>
      <c r="WN444" s="50"/>
      <c r="WO444" s="50"/>
      <c r="WP444" s="50"/>
      <c r="WQ444" s="50"/>
      <c r="WR444" s="50"/>
      <c r="WS444" s="50"/>
      <c r="WT444" s="50"/>
      <c r="WU444" s="50"/>
      <c r="WV444" s="50"/>
      <c r="WW444" s="50"/>
      <c r="WX444" s="50"/>
      <c r="WY444" s="50"/>
      <c r="WZ444" s="50"/>
      <c r="XA444" s="50"/>
      <c r="XB444" s="50"/>
      <c r="XC444" s="50"/>
      <c r="XD444" s="50"/>
      <c r="XE444" s="50"/>
      <c r="XF444" s="50"/>
      <c r="XG444" s="50"/>
      <c r="XH444" s="50"/>
      <c r="XI444" s="50"/>
      <c r="XJ444" s="50"/>
      <c r="XK444" s="50"/>
      <c r="XL444" s="50"/>
      <c r="XM444" s="50"/>
      <c r="XN444" s="50"/>
      <c r="XO444" s="50"/>
      <c r="XP444" s="50"/>
      <c r="XQ444" s="50"/>
      <c r="XR444" s="50"/>
      <c r="XS444" s="50"/>
      <c r="XT444" s="50"/>
      <c r="XU444" s="50"/>
      <c r="XV444" s="50"/>
      <c r="XW444" s="50"/>
      <c r="XX444" s="50"/>
      <c r="XY444" s="50"/>
      <c r="XZ444" s="50"/>
      <c r="YA444" s="50"/>
      <c r="YB444" s="50"/>
      <c r="YC444" s="50"/>
      <c r="YD444" s="50"/>
      <c r="YE444" s="50"/>
      <c r="YF444" s="50"/>
      <c r="YG444" s="50"/>
      <c r="YH444" s="50"/>
      <c r="YI444" s="50"/>
      <c r="YJ444" s="50"/>
      <c r="YK444" s="50"/>
      <c r="YL444" s="50"/>
      <c r="YM444" s="50"/>
      <c r="YN444" s="50"/>
      <c r="YO444" s="50"/>
      <c r="YP444" s="50"/>
      <c r="YQ444" s="50"/>
      <c r="YR444" s="50"/>
      <c r="YS444" s="50"/>
      <c r="YT444" s="50"/>
      <c r="YU444" s="50"/>
      <c r="YV444" s="50"/>
      <c r="YW444" s="50"/>
      <c r="YX444" s="50"/>
      <c r="YY444" s="50"/>
      <c r="YZ444" s="50"/>
      <c r="ZA444" s="50"/>
      <c r="ZB444" s="50"/>
      <c r="ZC444" s="50"/>
      <c r="ZD444" s="50"/>
      <c r="ZE444" s="50"/>
      <c r="ZF444" s="50"/>
      <c r="ZG444" s="50"/>
      <c r="ZH444" s="50"/>
      <c r="ZI444" s="50"/>
      <c r="ZJ444" s="50"/>
      <c r="ZK444" s="50"/>
      <c r="ZL444" s="50"/>
      <c r="ZM444" s="50"/>
      <c r="ZN444" s="50"/>
      <c r="ZO444" s="50"/>
      <c r="ZP444" s="50"/>
      <c r="ZQ444" s="50"/>
      <c r="ZR444" s="50"/>
      <c r="ZS444" s="50"/>
      <c r="ZT444" s="50"/>
      <c r="ZU444" s="50"/>
      <c r="ZV444" s="50"/>
      <c r="ZW444" s="50"/>
      <c r="ZX444" s="50"/>
      <c r="ZY444" s="50"/>
      <c r="ZZ444" s="50"/>
      <c r="AAA444" s="588"/>
      <c r="AAD444" s="112"/>
      <c r="AAE444" s="551">
        <v>1</v>
      </c>
      <c r="AAF444" s="112"/>
      <c r="AAG444" s="78">
        <f>S.EQCMeeting</f>
        <v>41717</v>
      </c>
      <c r="AAH444" s="78">
        <f>G444</f>
        <v>41717</v>
      </c>
      <c r="AAI444" s="77"/>
      <c r="AAJ444" s="57" t="s">
        <v>0</v>
      </c>
      <c r="AAK444" s="57"/>
      <c r="AAL444" s="57"/>
      <c r="AAM444" s="112"/>
      <c r="AAN444"/>
      <c r="AAT444" s="23"/>
      <c r="AAU444" s="44"/>
    </row>
    <row r="445" spans="1:732" ht="15.75" customHeight="1" outlineLevel="2">
      <c r="A445" s="558"/>
      <c r="B445" s="467" t="str">
        <f>"EQC.RULES."&amp;TEXT(S.EQCMeeting,"m.d.yyyy")</f>
        <v>EQC.RULES.3.19.2014</v>
      </c>
      <c r="C445" s="722"/>
      <c r="D445" s="174"/>
      <c r="E445" s="400"/>
      <c r="F445" s="400"/>
      <c r="G445" s="469"/>
      <c r="H445" s="469"/>
      <c r="I445" s="588"/>
      <c r="J445" s="592"/>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c r="BL445" s="50"/>
      <c r="BM445" s="50"/>
      <c r="BN445" s="50"/>
      <c r="BO445" s="50"/>
      <c r="BP445" s="50"/>
      <c r="BQ445" s="50"/>
      <c r="BR445" s="50"/>
      <c r="BS445" s="50"/>
      <c r="BT445" s="50"/>
      <c r="BU445" s="50"/>
      <c r="BV445" s="50"/>
      <c r="BW445" s="50"/>
      <c r="BX445" s="50"/>
      <c r="BY445" s="50"/>
      <c r="BZ445" s="50"/>
      <c r="CA445" s="50"/>
      <c r="CB445" s="50"/>
      <c r="CC445" s="50"/>
      <c r="CD445" s="50"/>
      <c r="CE445" s="50"/>
      <c r="CF445" s="50"/>
      <c r="CG445" s="50"/>
      <c r="CH445" s="50"/>
      <c r="CI445" s="50"/>
      <c r="CJ445" s="50"/>
      <c r="CK445" s="50"/>
      <c r="CL445" s="50"/>
      <c r="CM445" s="50"/>
      <c r="CN445" s="50"/>
      <c r="CO445" s="50"/>
      <c r="CP445" s="50"/>
      <c r="CQ445" s="50"/>
      <c r="CR445" s="50"/>
      <c r="CS445" s="50"/>
      <c r="CT445" s="50"/>
      <c r="CU445" s="50"/>
      <c r="CV445" s="50"/>
      <c r="CW445" s="50"/>
      <c r="CX445" s="50"/>
      <c r="CY445" s="50"/>
      <c r="CZ445" s="50"/>
      <c r="DA445" s="50"/>
      <c r="DB445" s="50"/>
      <c r="DC445" s="50"/>
      <c r="DD445" s="50"/>
      <c r="DE445" s="50"/>
      <c r="DF445" s="50"/>
      <c r="DG445" s="50"/>
      <c r="DH445" s="50"/>
      <c r="DI445" s="50"/>
      <c r="DJ445" s="50"/>
      <c r="DK445" s="50"/>
      <c r="DL445" s="50"/>
      <c r="DM445" s="50"/>
      <c r="DN445" s="50"/>
      <c r="DO445" s="50"/>
      <c r="DP445" s="50"/>
      <c r="DQ445" s="50"/>
      <c r="DR445" s="50"/>
      <c r="DS445" s="50"/>
      <c r="DT445" s="50"/>
      <c r="DU445" s="50"/>
      <c r="DV445" s="50"/>
      <c r="DW445" s="50"/>
      <c r="DX445" s="50"/>
      <c r="DY445" s="50"/>
      <c r="DZ445" s="50"/>
      <c r="EA445" s="50"/>
      <c r="EB445" s="50"/>
      <c r="EC445" s="50"/>
      <c r="ED445" s="50"/>
      <c r="EE445" s="50"/>
      <c r="EF445" s="50"/>
      <c r="EG445" s="50"/>
      <c r="EH445" s="50"/>
      <c r="EI445" s="50"/>
      <c r="EJ445" s="50"/>
      <c r="EK445" s="50"/>
      <c r="EL445" s="50"/>
      <c r="EM445" s="50"/>
      <c r="EN445" s="50"/>
      <c r="EO445" s="50"/>
      <c r="EP445" s="50"/>
      <c r="EQ445" s="50"/>
      <c r="ER445" s="50"/>
      <c r="ES445" s="50"/>
      <c r="ET445" s="50"/>
      <c r="EU445" s="50"/>
      <c r="EV445" s="50"/>
      <c r="EW445" s="50"/>
      <c r="EX445" s="50"/>
      <c r="EY445" s="50"/>
      <c r="EZ445" s="50"/>
      <c r="FA445" s="50"/>
      <c r="FB445" s="50"/>
      <c r="FC445" s="50"/>
      <c r="FD445" s="50"/>
      <c r="FE445" s="50"/>
      <c r="FF445" s="50"/>
      <c r="FG445" s="50"/>
      <c r="FH445" s="50"/>
      <c r="FI445" s="50"/>
      <c r="FJ445" s="50"/>
      <c r="FK445" s="50"/>
      <c r="FL445" s="50"/>
      <c r="FM445" s="50"/>
      <c r="FN445" s="50"/>
      <c r="FO445" s="50"/>
      <c r="FP445" s="50"/>
      <c r="FQ445" s="50"/>
      <c r="FR445" s="50"/>
      <c r="FS445" s="50"/>
      <c r="FT445" s="50"/>
      <c r="FU445" s="50"/>
      <c r="FV445" s="50"/>
      <c r="FW445" s="50"/>
      <c r="FX445" s="50"/>
      <c r="FY445" s="50"/>
      <c r="FZ445" s="50"/>
      <c r="GA445" s="50"/>
      <c r="GB445" s="50"/>
      <c r="GC445" s="50"/>
      <c r="GD445" s="50"/>
      <c r="GE445" s="50"/>
      <c r="GF445" s="50"/>
      <c r="GG445" s="50"/>
      <c r="GH445" s="50"/>
      <c r="GI445" s="50"/>
      <c r="GJ445" s="50"/>
      <c r="GK445" s="50"/>
      <c r="GL445" s="50"/>
      <c r="GM445" s="50"/>
      <c r="GN445" s="50"/>
      <c r="GO445" s="50"/>
      <c r="GP445" s="50"/>
      <c r="GQ445" s="50"/>
      <c r="GR445" s="50"/>
      <c r="GS445" s="50"/>
      <c r="GT445" s="50"/>
      <c r="GU445" s="50"/>
      <c r="GV445" s="50"/>
      <c r="GW445" s="50"/>
      <c r="GX445" s="50"/>
      <c r="GY445" s="50"/>
      <c r="GZ445" s="50"/>
      <c r="HA445" s="50"/>
      <c r="HB445" s="50"/>
      <c r="HC445" s="50"/>
      <c r="HD445" s="50"/>
      <c r="HE445" s="50"/>
      <c r="HF445" s="50"/>
      <c r="HG445" s="50"/>
      <c r="HH445" s="50"/>
      <c r="HI445" s="50"/>
      <c r="HJ445" s="50"/>
      <c r="HK445" s="50"/>
      <c r="HL445" s="50"/>
      <c r="HM445" s="50"/>
      <c r="HN445" s="50"/>
      <c r="HO445" s="50"/>
      <c r="HP445" s="50"/>
      <c r="HQ445" s="50"/>
      <c r="HR445" s="50"/>
      <c r="HS445" s="50"/>
      <c r="HT445" s="50"/>
      <c r="HU445" s="50"/>
      <c r="HV445" s="50"/>
      <c r="HW445" s="50"/>
      <c r="HX445" s="50"/>
      <c r="HY445" s="50"/>
      <c r="HZ445" s="50"/>
      <c r="IA445" s="50"/>
      <c r="IB445" s="50"/>
      <c r="IC445" s="50"/>
      <c r="ID445" s="50"/>
      <c r="IE445" s="50"/>
      <c r="IF445" s="50"/>
      <c r="IG445" s="50"/>
      <c r="IH445" s="50"/>
      <c r="II445" s="50"/>
      <c r="IJ445" s="50"/>
      <c r="IK445" s="50"/>
      <c r="IL445" s="50"/>
      <c r="IM445" s="50"/>
      <c r="IN445" s="50"/>
      <c r="IO445" s="50"/>
      <c r="IP445" s="50"/>
      <c r="IQ445" s="50"/>
      <c r="IR445" s="50"/>
      <c r="IS445" s="50"/>
      <c r="IT445" s="50"/>
      <c r="IU445" s="50"/>
      <c r="IV445" s="50"/>
      <c r="IW445" s="50"/>
      <c r="IX445" s="50"/>
      <c r="IY445" s="50"/>
      <c r="IZ445" s="50"/>
      <c r="JA445" s="50"/>
      <c r="JB445" s="50"/>
      <c r="JC445" s="50"/>
      <c r="JD445" s="50"/>
      <c r="JE445" s="50"/>
      <c r="JF445" s="50"/>
      <c r="JG445" s="50"/>
      <c r="JH445" s="50"/>
      <c r="JI445" s="50"/>
      <c r="JJ445" s="50"/>
      <c r="JK445" s="50"/>
      <c r="JL445" s="50"/>
      <c r="JM445" s="50"/>
      <c r="JN445" s="50"/>
      <c r="JO445" s="50"/>
      <c r="JP445" s="50"/>
      <c r="JQ445" s="50"/>
      <c r="JR445" s="50"/>
      <c r="JS445" s="50"/>
      <c r="JT445" s="50"/>
      <c r="JU445" s="50"/>
      <c r="JV445" s="50"/>
      <c r="JW445" s="50"/>
      <c r="JX445" s="50"/>
      <c r="JY445" s="50"/>
      <c r="JZ445" s="50"/>
      <c r="KA445" s="50"/>
      <c r="KB445" s="50"/>
      <c r="KC445" s="50"/>
      <c r="KD445" s="50"/>
      <c r="KE445" s="50"/>
      <c r="KF445" s="50"/>
      <c r="KG445" s="50"/>
      <c r="KH445" s="50"/>
      <c r="KI445" s="50"/>
      <c r="KJ445" s="50"/>
      <c r="KK445" s="50"/>
      <c r="KL445" s="50"/>
      <c r="KM445" s="50"/>
      <c r="KN445" s="50"/>
      <c r="KO445" s="50"/>
      <c r="KP445" s="50"/>
      <c r="KQ445" s="50"/>
      <c r="KR445" s="50"/>
      <c r="KS445" s="50"/>
      <c r="KT445" s="50"/>
      <c r="KU445" s="50"/>
      <c r="KV445" s="50"/>
      <c r="KW445" s="50"/>
      <c r="KX445" s="50"/>
      <c r="KY445" s="50"/>
      <c r="KZ445" s="50"/>
      <c r="LA445" s="50"/>
      <c r="LB445" s="50"/>
      <c r="LC445" s="50"/>
      <c r="LD445" s="50"/>
      <c r="LE445" s="50"/>
      <c r="LF445" s="50"/>
      <c r="LG445" s="50"/>
      <c r="LH445" s="50"/>
      <c r="LI445" s="50"/>
      <c r="LJ445" s="50"/>
      <c r="LK445" s="50"/>
      <c r="LL445" s="50"/>
      <c r="LM445" s="50"/>
      <c r="LN445" s="50"/>
      <c r="LO445" s="50"/>
      <c r="LP445" s="50"/>
      <c r="LQ445" s="50"/>
      <c r="LR445" s="50"/>
      <c r="LS445" s="50"/>
      <c r="LT445" s="50"/>
      <c r="LU445" s="50"/>
      <c r="LV445" s="50"/>
      <c r="LW445" s="50"/>
      <c r="LX445" s="50"/>
      <c r="LY445" s="50"/>
      <c r="LZ445" s="50"/>
      <c r="MA445" s="50"/>
      <c r="MB445" s="50"/>
      <c r="MC445" s="50"/>
      <c r="MD445" s="50"/>
      <c r="ME445" s="50"/>
      <c r="MF445" s="50"/>
      <c r="MG445" s="50"/>
      <c r="MH445" s="50"/>
      <c r="MI445" s="50"/>
      <c r="MJ445" s="50"/>
      <c r="MK445" s="50"/>
      <c r="ML445" s="50"/>
      <c r="MM445" s="50"/>
      <c r="MN445" s="50"/>
      <c r="MO445" s="50"/>
      <c r="MP445" s="50"/>
      <c r="MQ445" s="50"/>
      <c r="MR445" s="50"/>
      <c r="MS445" s="50"/>
      <c r="MT445" s="50"/>
      <c r="MU445" s="50"/>
      <c r="MV445" s="50"/>
      <c r="MW445" s="50"/>
      <c r="MX445" s="50"/>
      <c r="MY445" s="50"/>
      <c r="MZ445" s="50"/>
      <c r="NA445" s="50"/>
      <c r="NB445" s="50"/>
      <c r="NC445" s="50"/>
      <c r="ND445" s="50"/>
      <c r="NE445" s="50"/>
      <c r="NF445" s="50"/>
      <c r="NG445" s="50"/>
      <c r="NH445" s="50"/>
      <c r="NI445" s="50"/>
      <c r="NJ445" s="50"/>
      <c r="NK445" s="50"/>
      <c r="NL445" s="50"/>
      <c r="NM445" s="50"/>
      <c r="NN445" s="50"/>
      <c r="NO445" s="50"/>
      <c r="NP445" s="50"/>
      <c r="NQ445" s="50"/>
      <c r="NR445" s="50"/>
      <c r="NS445" s="50"/>
      <c r="NT445" s="50"/>
      <c r="NU445" s="50"/>
      <c r="NV445" s="50"/>
      <c r="NW445" s="50"/>
      <c r="NX445" s="50"/>
      <c r="NY445" s="50"/>
      <c r="NZ445" s="50"/>
      <c r="OA445" s="50"/>
      <c r="OB445" s="50"/>
      <c r="OC445" s="50"/>
      <c r="OD445" s="50"/>
      <c r="OE445" s="50"/>
      <c r="OF445" s="50"/>
      <c r="OG445" s="50"/>
      <c r="OH445" s="50"/>
      <c r="OI445" s="50"/>
      <c r="OJ445" s="50"/>
      <c r="OK445" s="50"/>
      <c r="OL445" s="50"/>
      <c r="OM445" s="50"/>
      <c r="ON445" s="50"/>
      <c r="OO445" s="50"/>
      <c r="OP445" s="50"/>
      <c r="OQ445" s="50"/>
      <c r="OR445" s="50"/>
      <c r="OS445" s="50"/>
      <c r="OT445" s="50"/>
      <c r="OU445" s="50"/>
      <c r="OV445" s="50"/>
      <c r="OW445" s="50"/>
      <c r="OX445" s="50"/>
      <c r="OY445" s="50"/>
      <c r="OZ445" s="50"/>
      <c r="PA445" s="50"/>
      <c r="PB445" s="50"/>
      <c r="PC445" s="50"/>
      <c r="PD445" s="50"/>
      <c r="PE445" s="50"/>
      <c r="PF445" s="50"/>
      <c r="PG445" s="50"/>
      <c r="PH445" s="50"/>
      <c r="PI445" s="50"/>
      <c r="PJ445" s="50"/>
      <c r="PK445" s="50"/>
      <c r="PL445" s="50"/>
      <c r="PM445" s="50"/>
      <c r="PN445" s="50"/>
      <c r="PO445" s="50"/>
      <c r="PP445" s="50"/>
      <c r="PQ445" s="50"/>
      <c r="PR445" s="50"/>
      <c r="PS445" s="50"/>
      <c r="PT445" s="50"/>
      <c r="PU445" s="50"/>
      <c r="PV445" s="50"/>
      <c r="PW445" s="50"/>
      <c r="PX445" s="50"/>
      <c r="PY445" s="50"/>
      <c r="PZ445" s="50"/>
      <c r="QA445" s="50"/>
      <c r="QB445" s="50"/>
      <c r="QC445" s="50"/>
      <c r="QD445" s="50"/>
      <c r="QE445" s="50"/>
      <c r="QF445" s="50"/>
      <c r="QG445" s="50"/>
      <c r="QH445" s="50"/>
      <c r="QI445" s="50"/>
      <c r="QJ445" s="50"/>
      <c r="QK445" s="50"/>
      <c r="QL445" s="50"/>
      <c r="QM445" s="50"/>
      <c r="QN445" s="50"/>
      <c r="QO445" s="50"/>
      <c r="QP445" s="50"/>
      <c r="QQ445" s="50"/>
      <c r="QR445" s="50"/>
      <c r="QS445" s="50"/>
      <c r="QT445" s="50"/>
      <c r="QU445" s="50"/>
      <c r="QV445" s="50"/>
      <c r="QW445" s="50"/>
      <c r="QX445" s="50"/>
      <c r="QY445" s="50"/>
      <c r="QZ445" s="50"/>
      <c r="RA445" s="50"/>
      <c r="RB445" s="50"/>
      <c r="RC445" s="50"/>
      <c r="RD445" s="50"/>
      <c r="RE445" s="50"/>
      <c r="RF445" s="50"/>
      <c r="RG445" s="50"/>
      <c r="RH445" s="50"/>
      <c r="RI445" s="50"/>
      <c r="RJ445" s="50"/>
      <c r="RK445" s="50"/>
      <c r="RL445" s="50"/>
      <c r="RM445" s="50"/>
      <c r="RN445" s="50"/>
      <c r="RO445" s="50"/>
      <c r="RP445" s="50"/>
      <c r="RQ445" s="50"/>
      <c r="RR445" s="50"/>
      <c r="RS445" s="50"/>
      <c r="RT445" s="50"/>
      <c r="RU445" s="50"/>
      <c r="RV445" s="50"/>
      <c r="RW445" s="50"/>
      <c r="RX445" s="50"/>
      <c r="RY445" s="50"/>
      <c r="RZ445" s="50"/>
      <c r="SA445" s="50"/>
      <c r="SB445" s="50"/>
      <c r="SC445" s="50"/>
      <c r="SD445" s="50"/>
      <c r="SE445" s="50"/>
      <c r="SF445" s="50"/>
      <c r="SG445" s="50"/>
      <c r="SH445" s="50"/>
      <c r="SI445" s="50"/>
      <c r="SJ445" s="50"/>
      <c r="SK445" s="50"/>
      <c r="SL445" s="50"/>
      <c r="SM445" s="50"/>
      <c r="SN445" s="50"/>
      <c r="SO445" s="50"/>
      <c r="SP445" s="50"/>
      <c r="SQ445" s="50"/>
      <c r="SR445" s="50"/>
      <c r="SS445" s="50"/>
      <c r="ST445" s="50"/>
      <c r="SU445" s="50"/>
      <c r="SV445" s="50"/>
      <c r="SW445" s="50"/>
      <c r="SX445" s="50"/>
      <c r="SY445" s="50"/>
      <c r="SZ445" s="50"/>
      <c r="TA445" s="50"/>
      <c r="TB445" s="50"/>
      <c r="TC445" s="50"/>
      <c r="TD445" s="50"/>
      <c r="TE445" s="50"/>
      <c r="TF445" s="50"/>
      <c r="TG445" s="50"/>
      <c r="TH445" s="50"/>
      <c r="TI445" s="50"/>
      <c r="TJ445" s="50"/>
      <c r="TK445" s="50"/>
      <c r="TL445" s="50"/>
      <c r="TM445" s="50"/>
      <c r="TN445" s="50"/>
      <c r="TO445" s="50"/>
      <c r="TP445" s="50"/>
      <c r="TQ445" s="50"/>
      <c r="TR445" s="50"/>
      <c r="TS445" s="50"/>
      <c r="TT445" s="50"/>
      <c r="TU445" s="50"/>
      <c r="TV445" s="50"/>
      <c r="TW445" s="50"/>
      <c r="TX445" s="50"/>
      <c r="TY445" s="50"/>
      <c r="TZ445" s="50"/>
      <c r="UA445" s="50"/>
      <c r="UB445" s="50"/>
      <c r="UC445" s="50"/>
      <c r="UD445" s="50"/>
      <c r="UE445" s="50"/>
      <c r="UF445" s="50"/>
      <c r="UG445" s="50"/>
      <c r="UH445" s="50"/>
      <c r="UI445" s="50"/>
      <c r="UJ445" s="50"/>
      <c r="UK445" s="50"/>
      <c r="UL445" s="50"/>
      <c r="UM445" s="50"/>
      <c r="UN445" s="50"/>
      <c r="UO445" s="50"/>
      <c r="UP445" s="50"/>
      <c r="UQ445" s="50"/>
      <c r="UR445" s="50"/>
      <c r="US445" s="50"/>
      <c r="UT445" s="50"/>
      <c r="UU445" s="50"/>
      <c r="UV445" s="50"/>
      <c r="UW445" s="50"/>
      <c r="UX445" s="50"/>
      <c r="UY445" s="50"/>
      <c r="UZ445" s="50"/>
      <c r="VA445" s="50"/>
      <c r="VB445" s="50"/>
      <c r="VC445" s="50"/>
      <c r="VD445" s="50"/>
      <c r="VE445" s="50"/>
      <c r="VF445" s="50"/>
      <c r="VG445" s="50"/>
      <c r="VH445" s="50"/>
      <c r="VI445" s="50"/>
      <c r="VJ445" s="50"/>
      <c r="VK445" s="50"/>
      <c r="VL445" s="50"/>
      <c r="VM445" s="50"/>
      <c r="VN445" s="50"/>
      <c r="VO445" s="50"/>
      <c r="VP445" s="50"/>
      <c r="VQ445" s="50"/>
      <c r="VR445" s="50"/>
      <c r="VS445" s="50"/>
      <c r="VT445" s="50"/>
      <c r="VU445" s="50"/>
      <c r="VV445" s="50"/>
      <c r="VW445" s="50"/>
      <c r="VX445" s="50"/>
      <c r="VY445" s="50"/>
      <c r="VZ445" s="50"/>
      <c r="WA445" s="50"/>
      <c r="WB445" s="50"/>
      <c r="WC445" s="50"/>
      <c r="WD445" s="50"/>
      <c r="WE445" s="50"/>
      <c r="WF445" s="50"/>
      <c r="WG445" s="50"/>
      <c r="WH445" s="50"/>
      <c r="WI445" s="50"/>
      <c r="WJ445" s="50"/>
      <c r="WK445" s="50"/>
      <c r="WL445" s="50"/>
      <c r="WM445" s="50"/>
      <c r="WN445" s="50"/>
      <c r="WO445" s="50"/>
      <c r="WP445" s="50"/>
      <c r="WQ445" s="50"/>
      <c r="WR445" s="50"/>
      <c r="WS445" s="50"/>
      <c r="WT445" s="50"/>
      <c r="WU445" s="50"/>
      <c r="WV445" s="50"/>
      <c r="WW445" s="50"/>
      <c r="WX445" s="50"/>
      <c r="WY445" s="50"/>
      <c r="WZ445" s="50"/>
      <c r="XA445" s="50"/>
      <c r="XB445" s="50"/>
      <c r="XC445" s="50"/>
      <c r="XD445" s="50"/>
      <c r="XE445" s="50"/>
      <c r="XF445" s="50"/>
      <c r="XG445" s="50"/>
      <c r="XH445" s="50"/>
      <c r="XI445" s="50"/>
      <c r="XJ445" s="50"/>
      <c r="XK445" s="50"/>
      <c r="XL445" s="50"/>
      <c r="XM445" s="50"/>
      <c r="XN445" s="50"/>
      <c r="XO445" s="50"/>
      <c r="XP445" s="50"/>
      <c r="XQ445" s="50"/>
      <c r="XR445" s="50"/>
      <c r="XS445" s="50"/>
      <c r="XT445" s="50"/>
      <c r="XU445" s="50"/>
      <c r="XV445" s="50"/>
      <c r="XW445" s="50"/>
      <c r="XX445" s="50"/>
      <c r="XY445" s="50"/>
      <c r="XZ445" s="50"/>
      <c r="YA445" s="50"/>
      <c r="YB445" s="50"/>
      <c r="YC445" s="50"/>
      <c r="YD445" s="50"/>
      <c r="YE445" s="50"/>
      <c r="YF445" s="50"/>
      <c r="YG445" s="50"/>
      <c r="YH445" s="50"/>
      <c r="YI445" s="50"/>
      <c r="YJ445" s="50"/>
      <c r="YK445" s="50"/>
      <c r="YL445" s="50"/>
      <c r="YM445" s="50"/>
      <c r="YN445" s="50"/>
      <c r="YO445" s="50"/>
      <c r="YP445" s="50"/>
      <c r="YQ445" s="50"/>
      <c r="YR445" s="50"/>
      <c r="YS445" s="50"/>
      <c r="YT445" s="50"/>
      <c r="YU445" s="50"/>
      <c r="YV445" s="50"/>
      <c r="YW445" s="50"/>
      <c r="YX445" s="50"/>
      <c r="YY445" s="50"/>
      <c r="YZ445" s="50"/>
      <c r="ZA445" s="50"/>
      <c r="ZB445" s="50"/>
      <c r="ZC445" s="50"/>
      <c r="ZD445" s="50"/>
      <c r="ZE445" s="50"/>
      <c r="ZF445" s="50"/>
      <c r="ZG445" s="50"/>
      <c r="ZH445" s="50"/>
      <c r="ZI445" s="50"/>
      <c r="ZJ445" s="50"/>
      <c r="ZK445" s="50"/>
      <c r="ZL445" s="50"/>
      <c r="ZM445" s="50"/>
      <c r="ZN445" s="50"/>
      <c r="ZO445" s="50"/>
      <c r="ZP445" s="50"/>
      <c r="ZQ445" s="50"/>
      <c r="ZR445" s="50"/>
      <c r="ZS445" s="50"/>
      <c r="ZT445" s="50"/>
      <c r="ZU445" s="50"/>
      <c r="ZV445" s="50"/>
      <c r="ZW445" s="50"/>
      <c r="ZX445" s="50"/>
      <c r="ZY445" s="618"/>
      <c r="ZZ445" s="36"/>
      <c r="AAA445" s="588"/>
      <c r="AAD445" s="112"/>
      <c r="AAE445" s="551">
        <v>1</v>
      </c>
      <c r="AAF445" s="583" t="s">
        <v>174</v>
      </c>
      <c r="AAG445" s="76"/>
      <c r="AAH445" s="76"/>
      <c r="AAI445" s="77"/>
      <c r="AAJ445" s="77"/>
      <c r="AAK445" s="77"/>
      <c r="AAL445" s="89" t="str">
        <f>S.CodeName&amp;"EQC.RULES."&amp;TEXT(S.EQCMeeting,"m.d.yyyy")</f>
        <v>EQC.RULES.3.19.2014</v>
      </c>
      <c r="AAM445" s="112"/>
      <c r="AAN445"/>
      <c r="AAT445" s="23"/>
      <c r="AAU445" s="44"/>
    </row>
    <row r="446" spans="1:732" ht="15.75" customHeight="1" outlineLevel="2">
      <c r="A446" s="558"/>
      <c r="B446" s="467" t="str">
        <f>AAL446</f>
        <v>EQC.REDLINE.3.19.2014</v>
      </c>
      <c r="C446" s="722"/>
      <c r="D446" s="174"/>
      <c r="E446" s="400"/>
      <c r="F446" s="400"/>
      <c r="G446" s="469"/>
      <c r="H446" s="469"/>
      <c r="I446" s="588"/>
      <c r="J446" s="592"/>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50"/>
      <c r="BM446" s="50"/>
      <c r="BN446" s="50"/>
      <c r="BO446" s="50"/>
      <c r="BP446" s="50"/>
      <c r="BQ446" s="50"/>
      <c r="BR446" s="50"/>
      <c r="BS446" s="50"/>
      <c r="BT446" s="50"/>
      <c r="BU446" s="50"/>
      <c r="BV446" s="50"/>
      <c r="BW446" s="50"/>
      <c r="BX446" s="50"/>
      <c r="BY446" s="50"/>
      <c r="BZ446" s="50"/>
      <c r="CA446" s="50"/>
      <c r="CB446" s="50"/>
      <c r="CC446" s="50"/>
      <c r="CD446" s="50"/>
      <c r="CE446" s="50"/>
      <c r="CF446" s="50"/>
      <c r="CG446" s="50"/>
      <c r="CH446" s="50"/>
      <c r="CI446" s="50"/>
      <c r="CJ446" s="50"/>
      <c r="CK446" s="50"/>
      <c r="CL446" s="50"/>
      <c r="CM446" s="50"/>
      <c r="CN446" s="50"/>
      <c r="CO446" s="50"/>
      <c r="CP446" s="50"/>
      <c r="CQ446" s="50"/>
      <c r="CR446" s="50"/>
      <c r="CS446" s="50"/>
      <c r="CT446" s="50"/>
      <c r="CU446" s="50"/>
      <c r="CV446" s="50"/>
      <c r="CW446" s="50"/>
      <c r="CX446" s="50"/>
      <c r="CY446" s="50"/>
      <c r="CZ446" s="50"/>
      <c r="DA446" s="50"/>
      <c r="DB446" s="50"/>
      <c r="DC446" s="50"/>
      <c r="DD446" s="50"/>
      <c r="DE446" s="50"/>
      <c r="DF446" s="50"/>
      <c r="DG446" s="50"/>
      <c r="DH446" s="50"/>
      <c r="DI446" s="50"/>
      <c r="DJ446" s="50"/>
      <c r="DK446" s="50"/>
      <c r="DL446" s="50"/>
      <c r="DM446" s="50"/>
      <c r="DN446" s="50"/>
      <c r="DO446" s="50"/>
      <c r="DP446" s="50"/>
      <c r="DQ446" s="50"/>
      <c r="DR446" s="50"/>
      <c r="DS446" s="50"/>
      <c r="DT446" s="50"/>
      <c r="DU446" s="50"/>
      <c r="DV446" s="50"/>
      <c r="DW446" s="50"/>
      <c r="DX446" s="50"/>
      <c r="DY446" s="50"/>
      <c r="DZ446" s="50"/>
      <c r="EA446" s="50"/>
      <c r="EB446" s="50"/>
      <c r="EC446" s="50"/>
      <c r="ED446" s="50"/>
      <c r="EE446" s="50"/>
      <c r="EF446" s="50"/>
      <c r="EG446" s="50"/>
      <c r="EH446" s="50"/>
      <c r="EI446" s="50"/>
      <c r="EJ446" s="50"/>
      <c r="EK446" s="50"/>
      <c r="EL446" s="50"/>
      <c r="EM446" s="50"/>
      <c r="EN446" s="50"/>
      <c r="EO446" s="50"/>
      <c r="EP446" s="50"/>
      <c r="EQ446" s="50"/>
      <c r="ER446" s="50"/>
      <c r="ES446" s="50"/>
      <c r="ET446" s="50"/>
      <c r="EU446" s="50"/>
      <c r="EV446" s="50"/>
      <c r="EW446" s="50"/>
      <c r="EX446" s="50"/>
      <c r="EY446" s="50"/>
      <c r="EZ446" s="50"/>
      <c r="FA446" s="50"/>
      <c r="FB446" s="50"/>
      <c r="FC446" s="50"/>
      <c r="FD446" s="50"/>
      <c r="FE446" s="50"/>
      <c r="FF446" s="50"/>
      <c r="FG446" s="50"/>
      <c r="FH446" s="50"/>
      <c r="FI446" s="50"/>
      <c r="FJ446" s="50"/>
      <c r="FK446" s="50"/>
      <c r="FL446" s="50"/>
      <c r="FM446" s="50"/>
      <c r="FN446" s="50"/>
      <c r="FO446" s="50"/>
      <c r="FP446" s="50"/>
      <c r="FQ446" s="50"/>
      <c r="FR446" s="50"/>
      <c r="FS446" s="50"/>
      <c r="FT446" s="50"/>
      <c r="FU446" s="50"/>
      <c r="FV446" s="50"/>
      <c r="FW446" s="50"/>
      <c r="FX446" s="50"/>
      <c r="FY446" s="50"/>
      <c r="FZ446" s="50"/>
      <c r="GA446" s="50"/>
      <c r="GB446" s="50"/>
      <c r="GC446" s="50"/>
      <c r="GD446" s="50"/>
      <c r="GE446" s="50"/>
      <c r="GF446" s="50"/>
      <c r="GG446" s="50"/>
      <c r="GH446" s="50"/>
      <c r="GI446" s="50"/>
      <c r="GJ446" s="50"/>
      <c r="GK446" s="50"/>
      <c r="GL446" s="50"/>
      <c r="GM446" s="50"/>
      <c r="GN446" s="50"/>
      <c r="GO446" s="50"/>
      <c r="GP446" s="50"/>
      <c r="GQ446" s="50"/>
      <c r="GR446" s="50"/>
      <c r="GS446" s="50"/>
      <c r="GT446" s="50"/>
      <c r="GU446" s="50"/>
      <c r="GV446" s="50"/>
      <c r="GW446" s="50"/>
      <c r="GX446" s="50"/>
      <c r="GY446" s="50"/>
      <c r="GZ446" s="50"/>
      <c r="HA446" s="50"/>
      <c r="HB446" s="50"/>
      <c r="HC446" s="50"/>
      <c r="HD446" s="50"/>
      <c r="HE446" s="50"/>
      <c r="HF446" s="50"/>
      <c r="HG446" s="50"/>
      <c r="HH446" s="50"/>
      <c r="HI446" s="50"/>
      <c r="HJ446" s="50"/>
      <c r="HK446" s="50"/>
      <c r="HL446" s="50"/>
      <c r="HM446" s="50"/>
      <c r="HN446" s="50"/>
      <c r="HO446" s="50"/>
      <c r="HP446" s="50"/>
      <c r="HQ446" s="50"/>
      <c r="HR446" s="50"/>
      <c r="HS446" s="50"/>
      <c r="HT446" s="50"/>
      <c r="HU446" s="50"/>
      <c r="HV446" s="50"/>
      <c r="HW446" s="50"/>
      <c r="HX446" s="50"/>
      <c r="HY446" s="50"/>
      <c r="HZ446" s="50"/>
      <c r="IA446" s="50"/>
      <c r="IB446" s="50"/>
      <c r="IC446" s="50"/>
      <c r="ID446" s="50"/>
      <c r="IE446" s="50"/>
      <c r="IF446" s="50"/>
      <c r="IG446" s="50"/>
      <c r="IH446" s="50"/>
      <c r="II446" s="50"/>
      <c r="IJ446" s="50"/>
      <c r="IK446" s="50"/>
      <c r="IL446" s="50"/>
      <c r="IM446" s="50"/>
      <c r="IN446" s="50"/>
      <c r="IO446" s="50"/>
      <c r="IP446" s="50"/>
      <c r="IQ446" s="50"/>
      <c r="IR446" s="50"/>
      <c r="IS446" s="50"/>
      <c r="IT446" s="50"/>
      <c r="IU446" s="50"/>
      <c r="IV446" s="50"/>
      <c r="IW446" s="50"/>
      <c r="IX446" s="50"/>
      <c r="IY446" s="50"/>
      <c r="IZ446" s="50"/>
      <c r="JA446" s="50"/>
      <c r="JB446" s="50"/>
      <c r="JC446" s="50"/>
      <c r="JD446" s="50"/>
      <c r="JE446" s="50"/>
      <c r="JF446" s="50"/>
      <c r="JG446" s="50"/>
      <c r="JH446" s="50"/>
      <c r="JI446" s="50"/>
      <c r="JJ446" s="50"/>
      <c r="JK446" s="50"/>
      <c r="JL446" s="50"/>
      <c r="JM446" s="50"/>
      <c r="JN446" s="50"/>
      <c r="JO446" s="50"/>
      <c r="JP446" s="50"/>
      <c r="JQ446" s="50"/>
      <c r="JR446" s="50"/>
      <c r="JS446" s="50"/>
      <c r="JT446" s="50"/>
      <c r="JU446" s="50"/>
      <c r="JV446" s="50"/>
      <c r="JW446" s="50"/>
      <c r="JX446" s="50"/>
      <c r="JY446" s="50"/>
      <c r="JZ446" s="50"/>
      <c r="KA446" s="50"/>
      <c r="KB446" s="50"/>
      <c r="KC446" s="50"/>
      <c r="KD446" s="50"/>
      <c r="KE446" s="50"/>
      <c r="KF446" s="50"/>
      <c r="KG446" s="50"/>
      <c r="KH446" s="50"/>
      <c r="KI446" s="50"/>
      <c r="KJ446" s="50"/>
      <c r="KK446" s="50"/>
      <c r="KL446" s="50"/>
      <c r="KM446" s="50"/>
      <c r="KN446" s="50"/>
      <c r="KO446" s="50"/>
      <c r="KP446" s="50"/>
      <c r="KQ446" s="50"/>
      <c r="KR446" s="50"/>
      <c r="KS446" s="50"/>
      <c r="KT446" s="50"/>
      <c r="KU446" s="50"/>
      <c r="KV446" s="50"/>
      <c r="KW446" s="50"/>
      <c r="KX446" s="50"/>
      <c r="KY446" s="50"/>
      <c r="KZ446" s="50"/>
      <c r="LA446" s="50"/>
      <c r="LB446" s="50"/>
      <c r="LC446" s="50"/>
      <c r="LD446" s="50"/>
      <c r="LE446" s="50"/>
      <c r="LF446" s="50"/>
      <c r="LG446" s="50"/>
      <c r="LH446" s="50"/>
      <c r="LI446" s="50"/>
      <c r="LJ446" s="50"/>
      <c r="LK446" s="50"/>
      <c r="LL446" s="50"/>
      <c r="LM446" s="50"/>
      <c r="LN446" s="50"/>
      <c r="LO446" s="50"/>
      <c r="LP446" s="50"/>
      <c r="LQ446" s="50"/>
      <c r="LR446" s="50"/>
      <c r="LS446" s="50"/>
      <c r="LT446" s="50"/>
      <c r="LU446" s="50"/>
      <c r="LV446" s="50"/>
      <c r="LW446" s="50"/>
      <c r="LX446" s="50"/>
      <c r="LY446" s="50"/>
      <c r="LZ446" s="50"/>
      <c r="MA446" s="50"/>
      <c r="MB446" s="50"/>
      <c r="MC446" s="50"/>
      <c r="MD446" s="50"/>
      <c r="ME446" s="50"/>
      <c r="MF446" s="50"/>
      <c r="MG446" s="50"/>
      <c r="MH446" s="50"/>
      <c r="MI446" s="50"/>
      <c r="MJ446" s="50"/>
      <c r="MK446" s="50"/>
      <c r="ML446" s="50"/>
      <c r="MM446" s="50"/>
      <c r="MN446" s="50"/>
      <c r="MO446" s="50"/>
      <c r="MP446" s="50"/>
      <c r="MQ446" s="50"/>
      <c r="MR446" s="50"/>
      <c r="MS446" s="50"/>
      <c r="MT446" s="50"/>
      <c r="MU446" s="50"/>
      <c r="MV446" s="50"/>
      <c r="MW446" s="50"/>
      <c r="MX446" s="50"/>
      <c r="MY446" s="50"/>
      <c r="MZ446" s="50"/>
      <c r="NA446" s="50"/>
      <c r="NB446" s="50"/>
      <c r="NC446" s="50"/>
      <c r="ND446" s="50"/>
      <c r="NE446" s="50"/>
      <c r="NF446" s="50"/>
      <c r="NG446" s="50"/>
      <c r="NH446" s="50"/>
      <c r="NI446" s="50"/>
      <c r="NJ446" s="50"/>
      <c r="NK446" s="50"/>
      <c r="NL446" s="50"/>
      <c r="NM446" s="50"/>
      <c r="NN446" s="50"/>
      <c r="NO446" s="50"/>
      <c r="NP446" s="50"/>
      <c r="NQ446" s="50"/>
      <c r="NR446" s="50"/>
      <c r="NS446" s="50"/>
      <c r="NT446" s="50"/>
      <c r="NU446" s="50"/>
      <c r="NV446" s="50"/>
      <c r="NW446" s="50"/>
      <c r="NX446" s="50"/>
      <c r="NY446" s="50"/>
      <c r="NZ446" s="50"/>
      <c r="OA446" s="50"/>
      <c r="OB446" s="50"/>
      <c r="OC446" s="50"/>
      <c r="OD446" s="50"/>
      <c r="OE446" s="50"/>
      <c r="OF446" s="50"/>
      <c r="OG446" s="50"/>
      <c r="OH446" s="50"/>
      <c r="OI446" s="50"/>
      <c r="OJ446" s="50"/>
      <c r="OK446" s="50"/>
      <c r="OL446" s="50"/>
      <c r="OM446" s="50"/>
      <c r="ON446" s="50"/>
      <c r="OO446" s="50"/>
      <c r="OP446" s="50"/>
      <c r="OQ446" s="50"/>
      <c r="OR446" s="50"/>
      <c r="OS446" s="50"/>
      <c r="OT446" s="50"/>
      <c r="OU446" s="50"/>
      <c r="OV446" s="50"/>
      <c r="OW446" s="50"/>
      <c r="OX446" s="50"/>
      <c r="OY446" s="50"/>
      <c r="OZ446" s="50"/>
      <c r="PA446" s="50"/>
      <c r="PB446" s="50"/>
      <c r="PC446" s="50"/>
      <c r="PD446" s="50"/>
      <c r="PE446" s="50"/>
      <c r="PF446" s="50"/>
      <c r="PG446" s="50"/>
      <c r="PH446" s="50"/>
      <c r="PI446" s="50"/>
      <c r="PJ446" s="50"/>
      <c r="PK446" s="50"/>
      <c r="PL446" s="50"/>
      <c r="PM446" s="50"/>
      <c r="PN446" s="50"/>
      <c r="PO446" s="50"/>
      <c r="PP446" s="50"/>
      <c r="PQ446" s="50"/>
      <c r="PR446" s="50"/>
      <c r="PS446" s="50"/>
      <c r="PT446" s="50"/>
      <c r="PU446" s="50"/>
      <c r="PV446" s="50"/>
      <c r="PW446" s="50"/>
      <c r="PX446" s="50"/>
      <c r="PY446" s="50"/>
      <c r="PZ446" s="50"/>
      <c r="QA446" s="50"/>
      <c r="QB446" s="50"/>
      <c r="QC446" s="50"/>
      <c r="QD446" s="50"/>
      <c r="QE446" s="50"/>
      <c r="QF446" s="50"/>
      <c r="QG446" s="50"/>
      <c r="QH446" s="50"/>
      <c r="QI446" s="50"/>
      <c r="QJ446" s="50"/>
      <c r="QK446" s="50"/>
      <c r="QL446" s="50"/>
      <c r="QM446" s="50"/>
      <c r="QN446" s="50"/>
      <c r="QO446" s="50"/>
      <c r="QP446" s="50"/>
      <c r="QQ446" s="50"/>
      <c r="QR446" s="50"/>
      <c r="QS446" s="50"/>
      <c r="QT446" s="50"/>
      <c r="QU446" s="50"/>
      <c r="QV446" s="50"/>
      <c r="QW446" s="50"/>
      <c r="QX446" s="50"/>
      <c r="QY446" s="50"/>
      <c r="QZ446" s="50"/>
      <c r="RA446" s="50"/>
      <c r="RB446" s="50"/>
      <c r="RC446" s="50"/>
      <c r="RD446" s="50"/>
      <c r="RE446" s="50"/>
      <c r="RF446" s="50"/>
      <c r="RG446" s="50"/>
      <c r="RH446" s="50"/>
      <c r="RI446" s="50"/>
      <c r="RJ446" s="50"/>
      <c r="RK446" s="50"/>
      <c r="RL446" s="50"/>
      <c r="RM446" s="50"/>
      <c r="RN446" s="50"/>
      <c r="RO446" s="50"/>
      <c r="RP446" s="50"/>
      <c r="RQ446" s="50"/>
      <c r="RR446" s="50"/>
      <c r="RS446" s="50"/>
      <c r="RT446" s="50"/>
      <c r="RU446" s="50"/>
      <c r="RV446" s="50"/>
      <c r="RW446" s="50"/>
      <c r="RX446" s="50"/>
      <c r="RY446" s="50"/>
      <c r="RZ446" s="50"/>
      <c r="SA446" s="50"/>
      <c r="SB446" s="50"/>
      <c r="SC446" s="50"/>
      <c r="SD446" s="50"/>
      <c r="SE446" s="50"/>
      <c r="SF446" s="50"/>
      <c r="SG446" s="50"/>
      <c r="SH446" s="50"/>
      <c r="SI446" s="50"/>
      <c r="SJ446" s="50"/>
      <c r="SK446" s="50"/>
      <c r="SL446" s="50"/>
      <c r="SM446" s="50"/>
      <c r="SN446" s="50"/>
      <c r="SO446" s="50"/>
      <c r="SP446" s="50"/>
      <c r="SQ446" s="50"/>
      <c r="SR446" s="50"/>
      <c r="SS446" s="50"/>
      <c r="ST446" s="50"/>
      <c r="SU446" s="50"/>
      <c r="SV446" s="50"/>
      <c r="SW446" s="50"/>
      <c r="SX446" s="50"/>
      <c r="SY446" s="50"/>
      <c r="SZ446" s="50"/>
      <c r="TA446" s="50"/>
      <c r="TB446" s="50"/>
      <c r="TC446" s="50"/>
      <c r="TD446" s="50"/>
      <c r="TE446" s="50"/>
      <c r="TF446" s="50"/>
      <c r="TG446" s="50"/>
      <c r="TH446" s="50"/>
      <c r="TI446" s="50"/>
      <c r="TJ446" s="50"/>
      <c r="TK446" s="50"/>
      <c r="TL446" s="50"/>
      <c r="TM446" s="50"/>
      <c r="TN446" s="50"/>
      <c r="TO446" s="50"/>
      <c r="TP446" s="50"/>
      <c r="TQ446" s="50"/>
      <c r="TR446" s="50"/>
      <c r="TS446" s="50"/>
      <c r="TT446" s="50"/>
      <c r="TU446" s="50"/>
      <c r="TV446" s="50"/>
      <c r="TW446" s="50"/>
      <c r="TX446" s="50"/>
      <c r="TY446" s="50"/>
      <c r="TZ446" s="50"/>
      <c r="UA446" s="50"/>
      <c r="UB446" s="50"/>
      <c r="UC446" s="50"/>
      <c r="UD446" s="50"/>
      <c r="UE446" s="50"/>
      <c r="UF446" s="50"/>
      <c r="UG446" s="50"/>
      <c r="UH446" s="50"/>
      <c r="UI446" s="50"/>
      <c r="UJ446" s="50"/>
      <c r="UK446" s="50"/>
      <c r="UL446" s="50"/>
      <c r="UM446" s="50"/>
      <c r="UN446" s="50"/>
      <c r="UO446" s="50"/>
      <c r="UP446" s="50"/>
      <c r="UQ446" s="50"/>
      <c r="UR446" s="50"/>
      <c r="US446" s="50"/>
      <c r="UT446" s="50"/>
      <c r="UU446" s="50"/>
      <c r="UV446" s="50"/>
      <c r="UW446" s="50"/>
      <c r="UX446" s="50"/>
      <c r="UY446" s="50"/>
      <c r="UZ446" s="50"/>
      <c r="VA446" s="50"/>
      <c r="VB446" s="50"/>
      <c r="VC446" s="50"/>
      <c r="VD446" s="50"/>
      <c r="VE446" s="50"/>
      <c r="VF446" s="50"/>
      <c r="VG446" s="50"/>
      <c r="VH446" s="50"/>
      <c r="VI446" s="50"/>
      <c r="VJ446" s="50"/>
      <c r="VK446" s="50"/>
      <c r="VL446" s="50"/>
      <c r="VM446" s="50"/>
      <c r="VN446" s="50"/>
      <c r="VO446" s="50"/>
      <c r="VP446" s="50"/>
      <c r="VQ446" s="50"/>
      <c r="VR446" s="50"/>
      <c r="VS446" s="50"/>
      <c r="VT446" s="50"/>
      <c r="VU446" s="50"/>
      <c r="VV446" s="50"/>
      <c r="VW446" s="50"/>
      <c r="VX446" s="50"/>
      <c r="VY446" s="50"/>
      <c r="VZ446" s="50"/>
      <c r="WA446" s="50"/>
      <c r="WB446" s="50"/>
      <c r="WC446" s="50"/>
      <c r="WD446" s="50"/>
      <c r="WE446" s="50"/>
      <c r="WF446" s="50"/>
      <c r="WG446" s="50"/>
      <c r="WH446" s="50"/>
      <c r="WI446" s="50"/>
      <c r="WJ446" s="50"/>
      <c r="WK446" s="50"/>
      <c r="WL446" s="50"/>
      <c r="WM446" s="50"/>
      <c r="WN446" s="50"/>
      <c r="WO446" s="50"/>
      <c r="WP446" s="50"/>
      <c r="WQ446" s="50"/>
      <c r="WR446" s="50"/>
      <c r="WS446" s="50"/>
      <c r="WT446" s="50"/>
      <c r="WU446" s="50"/>
      <c r="WV446" s="50"/>
      <c r="WW446" s="50"/>
      <c r="WX446" s="50"/>
      <c r="WY446" s="50"/>
      <c r="WZ446" s="50"/>
      <c r="XA446" s="50"/>
      <c r="XB446" s="50"/>
      <c r="XC446" s="50"/>
      <c r="XD446" s="50"/>
      <c r="XE446" s="50"/>
      <c r="XF446" s="50"/>
      <c r="XG446" s="50"/>
      <c r="XH446" s="50"/>
      <c r="XI446" s="50"/>
      <c r="XJ446" s="50"/>
      <c r="XK446" s="50"/>
      <c r="XL446" s="50"/>
      <c r="XM446" s="50"/>
      <c r="XN446" s="50"/>
      <c r="XO446" s="50"/>
      <c r="XP446" s="50"/>
      <c r="XQ446" s="50"/>
      <c r="XR446" s="50"/>
      <c r="XS446" s="50"/>
      <c r="XT446" s="50"/>
      <c r="XU446" s="50"/>
      <c r="XV446" s="50"/>
      <c r="XW446" s="50"/>
      <c r="XX446" s="50"/>
      <c r="XY446" s="50"/>
      <c r="XZ446" s="50"/>
      <c r="YA446" s="50"/>
      <c r="YB446" s="50"/>
      <c r="YC446" s="50"/>
      <c r="YD446" s="50"/>
      <c r="YE446" s="50"/>
      <c r="YF446" s="50"/>
      <c r="YG446" s="50"/>
      <c r="YH446" s="50"/>
      <c r="YI446" s="50"/>
      <c r="YJ446" s="50"/>
      <c r="YK446" s="50"/>
      <c r="YL446" s="50"/>
      <c r="YM446" s="50"/>
      <c r="YN446" s="50"/>
      <c r="YO446" s="50"/>
      <c r="YP446" s="50"/>
      <c r="YQ446" s="50"/>
      <c r="YR446" s="50"/>
      <c r="YS446" s="50"/>
      <c r="YT446" s="50"/>
      <c r="YU446" s="50"/>
      <c r="YV446" s="50"/>
      <c r="YW446" s="50"/>
      <c r="YX446" s="50"/>
      <c r="YY446" s="50"/>
      <c r="YZ446" s="50"/>
      <c r="ZA446" s="50"/>
      <c r="ZB446" s="50"/>
      <c r="ZC446" s="50"/>
      <c r="ZD446" s="50"/>
      <c r="ZE446" s="50"/>
      <c r="ZF446" s="50"/>
      <c r="ZG446" s="50"/>
      <c r="ZH446" s="50"/>
      <c r="ZI446" s="50"/>
      <c r="ZJ446" s="50"/>
      <c r="ZK446" s="50"/>
      <c r="ZL446" s="50"/>
      <c r="ZM446" s="50"/>
      <c r="ZN446" s="50"/>
      <c r="ZO446" s="50"/>
      <c r="ZP446" s="50"/>
      <c r="ZQ446" s="50"/>
      <c r="ZR446" s="50"/>
      <c r="ZS446" s="50"/>
      <c r="ZT446" s="50"/>
      <c r="ZU446" s="50"/>
      <c r="ZV446" s="50"/>
      <c r="ZW446" s="50"/>
      <c r="ZX446" s="50"/>
      <c r="ZY446" s="618"/>
      <c r="ZZ446" s="36"/>
      <c r="AAA446" s="588"/>
      <c r="AAD446" s="112"/>
      <c r="AAE446" s="551">
        <v>1</v>
      </c>
      <c r="AAF446" s="583" t="s">
        <v>174</v>
      </c>
      <c r="AAG446" s="76"/>
      <c r="AAH446" s="76"/>
      <c r="AAI446" s="77"/>
      <c r="AAJ446" s="77"/>
      <c r="AAK446" s="77"/>
      <c r="AAL446" s="89" t="str">
        <f>S.CodeName&amp;"EQC.REDLINE."&amp;TEXT(S.EQCMeeting,"m.d.yyyy")</f>
        <v>EQC.REDLINE.3.19.2014</v>
      </c>
      <c r="AAM446" s="112"/>
      <c r="AAN446"/>
      <c r="AAT446" s="23"/>
      <c r="AAU446" s="44"/>
    </row>
    <row r="447" spans="1:732" ht="15.75" customHeight="1" outlineLevel="2">
      <c r="A447" s="558"/>
      <c r="B447" s="467" t="s">
        <v>331</v>
      </c>
      <c r="C447" s="722"/>
      <c r="D447" s="174"/>
      <c r="E447" s="400"/>
      <c r="F447" s="400"/>
      <c r="G447" s="469"/>
      <c r="H447" s="469"/>
      <c r="I447" s="588"/>
      <c r="J447" s="592"/>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50"/>
      <c r="BM447" s="50"/>
      <c r="BN447" s="50"/>
      <c r="BO447" s="50"/>
      <c r="BP447" s="50"/>
      <c r="BQ447" s="50"/>
      <c r="BR447" s="50"/>
      <c r="BS447" s="50"/>
      <c r="BT447" s="50"/>
      <c r="BU447" s="50"/>
      <c r="BV447" s="50"/>
      <c r="BW447" s="50"/>
      <c r="BX447" s="50"/>
      <c r="BY447" s="50"/>
      <c r="BZ447" s="50"/>
      <c r="CA447" s="50"/>
      <c r="CB447" s="50"/>
      <c r="CC447" s="50"/>
      <c r="CD447" s="50"/>
      <c r="CE447" s="50"/>
      <c r="CF447" s="50"/>
      <c r="CG447" s="50"/>
      <c r="CH447" s="50"/>
      <c r="CI447" s="50"/>
      <c r="CJ447" s="50"/>
      <c r="CK447" s="50"/>
      <c r="CL447" s="50"/>
      <c r="CM447" s="50"/>
      <c r="CN447" s="50"/>
      <c r="CO447" s="50"/>
      <c r="CP447" s="50"/>
      <c r="CQ447" s="50"/>
      <c r="CR447" s="50"/>
      <c r="CS447" s="50"/>
      <c r="CT447" s="50"/>
      <c r="CU447" s="50"/>
      <c r="CV447" s="50"/>
      <c r="CW447" s="50"/>
      <c r="CX447" s="50"/>
      <c r="CY447" s="50"/>
      <c r="CZ447" s="50"/>
      <c r="DA447" s="50"/>
      <c r="DB447" s="50"/>
      <c r="DC447" s="50"/>
      <c r="DD447" s="50"/>
      <c r="DE447" s="50"/>
      <c r="DF447" s="50"/>
      <c r="DG447" s="50"/>
      <c r="DH447" s="50"/>
      <c r="DI447" s="50"/>
      <c r="DJ447" s="50"/>
      <c r="DK447" s="50"/>
      <c r="DL447" s="50"/>
      <c r="DM447" s="50"/>
      <c r="DN447" s="50"/>
      <c r="DO447" s="50"/>
      <c r="DP447" s="50"/>
      <c r="DQ447" s="50"/>
      <c r="DR447" s="50"/>
      <c r="DS447" s="50"/>
      <c r="DT447" s="50"/>
      <c r="DU447" s="50"/>
      <c r="DV447" s="50"/>
      <c r="DW447" s="50"/>
      <c r="DX447" s="50"/>
      <c r="DY447" s="50"/>
      <c r="DZ447" s="50"/>
      <c r="EA447" s="50"/>
      <c r="EB447" s="50"/>
      <c r="EC447" s="50"/>
      <c r="ED447" s="50"/>
      <c r="EE447" s="50"/>
      <c r="EF447" s="50"/>
      <c r="EG447" s="50"/>
      <c r="EH447" s="50"/>
      <c r="EI447" s="50"/>
      <c r="EJ447" s="50"/>
      <c r="EK447" s="50"/>
      <c r="EL447" s="50"/>
      <c r="EM447" s="50"/>
      <c r="EN447" s="50"/>
      <c r="EO447" s="50"/>
      <c r="EP447" s="50"/>
      <c r="EQ447" s="50"/>
      <c r="ER447" s="50"/>
      <c r="ES447" s="50"/>
      <c r="ET447" s="50"/>
      <c r="EU447" s="50"/>
      <c r="EV447" s="50"/>
      <c r="EW447" s="50"/>
      <c r="EX447" s="50"/>
      <c r="EY447" s="50"/>
      <c r="EZ447" s="50"/>
      <c r="FA447" s="50"/>
      <c r="FB447" s="50"/>
      <c r="FC447" s="50"/>
      <c r="FD447" s="50"/>
      <c r="FE447" s="50"/>
      <c r="FF447" s="50"/>
      <c r="FG447" s="50"/>
      <c r="FH447" s="50"/>
      <c r="FI447" s="50"/>
      <c r="FJ447" s="50"/>
      <c r="FK447" s="50"/>
      <c r="FL447" s="50"/>
      <c r="FM447" s="50"/>
      <c r="FN447" s="50"/>
      <c r="FO447" s="50"/>
      <c r="FP447" s="50"/>
      <c r="FQ447" s="50"/>
      <c r="FR447" s="50"/>
      <c r="FS447" s="50"/>
      <c r="FT447" s="50"/>
      <c r="FU447" s="50"/>
      <c r="FV447" s="50"/>
      <c r="FW447" s="50"/>
      <c r="FX447" s="50"/>
      <c r="FY447" s="50"/>
      <c r="FZ447" s="50"/>
      <c r="GA447" s="50"/>
      <c r="GB447" s="50"/>
      <c r="GC447" s="50"/>
      <c r="GD447" s="50"/>
      <c r="GE447" s="50"/>
      <c r="GF447" s="50"/>
      <c r="GG447" s="50"/>
      <c r="GH447" s="50"/>
      <c r="GI447" s="50"/>
      <c r="GJ447" s="50"/>
      <c r="GK447" s="50"/>
      <c r="GL447" s="50"/>
      <c r="GM447" s="50"/>
      <c r="GN447" s="50"/>
      <c r="GO447" s="50"/>
      <c r="GP447" s="50"/>
      <c r="GQ447" s="50"/>
      <c r="GR447" s="50"/>
      <c r="GS447" s="50"/>
      <c r="GT447" s="50"/>
      <c r="GU447" s="50"/>
      <c r="GV447" s="50"/>
      <c r="GW447" s="50"/>
      <c r="GX447" s="50"/>
      <c r="GY447" s="50"/>
      <c r="GZ447" s="50"/>
      <c r="HA447" s="50"/>
      <c r="HB447" s="50"/>
      <c r="HC447" s="50"/>
      <c r="HD447" s="50"/>
      <c r="HE447" s="50"/>
      <c r="HF447" s="50"/>
      <c r="HG447" s="50"/>
      <c r="HH447" s="50"/>
      <c r="HI447" s="50"/>
      <c r="HJ447" s="50"/>
      <c r="HK447" s="50"/>
      <c r="HL447" s="50"/>
      <c r="HM447" s="50"/>
      <c r="HN447" s="50"/>
      <c r="HO447" s="50"/>
      <c r="HP447" s="50"/>
      <c r="HQ447" s="50"/>
      <c r="HR447" s="50"/>
      <c r="HS447" s="50"/>
      <c r="HT447" s="50"/>
      <c r="HU447" s="50"/>
      <c r="HV447" s="50"/>
      <c r="HW447" s="50"/>
      <c r="HX447" s="50"/>
      <c r="HY447" s="50"/>
      <c r="HZ447" s="50"/>
      <c r="IA447" s="50"/>
      <c r="IB447" s="50"/>
      <c r="IC447" s="50"/>
      <c r="ID447" s="50"/>
      <c r="IE447" s="50"/>
      <c r="IF447" s="50"/>
      <c r="IG447" s="50"/>
      <c r="IH447" s="50"/>
      <c r="II447" s="50"/>
      <c r="IJ447" s="50"/>
      <c r="IK447" s="50"/>
      <c r="IL447" s="50"/>
      <c r="IM447" s="50"/>
      <c r="IN447" s="50"/>
      <c r="IO447" s="50"/>
      <c r="IP447" s="50"/>
      <c r="IQ447" s="50"/>
      <c r="IR447" s="50"/>
      <c r="IS447" s="50"/>
      <c r="IT447" s="50"/>
      <c r="IU447" s="50"/>
      <c r="IV447" s="50"/>
      <c r="IW447" s="50"/>
      <c r="IX447" s="50"/>
      <c r="IY447" s="50"/>
      <c r="IZ447" s="50"/>
      <c r="JA447" s="50"/>
      <c r="JB447" s="50"/>
      <c r="JC447" s="50"/>
      <c r="JD447" s="50"/>
      <c r="JE447" s="50"/>
      <c r="JF447" s="50"/>
      <c r="JG447" s="50"/>
      <c r="JH447" s="50"/>
      <c r="JI447" s="50"/>
      <c r="JJ447" s="50"/>
      <c r="JK447" s="50"/>
      <c r="JL447" s="50"/>
      <c r="JM447" s="50"/>
      <c r="JN447" s="50"/>
      <c r="JO447" s="50"/>
      <c r="JP447" s="50"/>
      <c r="JQ447" s="50"/>
      <c r="JR447" s="50"/>
      <c r="JS447" s="50"/>
      <c r="JT447" s="50"/>
      <c r="JU447" s="50"/>
      <c r="JV447" s="50"/>
      <c r="JW447" s="50"/>
      <c r="JX447" s="50"/>
      <c r="JY447" s="50"/>
      <c r="JZ447" s="50"/>
      <c r="KA447" s="50"/>
      <c r="KB447" s="50"/>
      <c r="KC447" s="50"/>
      <c r="KD447" s="50"/>
      <c r="KE447" s="50"/>
      <c r="KF447" s="50"/>
      <c r="KG447" s="50"/>
      <c r="KH447" s="50"/>
      <c r="KI447" s="50"/>
      <c r="KJ447" s="50"/>
      <c r="KK447" s="50"/>
      <c r="KL447" s="50"/>
      <c r="KM447" s="50"/>
      <c r="KN447" s="50"/>
      <c r="KO447" s="50"/>
      <c r="KP447" s="50"/>
      <c r="KQ447" s="50"/>
      <c r="KR447" s="50"/>
      <c r="KS447" s="50"/>
      <c r="KT447" s="50"/>
      <c r="KU447" s="50"/>
      <c r="KV447" s="50"/>
      <c r="KW447" s="50"/>
      <c r="KX447" s="50"/>
      <c r="KY447" s="50"/>
      <c r="KZ447" s="50"/>
      <c r="LA447" s="50"/>
      <c r="LB447" s="50"/>
      <c r="LC447" s="50"/>
      <c r="LD447" s="50"/>
      <c r="LE447" s="50"/>
      <c r="LF447" s="50"/>
      <c r="LG447" s="50"/>
      <c r="LH447" s="50"/>
      <c r="LI447" s="50"/>
      <c r="LJ447" s="50"/>
      <c r="LK447" s="50"/>
      <c r="LL447" s="50"/>
      <c r="LM447" s="50"/>
      <c r="LN447" s="50"/>
      <c r="LO447" s="50"/>
      <c r="LP447" s="50"/>
      <c r="LQ447" s="50"/>
      <c r="LR447" s="50"/>
      <c r="LS447" s="50"/>
      <c r="LT447" s="50"/>
      <c r="LU447" s="50"/>
      <c r="LV447" s="50"/>
      <c r="LW447" s="50"/>
      <c r="LX447" s="50"/>
      <c r="LY447" s="50"/>
      <c r="LZ447" s="50"/>
      <c r="MA447" s="50"/>
      <c r="MB447" s="50"/>
      <c r="MC447" s="50"/>
      <c r="MD447" s="50"/>
      <c r="ME447" s="50"/>
      <c r="MF447" s="50"/>
      <c r="MG447" s="50"/>
      <c r="MH447" s="50"/>
      <c r="MI447" s="50"/>
      <c r="MJ447" s="50"/>
      <c r="MK447" s="50"/>
      <c r="ML447" s="50"/>
      <c r="MM447" s="50"/>
      <c r="MN447" s="50"/>
      <c r="MO447" s="50"/>
      <c r="MP447" s="50"/>
      <c r="MQ447" s="50"/>
      <c r="MR447" s="50"/>
      <c r="MS447" s="50"/>
      <c r="MT447" s="50"/>
      <c r="MU447" s="50"/>
      <c r="MV447" s="50"/>
      <c r="MW447" s="50"/>
      <c r="MX447" s="50"/>
      <c r="MY447" s="50"/>
      <c r="MZ447" s="50"/>
      <c r="NA447" s="50"/>
      <c r="NB447" s="50"/>
      <c r="NC447" s="50"/>
      <c r="ND447" s="50"/>
      <c r="NE447" s="50"/>
      <c r="NF447" s="50"/>
      <c r="NG447" s="50"/>
      <c r="NH447" s="50"/>
      <c r="NI447" s="50"/>
      <c r="NJ447" s="50"/>
      <c r="NK447" s="50"/>
      <c r="NL447" s="50"/>
      <c r="NM447" s="50"/>
      <c r="NN447" s="50"/>
      <c r="NO447" s="50"/>
      <c r="NP447" s="50"/>
      <c r="NQ447" s="50"/>
      <c r="NR447" s="50"/>
      <c r="NS447" s="50"/>
      <c r="NT447" s="50"/>
      <c r="NU447" s="50"/>
      <c r="NV447" s="50"/>
      <c r="NW447" s="50"/>
      <c r="NX447" s="50"/>
      <c r="NY447" s="50"/>
      <c r="NZ447" s="50"/>
      <c r="OA447" s="50"/>
      <c r="OB447" s="50"/>
      <c r="OC447" s="50"/>
      <c r="OD447" s="50"/>
      <c r="OE447" s="50"/>
      <c r="OF447" s="50"/>
      <c r="OG447" s="50"/>
      <c r="OH447" s="50"/>
      <c r="OI447" s="50"/>
      <c r="OJ447" s="50"/>
      <c r="OK447" s="50"/>
      <c r="OL447" s="50"/>
      <c r="OM447" s="50"/>
      <c r="ON447" s="50"/>
      <c r="OO447" s="50"/>
      <c r="OP447" s="50"/>
      <c r="OQ447" s="50"/>
      <c r="OR447" s="50"/>
      <c r="OS447" s="50"/>
      <c r="OT447" s="50"/>
      <c r="OU447" s="50"/>
      <c r="OV447" s="50"/>
      <c r="OW447" s="50"/>
      <c r="OX447" s="50"/>
      <c r="OY447" s="50"/>
      <c r="OZ447" s="50"/>
      <c r="PA447" s="50"/>
      <c r="PB447" s="50"/>
      <c r="PC447" s="50"/>
      <c r="PD447" s="50"/>
      <c r="PE447" s="50"/>
      <c r="PF447" s="50"/>
      <c r="PG447" s="50"/>
      <c r="PH447" s="50"/>
      <c r="PI447" s="50"/>
      <c r="PJ447" s="50"/>
      <c r="PK447" s="50"/>
      <c r="PL447" s="50"/>
      <c r="PM447" s="50"/>
      <c r="PN447" s="50"/>
      <c r="PO447" s="50"/>
      <c r="PP447" s="50"/>
      <c r="PQ447" s="50"/>
      <c r="PR447" s="50"/>
      <c r="PS447" s="50"/>
      <c r="PT447" s="50"/>
      <c r="PU447" s="50"/>
      <c r="PV447" s="50"/>
      <c r="PW447" s="50"/>
      <c r="PX447" s="50"/>
      <c r="PY447" s="50"/>
      <c r="PZ447" s="50"/>
      <c r="QA447" s="50"/>
      <c r="QB447" s="50"/>
      <c r="QC447" s="50"/>
      <c r="QD447" s="50"/>
      <c r="QE447" s="50"/>
      <c r="QF447" s="50"/>
      <c r="QG447" s="50"/>
      <c r="QH447" s="50"/>
      <c r="QI447" s="50"/>
      <c r="QJ447" s="50"/>
      <c r="QK447" s="50"/>
      <c r="QL447" s="50"/>
      <c r="QM447" s="50"/>
      <c r="QN447" s="50"/>
      <c r="QO447" s="50"/>
      <c r="QP447" s="50"/>
      <c r="QQ447" s="50"/>
      <c r="QR447" s="50"/>
      <c r="QS447" s="50"/>
      <c r="QT447" s="50"/>
      <c r="QU447" s="50"/>
      <c r="QV447" s="50"/>
      <c r="QW447" s="50"/>
      <c r="QX447" s="50"/>
      <c r="QY447" s="50"/>
      <c r="QZ447" s="50"/>
      <c r="RA447" s="50"/>
      <c r="RB447" s="50"/>
      <c r="RC447" s="50"/>
      <c r="RD447" s="50"/>
      <c r="RE447" s="50"/>
      <c r="RF447" s="50"/>
      <c r="RG447" s="50"/>
      <c r="RH447" s="50"/>
      <c r="RI447" s="50"/>
      <c r="RJ447" s="50"/>
      <c r="RK447" s="50"/>
      <c r="RL447" s="50"/>
      <c r="RM447" s="50"/>
      <c r="RN447" s="50"/>
      <c r="RO447" s="50"/>
      <c r="RP447" s="50"/>
      <c r="RQ447" s="50"/>
      <c r="RR447" s="50"/>
      <c r="RS447" s="50"/>
      <c r="RT447" s="50"/>
      <c r="RU447" s="50"/>
      <c r="RV447" s="50"/>
      <c r="RW447" s="50"/>
      <c r="RX447" s="50"/>
      <c r="RY447" s="50"/>
      <c r="RZ447" s="50"/>
      <c r="SA447" s="50"/>
      <c r="SB447" s="50"/>
      <c r="SC447" s="50"/>
      <c r="SD447" s="50"/>
      <c r="SE447" s="50"/>
      <c r="SF447" s="50"/>
      <c r="SG447" s="50"/>
      <c r="SH447" s="50"/>
      <c r="SI447" s="50"/>
      <c r="SJ447" s="50"/>
      <c r="SK447" s="50"/>
      <c r="SL447" s="50"/>
      <c r="SM447" s="50"/>
      <c r="SN447" s="50"/>
      <c r="SO447" s="50"/>
      <c r="SP447" s="50"/>
      <c r="SQ447" s="50"/>
      <c r="SR447" s="50"/>
      <c r="SS447" s="50"/>
      <c r="ST447" s="50"/>
      <c r="SU447" s="50"/>
      <c r="SV447" s="50"/>
      <c r="SW447" s="50"/>
      <c r="SX447" s="50"/>
      <c r="SY447" s="50"/>
      <c r="SZ447" s="50"/>
      <c r="TA447" s="50"/>
      <c r="TB447" s="50"/>
      <c r="TC447" s="50"/>
      <c r="TD447" s="50"/>
      <c r="TE447" s="50"/>
      <c r="TF447" s="50"/>
      <c r="TG447" s="50"/>
      <c r="TH447" s="50"/>
      <c r="TI447" s="50"/>
      <c r="TJ447" s="50"/>
      <c r="TK447" s="50"/>
      <c r="TL447" s="50"/>
      <c r="TM447" s="50"/>
      <c r="TN447" s="50"/>
      <c r="TO447" s="50"/>
      <c r="TP447" s="50"/>
      <c r="TQ447" s="50"/>
      <c r="TR447" s="50"/>
      <c r="TS447" s="50"/>
      <c r="TT447" s="50"/>
      <c r="TU447" s="50"/>
      <c r="TV447" s="50"/>
      <c r="TW447" s="50"/>
      <c r="TX447" s="50"/>
      <c r="TY447" s="50"/>
      <c r="TZ447" s="50"/>
      <c r="UA447" s="50"/>
      <c r="UB447" s="50"/>
      <c r="UC447" s="50"/>
      <c r="UD447" s="50"/>
      <c r="UE447" s="50"/>
      <c r="UF447" s="50"/>
      <c r="UG447" s="50"/>
      <c r="UH447" s="50"/>
      <c r="UI447" s="50"/>
      <c r="UJ447" s="50"/>
      <c r="UK447" s="50"/>
      <c r="UL447" s="50"/>
      <c r="UM447" s="50"/>
      <c r="UN447" s="50"/>
      <c r="UO447" s="50"/>
      <c r="UP447" s="50"/>
      <c r="UQ447" s="50"/>
      <c r="UR447" s="50"/>
      <c r="US447" s="50"/>
      <c r="UT447" s="50"/>
      <c r="UU447" s="50"/>
      <c r="UV447" s="50"/>
      <c r="UW447" s="50"/>
      <c r="UX447" s="50"/>
      <c r="UY447" s="50"/>
      <c r="UZ447" s="50"/>
      <c r="VA447" s="50"/>
      <c r="VB447" s="50"/>
      <c r="VC447" s="50"/>
      <c r="VD447" s="50"/>
      <c r="VE447" s="50"/>
      <c r="VF447" s="50"/>
      <c r="VG447" s="50"/>
      <c r="VH447" s="50"/>
      <c r="VI447" s="50"/>
      <c r="VJ447" s="50"/>
      <c r="VK447" s="50"/>
      <c r="VL447" s="50"/>
      <c r="VM447" s="50"/>
      <c r="VN447" s="50"/>
      <c r="VO447" s="50"/>
      <c r="VP447" s="50"/>
      <c r="VQ447" s="50"/>
      <c r="VR447" s="50"/>
      <c r="VS447" s="50"/>
      <c r="VT447" s="50"/>
      <c r="VU447" s="50"/>
      <c r="VV447" s="50"/>
      <c r="VW447" s="50"/>
      <c r="VX447" s="50"/>
      <c r="VY447" s="50"/>
      <c r="VZ447" s="50"/>
      <c r="WA447" s="50"/>
      <c r="WB447" s="50"/>
      <c r="WC447" s="50"/>
      <c r="WD447" s="50"/>
      <c r="WE447" s="50"/>
      <c r="WF447" s="50"/>
      <c r="WG447" s="50"/>
      <c r="WH447" s="50"/>
      <c r="WI447" s="50"/>
      <c r="WJ447" s="50"/>
      <c r="WK447" s="50"/>
      <c r="WL447" s="50"/>
      <c r="WM447" s="50"/>
      <c r="WN447" s="50"/>
      <c r="WO447" s="50"/>
      <c r="WP447" s="50"/>
      <c r="WQ447" s="50"/>
      <c r="WR447" s="50"/>
      <c r="WS447" s="50"/>
      <c r="WT447" s="50"/>
      <c r="WU447" s="50"/>
      <c r="WV447" s="50"/>
      <c r="WW447" s="50"/>
      <c r="WX447" s="50"/>
      <c r="WY447" s="50"/>
      <c r="WZ447" s="50"/>
      <c r="XA447" s="50"/>
      <c r="XB447" s="50"/>
      <c r="XC447" s="50"/>
      <c r="XD447" s="50"/>
      <c r="XE447" s="50"/>
      <c r="XF447" s="50"/>
      <c r="XG447" s="50"/>
      <c r="XH447" s="50"/>
      <c r="XI447" s="50"/>
      <c r="XJ447" s="50"/>
      <c r="XK447" s="50"/>
      <c r="XL447" s="50"/>
      <c r="XM447" s="50"/>
      <c r="XN447" s="50"/>
      <c r="XO447" s="50"/>
      <c r="XP447" s="50"/>
      <c r="XQ447" s="50"/>
      <c r="XR447" s="50"/>
      <c r="XS447" s="50"/>
      <c r="XT447" s="50"/>
      <c r="XU447" s="50"/>
      <c r="XV447" s="50"/>
      <c r="XW447" s="50"/>
      <c r="XX447" s="50"/>
      <c r="XY447" s="50"/>
      <c r="XZ447" s="50"/>
      <c r="YA447" s="50"/>
      <c r="YB447" s="50"/>
      <c r="YC447" s="50"/>
      <c r="YD447" s="50"/>
      <c r="YE447" s="50"/>
      <c r="YF447" s="50"/>
      <c r="YG447" s="50"/>
      <c r="YH447" s="50"/>
      <c r="YI447" s="50"/>
      <c r="YJ447" s="50"/>
      <c r="YK447" s="50"/>
      <c r="YL447" s="50"/>
      <c r="YM447" s="50"/>
      <c r="YN447" s="50"/>
      <c r="YO447" s="50"/>
      <c r="YP447" s="50"/>
      <c r="YQ447" s="50"/>
      <c r="YR447" s="50"/>
      <c r="YS447" s="50"/>
      <c r="YT447" s="50"/>
      <c r="YU447" s="50"/>
      <c r="YV447" s="50"/>
      <c r="YW447" s="50"/>
      <c r="YX447" s="50"/>
      <c r="YY447" s="50"/>
      <c r="YZ447" s="50"/>
      <c r="ZA447" s="50"/>
      <c r="ZB447" s="50"/>
      <c r="ZC447" s="50"/>
      <c r="ZD447" s="50"/>
      <c r="ZE447" s="50"/>
      <c r="ZF447" s="50"/>
      <c r="ZG447" s="50"/>
      <c r="ZH447" s="50"/>
      <c r="ZI447" s="50"/>
      <c r="ZJ447" s="50"/>
      <c r="ZK447" s="50"/>
      <c r="ZL447" s="50"/>
      <c r="ZM447" s="50"/>
      <c r="ZN447" s="50"/>
      <c r="ZO447" s="50"/>
      <c r="ZP447" s="50"/>
      <c r="ZQ447" s="50"/>
      <c r="ZR447" s="50"/>
      <c r="ZS447" s="50"/>
      <c r="ZT447" s="50"/>
      <c r="ZU447" s="50"/>
      <c r="ZV447" s="50"/>
      <c r="ZW447" s="50"/>
      <c r="ZX447" s="50"/>
      <c r="ZY447" s="618"/>
      <c r="ZZ447" s="36"/>
      <c r="AAA447" s="588"/>
      <c r="AAD447" s="112"/>
      <c r="AAE447" s="551">
        <v>1</v>
      </c>
      <c r="AAF447" s="583" t="s">
        <v>174</v>
      </c>
      <c r="AAG447" s="76"/>
      <c r="AAH447" s="76"/>
      <c r="AAI447" s="77"/>
      <c r="AAJ447" s="77"/>
      <c r="AAK447" s="77"/>
      <c r="AAL447" s="89" t="str">
        <f>S.CodeName&amp; "340-###-###.TABLE##-##"</f>
        <v>340-###-###.TABLE##-##</v>
      </c>
      <c r="AAM447" s="112"/>
      <c r="AAN447"/>
      <c r="AAT447" s="23"/>
      <c r="AAU447" s="44"/>
      <c r="AAV447" s="23"/>
      <c r="AAW447" s="23"/>
      <c r="AAX447" s="23"/>
      <c r="AAY447" s="23"/>
      <c r="AAZ447" s="23"/>
      <c r="ABA447" s="23"/>
      <c r="ABB447" s="23"/>
      <c r="ABC447" s="23"/>
      <c r="ABD447" s="23"/>
    </row>
    <row r="448" spans="1:732" ht="15.75" customHeight="1" outlineLevel="2">
      <c r="A448" s="558"/>
      <c r="B448" s="467" t="s">
        <v>332</v>
      </c>
      <c r="C448" s="722"/>
      <c r="D448" s="174"/>
      <c r="E448" s="400"/>
      <c r="F448" s="400" t="s">
        <v>0</v>
      </c>
      <c r="G448" s="469"/>
      <c r="H448" s="469"/>
      <c r="I448" s="588"/>
      <c r="J448" s="592"/>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c r="BM448" s="50"/>
      <c r="BN448" s="50"/>
      <c r="BO448" s="50"/>
      <c r="BP448" s="50"/>
      <c r="BQ448" s="50"/>
      <c r="BR448" s="50"/>
      <c r="BS448" s="50"/>
      <c r="BT448" s="50"/>
      <c r="BU448" s="50"/>
      <c r="BV448" s="50"/>
      <c r="BW448" s="50"/>
      <c r="BX448" s="50"/>
      <c r="BY448" s="50"/>
      <c r="BZ448" s="50"/>
      <c r="CA448" s="50"/>
      <c r="CB448" s="50"/>
      <c r="CC448" s="50"/>
      <c r="CD448" s="50"/>
      <c r="CE448" s="50"/>
      <c r="CF448" s="50"/>
      <c r="CG448" s="50"/>
      <c r="CH448" s="50"/>
      <c r="CI448" s="50"/>
      <c r="CJ448" s="50"/>
      <c r="CK448" s="50"/>
      <c r="CL448" s="50"/>
      <c r="CM448" s="50"/>
      <c r="CN448" s="50"/>
      <c r="CO448" s="50"/>
      <c r="CP448" s="50"/>
      <c r="CQ448" s="50"/>
      <c r="CR448" s="50"/>
      <c r="CS448" s="50"/>
      <c r="CT448" s="50"/>
      <c r="CU448" s="50"/>
      <c r="CV448" s="50"/>
      <c r="CW448" s="50"/>
      <c r="CX448" s="50"/>
      <c r="CY448" s="50"/>
      <c r="CZ448" s="50"/>
      <c r="DA448" s="50"/>
      <c r="DB448" s="50"/>
      <c r="DC448" s="50"/>
      <c r="DD448" s="50"/>
      <c r="DE448" s="50"/>
      <c r="DF448" s="50"/>
      <c r="DG448" s="50"/>
      <c r="DH448" s="50"/>
      <c r="DI448" s="50"/>
      <c r="DJ448" s="50"/>
      <c r="DK448" s="50"/>
      <c r="DL448" s="50"/>
      <c r="DM448" s="50"/>
      <c r="DN448" s="50"/>
      <c r="DO448" s="50"/>
      <c r="DP448" s="50"/>
      <c r="DQ448" s="50"/>
      <c r="DR448" s="50"/>
      <c r="DS448" s="50"/>
      <c r="DT448" s="50"/>
      <c r="DU448" s="50"/>
      <c r="DV448" s="50"/>
      <c r="DW448" s="50"/>
      <c r="DX448" s="50"/>
      <c r="DY448" s="50"/>
      <c r="DZ448" s="50"/>
      <c r="EA448" s="50"/>
      <c r="EB448" s="50"/>
      <c r="EC448" s="50"/>
      <c r="ED448" s="50"/>
      <c r="EE448" s="50"/>
      <c r="EF448" s="50"/>
      <c r="EG448" s="50"/>
      <c r="EH448" s="50"/>
      <c r="EI448" s="50"/>
      <c r="EJ448" s="50"/>
      <c r="EK448" s="50"/>
      <c r="EL448" s="50"/>
      <c r="EM448" s="50"/>
      <c r="EN448" s="50"/>
      <c r="EO448" s="50"/>
      <c r="EP448" s="50"/>
      <c r="EQ448" s="50"/>
      <c r="ER448" s="50"/>
      <c r="ES448" s="50"/>
      <c r="ET448" s="50"/>
      <c r="EU448" s="50"/>
      <c r="EV448" s="50"/>
      <c r="EW448" s="50"/>
      <c r="EX448" s="50"/>
      <c r="EY448" s="50"/>
      <c r="EZ448" s="50"/>
      <c r="FA448" s="50"/>
      <c r="FB448" s="50"/>
      <c r="FC448" s="50"/>
      <c r="FD448" s="50"/>
      <c r="FE448" s="50"/>
      <c r="FF448" s="50"/>
      <c r="FG448" s="50"/>
      <c r="FH448" s="50"/>
      <c r="FI448" s="50"/>
      <c r="FJ448" s="50"/>
      <c r="FK448" s="50"/>
      <c r="FL448" s="50"/>
      <c r="FM448" s="50"/>
      <c r="FN448" s="50"/>
      <c r="FO448" s="50"/>
      <c r="FP448" s="50"/>
      <c r="FQ448" s="50"/>
      <c r="FR448" s="50"/>
      <c r="FS448" s="50"/>
      <c r="FT448" s="50"/>
      <c r="FU448" s="50"/>
      <c r="FV448" s="50"/>
      <c r="FW448" s="50"/>
      <c r="FX448" s="50"/>
      <c r="FY448" s="50"/>
      <c r="FZ448" s="50"/>
      <c r="GA448" s="50"/>
      <c r="GB448" s="50"/>
      <c r="GC448" s="50"/>
      <c r="GD448" s="50"/>
      <c r="GE448" s="50"/>
      <c r="GF448" s="50"/>
      <c r="GG448" s="50"/>
      <c r="GH448" s="50"/>
      <c r="GI448" s="50"/>
      <c r="GJ448" s="50"/>
      <c r="GK448" s="50"/>
      <c r="GL448" s="50"/>
      <c r="GM448" s="50"/>
      <c r="GN448" s="50"/>
      <c r="GO448" s="50"/>
      <c r="GP448" s="50"/>
      <c r="GQ448" s="50"/>
      <c r="GR448" s="50"/>
      <c r="GS448" s="50"/>
      <c r="GT448" s="50"/>
      <c r="GU448" s="50"/>
      <c r="GV448" s="50"/>
      <c r="GW448" s="50"/>
      <c r="GX448" s="50"/>
      <c r="GY448" s="50"/>
      <c r="GZ448" s="50"/>
      <c r="HA448" s="50"/>
      <c r="HB448" s="50"/>
      <c r="HC448" s="50"/>
      <c r="HD448" s="50"/>
      <c r="HE448" s="50"/>
      <c r="HF448" s="50"/>
      <c r="HG448" s="50"/>
      <c r="HH448" s="50"/>
      <c r="HI448" s="50"/>
      <c r="HJ448" s="50"/>
      <c r="HK448" s="50"/>
      <c r="HL448" s="50"/>
      <c r="HM448" s="50"/>
      <c r="HN448" s="50"/>
      <c r="HO448" s="50"/>
      <c r="HP448" s="50"/>
      <c r="HQ448" s="50"/>
      <c r="HR448" s="50"/>
      <c r="HS448" s="50"/>
      <c r="HT448" s="50"/>
      <c r="HU448" s="50"/>
      <c r="HV448" s="50"/>
      <c r="HW448" s="50"/>
      <c r="HX448" s="50"/>
      <c r="HY448" s="50"/>
      <c r="HZ448" s="50"/>
      <c r="IA448" s="50"/>
      <c r="IB448" s="50"/>
      <c r="IC448" s="50"/>
      <c r="ID448" s="50"/>
      <c r="IE448" s="50"/>
      <c r="IF448" s="50"/>
      <c r="IG448" s="50"/>
      <c r="IH448" s="50"/>
      <c r="II448" s="50"/>
      <c r="IJ448" s="50"/>
      <c r="IK448" s="50"/>
      <c r="IL448" s="50"/>
      <c r="IM448" s="50"/>
      <c r="IN448" s="50"/>
      <c r="IO448" s="50"/>
      <c r="IP448" s="50"/>
      <c r="IQ448" s="50"/>
      <c r="IR448" s="50"/>
      <c r="IS448" s="50"/>
      <c r="IT448" s="50"/>
      <c r="IU448" s="50"/>
      <c r="IV448" s="50"/>
      <c r="IW448" s="50"/>
      <c r="IX448" s="50"/>
      <c r="IY448" s="50"/>
      <c r="IZ448" s="50"/>
      <c r="JA448" s="50"/>
      <c r="JB448" s="50"/>
      <c r="JC448" s="50"/>
      <c r="JD448" s="50"/>
      <c r="JE448" s="50"/>
      <c r="JF448" s="50"/>
      <c r="JG448" s="50"/>
      <c r="JH448" s="50"/>
      <c r="JI448" s="50"/>
      <c r="JJ448" s="50"/>
      <c r="JK448" s="50"/>
      <c r="JL448" s="50"/>
      <c r="JM448" s="50"/>
      <c r="JN448" s="50"/>
      <c r="JO448" s="50"/>
      <c r="JP448" s="50"/>
      <c r="JQ448" s="50"/>
      <c r="JR448" s="50"/>
      <c r="JS448" s="50"/>
      <c r="JT448" s="50"/>
      <c r="JU448" s="50"/>
      <c r="JV448" s="50"/>
      <c r="JW448" s="50"/>
      <c r="JX448" s="50"/>
      <c r="JY448" s="50"/>
      <c r="JZ448" s="50"/>
      <c r="KA448" s="50"/>
      <c r="KB448" s="50"/>
      <c r="KC448" s="50"/>
      <c r="KD448" s="50"/>
      <c r="KE448" s="50"/>
      <c r="KF448" s="50"/>
      <c r="KG448" s="50"/>
      <c r="KH448" s="50"/>
      <c r="KI448" s="50"/>
      <c r="KJ448" s="50"/>
      <c r="KK448" s="50"/>
      <c r="KL448" s="50"/>
      <c r="KM448" s="50"/>
      <c r="KN448" s="50"/>
      <c r="KO448" s="50"/>
      <c r="KP448" s="50"/>
      <c r="KQ448" s="50"/>
      <c r="KR448" s="50"/>
      <c r="KS448" s="50"/>
      <c r="KT448" s="50"/>
      <c r="KU448" s="50"/>
      <c r="KV448" s="50"/>
      <c r="KW448" s="50"/>
      <c r="KX448" s="50"/>
      <c r="KY448" s="50"/>
      <c r="KZ448" s="50"/>
      <c r="LA448" s="50"/>
      <c r="LB448" s="50"/>
      <c r="LC448" s="50"/>
      <c r="LD448" s="50"/>
      <c r="LE448" s="50"/>
      <c r="LF448" s="50"/>
      <c r="LG448" s="50"/>
      <c r="LH448" s="50"/>
      <c r="LI448" s="50"/>
      <c r="LJ448" s="50"/>
      <c r="LK448" s="50"/>
      <c r="LL448" s="50"/>
      <c r="LM448" s="50"/>
      <c r="LN448" s="50"/>
      <c r="LO448" s="50"/>
      <c r="LP448" s="50"/>
      <c r="LQ448" s="50"/>
      <c r="LR448" s="50"/>
      <c r="LS448" s="50"/>
      <c r="LT448" s="50"/>
      <c r="LU448" s="50"/>
      <c r="LV448" s="50"/>
      <c r="LW448" s="50"/>
      <c r="LX448" s="50"/>
      <c r="LY448" s="50"/>
      <c r="LZ448" s="50"/>
      <c r="MA448" s="50"/>
      <c r="MB448" s="50"/>
      <c r="MC448" s="50"/>
      <c r="MD448" s="50"/>
      <c r="ME448" s="50"/>
      <c r="MF448" s="50"/>
      <c r="MG448" s="50"/>
      <c r="MH448" s="50"/>
      <c r="MI448" s="50"/>
      <c r="MJ448" s="50"/>
      <c r="MK448" s="50"/>
      <c r="ML448" s="50"/>
      <c r="MM448" s="50"/>
      <c r="MN448" s="50"/>
      <c r="MO448" s="50"/>
      <c r="MP448" s="50"/>
      <c r="MQ448" s="50"/>
      <c r="MR448" s="50"/>
      <c r="MS448" s="50"/>
      <c r="MT448" s="50"/>
      <c r="MU448" s="50"/>
      <c r="MV448" s="50"/>
      <c r="MW448" s="50"/>
      <c r="MX448" s="50"/>
      <c r="MY448" s="50"/>
      <c r="MZ448" s="50"/>
      <c r="NA448" s="50"/>
      <c r="NB448" s="50"/>
      <c r="NC448" s="50"/>
      <c r="ND448" s="50"/>
      <c r="NE448" s="50"/>
      <c r="NF448" s="50"/>
      <c r="NG448" s="50"/>
      <c r="NH448" s="50"/>
      <c r="NI448" s="50"/>
      <c r="NJ448" s="50"/>
      <c r="NK448" s="50"/>
      <c r="NL448" s="50"/>
      <c r="NM448" s="50"/>
      <c r="NN448" s="50"/>
      <c r="NO448" s="50"/>
      <c r="NP448" s="50"/>
      <c r="NQ448" s="50"/>
      <c r="NR448" s="50"/>
      <c r="NS448" s="50"/>
      <c r="NT448" s="50"/>
      <c r="NU448" s="50"/>
      <c r="NV448" s="50"/>
      <c r="NW448" s="50"/>
      <c r="NX448" s="50"/>
      <c r="NY448" s="50"/>
      <c r="NZ448" s="50"/>
      <c r="OA448" s="50"/>
      <c r="OB448" s="50"/>
      <c r="OC448" s="50"/>
      <c r="OD448" s="50"/>
      <c r="OE448" s="50"/>
      <c r="OF448" s="50"/>
      <c r="OG448" s="50"/>
      <c r="OH448" s="50"/>
      <c r="OI448" s="50"/>
      <c r="OJ448" s="50"/>
      <c r="OK448" s="50"/>
      <c r="OL448" s="50"/>
      <c r="OM448" s="50"/>
      <c r="ON448" s="50"/>
      <c r="OO448" s="50"/>
      <c r="OP448" s="50"/>
      <c r="OQ448" s="50"/>
      <c r="OR448" s="50"/>
      <c r="OS448" s="50"/>
      <c r="OT448" s="50"/>
      <c r="OU448" s="50"/>
      <c r="OV448" s="50"/>
      <c r="OW448" s="50"/>
      <c r="OX448" s="50"/>
      <c r="OY448" s="50"/>
      <c r="OZ448" s="50"/>
      <c r="PA448" s="50"/>
      <c r="PB448" s="50"/>
      <c r="PC448" s="50"/>
      <c r="PD448" s="50"/>
      <c r="PE448" s="50"/>
      <c r="PF448" s="50"/>
      <c r="PG448" s="50"/>
      <c r="PH448" s="50"/>
      <c r="PI448" s="50"/>
      <c r="PJ448" s="50"/>
      <c r="PK448" s="50"/>
      <c r="PL448" s="50"/>
      <c r="PM448" s="50"/>
      <c r="PN448" s="50"/>
      <c r="PO448" s="50"/>
      <c r="PP448" s="50"/>
      <c r="PQ448" s="50"/>
      <c r="PR448" s="50"/>
      <c r="PS448" s="50"/>
      <c r="PT448" s="50"/>
      <c r="PU448" s="50"/>
      <c r="PV448" s="50"/>
      <c r="PW448" s="50"/>
      <c r="PX448" s="50"/>
      <c r="PY448" s="50"/>
      <c r="PZ448" s="50"/>
      <c r="QA448" s="50"/>
      <c r="QB448" s="50"/>
      <c r="QC448" s="50"/>
      <c r="QD448" s="50"/>
      <c r="QE448" s="50"/>
      <c r="QF448" s="50"/>
      <c r="QG448" s="50"/>
      <c r="QH448" s="50"/>
      <c r="QI448" s="50"/>
      <c r="QJ448" s="50"/>
      <c r="QK448" s="50"/>
      <c r="QL448" s="50"/>
      <c r="QM448" s="50"/>
      <c r="QN448" s="50"/>
      <c r="QO448" s="50"/>
      <c r="QP448" s="50"/>
      <c r="QQ448" s="50"/>
      <c r="QR448" s="50"/>
      <c r="QS448" s="50"/>
      <c r="QT448" s="50"/>
      <c r="QU448" s="50"/>
      <c r="QV448" s="50"/>
      <c r="QW448" s="50"/>
      <c r="QX448" s="50"/>
      <c r="QY448" s="50"/>
      <c r="QZ448" s="50"/>
      <c r="RA448" s="50"/>
      <c r="RB448" s="50"/>
      <c r="RC448" s="50"/>
      <c r="RD448" s="50"/>
      <c r="RE448" s="50"/>
      <c r="RF448" s="50"/>
      <c r="RG448" s="50"/>
      <c r="RH448" s="50"/>
      <c r="RI448" s="50"/>
      <c r="RJ448" s="50"/>
      <c r="RK448" s="50"/>
      <c r="RL448" s="50"/>
      <c r="RM448" s="50"/>
      <c r="RN448" s="50"/>
      <c r="RO448" s="50"/>
      <c r="RP448" s="50"/>
      <c r="RQ448" s="50"/>
      <c r="RR448" s="50"/>
      <c r="RS448" s="50"/>
      <c r="RT448" s="50"/>
      <c r="RU448" s="50"/>
      <c r="RV448" s="50"/>
      <c r="RW448" s="50"/>
      <c r="RX448" s="50"/>
      <c r="RY448" s="50"/>
      <c r="RZ448" s="50"/>
      <c r="SA448" s="50"/>
      <c r="SB448" s="50"/>
      <c r="SC448" s="50"/>
      <c r="SD448" s="50"/>
      <c r="SE448" s="50"/>
      <c r="SF448" s="50"/>
      <c r="SG448" s="50"/>
      <c r="SH448" s="50"/>
      <c r="SI448" s="50"/>
      <c r="SJ448" s="50"/>
      <c r="SK448" s="50"/>
      <c r="SL448" s="50"/>
      <c r="SM448" s="50"/>
      <c r="SN448" s="50"/>
      <c r="SO448" s="50"/>
      <c r="SP448" s="50"/>
      <c r="SQ448" s="50"/>
      <c r="SR448" s="50"/>
      <c r="SS448" s="50"/>
      <c r="ST448" s="50"/>
      <c r="SU448" s="50"/>
      <c r="SV448" s="50"/>
      <c r="SW448" s="50"/>
      <c r="SX448" s="50"/>
      <c r="SY448" s="50"/>
      <c r="SZ448" s="50"/>
      <c r="TA448" s="50"/>
      <c r="TB448" s="50"/>
      <c r="TC448" s="50"/>
      <c r="TD448" s="50"/>
      <c r="TE448" s="50"/>
      <c r="TF448" s="50"/>
      <c r="TG448" s="50"/>
      <c r="TH448" s="50"/>
      <c r="TI448" s="50"/>
      <c r="TJ448" s="50"/>
      <c r="TK448" s="50"/>
      <c r="TL448" s="50"/>
      <c r="TM448" s="50"/>
      <c r="TN448" s="50"/>
      <c r="TO448" s="50"/>
      <c r="TP448" s="50"/>
      <c r="TQ448" s="50"/>
      <c r="TR448" s="50"/>
      <c r="TS448" s="50"/>
      <c r="TT448" s="50"/>
      <c r="TU448" s="50"/>
      <c r="TV448" s="50"/>
      <c r="TW448" s="50"/>
      <c r="TX448" s="50"/>
      <c r="TY448" s="50"/>
      <c r="TZ448" s="50"/>
      <c r="UA448" s="50"/>
      <c r="UB448" s="50"/>
      <c r="UC448" s="50"/>
      <c r="UD448" s="50"/>
      <c r="UE448" s="50"/>
      <c r="UF448" s="50"/>
      <c r="UG448" s="50"/>
      <c r="UH448" s="50"/>
      <c r="UI448" s="50"/>
      <c r="UJ448" s="50"/>
      <c r="UK448" s="50"/>
      <c r="UL448" s="50"/>
      <c r="UM448" s="50"/>
      <c r="UN448" s="50"/>
      <c r="UO448" s="50"/>
      <c r="UP448" s="50"/>
      <c r="UQ448" s="50"/>
      <c r="UR448" s="50"/>
      <c r="US448" s="50"/>
      <c r="UT448" s="50"/>
      <c r="UU448" s="50"/>
      <c r="UV448" s="50"/>
      <c r="UW448" s="50"/>
      <c r="UX448" s="50"/>
      <c r="UY448" s="50"/>
      <c r="UZ448" s="50"/>
      <c r="VA448" s="50"/>
      <c r="VB448" s="50"/>
      <c r="VC448" s="50"/>
      <c r="VD448" s="50"/>
      <c r="VE448" s="50"/>
      <c r="VF448" s="50"/>
      <c r="VG448" s="50"/>
      <c r="VH448" s="50"/>
      <c r="VI448" s="50"/>
      <c r="VJ448" s="50"/>
      <c r="VK448" s="50"/>
      <c r="VL448" s="50"/>
      <c r="VM448" s="50"/>
      <c r="VN448" s="50"/>
      <c r="VO448" s="50"/>
      <c r="VP448" s="50"/>
      <c r="VQ448" s="50"/>
      <c r="VR448" s="50"/>
      <c r="VS448" s="50"/>
      <c r="VT448" s="50"/>
      <c r="VU448" s="50"/>
      <c r="VV448" s="50"/>
      <c r="VW448" s="50"/>
      <c r="VX448" s="50"/>
      <c r="VY448" s="50"/>
      <c r="VZ448" s="50"/>
      <c r="WA448" s="50"/>
      <c r="WB448" s="50"/>
      <c r="WC448" s="50"/>
      <c r="WD448" s="50"/>
      <c r="WE448" s="50"/>
      <c r="WF448" s="50"/>
      <c r="WG448" s="50"/>
      <c r="WH448" s="50"/>
      <c r="WI448" s="50"/>
      <c r="WJ448" s="50"/>
      <c r="WK448" s="50"/>
      <c r="WL448" s="50"/>
      <c r="WM448" s="50"/>
      <c r="WN448" s="50"/>
      <c r="WO448" s="50"/>
      <c r="WP448" s="50"/>
      <c r="WQ448" s="50"/>
      <c r="WR448" s="50"/>
      <c r="WS448" s="50"/>
      <c r="WT448" s="50"/>
      <c r="WU448" s="50"/>
      <c r="WV448" s="50"/>
      <c r="WW448" s="50"/>
      <c r="WX448" s="50"/>
      <c r="WY448" s="50"/>
      <c r="WZ448" s="50"/>
      <c r="XA448" s="50"/>
      <c r="XB448" s="50"/>
      <c r="XC448" s="50"/>
      <c r="XD448" s="50"/>
      <c r="XE448" s="50"/>
      <c r="XF448" s="50"/>
      <c r="XG448" s="50"/>
      <c r="XH448" s="50"/>
      <c r="XI448" s="50"/>
      <c r="XJ448" s="50"/>
      <c r="XK448" s="50"/>
      <c r="XL448" s="50"/>
      <c r="XM448" s="50"/>
      <c r="XN448" s="50"/>
      <c r="XO448" s="50"/>
      <c r="XP448" s="50"/>
      <c r="XQ448" s="50"/>
      <c r="XR448" s="50"/>
      <c r="XS448" s="50"/>
      <c r="XT448" s="50"/>
      <c r="XU448" s="50"/>
      <c r="XV448" s="50"/>
      <c r="XW448" s="50"/>
      <c r="XX448" s="50"/>
      <c r="XY448" s="50"/>
      <c r="XZ448" s="50"/>
      <c r="YA448" s="50"/>
      <c r="YB448" s="50"/>
      <c r="YC448" s="50"/>
      <c r="YD448" s="50"/>
      <c r="YE448" s="50"/>
      <c r="YF448" s="50"/>
      <c r="YG448" s="50"/>
      <c r="YH448" s="50"/>
      <c r="YI448" s="50"/>
      <c r="YJ448" s="50"/>
      <c r="YK448" s="50"/>
      <c r="YL448" s="50"/>
      <c r="YM448" s="50"/>
      <c r="YN448" s="50"/>
      <c r="YO448" s="50"/>
      <c r="YP448" s="50"/>
      <c r="YQ448" s="50"/>
      <c r="YR448" s="50"/>
      <c r="YS448" s="50"/>
      <c r="YT448" s="50"/>
      <c r="YU448" s="50"/>
      <c r="YV448" s="50"/>
      <c r="YW448" s="50"/>
      <c r="YX448" s="50"/>
      <c r="YY448" s="50"/>
      <c r="YZ448" s="50"/>
      <c r="ZA448" s="50"/>
      <c r="ZB448" s="50"/>
      <c r="ZC448" s="50"/>
      <c r="ZD448" s="50"/>
      <c r="ZE448" s="50"/>
      <c r="ZF448" s="50"/>
      <c r="ZG448" s="50"/>
      <c r="ZH448" s="50"/>
      <c r="ZI448" s="50"/>
      <c r="ZJ448" s="50"/>
      <c r="ZK448" s="50"/>
      <c r="ZL448" s="50"/>
      <c r="ZM448" s="50"/>
      <c r="ZN448" s="50"/>
      <c r="ZO448" s="50"/>
      <c r="ZP448" s="50"/>
      <c r="ZQ448" s="50"/>
      <c r="ZR448" s="50"/>
      <c r="ZS448" s="50"/>
      <c r="ZT448" s="50"/>
      <c r="ZU448" s="50"/>
      <c r="ZV448" s="50"/>
      <c r="ZW448" s="50"/>
      <c r="ZX448" s="50"/>
      <c r="ZY448" s="618"/>
      <c r="ZZ448" s="36"/>
      <c r="AAA448" s="588"/>
      <c r="AAD448" s="112"/>
      <c r="AAE448" s="551">
        <v>1</v>
      </c>
      <c r="AAF448" s="583" t="s">
        <v>174</v>
      </c>
      <c r="AAG448" s="76"/>
      <c r="AAH448" s="76"/>
      <c r="AAI448" s="77"/>
      <c r="AAJ448" s="77"/>
      <c r="AAK448" s="77"/>
      <c r="AAL448" s="89" t="str">
        <f>S.CodeName&amp; "EQC.ACTION"</f>
        <v>EQC.ACTION</v>
      </c>
      <c r="AAM448" s="112"/>
      <c r="AAN448"/>
      <c r="AAT448" s="23"/>
      <c r="AAU448" s="44"/>
      <c r="AAV448" s="23"/>
      <c r="AAW448" s="23"/>
      <c r="AAX448" s="23"/>
      <c r="AAY448" s="23"/>
      <c r="AAZ448" s="23"/>
      <c r="ABA448" s="23"/>
      <c r="ABB448" s="23"/>
      <c r="ABC448" s="23"/>
      <c r="ABD448" s="23"/>
    </row>
    <row r="449" spans="1:732" s="23" customFormat="1" ht="18" customHeight="1" outlineLevel="2">
      <c r="A449" s="558"/>
      <c r="B449" s="534" t="str">
        <f>AAL449</f>
        <v>Fees not involved</v>
      </c>
      <c r="C449" s="193"/>
      <c r="D449" s="277" t="s">
        <v>152</v>
      </c>
      <c r="E449" s="368">
        <f t="shared" ref="E449" si="1000">NETWORKDAYS(G449,H449,S.DDL_DEQClosed)</f>
        <v>90</v>
      </c>
      <c r="F449" s="372">
        <f ca="1">NETWORKDAYS(TODAY(),H449)</f>
        <v>-109</v>
      </c>
      <c r="G449" s="369">
        <f>AAG449</f>
        <v>41369</v>
      </c>
      <c r="H449" s="369">
        <f>AAH449</f>
        <v>41500</v>
      </c>
      <c r="I449" s="627"/>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50"/>
      <c r="ZZ449" s="50"/>
      <c r="AAA449" s="588"/>
      <c r="AAB449"/>
      <c r="AAC449"/>
      <c r="AAD449" s="112"/>
      <c r="AAE449" s="551">
        <f>IF(AND(S.InvolveFee=TRUE,S.DASApprovalRequired=TRUE),1,0)</f>
        <v>0</v>
      </c>
      <c r="AAF449" s="112" t="s">
        <v>0</v>
      </c>
      <c r="AAG449" s="78">
        <f>S.BANNER.FeeStart</f>
        <v>41369</v>
      </c>
      <c r="AAH449" s="78">
        <f>S.SubmitNoticeToSOS-30</f>
        <v>41500</v>
      </c>
      <c r="AAI449" s="77"/>
      <c r="AAJ449" s="77"/>
      <c r="AAK449" s="77"/>
      <c r="AAL449" s="89" t="str">
        <f>IF(S.DASApprovalRequired=TRUE,"DAS fee approval - Part 2",IF(S.InvolveFee=TRUE,"See DAS notification below","Fees not involved"))</f>
        <v>Fees not involved</v>
      </c>
      <c r="AAM449" s="112"/>
      <c r="AAU449" s="44"/>
    </row>
    <row r="450" spans="1:732" s="23" customFormat="1" ht="15" outlineLevel="2">
      <c r="A450" s="558"/>
      <c r="B450" s="525" t="str">
        <f>AAL450</f>
        <v>a. SIGNED.PART.1</v>
      </c>
      <c r="C450" s="713"/>
      <c r="D450" s="179" t="s">
        <v>0</v>
      </c>
      <c r="E450" s="400"/>
      <c r="F450" s="400"/>
      <c r="G450" s="356"/>
      <c r="H450" s="356"/>
      <c r="I450" s="588"/>
      <c r="J450" s="592"/>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18"/>
      <c r="ZZ450" s="36"/>
      <c r="AAA450" s="588"/>
      <c r="AAB450"/>
      <c r="AAC450"/>
      <c r="AAD450" s="112"/>
      <c r="AAE450" s="551">
        <f>IF(AND(S.InvolveFee=TRUE,S.DASApprovalRequired=TRUE),1,0)</f>
        <v>0</v>
      </c>
      <c r="AAF450" s="583" t="s">
        <v>174</v>
      </c>
      <c r="AAG450" s="76"/>
      <c r="AAH450" s="76"/>
      <c r="AAI450" s="77"/>
      <c r="AAJ450" s="77"/>
      <c r="AAK450" s="77"/>
      <c r="AAL450" s="89" t="str">
        <f>"a. "&amp;S.CodeName&amp;"SIGNED.PART.1"</f>
        <v>a. SIGNED.PART.1</v>
      </c>
      <c r="AAM450" s="112"/>
      <c r="AAU450" s="44"/>
      <c r="AAV450"/>
      <c r="AAW450"/>
      <c r="AAX450"/>
      <c r="AAY450"/>
      <c r="AAZ450"/>
      <c r="ABA450"/>
      <c r="ABB450"/>
      <c r="ABC450"/>
      <c r="ABD450"/>
    </row>
    <row r="451" spans="1:732" s="23" customFormat="1" ht="15" outlineLevel="2">
      <c r="A451" s="558"/>
      <c r="B451" s="525" t="str">
        <f>AAL451</f>
        <v>b. FEE.EXCERPT.FROM.RULE</v>
      </c>
      <c r="C451" s="713"/>
      <c r="D451" s="179"/>
      <c r="E451" s="400"/>
      <c r="F451" s="400"/>
      <c r="G451" s="356"/>
      <c r="H451" s="356"/>
      <c r="I451" s="588"/>
      <c r="J451" s="592"/>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18"/>
      <c r="ZZ451" s="36"/>
      <c r="AAA451" s="588"/>
      <c r="AAB451"/>
      <c r="AAC451"/>
      <c r="AAD451" s="112"/>
      <c r="AAE451" s="551">
        <f>IF(AND(S.InvolveFee=TRUE,S.DASApprovalRequired=TRUE),1,0)</f>
        <v>0</v>
      </c>
      <c r="AAF451" s="583" t="s">
        <v>174</v>
      </c>
      <c r="AAG451" s="76"/>
      <c r="AAH451" s="76"/>
      <c r="AAI451" s="77"/>
      <c r="AAJ451" s="77"/>
      <c r="AAK451" s="77"/>
      <c r="AAL451" s="89" t="str">
        <f>"b. "&amp;S.CodeName&amp;"FEE.EXCERPT.FROM.RULE"</f>
        <v>b. FEE.EXCERPT.FROM.RULE</v>
      </c>
      <c r="AAM451" s="112"/>
      <c r="AAU451" s="44"/>
      <c r="AAV451"/>
      <c r="AAW451"/>
      <c r="AAX451"/>
      <c r="AAY451"/>
      <c r="AAZ451"/>
      <c r="ABA451"/>
      <c r="ABB451"/>
      <c r="ABC451"/>
      <c r="ABD451"/>
    </row>
    <row r="452" spans="1:732" ht="15.75" customHeight="1" outlineLevel="2">
      <c r="A452" s="558"/>
      <c r="B452" s="467" t="s">
        <v>333</v>
      </c>
      <c r="C452" s="168"/>
      <c r="D452" s="174"/>
      <c r="E452" s="400"/>
      <c r="F452" s="400"/>
      <c r="G452" s="469"/>
      <c r="H452" s="469"/>
      <c r="I452" s="588"/>
      <c r="J452" s="592"/>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618"/>
      <c r="ZZ452" s="36"/>
      <c r="AAA452" s="588"/>
      <c r="AAD452" s="112"/>
      <c r="AAE452" s="551">
        <f>IF(AND(S.InvolveFee=TRUE,S.DASApprovalRequired=TRUE),1,0)</f>
        <v>0</v>
      </c>
      <c r="AAF452" s="583" t="s">
        <v>174</v>
      </c>
      <c r="AAG452" s="41"/>
      <c r="AAH452" s="41"/>
      <c r="AAI452" s="77"/>
      <c r="AAJ452" s="77"/>
      <c r="AAK452" s="77"/>
      <c r="AAL452" s="89" t="str">
        <f>S.CodeName&amp; "PROOF.OF.DAS.SUBMITTAL"</f>
        <v>PROOF.OF.DAS.SUBMITTAL</v>
      </c>
      <c r="AAM452" s="112"/>
      <c r="AAN452"/>
      <c r="AAT452" s="23"/>
      <c r="AAU452" s="44"/>
    </row>
    <row r="453" spans="1:732" ht="15.75" customHeight="1" outlineLevel="2">
      <c r="A453" s="558"/>
      <c r="B453" s="416" t="s">
        <v>334</v>
      </c>
      <c r="C453" s="168"/>
      <c r="D453" s="315" t="s">
        <v>359</v>
      </c>
      <c r="E453" s="368">
        <f t="shared" si="998"/>
        <v>1</v>
      </c>
      <c r="F453" s="372">
        <f t="shared" ca="1" si="999"/>
        <v>91</v>
      </c>
      <c r="G453" s="472">
        <f t="shared" ref="G453:H459" si="1001">AAG453</f>
        <v>41778</v>
      </c>
      <c r="H453" s="369">
        <f t="shared" si="1001"/>
        <v>41778</v>
      </c>
      <c r="I453" s="627"/>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50"/>
      <c r="ZZ453" s="50"/>
      <c r="AAA453" s="588"/>
      <c r="AAD453" s="112"/>
      <c r="AAE453" s="551">
        <v>1</v>
      </c>
      <c r="AAF453" s="112" t="s">
        <v>0</v>
      </c>
      <c r="AAG453" s="78">
        <f t="shared" ref="AAG453:AAG459" si="1002">S.BANNER.PostEQCStart</f>
        <v>41778</v>
      </c>
      <c r="AAH453" s="78">
        <f t="shared" ref="AAH453:AAH459" si="1003">S.BANNER.PostEQCEnd</f>
        <v>41778</v>
      </c>
      <c r="AAI453" s="77"/>
      <c r="AAJ453" s="77"/>
      <c r="AAK453" s="77"/>
      <c r="AAL453" s="89" t="str">
        <f>"Optional "&amp;S.CodeName&amp; "STAKEHOLDER.NOTIFICATION"</f>
        <v>Optional STAKEHOLDER.NOTIFICATION</v>
      </c>
      <c r="AAM453" s="112"/>
      <c r="AAN453"/>
      <c r="AAT453" s="23"/>
      <c r="AAU453" s="44"/>
      <c r="AAV453" s="23"/>
      <c r="AAW453" s="23"/>
      <c r="AAX453" s="23"/>
      <c r="AAY453" s="23"/>
      <c r="AAZ453" s="23"/>
      <c r="ABA453" s="23"/>
      <c r="ABB453" s="23"/>
      <c r="ABC453" s="23"/>
      <c r="ABD453" s="23"/>
    </row>
    <row r="454" spans="1:732" ht="15.75" customHeight="1" outlineLevel="2">
      <c r="A454" s="558"/>
      <c r="B454" s="416" t="s">
        <v>335</v>
      </c>
      <c r="C454" s="168"/>
      <c r="D454" s="277" t="s">
        <v>385</v>
      </c>
      <c r="E454" s="368">
        <f t="shared" si="998"/>
        <v>1</v>
      </c>
      <c r="F454" s="372">
        <f t="shared" ca="1" si="999"/>
        <v>91</v>
      </c>
      <c r="G454" s="472">
        <f t="shared" si="1001"/>
        <v>41778</v>
      </c>
      <c r="H454" s="369">
        <f t="shared" si="1001"/>
        <v>41778</v>
      </c>
      <c r="I454" s="627"/>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588"/>
      <c r="AAD454" s="112"/>
      <c r="AAE454" s="551">
        <v>1</v>
      </c>
      <c r="AAF454" s="112"/>
      <c r="AAG454" s="78">
        <f t="shared" si="1002"/>
        <v>41778</v>
      </c>
      <c r="AAH454" s="78">
        <f t="shared" si="1003"/>
        <v>41778</v>
      </c>
      <c r="AAI454" s="77"/>
      <c r="AAJ454" s="77"/>
      <c r="AAK454" s="77"/>
      <c r="AAL454" s="89" t="str">
        <f>"Optional "&amp;S.CodeName&amp; "LEGISLATOR.NOTICE"</f>
        <v>Optional LEGISLATOR.NOTICE</v>
      </c>
      <c r="AAM454" s="112"/>
      <c r="AAN454"/>
      <c r="AAT454" s="23"/>
      <c r="AAU454" s="44"/>
    </row>
    <row r="455" spans="1:732" s="23" customFormat="1" ht="15.75" customHeight="1" outlineLevel="2">
      <c r="A455" s="558"/>
      <c r="B455" s="679" t="s">
        <v>336</v>
      </c>
      <c r="C455" s="168"/>
      <c r="D455" s="277" t="s">
        <v>385</v>
      </c>
      <c r="E455" s="368">
        <f t="shared" ref="E455" si="1004">NETWORKDAYS(G455,H455,S.DDL_DEQClosed)</f>
        <v>1</v>
      </c>
      <c r="F455" s="372">
        <f t="shared" ref="F455" ca="1" si="1005">NETWORKDAYS(TODAY(),H455)</f>
        <v>91</v>
      </c>
      <c r="G455" s="472">
        <f t="shared" ref="G455" si="1006">AAG455</f>
        <v>41778</v>
      </c>
      <c r="H455" s="369">
        <f t="shared" ref="H455" si="1007">AAH455</f>
        <v>41778</v>
      </c>
      <c r="I455" s="627"/>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50"/>
      <c r="ZZ455" s="50"/>
      <c r="AAA455" s="588"/>
      <c r="AAB455"/>
      <c r="AAC455"/>
      <c r="AAD455" s="112"/>
      <c r="AAE455" s="552">
        <f>IF(S.InvolveSIP=TRUE,1,0)</f>
        <v>1</v>
      </c>
      <c r="AAF455" s="112"/>
      <c r="AAG455" s="78">
        <f t="shared" si="1002"/>
        <v>41778</v>
      </c>
      <c r="AAH455" s="78">
        <f t="shared" si="1003"/>
        <v>41778</v>
      </c>
      <c r="AAI455" s="77"/>
      <c r="AAJ455" s="77"/>
      <c r="AAK455" s="77"/>
      <c r="AAL455" s="89" t="str">
        <f>"Optional "&amp;S.CodeName&amp; "LEGISLATOR.NOTICE"</f>
        <v>Optional LEGISLATOR.NOTICE</v>
      </c>
      <c r="AAM455" s="112"/>
      <c r="AAU455" s="44"/>
      <c r="AAV455"/>
      <c r="AAW455"/>
      <c r="AAX455"/>
      <c r="AAY455"/>
      <c r="AAZ455"/>
      <c r="ABA455"/>
      <c r="ABB455"/>
      <c r="ABC455"/>
      <c r="ABD455"/>
    </row>
    <row r="456" spans="1:732" ht="15.75" customHeight="1" outlineLevel="2">
      <c r="A456" s="558"/>
      <c r="B456" s="416" t="s">
        <v>325</v>
      </c>
      <c r="C456" s="231" t="s">
        <v>69</v>
      </c>
      <c r="D456" s="277" t="s">
        <v>359</v>
      </c>
      <c r="E456" s="368">
        <f t="shared" si="998"/>
        <v>1</v>
      </c>
      <c r="F456" s="372">
        <f t="shared" ca="1" si="999"/>
        <v>91</v>
      </c>
      <c r="G456" s="472">
        <f t="shared" si="1001"/>
        <v>41778</v>
      </c>
      <c r="H456" s="369">
        <f t="shared" si="1001"/>
        <v>41778</v>
      </c>
      <c r="I456" s="627"/>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50"/>
      <c r="ZZ456" s="50"/>
      <c r="AAA456" s="588"/>
      <c r="AAD456" s="112"/>
      <c r="AAE456" s="551">
        <f>IF(S.InvolveCommittee=TRUE,1,0)</f>
        <v>1</v>
      </c>
      <c r="AAF456" s="112"/>
      <c r="AAG456" s="78">
        <f t="shared" si="1002"/>
        <v>41778</v>
      </c>
      <c r="AAH456" s="78">
        <f t="shared" si="1003"/>
        <v>41778</v>
      </c>
      <c r="AAI456" s="77"/>
      <c r="AAJ456" s="77"/>
      <c r="AAK456" s="77"/>
      <c r="AAL456" s="89" t="str">
        <f>S.CodeName&amp; "COMMITTEE.THANK.YOU"</f>
        <v>COMMITTEE.THANK.YOU</v>
      </c>
      <c r="AAM456" s="112"/>
      <c r="AAN456"/>
      <c r="AAT456" s="23"/>
      <c r="AAU456" s="44"/>
    </row>
    <row r="457" spans="1:732" ht="15.75" customHeight="1" outlineLevel="2">
      <c r="A457" s="558"/>
      <c r="B457" s="416" t="s">
        <v>326</v>
      </c>
      <c r="C457" s="168"/>
      <c r="D457" s="277" t="s">
        <v>359</v>
      </c>
      <c r="E457" s="368">
        <f t="shared" si="998"/>
        <v>1</v>
      </c>
      <c r="F457" s="372">
        <f t="shared" ca="1" si="999"/>
        <v>91</v>
      </c>
      <c r="G457" s="472">
        <f t="shared" si="1001"/>
        <v>41778</v>
      </c>
      <c r="H457" s="369">
        <f t="shared" si="1001"/>
        <v>41778</v>
      </c>
      <c r="I457" s="627"/>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50"/>
      <c r="ZZ457" s="50"/>
      <c r="AAA457" s="588"/>
      <c r="AAD457" s="112"/>
      <c r="AAE457" s="551">
        <f>IF(S.InvolveCommittee=TRUE,1,0)</f>
        <v>1</v>
      </c>
      <c r="AAF457" s="112"/>
      <c r="AAG457" s="78">
        <f t="shared" si="1002"/>
        <v>41778</v>
      </c>
      <c r="AAH457" s="78">
        <f t="shared" si="1003"/>
        <v>41778</v>
      </c>
      <c r="AAI457" s="77"/>
      <c r="AAJ457" s="77"/>
      <c r="AAK457" s="77"/>
      <c r="AAL457" s="89" t="str">
        <f>S.CodeName&amp; "COMMITTEE.SURVEY"</f>
        <v>COMMITTEE.SURVEY</v>
      </c>
      <c r="AAM457" s="112"/>
      <c r="AAN457"/>
      <c r="AAT457" s="23"/>
      <c r="AAU457" s="44"/>
    </row>
    <row r="458" spans="1:732" ht="15.75" customHeight="1" outlineLevel="2">
      <c r="A458" s="558"/>
      <c r="B458" s="416" t="s">
        <v>327</v>
      </c>
      <c r="C458" s="168"/>
      <c r="D458" s="277" t="s">
        <v>359</v>
      </c>
      <c r="E458" s="368">
        <f t="shared" si="998"/>
        <v>1</v>
      </c>
      <c r="F458" s="372">
        <f t="shared" ca="1" si="999"/>
        <v>91</v>
      </c>
      <c r="G458" s="472">
        <f t="shared" si="1001"/>
        <v>41778</v>
      </c>
      <c r="H458" s="369">
        <f t="shared" si="1001"/>
        <v>41778</v>
      </c>
      <c r="I458" s="627"/>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588"/>
      <c r="AAD458" s="112"/>
      <c r="AAE458" s="551">
        <v>1</v>
      </c>
      <c r="AAF458" s="112"/>
      <c r="AAG458" s="78">
        <f t="shared" si="1002"/>
        <v>41778</v>
      </c>
      <c r="AAH458" s="78">
        <f t="shared" si="1003"/>
        <v>41778</v>
      </c>
      <c r="AAI458" s="77"/>
      <c r="AAJ458" s="77"/>
      <c r="AAK458" s="77"/>
      <c r="AAL458" s="89" t="str">
        <f>S.CodeName&amp; "YourName.EMAILS"</f>
        <v>YourName.EMAILS</v>
      </c>
      <c r="AAM458" s="112"/>
      <c r="AAN458"/>
      <c r="AAT458" s="23"/>
      <c r="AAU458" s="44"/>
    </row>
    <row r="459" spans="1:732" ht="15.75" customHeight="1" outlineLevel="2">
      <c r="A459" s="558"/>
      <c r="B459" s="416" t="s">
        <v>328</v>
      </c>
      <c r="C459" s="168"/>
      <c r="D459" s="277" t="s">
        <v>359</v>
      </c>
      <c r="E459" s="368">
        <f t="shared" si="998"/>
        <v>1</v>
      </c>
      <c r="F459" s="372">
        <f t="shared" ca="1" si="999"/>
        <v>91</v>
      </c>
      <c r="G459" s="472">
        <f t="shared" si="1001"/>
        <v>41778</v>
      </c>
      <c r="H459" s="369">
        <f t="shared" si="1001"/>
        <v>41778</v>
      </c>
      <c r="I459" s="627"/>
      <c r="J459" s="50"/>
      <c r="K459" s="50"/>
      <c r="L459" s="50"/>
      <c r="M459" s="50"/>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c r="AQ459" s="50"/>
      <c r="AR459" s="50"/>
      <c r="AS459" s="50"/>
      <c r="AT459" s="50"/>
      <c r="AU459" s="50"/>
      <c r="AV459" s="50"/>
      <c r="AW459" s="50"/>
      <c r="AX459" s="50"/>
      <c r="AY459" s="50"/>
      <c r="AZ459" s="50"/>
      <c r="BA459" s="50"/>
      <c r="BB459" s="50"/>
      <c r="BC459" s="50"/>
      <c r="BD459" s="50"/>
      <c r="BE459" s="50"/>
      <c r="BF459" s="50"/>
      <c r="BG459" s="50"/>
      <c r="BH459" s="50"/>
      <c r="BI459" s="50"/>
      <c r="BJ459" s="50"/>
      <c r="BK459" s="50"/>
      <c r="BL459" s="50"/>
      <c r="BM459" s="50"/>
      <c r="BN459" s="50"/>
      <c r="BO459" s="50"/>
      <c r="BP459" s="50"/>
      <c r="BQ459" s="50"/>
      <c r="BR459" s="50"/>
      <c r="BS459" s="50"/>
      <c r="BT459" s="50"/>
      <c r="BU459" s="50"/>
      <c r="BV459" s="50"/>
      <c r="BW459" s="50"/>
      <c r="BX459" s="50"/>
      <c r="BY459" s="50"/>
      <c r="BZ459" s="50"/>
      <c r="CA459" s="50"/>
      <c r="CB459" s="50"/>
      <c r="CC459" s="50"/>
      <c r="CD459" s="50"/>
      <c r="CE459" s="50"/>
      <c r="CF459" s="50"/>
      <c r="CG459" s="50"/>
      <c r="CH459" s="50"/>
      <c r="CI459" s="50"/>
      <c r="CJ459" s="50"/>
      <c r="CK459" s="50"/>
      <c r="CL459" s="50"/>
      <c r="CM459" s="50"/>
      <c r="CN459" s="50"/>
      <c r="CO459" s="50"/>
      <c r="CP459" s="50"/>
      <c r="CQ459" s="50"/>
      <c r="CR459" s="50"/>
      <c r="CS459" s="50"/>
      <c r="CT459" s="50"/>
      <c r="CU459" s="50"/>
      <c r="CV459" s="50"/>
      <c r="CW459" s="50"/>
      <c r="CX459" s="50"/>
      <c r="CY459" s="50"/>
      <c r="CZ459" s="50"/>
      <c r="DA459" s="50"/>
      <c r="DB459" s="50"/>
      <c r="DC459" s="50"/>
      <c r="DD459" s="50"/>
      <c r="DE459" s="50"/>
      <c r="DF459" s="50"/>
      <c r="DG459" s="50"/>
      <c r="DH459" s="50"/>
      <c r="DI459" s="50"/>
      <c r="DJ459" s="50"/>
      <c r="DK459" s="50"/>
      <c r="DL459" s="50"/>
      <c r="DM459" s="50"/>
      <c r="DN459" s="50"/>
      <c r="DO459" s="50"/>
      <c r="DP459" s="50"/>
      <c r="DQ459" s="50"/>
      <c r="DR459" s="50"/>
      <c r="DS459" s="50"/>
      <c r="DT459" s="50"/>
      <c r="DU459" s="50"/>
      <c r="DV459" s="50"/>
      <c r="DW459" s="50"/>
      <c r="DX459" s="50"/>
      <c r="DY459" s="50"/>
      <c r="DZ459" s="50"/>
      <c r="EA459" s="50"/>
      <c r="EB459" s="50"/>
      <c r="EC459" s="50"/>
      <c r="ED459" s="50"/>
      <c r="EE459" s="50"/>
      <c r="EF459" s="50"/>
      <c r="EG459" s="50"/>
      <c r="EH459" s="50"/>
      <c r="EI459" s="50"/>
      <c r="EJ459" s="50"/>
      <c r="EK459" s="50"/>
      <c r="EL459" s="50"/>
      <c r="EM459" s="50"/>
      <c r="EN459" s="50"/>
      <c r="EO459" s="50"/>
      <c r="EP459" s="50"/>
      <c r="EQ459" s="50"/>
      <c r="ER459" s="50"/>
      <c r="ES459" s="50"/>
      <c r="ET459" s="50"/>
      <c r="EU459" s="50"/>
      <c r="EV459" s="50"/>
      <c r="EW459" s="50"/>
      <c r="EX459" s="50"/>
      <c r="EY459" s="50"/>
      <c r="EZ459" s="50"/>
      <c r="FA459" s="50"/>
      <c r="FB459" s="50"/>
      <c r="FC459" s="50"/>
      <c r="FD459" s="50"/>
      <c r="FE459" s="50"/>
      <c r="FF459" s="50"/>
      <c r="FG459" s="50"/>
      <c r="FH459" s="50"/>
      <c r="FI459" s="50"/>
      <c r="FJ459" s="50"/>
      <c r="FK459" s="50"/>
      <c r="FL459" s="50"/>
      <c r="FM459" s="50"/>
      <c r="FN459" s="50"/>
      <c r="FO459" s="50"/>
      <c r="FP459" s="50"/>
      <c r="FQ459" s="50"/>
      <c r="FR459" s="50"/>
      <c r="FS459" s="50"/>
      <c r="FT459" s="50"/>
      <c r="FU459" s="50"/>
      <c r="FV459" s="50"/>
      <c r="FW459" s="50"/>
      <c r="FX459" s="50"/>
      <c r="FY459" s="50"/>
      <c r="FZ459" s="50"/>
      <c r="GA459" s="50"/>
      <c r="GB459" s="50"/>
      <c r="GC459" s="50"/>
      <c r="GD459" s="50"/>
      <c r="GE459" s="50"/>
      <c r="GF459" s="50"/>
      <c r="GG459" s="50"/>
      <c r="GH459" s="50"/>
      <c r="GI459" s="50"/>
      <c r="GJ459" s="50"/>
      <c r="GK459" s="50"/>
      <c r="GL459" s="50"/>
      <c r="GM459" s="50"/>
      <c r="GN459" s="50"/>
      <c r="GO459" s="50"/>
      <c r="GP459" s="50"/>
      <c r="GQ459" s="50"/>
      <c r="GR459" s="50"/>
      <c r="GS459" s="50"/>
      <c r="GT459" s="50"/>
      <c r="GU459" s="50"/>
      <c r="GV459" s="50"/>
      <c r="GW459" s="50"/>
      <c r="GX459" s="50"/>
      <c r="GY459" s="50"/>
      <c r="GZ459" s="50"/>
      <c r="HA459" s="50"/>
      <c r="HB459" s="50"/>
      <c r="HC459" s="50"/>
      <c r="HD459" s="50"/>
      <c r="HE459" s="50"/>
      <c r="HF459" s="50"/>
      <c r="HG459" s="50"/>
      <c r="HH459" s="50"/>
      <c r="HI459" s="50"/>
      <c r="HJ459" s="50"/>
      <c r="HK459" s="50"/>
      <c r="HL459" s="50"/>
      <c r="HM459" s="50"/>
      <c r="HN459" s="50"/>
      <c r="HO459" s="50"/>
      <c r="HP459" s="50"/>
      <c r="HQ459" s="50"/>
      <c r="HR459" s="50"/>
      <c r="HS459" s="50"/>
      <c r="HT459" s="50"/>
      <c r="HU459" s="50"/>
      <c r="HV459" s="50"/>
      <c r="HW459" s="50"/>
      <c r="HX459" s="50"/>
      <c r="HY459" s="50"/>
      <c r="HZ459" s="50"/>
      <c r="IA459" s="50"/>
      <c r="IB459" s="50"/>
      <c r="IC459" s="50"/>
      <c r="ID459" s="50"/>
      <c r="IE459" s="50"/>
      <c r="IF459" s="50"/>
      <c r="IG459" s="50"/>
      <c r="IH459" s="50"/>
      <c r="II459" s="50"/>
      <c r="IJ459" s="50"/>
      <c r="IK459" s="50"/>
      <c r="IL459" s="50"/>
      <c r="IM459" s="50"/>
      <c r="IN459" s="50"/>
      <c r="IO459" s="50"/>
      <c r="IP459" s="50"/>
      <c r="IQ459" s="50"/>
      <c r="IR459" s="50"/>
      <c r="IS459" s="50"/>
      <c r="IT459" s="50"/>
      <c r="IU459" s="50"/>
      <c r="IV459" s="50"/>
      <c r="IW459" s="50"/>
      <c r="IX459" s="50"/>
      <c r="IY459" s="50"/>
      <c r="IZ459" s="50"/>
      <c r="JA459" s="50"/>
      <c r="JB459" s="50"/>
      <c r="JC459" s="50"/>
      <c r="JD459" s="50"/>
      <c r="JE459" s="50"/>
      <c r="JF459" s="50"/>
      <c r="JG459" s="50"/>
      <c r="JH459" s="50"/>
      <c r="JI459" s="50"/>
      <c r="JJ459" s="50"/>
      <c r="JK459" s="50"/>
      <c r="JL459" s="50"/>
      <c r="JM459" s="50"/>
      <c r="JN459" s="50"/>
      <c r="JO459" s="50"/>
      <c r="JP459" s="50"/>
      <c r="JQ459" s="50"/>
      <c r="JR459" s="50"/>
      <c r="JS459" s="50"/>
      <c r="JT459" s="50"/>
      <c r="JU459" s="50"/>
      <c r="JV459" s="50"/>
      <c r="JW459" s="50"/>
      <c r="JX459" s="50"/>
      <c r="JY459" s="50"/>
      <c r="JZ459" s="50"/>
      <c r="KA459" s="50"/>
      <c r="KB459" s="50"/>
      <c r="KC459" s="50"/>
      <c r="KD459" s="50"/>
      <c r="KE459" s="50"/>
      <c r="KF459" s="50"/>
      <c r="KG459" s="50"/>
      <c r="KH459" s="50"/>
      <c r="KI459" s="50"/>
      <c r="KJ459" s="50"/>
      <c r="KK459" s="50"/>
      <c r="KL459" s="50"/>
      <c r="KM459" s="50"/>
      <c r="KN459" s="50"/>
      <c r="KO459" s="50"/>
      <c r="KP459" s="50"/>
      <c r="KQ459" s="50"/>
      <c r="KR459" s="50"/>
      <c r="KS459" s="50"/>
      <c r="KT459" s="50"/>
      <c r="KU459" s="50"/>
      <c r="KV459" s="50"/>
      <c r="KW459" s="50"/>
      <c r="KX459" s="50"/>
      <c r="KY459" s="50"/>
      <c r="KZ459" s="50"/>
      <c r="LA459" s="50"/>
      <c r="LB459" s="50"/>
      <c r="LC459" s="50"/>
      <c r="LD459" s="50"/>
      <c r="LE459" s="50"/>
      <c r="LF459" s="50"/>
      <c r="LG459" s="50"/>
      <c r="LH459" s="50"/>
      <c r="LI459" s="50"/>
      <c r="LJ459" s="50"/>
      <c r="LK459" s="50"/>
      <c r="LL459" s="50"/>
      <c r="LM459" s="50"/>
      <c r="LN459" s="50"/>
      <c r="LO459" s="50"/>
      <c r="LP459" s="50"/>
      <c r="LQ459" s="50"/>
      <c r="LR459" s="50"/>
      <c r="LS459" s="50"/>
      <c r="LT459" s="50"/>
      <c r="LU459" s="50"/>
      <c r="LV459" s="50"/>
      <c r="LW459" s="50"/>
      <c r="LX459" s="50"/>
      <c r="LY459" s="50"/>
      <c r="LZ459" s="50"/>
      <c r="MA459" s="50"/>
      <c r="MB459" s="50"/>
      <c r="MC459" s="50"/>
      <c r="MD459" s="50"/>
      <c r="ME459" s="50"/>
      <c r="MF459" s="50"/>
      <c r="MG459" s="50"/>
      <c r="MH459" s="50"/>
      <c r="MI459" s="50"/>
      <c r="MJ459" s="50"/>
      <c r="MK459" s="50"/>
      <c r="ML459" s="50"/>
      <c r="MM459" s="50"/>
      <c r="MN459" s="50"/>
      <c r="MO459" s="50"/>
      <c r="MP459" s="50"/>
      <c r="MQ459" s="50"/>
      <c r="MR459" s="50"/>
      <c r="MS459" s="50"/>
      <c r="MT459" s="50"/>
      <c r="MU459" s="50"/>
      <c r="MV459" s="50"/>
      <c r="MW459" s="50"/>
      <c r="MX459" s="50"/>
      <c r="MY459" s="50"/>
      <c r="MZ459" s="50"/>
      <c r="NA459" s="50"/>
      <c r="NB459" s="50"/>
      <c r="NC459" s="50"/>
      <c r="ND459" s="50"/>
      <c r="NE459" s="50"/>
      <c r="NF459" s="50"/>
      <c r="NG459" s="50"/>
      <c r="NH459" s="50"/>
      <c r="NI459" s="50"/>
      <c r="NJ459" s="50"/>
      <c r="NK459" s="50"/>
      <c r="NL459" s="50"/>
      <c r="NM459" s="50"/>
      <c r="NN459" s="50"/>
      <c r="NO459" s="50"/>
      <c r="NP459" s="50"/>
      <c r="NQ459" s="50"/>
      <c r="NR459" s="50"/>
      <c r="NS459" s="50"/>
      <c r="NT459" s="50"/>
      <c r="NU459" s="50"/>
      <c r="NV459" s="50"/>
      <c r="NW459" s="50"/>
      <c r="NX459" s="50"/>
      <c r="NY459" s="50"/>
      <c r="NZ459" s="50"/>
      <c r="OA459" s="50"/>
      <c r="OB459" s="50"/>
      <c r="OC459" s="50"/>
      <c r="OD459" s="50"/>
      <c r="OE459" s="50"/>
      <c r="OF459" s="50"/>
      <c r="OG459" s="50"/>
      <c r="OH459" s="50"/>
      <c r="OI459" s="50"/>
      <c r="OJ459" s="50"/>
      <c r="OK459" s="50"/>
      <c r="OL459" s="50"/>
      <c r="OM459" s="50"/>
      <c r="ON459" s="50"/>
      <c r="OO459" s="50"/>
      <c r="OP459" s="50"/>
      <c r="OQ459" s="50"/>
      <c r="OR459" s="50"/>
      <c r="OS459" s="50"/>
      <c r="OT459" s="50"/>
      <c r="OU459" s="50"/>
      <c r="OV459" s="50"/>
      <c r="OW459" s="50"/>
      <c r="OX459" s="50"/>
      <c r="OY459" s="50"/>
      <c r="OZ459" s="50"/>
      <c r="PA459" s="50"/>
      <c r="PB459" s="50"/>
      <c r="PC459" s="50"/>
      <c r="PD459" s="50"/>
      <c r="PE459" s="50"/>
      <c r="PF459" s="50"/>
      <c r="PG459" s="50"/>
      <c r="PH459" s="50"/>
      <c r="PI459" s="50"/>
      <c r="PJ459" s="50"/>
      <c r="PK459" s="50"/>
      <c r="PL459" s="50"/>
      <c r="PM459" s="50"/>
      <c r="PN459" s="50"/>
      <c r="PO459" s="50"/>
      <c r="PP459" s="50"/>
      <c r="PQ459" s="50"/>
      <c r="PR459" s="50"/>
      <c r="PS459" s="50"/>
      <c r="PT459" s="50"/>
      <c r="PU459" s="50"/>
      <c r="PV459" s="50"/>
      <c r="PW459" s="50"/>
      <c r="PX459" s="50"/>
      <c r="PY459" s="50"/>
      <c r="PZ459" s="50"/>
      <c r="QA459" s="50"/>
      <c r="QB459" s="50"/>
      <c r="QC459" s="50"/>
      <c r="QD459" s="50"/>
      <c r="QE459" s="50"/>
      <c r="QF459" s="50"/>
      <c r="QG459" s="50"/>
      <c r="QH459" s="50"/>
      <c r="QI459" s="50"/>
      <c r="QJ459" s="50"/>
      <c r="QK459" s="50"/>
      <c r="QL459" s="50"/>
      <c r="QM459" s="50"/>
      <c r="QN459" s="50"/>
      <c r="QO459" s="50"/>
      <c r="QP459" s="50"/>
      <c r="QQ459" s="50"/>
      <c r="QR459" s="50"/>
      <c r="QS459" s="50"/>
      <c r="QT459" s="50"/>
      <c r="QU459" s="50"/>
      <c r="QV459" s="50"/>
      <c r="QW459" s="50"/>
      <c r="QX459" s="50"/>
      <c r="QY459" s="50"/>
      <c r="QZ459" s="50"/>
      <c r="RA459" s="50"/>
      <c r="RB459" s="50"/>
      <c r="RC459" s="50"/>
      <c r="RD459" s="50"/>
      <c r="RE459" s="50"/>
      <c r="RF459" s="50"/>
      <c r="RG459" s="50"/>
      <c r="RH459" s="50"/>
      <c r="RI459" s="50"/>
      <c r="RJ459" s="50"/>
      <c r="RK459" s="50"/>
      <c r="RL459" s="50"/>
      <c r="RM459" s="50"/>
      <c r="RN459" s="50"/>
      <c r="RO459" s="50"/>
      <c r="RP459" s="50"/>
      <c r="RQ459" s="50"/>
      <c r="RR459" s="50"/>
      <c r="RS459" s="50"/>
      <c r="RT459" s="50"/>
      <c r="RU459" s="50"/>
      <c r="RV459" s="50"/>
      <c r="RW459" s="50"/>
      <c r="RX459" s="50"/>
      <c r="RY459" s="50"/>
      <c r="RZ459" s="50"/>
      <c r="SA459" s="50"/>
      <c r="SB459" s="50"/>
      <c r="SC459" s="50"/>
      <c r="SD459" s="50"/>
      <c r="SE459" s="50"/>
      <c r="SF459" s="50"/>
      <c r="SG459" s="50"/>
      <c r="SH459" s="50"/>
      <c r="SI459" s="50"/>
      <c r="SJ459" s="50"/>
      <c r="SK459" s="50"/>
      <c r="SL459" s="50"/>
      <c r="SM459" s="50"/>
      <c r="SN459" s="50"/>
      <c r="SO459" s="50"/>
      <c r="SP459" s="50"/>
      <c r="SQ459" s="50"/>
      <c r="SR459" s="50"/>
      <c r="SS459" s="50"/>
      <c r="ST459" s="50"/>
      <c r="SU459" s="50"/>
      <c r="SV459" s="50"/>
      <c r="SW459" s="50"/>
      <c r="SX459" s="50"/>
      <c r="SY459" s="50"/>
      <c r="SZ459" s="50"/>
      <c r="TA459" s="50"/>
      <c r="TB459" s="50"/>
      <c r="TC459" s="50"/>
      <c r="TD459" s="50"/>
      <c r="TE459" s="50"/>
      <c r="TF459" s="50"/>
      <c r="TG459" s="50"/>
      <c r="TH459" s="50"/>
      <c r="TI459" s="50"/>
      <c r="TJ459" s="50"/>
      <c r="TK459" s="50"/>
      <c r="TL459" s="50"/>
      <c r="TM459" s="50"/>
      <c r="TN459" s="50"/>
      <c r="TO459" s="50"/>
      <c r="TP459" s="50"/>
      <c r="TQ459" s="50"/>
      <c r="TR459" s="50"/>
      <c r="TS459" s="50"/>
      <c r="TT459" s="50"/>
      <c r="TU459" s="50"/>
      <c r="TV459" s="50"/>
      <c r="TW459" s="50"/>
      <c r="TX459" s="50"/>
      <c r="TY459" s="50"/>
      <c r="TZ459" s="50"/>
      <c r="UA459" s="50"/>
      <c r="UB459" s="50"/>
      <c r="UC459" s="50"/>
      <c r="UD459" s="50"/>
      <c r="UE459" s="50"/>
      <c r="UF459" s="50"/>
      <c r="UG459" s="50"/>
      <c r="UH459" s="50"/>
      <c r="UI459" s="50"/>
      <c r="UJ459" s="50"/>
      <c r="UK459" s="50"/>
      <c r="UL459" s="50"/>
      <c r="UM459" s="50"/>
      <c r="UN459" s="50"/>
      <c r="UO459" s="50"/>
      <c r="UP459" s="50"/>
      <c r="UQ459" s="50"/>
      <c r="UR459" s="50"/>
      <c r="US459" s="50"/>
      <c r="UT459" s="50"/>
      <c r="UU459" s="50"/>
      <c r="UV459" s="50"/>
      <c r="UW459" s="50"/>
      <c r="UX459" s="50"/>
      <c r="UY459" s="50"/>
      <c r="UZ459" s="50"/>
      <c r="VA459" s="50"/>
      <c r="VB459" s="50"/>
      <c r="VC459" s="50"/>
      <c r="VD459" s="50"/>
      <c r="VE459" s="50"/>
      <c r="VF459" s="50"/>
      <c r="VG459" s="50"/>
      <c r="VH459" s="50"/>
      <c r="VI459" s="50"/>
      <c r="VJ459" s="50"/>
      <c r="VK459" s="50"/>
      <c r="VL459" s="50"/>
      <c r="VM459" s="50"/>
      <c r="VN459" s="50"/>
      <c r="VO459" s="50"/>
      <c r="VP459" s="50"/>
      <c r="VQ459" s="50"/>
      <c r="VR459" s="50"/>
      <c r="VS459" s="50"/>
      <c r="VT459" s="50"/>
      <c r="VU459" s="50"/>
      <c r="VV459" s="50"/>
      <c r="VW459" s="50"/>
      <c r="VX459" s="50"/>
      <c r="VY459" s="50"/>
      <c r="VZ459" s="50"/>
      <c r="WA459" s="50"/>
      <c r="WB459" s="50"/>
      <c r="WC459" s="50"/>
      <c r="WD459" s="50"/>
      <c r="WE459" s="50"/>
      <c r="WF459" s="50"/>
      <c r="WG459" s="50"/>
      <c r="WH459" s="50"/>
      <c r="WI459" s="50"/>
      <c r="WJ459" s="50"/>
      <c r="WK459" s="50"/>
      <c r="WL459" s="50"/>
      <c r="WM459" s="50"/>
      <c r="WN459" s="50"/>
      <c r="WO459" s="50"/>
      <c r="WP459" s="50"/>
      <c r="WQ459" s="50"/>
      <c r="WR459" s="50"/>
      <c r="WS459" s="50"/>
      <c r="WT459" s="50"/>
      <c r="WU459" s="50"/>
      <c r="WV459" s="50"/>
      <c r="WW459" s="50"/>
      <c r="WX459" s="50"/>
      <c r="WY459" s="50"/>
      <c r="WZ459" s="50"/>
      <c r="XA459" s="50"/>
      <c r="XB459" s="50"/>
      <c r="XC459" s="50"/>
      <c r="XD459" s="50"/>
      <c r="XE459" s="50"/>
      <c r="XF459" s="50"/>
      <c r="XG459" s="50"/>
      <c r="XH459" s="50"/>
      <c r="XI459" s="50"/>
      <c r="XJ459" s="50"/>
      <c r="XK459" s="50"/>
      <c r="XL459" s="50"/>
      <c r="XM459" s="50"/>
      <c r="XN459" s="50"/>
      <c r="XO459" s="50"/>
      <c r="XP459" s="50"/>
      <c r="XQ459" s="50"/>
      <c r="XR459" s="50"/>
      <c r="XS459" s="50"/>
      <c r="XT459" s="50"/>
      <c r="XU459" s="50"/>
      <c r="XV459" s="50"/>
      <c r="XW459" s="50"/>
      <c r="XX459" s="50"/>
      <c r="XY459" s="50"/>
      <c r="XZ459" s="50"/>
      <c r="YA459" s="50"/>
      <c r="YB459" s="50"/>
      <c r="YC459" s="50"/>
      <c r="YD459" s="50"/>
      <c r="YE459" s="50"/>
      <c r="YF459" s="50"/>
      <c r="YG459" s="50"/>
      <c r="YH459" s="50"/>
      <c r="YI459" s="50"/>
      <c r="YJ459" s="50"/>
      <c r="YK459" s="50"/>
      <c r="YL459" s="50"/>
      <c r="YM459" s="50"/>
      <c r="YN459" s="50"/>
      <c r="YO459" s="50"/>
      <c r="YP459" s="50"/>
      <c r="YQ459" s="50"/>
      <c r="YR459" s="50"/>
      <c r="YS459" s="50"/>
      <c r="YT459" s="50"/>
      <c r="YU459" s="50"/>
      <c r="YV459" s="50"/>
      <c r="YW459" s="50"/>
      <c r="YX459" s="50"/>
      <c r="YY459" s="50"/>
      <c r="YZ459" s="50"/>
      <c r="ZA459" s="50"/>
      <c r="ZB459" s="50"/>
      <c r="ZC459" s="50"/>
      <c r="ZD459" s="50"/>
      <c r="ZE459" s="50"/>
      <c r="ZF459" s="50"/>
      <c r="ZG459" s="50"/>
      <c r="ZH459" s="50"/>
      <c r="ZI459" s="50"/>
      <c r="ZJ459" s="50"/>
      <c r="ZK459" s="50"/>
      <c r="ZL459" s="50"/>
      <c r="ZM459" s="50"/>
      <c r="ZN459" s="50"/>
      <c r="ZO459" s="50"/>
      <c r="ZP459" s="50"/>
      <c r="ZQ459" s="50"/>
      <c r="ZR459" s="50"/>
      <c r="ZS459" s="50"/>
      <c r="ZT459" s="50"/>
      <c r="ZU459" s="50"/>
      <c r="ZV459" s="50"/>
      <c r="ZW459" s="50"/>
      <c r="ZX459" s="50"/>
      <c r="ZY459" s="50"/>
      <c r="ZZ459" s="50"/>
      <c r="AAA459" s="588"/>
      <c r="AAD459" s="112"/>
      <c r="AAE459" s="551">
        <v>1</v>
      </c>
      <c r="AAF459" s="112"/>
      <c r="AAG459" s="78">
        <f t="shared" si="1002"/>
        <v>41778</v>
      </c>
      <c r="AAH459" s="78">
        <f t="shared" si="1003"/>
        <v>41778</v>
      </c>
      <c r="AAI459" s="77"/>
      <c r="AAJ459" s="77"/>
      <c r="AAK459" s="77"/>
      <c r="AAL459" s="89" t="str">
        <f>S.CodeName&amp; "EVALUATION"</f>
        <v>EVALUATION</v>
      </c>
      <c r="AAM459" s="112"/>
      <c r="AAN459"/>
      <c r="AAT459" s="23"/>
      <c r="AAU459" s="44"/>
    </row>
    <row r="460" spans="1:732" ht="15.75" customHeight="1" outlineLevel="2">
      <c r="A460" s="558"/>
      <c r="B460" s="462" t="s">
        <v>124</v>
      </c>
      <c r="C460" s="689"/>
      <c r="D460" s="145"/>
      <c r="E460" s="160"/>
      <c r="F460" s="160"/>
      <c r="G460" s="161"/>
      <c r="H460" s="161"/>
      <c r="I460" s="588"/>
      <c r="J460" s="597"/>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c r="BE460" s="45"/>
      <c r="BF460" s="45"/>
      <c r="BG460" s="45"/>
      <c r="BH460" s="45"/>
      <c r="BI460" s="45"/>
      <c r="BJ460" s="45"/>
      <c r="BK460" s="45"/>
      <c r="BL460" s="45"/>
      <c r="BM460" s="45"/>
      <c r="BN460" s="45"/>
      <c r="BO460" s="45"/>
      <c r="BP460" s="45"/>
      <c r="BQ460" s="45"/>
      <c r="BR460" s="45"/>
      <c r="BS460" s="45"/>
      <c r="BT460" s="45"/>
      <c r="BU460" s="45"/>
      <c r="BV460" s="45"/>
      <c r="BW460" s="45"/>
      <c r="BX460" s="45"/>
      <c r="BY460" s="45"/>
      <c r="BZ460" s="45"/>
      <c r="CA460" s="45"/>
      <c r="CB460" s="45"/>
      <c r="CC460" s="45"/>
      <c r="CD460" s="45"/>
      <c r="CE460" s="45"/>
      <c r="CF460" s="45"/>
      <c r="CG460" s="45"/>
      <c r="CH460" s="45"/>
      <c r="CI460" s="45"/>
      <c r="CJ460" s="45"/>
      <c r="CK460" s="45"/>
      <c r="CL460" s="45"/>
      <c r="CM460" s="45"/>
      <c r="CN460" s="45"/>
      <c r="CO460" s="45"/>
      <c r="CP460" s="45"/>
      <c r="CQ460" s="45"/>
      <c r="CR460" s="45"/>
      <c r="CS460" s="45"/>
      <c r="CT460" s="45"/>
      <c r="CU460" s="45"/>
      <c r="CV460" s="45"/>
      <c r="CW460" s="45"/>
      <c r="CX460" s="45"/>
      <c r="CY460" s="45"/>
      <c r="CZ460" s="45"/>
      <c r="DA460" s="45"/>
      <c r="DB460" s="45"/>
      <c r="DC460" s="45"/>
      <c r="DD460" s="45"/>
      <c r="DE460" s="45"/>
      <c r="DF460" s="45"/>
      <c r="DG460" s="45"/>
      <c r="DH460" s="45"/>
      <c r="DI460" s="45"/>
      <c r="DJ460" s="45"/>
      <c r="DK460" s="45"/>
      <c r="DL460" s="45"/>
      <c r="DM460" s="45"/>
      <c r="DN460" s="45"/>
      <c r="DO460" s="45"/>
      <c r="DP460" s="45"/>
      <c r="DQ460" s="45"/>
      <c r="DR460" s="45"/>
      <c r="DS460" s="45"/>
      <c r="DT460" s="45"/>
      <c r="DU460" s="45"/>
      <c r="DV460" s="45"/>
      <c r="DW460" s="45"/>
      <c r="DX460" s="45"/>
      <c r="DY460" s="45"/>
      <c r="DZ460" s="45"/>
      <c r="EA460" s="45"/>
      <c r="EB460" s="45"/>
      <c r="EC460" s="45"/>
      <c r="ED460" s="45"/>
      <c r="EE460" s="45"/>
      <c r="EF460" s="45"/>
      <c r="EG460" s="45"/>
      <c r="EH460" s="45"/>
      <c r="EI460" s="45"/>
      <c r="EJ460" s="45"/>
      <c r="EK460" s="45"/>
      <c r="EL460" s="45"/>
      <c r="EM460" s="45"/>
      <c r="EN460" s="45"/>
      <c r="EO460" s="45"/>
      <c r="EP460" s="45"/>
      <c r="EQ460" s="45"/>
      <c r="ER460" s="45"/>
      <c r="ES460" s="45"/>
      <c r="ET460" s="45"/>
      <c r="EU460" s="45"/>
      <c r="EV460" s="45"/>
      <c r="EW460" s="45"/>
      <c r="EX460" s="45"/>
      <c r="EY460" s="45"/>
      <c r="EZ460" s="45"/>
      <c r="FA460" s="45"/>
      <c r="FB460" s="45"/>
      <c r="FC460" s="45"/>
      <c r="FD460" s="45"/>
      <c r="FE460" s="45"/>
      <c r="FF460" s="45"/>
      <c r="FG460" s="45"/>
      <c r="FH460" s="45"/>
      <c r="FI460" s="45"/>
      <c r="FJ460" s="45"/>
      <c r="FK460" s="45"/>
      <c r="FL460" s="45"/>
      <c r="FM460" s="45"/>
      <c r="FN460" s="45"/>
      <c r="FO460" s="45"/>
      <c r="FP460" s="45"/>
      <c r="FQ460" s="45"/>
      <c r="FR460" s="45"/>
      <c r="FS460" s="45"/>
      <c r="FT460" s="45"/>
      <c r="FU460" s="45"/>
      <c r="FV460" s="45"/>
      <c r="FW460" s="45"/>
      <c r="FX460" s="45"/>
      <c r="FY460" s="45"/>
      <c r="FZ460" s="45"/>
      <c r="GA460" s="45"/>
      <c r="GB460" s="45"/>
      <c r="GC460" s="45"/>
      <c r="GD460" s="45"/>
      <c r="GE460" s="45"/>
      <c r="GF460" s="45"/>
      <c r="GG460" s="45"/>
      <c r="GH460" s="45"/>
      <c r="GI460" s="45"/>
      <c r="GJ460" s="45"/>
      <c r="GK460" s="45"/>
      <c r="GL460" s="45"/>
      <c r="GM460" s="45"/>
      <c r="GN460" s="45"/>
      <c r="GO460" s="45"/>
      <c r="GP460" s="45"/>
      <c r="GQ460" s="45"/>
      <c r="GR460" s="45"/>
      <c r="GS460" s="45"/>
      <c r="GT460" s="45"/>
      <c r="GU460" s="45"/>
      <c r="GV460" s="45"/>
      <c r="GW460" s="45"/>
      <c r="GX460" s="45"/>
      <c r="GY460" s="45"/>
      <c r="GZ460" s="45"/>
      <c r="HA460" s="45"/>
      <c r="HB460" s="45"/>
      <c r="HC460" s="45"/>
      <c r="HD460" s="45"/>
      <c r="HE460" s="45"/>
      <c r="HF460" s="45"/>
      <c r="HG460" s="45"/>
      <c r="HH460" s="45"/>
      <c r="HI460" s="45"/>
      <c r="HJ460" s="45"/>
      <c r="HK460" s="45"/>
      <c r="HL460" s="45"/>
      <c r="HM460" s="45"/>
      <c r="HN460" s="45"/>
      <c r="HO460" s="45"/>
      <c r="HP460" s="45"/>
      <c r="HQ460" s="45"/>
      <c r="HR460" s="45"/>
      <c r="HS460" s="45"/>
      <c r="HT460" s="45"/>
      <c r="HU460" s="45"/>
      <c r="HV460" s="45"/>
      <c r="HW460" s="45"/>
      <c r="HX460" s="45"/>
      <c r="HY460" s="45"/>
      <c r="HZ460" s="45"/>
      <c r="IA460" s="45"/>
      <c r="IB460" s="45"/>
      <c r="IC460" s="45"/>
      <c r="ID460" s="45"/>
      <c r="IE460" s="45"/>
      <c r="IF460" s="45"/>
      <c r="IG460" s="45"/>
      <c r="IH460" s="45"/>
      <c r="II460" s="45"/>
      <c r="IJ460" s="45"/>
      <c r="IK460" s="45"/>
      <c r="IL460" s="45"/>
      <c r="IM460" s="45"/>
      <c r="IN460" s="45"/>
      <c r="IO460" s="45"/>
      <c r="IP460" s="45"/>
      <c r="IQ460" s="45"/>
      <c r="IR460" s="45"/>
      <c r="IS460" s="45"/>
      <c r="IT460" s="45"/>
      <c r="IU460" s="45"/>
      <c r="IV460" s="45"/>
      <c r="IW460" s="45"/>
      <c r="IX460" s="45"/>
      <c r="IY460" s="45"/>
      <c r="IZ460" s="45"/>
      <c r="JA460" s="45"/>
      <c r="JB460" s="45"/>
      <c r="JC460" s="45"/>
      <c r="JD460" s="45"/>
      <c r="JE460" s="45"/>
      <c r="JF460" s="45"/>
      <c r="JG460" s="45"/>
      <c r="JH460" s="45"/>
      <c r="JI460" s="45"/>
      <c r="JJ460" s="45"/>
      <c r="JK460" s="45"/>
      <c r="JL460" s="45"/>
      <c r="JM460" s="45"/>
      <c r="JN460" s="45"/>
      <c r="JO460" s="45"/>
      <c r="JP460" s="45"/>
      <c r="JQ460" s="45"/>
      <c r="JR460" s="45"/>
      <c r="JS460" s="45"/>
      <c r="JT460" s="45"/>
      <c r="JU460" s="45"/>
      <c r="JV460" s="45"/>
      <c r="JW460" s="45"/>
      <c r="JX460" s="45"/>
      <c r="JY460" s="45"/>
      <c r="JZ460" s="45"/>
      <c r="KA460" s="45"/>
      <c r="KB460" s="45"/>
      <c r="KC460" s="45"/>
      <c r="KD460" s="45"/>
      <c r="KE460" s="45"/>
      <c r="KF460" s="45"/>
      <c r="KG460" s="45"/>
      <c r="KH460" s="45"/>
      <c r="KI460" s="45"/>
      <c r="KJ460" s="45"/>
      <c r="KK460" s="45"/>
      <c r="KL460" s="45"/>
      <c r="KM460" s="45"/>
      <c r="KN460" s="45"/>
      <c r="KO460" s="45"/>
      <c r="KP460" s="45"/>
      <c r="KQ460" s="45"/>
      <c r="KR460" s="45"/>
      <c r="KS460" s="45"/>
      <c r="KT460" s="45"/>
      <c r="KU460" s="45"/>
      <c r="KV460" s="45"/>
      <c r="KW460" s="45"/>
      <c r="KX460" s="45"/>
      <c r="KY460" s="45"/>
      <c r="KZ460" s="45"/>
      <c r="LA460" s="45"/>
      <c r="LB460" s="45"/>
      <c r="LC460" s="45"/>
      <c r="LD460" s="45"/>
      <c r="LE460" s="45"/>
      <c r="LF460" s="45"/>
      <c r="LG460" s="45"/>
      <c r="LH460" s="45"/>
      <c r="LI460" s="45"/>
      <c r="LJ460" s="45"/>
      <c r="LK460" s="45"/>
      <c r="LL460" s="45"/>
      <c r="LM460" s="45"/>
      <c r="LN460" s="45"/>
      <c r="LO460" s="45"/>
      <c r="LP460" s="45"/>
      <c r="LQ460" s="45"/>
      <c r="LR460" s="45"/>
      <c r="LS460" s="45"/>
      <c r="LT460" s="45"/>
      <c r="LU460" s="45"/>
      <c r="LV460" s="45"/>
      <c r="LW460" s="45"/>
      <c r="LX460" s="45"/>
      <c r="LY460" s="45"/>
      <c r="LZ460" s="45"/>
      <c r="MA460" s="45"/>
      <c r="MB460" s="45"/>
      <c r="MC460" s="45"/>
      <c r="MD460" s="45"/>
      <c r="ME460" s="45"/>
      <c r="MF460" s="45"/>
      <c r="MG460" s="45"/>
      <c r="MH460" s="45"/>
      <c r="MI460" s="45"/>
      <c r="MJ460" s="45"/>
      <c r="MK460" s="45"/>
      <c r="ML460" s="45"/>
      <c r="MM460" s="45"/>
      <c r="MN460" s="45"/>
      <c r="MO460" s="45"/>
      <c r="MP460" s="45"/>
      <c r="MQ460" s="45"/>
      <c r="MR460" s="45"/>
      <c r="MS460" s="45"/>
      <c r="MT460" s="45"/>
      <c r="MU460" s="45"/>
      <c r="MV460" s="45"/>
      <c r="MW460" s="45"/>
      <c r="MX460" s="45"/>
      <c r="MY460" s="45"/>
      <c r="MZ460" s="45"/>
      <c r="NA460" s="45"/>
      <c r="NB460" s="45"/>
      <c r="NC460" s="45"/>
      <c r="ND460" s="45"/>
      <c r="NE460" s="45"/>
      <c r="NF460" s="45"/>
      <c r="NG460" s="45"/>
      <c r="NH460" s="45"/>
      <c r="NI460" s="45"/>
      <c r="NJ460" s="45"/>
      <c r="NK460" s="45"/>
      <c r="NL460" s="45"/>
      <c r="NM460" s="45"/>
      <c r="NN460" s="45"/>
      <c r="NO460" s="45"/>
      <c r="NP460" s="45"/>
      <c r="NQ460" s="45"/>
      <c r="NR460" s="45"/>
      <c r="NS460" s="45"/>
      <c r="NT460" s="45"/>
      <c r="NU460" s="45"/>
      <c r="NV460" s="45"/>
      <c r="NW460" s="45"/>
      <c r="NX460" s="45"/>
      <c r="NY460" s="45"/>
      <c r="NZ460" s="45"/>
      <c r="OA460" s="45"/>
      <c r="OB460" s="45"/>
      <c r="OC460" s="45"/>
      <c r="OD460" s="45"/>
      <c r="OE460" s="45"/>
      <c r="OF460" s="45"/>
      <c r="OG460" s="45"/>
      <c r="OH460" s="45"/>
      <c r="OI460" s="45"/>
      <c r="OJ460" s="45"/>
      <c r="OK460" s="45"/>
      <c r="OL460" s="45"/>
      <c r="OM460" s="45"/>
      <c r="ON460" s="45"/>
      <c r="OO460" s="45"/>
      <c r="OP460" s="45"/>
      <c r="OQ460" s="45"/>
      <c r="OR460" s="45"/>
      <c r="OS460" s="45"/>
      <c r="OT460" s="45"/>
      <c r="OU460" s="45"/>
      <c r="OV460" s="45"/>
      <c r="OW460" s="45"/>
      <c r="OX460" s="45"/>
      <c r="OY460" s="45"/>
      <c r="OZ460" s="45"/>
      <c r="PA460" s="45"/>
      <c r="PB460" s="45"/>
      <c r="PC460" s="45"/>
      <c r="PD460" s="45"/>
      <c r="PE460" s="45"/>
      <c r="PF460" s="45"/>
      <c r="PG460" s="45"/>
      <c r="PH460" s="45"/>
      <c r="PI460" s="45"/>
      <c r="PJ460" s="45"/>
      <c r="PK460" s="45"/>
      <c r="PL460" s="45"/>
      <c r="PM460" s="45"/>
      <c r="PN460" s="45"/>
      <c r="PO460" s="45"/>
      <c r="PP460" s="45"/>
      <c r="PQ460" s="45"/>
      <c r="PR460" s="45"/>
      <c r="PS460" s="45"/>
      <c r="PT460" s="45"/>
      <c r="PU460" s="45"/>
      <c r="PV460" s="45"/>
      <c r="PW460" s="45"/>
      <c r="PX460" s="45"/>
      <c r="PY460" s="45"/>
      <c r="PZ460" s="45"/>
      <c r="QA460" s="45"/>
      <c r="QB460" s="45"/>
      <c r="QC460" s="45"/>
      <c r="QD460" s="45"/>
      <c r="QE460" s="45"/>
      <c r="QF460" s="45"/>
      <c r="QG460" s="45"/>
      <c r="QH460" s="45"/>
      <c r="QI460" s="45"/>
      <c r="QJ460" s="45"/>
      <c r="QK460" s="45"/>
      <c r="QL460" s="45"/>
      <c r="QM460" s="45"/>
      <c r="QN460" s="45"/>
      <c r="QO460" s="45"/>
      <c r="QP460" s="45"/>
      <c r="QQ460" s="45"/>
      <c r="QR460" s="45"/>
      <c r="QS460" s="45"/>
      <c r="QT460" s="45"/>
      <c r="QU460" s="45"/>
      <c r="QV460" s="45"/>
      <c r="QW460" s="45"/>
      <c r="QX460" s="45"/>
      <c r="QY460" s="45"/>
      <c r="QZ460" s="45"/>
      <c r="RA460" s="45"/>
      <c r="RB460" s="45"/>
      <c r="RC460" s="45"/>
      <c r="RD460" s="45"/>
      <c r="RE460" s="45"/>
      <c r="RF460" s="45"/>
      <c r="RG460" s="45"/>
      <c r="RH460" s="45"/>
      <c r="RI460" s="45"/>
      <c r="RJ460" s="45"/>
      <c r="RK460" s="45"/>
      <c r="RL460" s="45"/>
      <c r="RM460" s="45"/>
      <c r="RN460" s="45"/>
      <c r="RO460" s="45"/>
      <c r="RP460" s="45"/>
      <c r="RQ460" s="45"/>
      <c r="RR460" s="45"/>
      <c r="RS460" s="45"/>
      <c r="RT460" s="45"/>
      <c r="RU460" s="45"/>
      <c r="RV460" s="45"/>
      <c r="RW460" s="45"/>
      <c r="RX460" s="45"/>
      <c r="RY460" s="45"/>
      <c r="RZ460" s="45"/>
      <c r="SA460" s="45"/>
      <c r="SB460" s="45"/>
      <c r="SC460" s="45"/>
      <c r="SD460" s="45"/>
      <c r="SE460" s="45"/>
      <c r="SF460" s="45"/>
      <c r="SG460" s="45"/>
      <c r="SH460" s="45"/>
      <c r="SI460" s="45"/>
      <c r="SJ460" s="45"/>
      <c r="SK460" s="45"/>
      <c r="SL460" s="45"/>
      <c r="SM460" s="45"/>
      <c r="SN460" s="45"/>
      <c r="SO460" s="45"/>
      <c r="SP460" s="45"/>
      <c r="SQ460" s="45"/>
      <c r="SR460" s="45"/>
      <c r="SS460" s="45"/>
      <c r="ST460" s="45"/>
      <c r="SU460" s="45"/>
      <c r="SV460" s="45"/>
      <c r="SW460" s="45"/>
      <c r="SX460" s="45"/>
      <c r="SY460" s="45"/>
      <c r="SZ460" s="45"/>
      <c r="TA460" s="45"/>
      <c r="TB460" s="45"/>
      <c r="TC460" s="45"/>
      <c r="TD460" s="45"/>
      <c r="TE460" s="45"/>
      <c r="TF460" s="45"/>
      <c r="TG460" s="45"/>
      <c r="TH460" s="45"/>
      <c r="TI460" s="45"/>
      <c r="TJ460" s="45"/>
      <c r="TK460" s="45"/>
      <c r="TL460" s="45"/>
      <c r="TM460" s="45"/>
      <c r="TN460" s="45"/>
      <c r="TO460" s="45"/>
      <c r="TP460" s="45"/>
      <c r="TQ460" s="45"/>
      <c r="TR460" s="45"/>
      <c r="TS460" s="45"/>
      <c r="TT460" s="45"/>
      <c r="TU460" s="45"/>
      <c r="TV460" s="45"/>
      <c r="TW460" s="45"/>
      <c r="TX460" s="45"/>
      <c r="TY460" s="45"/>
      <c r="TZ460" s="45"/>
      <c r="UA460" s="45"/>
      <c r="UB460" s="45"/>
      <c r="UC460" s="45"/>
      <c r="UD460" s="45"/>
      <c r="UE460" s="45"/>
      <c r="UF460" s="45"/>
      <c r="UG460" s="45"/>
      <c r="UH460" s="45"/>
      <c r="UI460" s="45"/>
      <c r="UJ460" s="45"/>
      <c r="UK460" s="45"/>
      <c r="UL460" s="45"/>
      <c r="UM460" s="45"/>
      <c r="UN460" s="45"/>
      <c r="UO460" s="45"/>
      <c r="UP460" s="45"/>
      <c r="UQ460" s="45"/>
      <c r="UR460" s="45"/>
      <c r="US460" s="45"/>
      <c r="UT460" s="45"/>
      <c r="UU460" s="45"/>
      <c r="UV460" s="45"/>
      <c r="UW460" s="45"/>
      <c r="UX460" s="45"/>
      <c r="UY460" s="45"/>
      <c r="UZ460" s="45"/>
      <c r="VA460" s="45"/>
      <c r="VB460" s="45"/>
      <c r="VC460" s="45"/>
      <c r="VD460" s="45"/>
      <c r="VE460" s="45"/>
      <c r="VF460" s="45"/>
      <c r="VG460" s="45"/>
      <c r="VH460" s="45"/>
      <c r="VI460" s="45"/>
      <c r="VJ460" s="45"/>
      <c r="VK460" s="45"/>
      <c r="VL460" s="45"/>
      <c r="VM460" s="45"/>
      <c r="VN460" s="45"/>
      <c r="VO460" s="45"/>
      <c r="VP460" s="45"/>
      <c r="VQ460" s="45"/>
      <c r="VR460" s="45"/>
      <c r="VS460" s="45"/>
      <c r="VT460" s="45"/>
      <c r="VU460" s="45"/>
      <c r="VV460" s="45"/>
      <c r="VW460" s="45"/>
      <c r="VX460" s="45"/>
      <c r="VY460" s="45"/>
      <c r="VZ460" s="45"/>
      <c r="WA460" s="45"/>
      <c r="WB460" s="45"/>
      <c r="WC460" s="45"/>
      <c r="WD460" s="45"/>
      <c r="WE460" s="45"/>
      <c r="WF460" s="45"/>
      <c r="WG460" s="45"/>
      <c r="WH460" s="45"/>
      <c r="WI460" s="45"/>
      <c r="WJ460" s="45"/>
      <c r="WK460" s="45"/>
      <c r="WL460" s="45"/>
      <c r="WM460" s="45"/>
      <c r="WN460" s="45"/>
      <c r="WO460" s="45"/>
      <c r="WP460" s="45"/>
      <c r="WQ460" s="45"/>
      <c r="WR460" s="45"/>
      <c r="WS460" s="45"/>
      <c r="WT460" s="45"/>
      <c r="WU460" s="45"/>
      <c r="WV460" s="45"/>
      <c r="WW460" s="45"/>
      <c r="WX460" s="45"/>
      <c r="WY460" s="45"/>
      <c r="WZ460" s="45"/>
      <c r="XA460" s="45"/>
      <c r="XB460" s="45"/>
      <c r="XC460" s="45"/>
      <c r="XD460" s="45"/>
      <c r="XE460" s="45"/>
      <c r="XF460" s="45"/>
      <c r="XG460" s="45"/>
      <c r="XH460" s="45"/>
      <c r="XI460" s="45"/>
      <c r="XJ460" s="45"/>
      <c r="XK460" s="45"/>
      <c r="XL460" s="45"/>
      <c r="XM460" s="45"/>
      <c r="XN460" s="45"/>
      <c r="XO460" s="45"/>
      <c r="XP460" s="45"/>
      <c r="XQ460" s="45"/>
      <c r="XR460" s="45"/>
      <c r="XS460" s="45"/>
      <c r="XT460" s="45"/>
      <c r="XU460" s="45"/>
      <c r="XV460" s="45"/>
      <c r="XW460" s="45"/>
      <c r="XX460" s="45"/>
      <c r="XY460" s="45"/>
      <c r="XZ460" s="45"/>
      <c r="YA460" s="45"/>
      <c r="YB460" s="45"/>
      <c r="YC460" s="45"/>
      <c r="YD460" s="45"/>
      <c r="YE460" s="45"/>
      <c r="YF460" s="45"/>
      <c r="YG460" s="45"/>
      <c r="YH460" s="45"/>
      <c r="YI460" s="45"/>
      <c r="YJ460" s="45"/>
      <c r="YK460" s="45"/>
      <c r="YL460" s="45"/>
      <c r="YM460" s="45"/>
      <c r="YN460" s="45"/>
      <c r="YO460" s="45"/>
      <c r="YP460" s="45"/>
      <c r="YQ460" s="45"/>
      <c r="YR460" s="45"/>
      <c r="YS460" s="45"/>
      <c r="YT460" s="45"/>
      <c r="YU460" s="45"/>
      <c r="YV460" s="45"/>
      <c r="YW460" s="45"/>
      <c r="YX460" s="45"/>
      <c r="YY460" s="45"/>
      <c r="YZ460" s="45"/>
      <c r="ZA460" s="45"/>
      <c r="ZB460" s="45"/>
      <c r="ZC460" s="45"/>
      <c r="ZD460" s="45"/>
      <c r="ZE460" s="45"/>
      <c r="ZF460" s="45"/>
      <c r="ZG460" s="45"/>
      <c r="ZH460" s="45"/>
      <c r="ZI460" s="45"/>
      <c r="ZJ460" s="45"/>
      <c r="ZK460" s="45"/>
      <c r="ZL460" s="45"/>
      <c r="ZM460" s="45"/>
      <c r="ZN460" s="45"/>
      <c r="ZO460" s="45"/>
      <c r="ZP460" s="45"/>
      <c r="ZQ460" s="45"/>
      <c r="ZR460" s="45"/>
      <c r="ZS460" s="45"/>
      <c r="ZT460" s="45"/>
      <c r="ZU460" s="45"/>
      <c r="ZV460" s="45"/>
      <c r="ZW460" s="45"/>
      <c r="ZX460" s="45"/>
      <c r="ZY460" s="621"/>
      <c r="ZZ460" s="624"/>
      <c r="AAA460" s="588"/>
      <c r="AAD460" s="112"/>
      <c r="AAE460" s="551">
        <v>1</v>
      </c>
      <c r="AAF460" s="583" t="s">
        <v>174</v>
      </c>
      <c r="AAG460" s="63"/>
      <c r="AAH460" s="63"/>
      <c r="AAI460" s="63"/>
      <c r="AAJ460" s="79"/>
      <c r="AAK460" s="79"/>
      <c r="AAL460" s="58"/>
      <c r="AAM460" s="112"/>
      <c r="AAN460"/>
      <c r="AAT460" s="23"/>
      <c r="AAU460" s="44"/>
      <c r="AAV460" s="23"/>
      <c r="AAW460" s="23"/>
      <c r="AAX460" s="23"/>
      <c r="AAY460" s="23"/>
      <c r="AAZ460" s="23"/>
      <c r="ABA460" s="23"/>
      <c r="ABB460" s="23"/>
      <c r="ABC460" s="23"/>
      <c r="ABD460" s="23"/>
    </row>
    <row r="461" spans="1:732" ht="15.75" customHeight="1" outlineLevel="2">
      <c r="A461" s="558"/>
      <c r="B461" s="474" t="s">
        <v>171</v>
      </c>
      <c r="C461" s="168"/>
      <c r="D461" s="277" t="s">
        <v>188</v>
      </c>
      <c r="E461" s="368">
        <f t="shared" ref="E461" si="1008">NETWORKDAYS(G461,H461,S.DDL_DEQClosed)</f>
        <v>1</v>
      </c>
      <c r="F461" s="372">
        <f t="shared" ref="F461" ca="1" si="1009">NETWORKDAYS(TODAY(),H461)</f>
        <v>50</v>
      </c>
      <c r="G461" s="449">
        <f>AAG461</f>
        <v>41719</v>
      </c>
      <c r="H461" s="370">
        <f>AAH461</f>
        <v>41719</v>
      </c>
      <c r="I461" s="627"/>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588"/>
      <c r="AAD461" s="112"/>
      <c r="AAE461" s="551">
        <v>1</v>
      </c>
      <c r="AAF461" s="112"/>
      <c r="AAG461" s="78">
        <f>WORKDAY(S.EQCMeeting+4,-1,S.DDL_DEQClosed)</f>
        <v>41719</v>
      </c>
      <c r="AAH461" s="78">
        <f>S.FileRuleWithSOS</f>
        <v>41719</v>
      </c>
      <c r="AAI461" s="77"/>
      <c r="AAJ461" s="79"/>
      <c r="AAK461" s="79"/>
      <c r="AAL461" s="57"/>
      <c r="AAM461" s="112"/>
      <c r="AAN461"/>
      <c r="AAT461" s="23"/>
      <c r="AAU461" s="44"/>
    </row>
    <row r="462" spans="1:732" s="23" customFormat="1" ht="20.25" customHeight="1" outlineLevel="2">
      <c r="A462" s="558"/>
      <c r="B462" s="316" t="s">
        <v>173</v>
      </c>
      <c r="C462" s="316"/>
      <c r="D462" s="122"/>
      <c r="E462" s="368">
        <f t="shared" ref="E462" si="1010">NETWORKDAYS(G462,H462,S.DDL_DEQClosed)</f>
        <v>1</v>
      </c>
      <c r="F462" s="372">
        <f t="shared" ref="F462" ca="1" si="1011">NETWORKDAYS(TODAY(),H462)</f>
        <v>50</v>
      </c>
      <c r="G462" s="455">
        <f>AAG462</f>
        <v>41719</v>
      </c>
      <c r="H462" s="473">
        <f>AAH462</f>
        <v>41719</v>
      </c>
      <c r="I462" s="627"/>
      <c r="J462" s="50"/>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50"/>
      <c r="ZZ462" s="50"/>
      <c r="AAA462" s="588"/>
      <c r="AAB462"/>
      <c r="AAC462"/>
      <c r="AAD462" s="112"/>
      <c r="AAE462" s="551">
        <v>1</v>
      </c>
      <c r="AAF462" s="112"/>
      <c r="AAG462" s="78">
        <f>S.RuleEffective</f>
        <v>41719</v>
      </c>
      <c r="AAH462" s="78">
        <f>S.FileRuleWithSOS</f>
        <v>41719</v>
      </c>
      <c r="AAI462" s="77"/>
      <c r="AAJ462" s="77"/>
      <c r="AAK462" s="77"/>
      <c r="AAL462" s="57"/>
      <c r="AAM462" s="112"/>
      <c r="AAU462" s="44"/>
      <c r="AAV462"/>
      <c r="AAW462"/>
      <c r="AAX462"/>
      <c r="AAY462"/>
      <c r="AAZ462"/>
      <c r="ABA462"/>
      <c r="ABB462"/>
      <c r="ABC462"/>
      <c r="ABD462"/>
    </row>
    <row r="463" spans="1:732" ht="15.75" customHeight="1" outlineLevel="2">
      <c r="A463" s="558"/>
      <c r="B463" s="467" t="s">
        <v>330</v>
      </c>
      <c r="C463" s="201"/>
      <c r="D463" s="174"/>
      <c r="E463" s="160"/>
      <c r="F463" s="160"/>
      <c r="G463" s="174"/>
      <c r="H463" s="174"/>
      <c r="I463" s="588"/>
      <c r="J463" s="592"/>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618"/>
      <c r="ZZ463" s="36"/>
      <c r="AAA463" s="588"/>
      <c r="AAD463" s="112"/>
      <c r="AAE463" s="551">
        <v>1</v>
      </c>
      <c r="AAF463" s="583" t="s">
        <v>174</v>
      </c>
      <c r="AAG463" s="94"/>
      <c r="AAH463" s="94"/>
      <c r="AAI463" s="77"/>
      <c r="AAJ463" s="79"/>
      <c r="AAK463" s="79"/>
      <c r="AAL463" s="89" t="str">
        <f>"Save as "&amp;S.CodeName&amp;"PROOF.OF.SOS.FILING"</f>
        <v>Save as PROOF.OF.SOS.FILING</v>
      </c>
      <c r="AAM463" s="112"/>
      <c r="AAN463"/>
      <c r="AAT463" s="23"/>
      <c r="AAU463" s="44"/>
      <c r="AAV463" s="23"/>
      <c r="AAW463" s="23"/>
      <c r="AAX463" s="23"/>
      <c r="AAY463" s="23"/>
      <c r="AAZ463" s="23"/>
      <c r="ABA463" s="23"/>
      <c r="ABB463" s="23"/>
      <c r="ABC463" s="23"/>
      <c r="ABD463" s="23"/>
    </row>
    <row r="464" spans="1:732" ht="15.75" customHeight="1" outlineLevel="2">
      <c r="A464" s="558"/>
      <c r="B464" s="467" t="s">
        <v>329</v>
      </c>
      <c r="C464" s="201"/>
      <c r="D464" s="174"/>
      <c r="E464" s="160"/>
      <c r="F464" s="160"/>
      <c r="G464" s="174"/>
      <c r="H464" s="174"/>
      <c r="I464" s="588"/>
      <c r="J464" s="592"/>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618"/>
      <c r="ZZ464" s="36"/>
      <c r="AAA464" s="588"/>
      <c r="AAD464" s="112"/>
      <c r="AAE464" s="551">
        <v>1</v>
      </c>
      <c r="AAF464" s="583" t="s">
        <v>174</v>
      </c>
      <c r="AAG464" s="94"/>
      <c r="AAH464" s="94"/>
      <c r="AAI464" s="77"/>
      <c r="AAJ464" s="79"/>
      <c r="AAK464" s="79"/>
      <c r="AAL464" s="89" t="str">
        <f>"Save as "&amp;S.CodeName&amp;"LC.SHUTTLE.PROOF"</f>
        <v>Save as LC.SHUTTLE.PROOF</v>
      </c>
      <c r="AAM464" s="112"/>
      <c r="AAN464"/>
      <c r="AAT464" s="23"/>
      <c r="AAU464" s="44"/>
      <c r="AAV464" s="23"/>
      <c r="AAW464" s="23"/>
      <c r="AAX464" s="23"/>
      <c r="AAY464" s="23"/>
      <c r="AAZ464" s="23"/>
      <c r="ABA464" s="23"/>
      <c r="ABB464" s="23"/>
      <c r="ABC464" s="23"/>
      <c r="ABD464" s="23"/>
    </row>
    <row r="465" spans="1:732" s="23" customFormat="1" ht="18" customHeight="1" outlineLevel="2">
      <c r="A465" s="558"/>
      <c r="B465" s="534" t="str">
        <f>AAL465</f>
        <v>No DAS involvement</v>
      </c>
      <c r="C465" s="193"/>
      <c r="D465" s="277" t="s">
        <v>188</v>
      </c>
      <c r="E465" s="379">
        <f t="shared" ref="E465" si="1012">NETWORKDAYS(G465,H465,S.DDL_DEQClosed)</f>
        <v>210</v>
      </c>
      <c r="F465" s="380">
        <f ca="1">NETWORKDAYS(TODAY(),H465)</f>
        <v>19</v>
      </c>
      <c r="G465" s="382">
        <f>AAG465</f>
        <v>41369</v>
      </c>
      <c r="H465" s="382">
        <f>AAH465</f>
        <v>41676</v>
      </c>
      <c r="I465" s="627"/>
      <c r="J465" s="50"/>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c r="BV465" s="50"/>
      <c r="BW465" s="50"/>
      <c r="BX465" s="50"/>
      <c r="BY465" s="50"/>
      <c r="BZ465" s="50"/>
      <c r="CA465" s="50"/>
      <c r="CB465" s="50"/>
      <c r="CC465" s="50"/>
      <c r="CD465" s="50"/>
      <c r="CE465" s="50"/>
      <c r="CF465" s="50"/>
      <c r="CG465" s="50"/>
      <c r="CH465" s="50"/>
      <c r="CI465" s="50"/>
      <c r="CJ465" s="50"/>
      <c r="CK465" s="50"/>
      <c r="CL465" s="50"/>
      <c r="CM465" s="50"/>
      <c r="CN465" s="50"/>
      <c r="CO465" s="50"/>
      <c r="CP465" s="50"/>
      <c r="CQ465" s="50"/>
      <c r="CR465" s="50"/>
      <c r="CS465" s="50"/>
      <c r="CT465" s="50"/>
      <c r="CU465" s="50"/>
      <c r="CV465" s="50"/>
      <c r="CW465" s="50"/>
      <c r="CX465" s="50"/>
      <c r="CY465" s="50"/>
      <c r="CZ465" s="50"/>
      <c r="DA465" s="50"/>
      <c r="DB465" s="50"/>
      <c r="DC465" s="50"/>
      <c r="DD465" s="50"/>
      <c r="DE465" s="50"/>
      <c r="DF465" s="50"/>
      <c r="DG465" s="50"/>
      <c r="DH465" s="50"/>
      <c r="DI465" s="50"/>
      <c r="DJ465" s="50"/>
      <c r="DK465" s="50"/>
      <c r="DL465" s="50"/>
      <c r="DM465" s="50"/>
      <c r="DN465" s="50"/>
      <c r="DO465" s="50"/>
      <c r="DP465" s="50"/>
      <c r="DQ465" s="50"/>
      <c r="DR465" s="50"/>
      <c r="DS465" s="50"/>
      <c r="DT465" s="50"/>
      <c r="DU465" s="50"/>
      <c r="DV465" s="50"/>
      <c r="DW465" s="50"/>
      <c r="DX465" s="50"/>
      <c r="DY465" s="50"/>
      <c r="DZ465" s="50"/>
      <c r="EA465" s="50"/>
      <c r="EB465" s="50"/>
      <c r="EC465" s="50"/>
      <c r="ED465" s="50"/>
      <c r="EE465" s="50"/>
      <c r="EF465" s="50"/>
      <c r="EG465" s="50"/>
      <c r="EH465" s="50"/>
      <c r="EI465" s="50"/>
      <c r="EJ465" s="50"/>
      <c r="EK465" s="50"/>
      <c r="EL465" s="50"/>
      <c r="EM465" s="50"/>
      <c r="EN465" s="50"/>
      <c r="EO465" s="50"/>
      <c r="EP465" s="50"/>
      <c r="EQ465" s="50"/>
      <c r="ER465" s="50"/>
      <c r="ES465" s="50"/>
      <c r="ET465" s="50"/>
      <c r="EU465" s="50"/>
      <c r="EV465" s="50"/>
      <c r="EW465" s="50"/>
      <c r="EX465" s="50"/>
      <c r="EY465" s="50"/>
      <c r="EZ465" s="50"/>
      <c r="FA465" s="50"/>
      <c r="FB465" s="50"/>
      <c r="FC465" s="50"/>
      <c r="FD465" s="50"/>
      <c r="FE465" s="50"/>
      <c r="FF465" s="50"/>
      <c r="FG465" s="50"/>
      <c r="FH465" s="50"/>
      <c r="FI465" s="50"/>
      <c r="FJ465" s="50"/>
      <c r="FK465" s="50"/>
      <c r="FL465" s="50"/>
      <c r="FM465" s="50"/>
      <c r="FN465" s="50"/>
      <c r="FO465" s="50"/>
      <c r="FP465" s="50"/>
      <c r="FQ465" s="50"/>
      <c r="FR465" s="50"/>
      <c r="FS465" s="50"/>
      <c r="FT465" s="50"/>
      <c r="FU465" s="50"/>
      <c r="FV465" s="50"/>
      <c r="FW465" s="50"/>
      <c r="FX465" s="50"/>
      <c r="FY465" s="50"/>
      <c r="FZ465" s="50"/>
      <c r="GA465" s="50"/>
      <c r="GB465" s="50"/>
      <c r="GC465" s="50"/>
      <c r="GD465" s="50"/>
      <c r="GE465" s="50"/>
      <c r="GF465" s="50"/>
      <c r="GG465" s="50"/>
      <c r="GH465" s="50"/>
      <c r="GI465" s="50"/>
      <c r="GJ465" s="50"/>
      <c r="GK465" s="50"/>
      <c r="GL465" s="50"/>
      <c r="GM465" s="50"/>
      <c r="GN465" s="50"/>
      <c r="GO465" s="50"/>
      <c r="GP465" s="50"/>
      <c r="GQ465" s="50"/>
      <c r="GR465" s="50"/>
      <c r="GS465" s="50"/>
      <c r="GT465" s="50"/>
      <c r="GU465" s="50"/>
      <c r="GV465" s="50"/>
      <c r="GW465" s="50"/>
      <c r="GX465" s="50"/>
      <c r="GY465" s="50"/>
      <c r="GZ465" s="50"/>
      <c r="HA465" s="50"/>
      <c r="HB465" s="50"/>
      <c r="HC465" s="50"/>
      <c r="HD465" s="50"/>
      <c r="HE465" s="50"/>
      <c r="HF465" s="50"/>
      <c r="HG465" s="50"/>
      <c r="HH465" s="50"/>
      <c r="HI465" s="50"/>
      <c r="HJ465" s="50"/>
      <c r="HK465" s="50"/>
      <c r="HL465" s="50"/>
      <c r="HM465" s="50"/>
      <c r="HN465" s="50"/>
      <c r="HO465" s="50"/>
      <c r="HP465" s="50"/>
      <c r="HQ465" s="50"/>
      <c r="HR465" s="50"/>
      <c r="HS465" s="50"/>
      <c r="HT465" s="50"/>
      <c r="HU465" s="50"/>
      <c r="HV465" s="50"/>
      <c r="HW465" s="50"/>
      <c r="HX465" s="50"/>
      <c r="HY465" s="50"/>
      <c r="HZ465" s="50"/>
      <c r="IA465" s="50"/>
      <c r="IB465" s="50"/>
      <c r="IC465" s="50"/>
      <c r="ID465" s="50"/>
      <c r="IE465" s="50"/>
      <c r="IF465" s="50"/>
      <c r="IG465" s="50"/>
      <c r="IH465" s="50"/>
      <c r="II465" s="50"/>
      <c r="IJ465" s="50"/>
      <c r="IK465" s="50"/>
      <c r="IL465" s="50"/>
      <c r="IM465" s="50"/>
      <c r="IN465" s="50"/>
      <c r="IO465" s="50"/>
      <c r="IP465" s="50"/>
      <c r="IQ465" s="50"/>
      <c r="IR465" s="50"/>
      <c r="IS465" s="50"/>
      <c r="IT465" s="50"/>
      <c r="IU465" s="50"/>
      <c r="IV465" s="50"/>
      <c r="IW465" s="50"/>
      <c r="IX465" s="50"/>
      <c r="IY465" s="50"/>
      <c r="IZ465" s="50"/>
      <c r="JA465" s="50"/>
      <c r="JB465" s="50"/>
      <c r="JC465" s="50"/>
      <c r="JD465" s="50"/>
      <c r="JE465" s="50"/>
      <c r="JF465" s="50"/>
      <c r="JG465" s="50"/>
      <c r="JH465" s="50"/>
      <c r="JI465" s="50"/>
      <c r="JJ465" s="50"/>
      <c r="JK465" s="50"/>
      <c r="JL465" s="50"/>
      <c r="JM465" s="50"/>
      <c r="JN465" s="50"/>
      <c r="JO465" s="50"/>
      <c r="JP465" s="50"/>
      <c r="JQ465" s="50"/>
      <c r="JR465" s="50"/>
      <c r="JS465" s="50"/>
      <c r="JT465" s="50"/>
      <c r="JU465" s="50"/>
      <c r="JV465" s="50"/>
      <c r="JW465" s="50"/>
      <c r="JX465" s="50"/>
      <c r="JY465" s="50"/>
      <c r="JZ465" s="50"/>
      <c r="KA465" s="50"/>
      <c r="KB465" s="50"/>
      <c r="KC465" s="50"/>
      <c r="KD465" s="50"/>
      <c r="KE465" s="50"/>
      <c r="KF465" s="50"/>
      <c r="KG465" s="50"/>
      <c r="KH465" s="50"/>
      <c r="KI465" s="50"/>
      <c r="KJ465" s="50"/>
      <c r="KK465" s="50"/>
      <c r="KL465" s="50"/>
      <c r="KM465" s="50"/>
      <c r="KN465" s="50"/>
      <c r="KO465" s="50"/>
      <c r="KP465" s="50"/>
      <c r="KQ465" s="50"/>
      <c r="KR465" s="50"/>
      <c r="KS465" s="50"/>
      <c r="KT465" s="50"/>
      <c r="KU465" s="50"/>
      <c r="KV465" s="50"/>
      <c r="KW465" s="50"/>
      <c r="KX465" s="50"/>
      <c r="KY465" s="50"/>
      <c r="KZ465" s="50"/>
      <c r="LA465" s="50"/>
      <c r="LB465" s="50"/>
      <c r="LC465" s="50"/>
      <c r="LD465" s="50"/>
      <c r="LE465" s="50"/>
      <c r="LF465" s="50"/>
      <c r="LG465" s="50"/>
      <c r="LH465" s="50"/>
      <c r="LI465" s="50"/>
      <c r="LJ465" s="50"/>
      <c r="LK465" s="50"/>
      <c r="LL465" s="50"/>
      <c r="LM465" s="50"/>
      <c r="LN465" s="50"/>
      <c r="LO465" s="50"/>
      <c r="LP465" s="50"/>
      <c r="LQ465" s="50"/>
      <c r="LR465" s="50"/>
      <c r="LS465" s="50"/>
      <c r="LT465" s="50"/>
      <c r="LU465" s="50"/>
      <c r="LV465" s="50"/>
      <c r="LW465" s="50"/>
      <c r="LX465" s="50"/>
      <c r="LY465" s="50"/>
      <c r="LZ465" s="50"/>
      <c r="MA465" s="50"/>
      <c r="MB465" s="50"/>
      <c r="MC465" s="50"/>
      <c r="MD465" s="50"/>
      <c r="ME465" s="50"/>
      <c r="MF465" s="50"/>
      <c r="MG465" s="50"/>
      <c r="MH465" s="50"/>
      <c r="MI465" s="50"/>
      <c r="MJ465" s="50"/>
      <c r="MK465" s="50"/>
      <c r="ML465" s="50"/>
      <c r="MM465" s="50"/>
      <c r="MN465" s="50"/>
      <c r="MO465" s="50"/>
      <c r="MP465" s="50"/>
      <c r="MQ465" s="50"/>
      <c r="MR465" s="50"/>
      <c r="MS465" s="50"/>
      <c r="MT465" s="50"/>
      <c r="MU465" s="50"/>
      <c r="MV465" s="50"/>
      <c r="MW465" s="50"/>
      <c r="MX465" s="50"/>
      <c r="MY465" s="50"/>
      <c r="MZ465" s="50"/>
      <c r="NA465" s="50"/>
      <c r="NB465" s="50"/>
      <c r="NC465" s="50"/>
      <c r="ND465" s="50"/>
      <c r="NE465" s="50"/>
      <c r="NF465" s="50"/>
      <c r="NG465" s="50"/>
      <c r="NH465" s="50"/>
      <c r="NI465" s="50"/>
      <c r="NJ465" s="50"/>
      <c r="NK465" s="50"/>
      <c r="NL465" s="50"/>
      <c r="NM465" s="50"/>
      <c r="NN465" s="50"/>
      <c r="NO465" s="50"/>
      <c r="NP465" s="50"/>
      <c r="NQ465" s="50"/>
      <c r="NR465" s="50"/>
      <c r="NS465" s="50"/>
      <c r="NT465" s="50"/>
      <c r="NU465" s="50"/>
      <c r="NV465" s="50"/>
      <c r="NW465" s="50"/>
      <c r="NX465" s="50"/>
      <c r="NY465" s="50"/>
      <c r="NZ465" s="50"/>
      <c r="OA465" s="50"/>
      <c r="OB465" s="50"/>
      <c r="OC465" s="50"/>
      <c r="OD465" s="50"/>
      <c r="OE465" s="50"/>
      <c r="OF465" s="50"/>
      <c r="OG465" s="50"/>
      <c r="OH465" s="50"/>
      <c r="OI465" s="50"/>
      <c r="OJ465" s="50"/>
      <c r="OK465" s="50"/>
      <c r="OL465" s="50"/>
      <c r="OM465" s="50"/>
      <c r="ON465" s="50"/>
      <c r="OO465" s="50"/>
      <c r="OP465" s="50"/>
      <c r="OQ465" s="50"/>
      <c r="OR465" s="50"/>
      <c r="OS465" s="50"/>
      <c r="OT465" s="50"/>
      <c r="OU465" s="50"/>
      <c r="OV465" s="50"/>
      <c r="OW465" s="50"/>
      <c r="OX465" s="50"/>
      <c r="OY465" s="50"/>
      <c r="OZ465" s="50"/>
      <c r="PA465" s="50"/>
      <c r="PB465" s="50"/>
      <c r="PC465" s="50"/>
      <c r="PD465" s="50"/>
      <c r="PE465" s="50"/>
      <c r="PF465" s="50"/>
      <c r="PG465" s="50"/>
      <c r="PH465" s="50"/>
      <c r="PI465" s="50"/>
      <c r="PJ465" s="50"/>
      <c r="PK465" s="50"/>
      <c r="PL465" s="50"/>
      <c r="PM465" s="50"/>
      <c r="PN465" s="50"/>
      <c r="PO465" s="50"/>
      <c r="PP465" s="50"/>
      <c r="PQ465" s="50"/>
      <c r="PR465" s="50"/>
      <c r="PS465" s="50"/>
      <c r="PT465" s="50"/>
      <c r="PU465" s="50"/>
      <c r="PV465" s="50"/>
      <c r="PW465" s="50"/>
      <c r="PX465" s="50"/>
      <c r="PY465" s="50"/>
      <c r="PZ465" s="50"/>
      <c r="QA465" s="50"/>
      <c r="QB465" s="50"/>
      <c r="QC465" s="50"/>
      <c r="QD465" s="50"/>
      <c r="QE465" s="50"/>
      <c r="QF465" s="50"/>
      <c r="QG465" s="50"/>
      <c r="QH465" s="50"/>
      <c r="QI465" s="50"/>
      <c r="QJ465" s="50"/>
      <c r="QK465" s="50"/>
      <c r="QL465" s="50"/>
      <c r="QM465" s="50"/>
      <c r="QN465" s="50"/>
      <c r="QO465" s="50"/>
      <c r="QP465" s="50"/>
      <c r="QQ465" s="50"/>
      <c r="QR465" s="50"/>
      <c r="QS465" s="50"/>
      <c r="QT465" s="50"/>
      <c r="QU465" s="50"/>
      <c r="QV465" s="50"/>
      <c r="QW465" s="50"/>
      <c r="QX465" s="50"/>
      <c r="QY465" s="50"/>
      <c r="QZ465" s="50"/>
      <c r="RA465" s="50"/>
      <c r="RB465" s="50"/>
      <c r="RC465" s="50"/>
      <c r="RD465" s="50"/>
      <c r="RE465" s="50"/>
      <c r="RF465" s="50"/>
      <c r="RG465" s="50"/>
      <c r="RH465" s="50"/>
      <c r="RI465" s="50"/>
      <c r="RJ465" s="50"/>
      <c r="RK465" s="50"/>
      <c r="RL465" s="50"/>
      <c r="RM465" s="50"/>
      <c r="RN465" s="50"/>
      <c r="RO465" s="50"/>
      <c r="RP465" s="50"/>
      <c r="RQ465" s="50"/>
      <c r="RR465" s="50"/>
      <c r="RS465" s="50"/>
      <c r="RT465" s="50"/>
      <c r="RU465" s="50"/>
      <c r="RV465" s="50"/>
      <c r="RW465" s="50"/>
      <c r="RX465" s="50"/>
      <c r="RY465" s="50"/>
      <c r="RZ465" s="50"/>
      <c r="SA465" s="50"/>
      <c r="SB465" s="50"/>
      <c r="SC465" s="50"/>
      <c r="SD465" s="50"/>
      <c r="SE465" s="50"/>
      <c r="SF465" s="50"/>
      <c r="SG465" s="50"/>
      <c r="SH465" s="50"/>
      <c r="SI465" s="50"/>
      <c r="SJ465" s="50"/>
      <c r="SK465" s="50"/>
      <c r="SL465" s="50"/>
      <c r="SM465" s="50"/>
      <c r="SN465" s="50"/>
      <c r="SO465" s="50"/>
      <c r="SP465" s="50"/>
      <c r="SQ465" s="50"/>
      <c r="SR465" s="50"/>
      <c r="SS465" s="50"/>
      <c r="ST465" s="50"/>
      <c r="SU465" s="50"/>
      <c r="SV465" s="50"/>
      <c r="SW465" s="50"/>
      <c r="SX465" s="50"/>
      <c r="SY465" s="50"/>
      <c r="SZ465" s="50"/>
      <c r="TA465" s="50"/>
      <c r="TB465" s="50"/>
      <c r="TC465" s="50"/>
      <c r="TD465" s="50"/>
      <c r="TE465" s="50"/>
      <c r="TF465" s="50"/>
      <c r="TG465" s="50"/>
      <c r="TH465" s="50"/>
      <c r="TI465" s="50"/>
      <c r="TJ465" s="50"/>
      <c r="TK465" s="50"/>
      <c r="TL465" s="50"/>
      <c r="TM465" s="50"/>
      <c r="TN465" s="50"/>
      <c r="TO465" s="50"/>
      <c r="TP465" s="50"/>
      <c r="TQ465" s="50"/>
      <c r="TR465" s="50"/>
      <c r="TS465" s="50"/>
      <c r="TT465" s="50"/>
      <c r="TU465" s="50"/>
      <c r="TV465" s="50"/>
      <c r="TW465" s="50"/>
      <c r="TX465" s="50"/>
      <c r="TY465" s="50"/>
      <c r="TZ465" s="50"/>
      <c r="UA465" s="50"/>
      <c r="UB465" s="50"/>
      <c r="UC465" s="50"/>
      <c r="UD465" s="50"/>
      <c r="UE465" s="50"/>
      <c r="UF465" s="50"/>
      <c r="UG465" s="50"/>
      <c r="UH465" s="50"/>
      <c r="UI465" s="50"/>
      <c r="UJ465" s="50"/>
      <c r="UK465" s="50"/>
      <c r="UL465" s="50"/>
      <c r="UM465" s="50"/>
      <c r="UN465" s="50"/>
      <c r="UO465" s="50"/>
      <c r="UP465" s="50"/>
      <c r="UQ465" s="50"/>
      <c r="UR465" s="50"/>
      <c r="US465" s="50"/>
      <c r="UT465" s="50"/>
      <c r="UU465" s="50"/>
      <c r="UV465" s="50"/>
      <c r="UW465" s="50"/>
      <c r="UX465" s="50"/>
      <c r="UY465" s="50"/>
      <c r="UZ465" s="50"/>
      <c r="VA465" s="50"/>
      <c r="VB465" s="50"/>
      <c r="VC465" s="50"/>
      <c r="VD465" s="50"/>
      <c r="VE465" s="50"/>
      <c r="VF465" s="50"/>
      <c r="VG465" s="50"/>
      <c r="VH465" s="50"/>
      <c r="VI465" s="50"/>
      <c r="VJ465" s="50"/>
      <c r="VK465" s="50"/>
      <c r="VL465" s="50"/>
      <c r="VM465" s="50"/>
      <c r="VN465" s="50"/>
      <c r="VO465" s="50"/>
      <c r="VP465" s="50"/>
      <c r="VQ465" s="50"/>
      <c r="VR465" s="50"/>
      <c r="VS465" s="50"/>
      <c r="VT465" s="50"/>
      <c r="VU465" s="50"/>
      <c r="VV465" s="50"/>
      <c r="VW465" s="50"/>
      <c r="VX465" s="50"/>
      <c r="VY465" s="50"/>
      <c r="VZ465" s="50"/>
      <c r="WA465" s="50"/>
      <c r="WB465" s="50"/>
      <c r="WC465" s="50"/>
      <c r="WD465" s="50"/>
      <c r="WE465" s="50"/>
      <c r="WF465" s="50"/>
      <c r="WG465" s="50"/>
      <c r="WH465" s="50"/>
      <c r="WI465" s="50"/>
      <c r="WJ465" s="50"/>
      <c r="WK465" s="50"/>
      <c r="WL465" s="50"/>
      <c r="WM465" s="50"/>
      <c r="WN465" s="50"/>
      <c r="WO465" s="50"/>
      <c r="WP465" s="50"/>
      <c r="WQ465" s="50"/>
      <c r="WR465" s="50"/>
      <c r="WS465" s="50"/>
      <c r="WT465" s="50"/>
      <c r="WU465" s="50"/>
      <c r="WV465" s="50"/>
      <c r="WW465" s="50"/>
      <c r="WX465" s="50"/>
      <c r="WY465" s="50"/>
      <c r="WZ465" s="50"/>
      <c r="XA465" s="50"/>
      <c r="XB465" s="50"/>
      <c r="XC465" s="50"/>
      <c r="XD465" s="50"/>
      <c r="XE465" s="50"/>
      <c r="XF465" s="50"/>
      <c r="XG465" s="50"/>
      <c r="XH465" s="50"/>
      <c r="XI465" s="50"/>
      <c r="XJ465" s="50"/>
      <c r="XK465" s="50"/>
      <c r="XL465" s="50"/>
      <c r="XM465" s="50"/>
      <c r="XN465" s="50"/>
      <c r="XO465" s="50"/>
      <c r="XP465" s="50"/>
      <c r="XQ465" s="50"/>
      <c r="XR465" s="50"/>
      <c r="XS465" s="50"/>
      <c r="XT465" s="50"/>
      <c r="XU465" s="50"/>
      <c r="XV465" s="50"/>
      <c r="XW465" s="50"/>
      <c r="XX465" s="50"/>
      <c r="XY465" s="50"/>
      <c r="XZ465" s="50"/>
      <c r="YA465" s="50"/>
      <c r="YB465" s="50"/>
      <c r="YC465" s="50"/>
      <c r="YD465" s="50"/>
      <c r="YE465" s="50"/>
      <c r="YF465" s="50"/>
      <c r="YG465" s="50"/>
      <c r="YH465" s="50"/>
      <c r="YI465" s="50"/>
      <c r="YJ465" s="50"/>
      <c r="YK465" s="50"/>
      <c r="YL465" s="50"/>
      <c r="YM465" s="50"/>
      <c r="YN465" s="50"/>
      <c r="YO465" s="50"/>
      <c r="YP465" s="50"/>
      <c r="YQ465" s="50"/>
      <c r="YR465" s="50"/>
      <c r="YS465" s="50"/>
      <c r="YT465" s="50"/>
      <c r="YU465" s="50"/>
      <c r="YV465" s="50"/>
      <c r="YW465" s="50"/>
      <c r="YX465" s="50"/>
      <c r="YY465" s="50"/>
      <c r="YZ465" s="50"/>
      <c r="ZA465" s="50"/>
      <c r="ZB465" s="50"/>
      <c r="ZC465" s="50"/>
      <c r="ZD465" s="50"/>
      <c r="ZE465" s="50"/>
      <c r="ZF465" s="50"/>
      <c r="ZG465" s="50"/>
      <c r="ZH465" s="50"/>
      <c r="ZI465" s="50"/>
      <c r="ZJ465" s="50"/>
      <c r="ZK465" s="50"/>
      <c r="ZL465" s="50"/>
      <c r="ZM465" s="50"/>
      <c r="ZN465" s="50"/>
      <c r="ZO465" s="50"/>
      <c r="ZP465" s="50"/>
      <c r="ZQ465" s="50"/>
      <c r="ZR465" s="50"/>
      <c r="ZS465" s="50"/>
      <c r="ZT465" s="50"/>
      <c r="ZU465" s="50"/>
      <c r="ZV465" s="50"/>
      <c r="ZW465" s="50"/>
      <c r="ZX465" s="50"/>
      <c r="ZY465" s="50"/>
      <c r="ZZ465" s="50"/>
      <c r="AAA465" s="588"/>
      <c r="AAB465"/>
      <c r="AAC465"/>
      <c r="AAD465" s="112"/>
      <c r="AAE465" s="551">
        <f>IF(AND(S.InvolveFee=TRUE,S.DASApprovalRequired=FALSE),1,0)</f>
        <v>0</v>
      </c>
      <c r="AAF465" s="112"/>
      <c r="AAG465" s="78">
        <f>S.BANNER.FeeStart</f>
        <v>41369</v>
      </c>
      <c r="AAH465" s="78">
        <f>S.SubmitStaffRpt</f>
        <v>41676</v>
      </c>
      <c r="AAI465" s="77"/>
      <c r="AAJ465" s="57"/>
      <c r="AAK465" s="57"/>
      <c r="AAL465" s="89" t="str">
        <f>IF(S.DASApprovalRequired=TRUE,"See DAS fee approval - Part 2 above",IF(S.InvolveFee=TRUE,"DAS notification for fees that don't require approval","No DAS involvement"))</f>
        <v>No DAS involvement</v>
      </c>
      <c r="AAM465" s="112"/>
      <c r="AAU465" s="44"/>
    </row>
    <row r="466" spans="1:732" s="23" customFormat="1" ht="15" outlineLevel="2">
      <c r="A466" s="558"/>
      <c r="B466" s="468" t="str">
        <f>AAL466</f>
        <v>a. FEE.EXCERPT.FROM.RULE</v>
      </c>
      <c r="C466" s="168"/>
      <c r="D466" s="175"/>
      <c r="E466" s="176"/>
      <c r="F466" s="176"/>
      <c r="G466" s="161"/>
      <c r="H466" s="161"/>
      <c r="I466" s="588"/>
      <c r="J466" s="592"/>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618"/>
      <c r="ZZ466" s="36"/>
      <c r="AAA466" s="588"/>
      <c r="AAB466"/>
      <c r="AAC466"/>
      <c r="AAD466" s="112"/>
      <c r="AAE466" s="551">
        <f>IF(AND(S.InvolveFee=TRUE,S.DASApprovalRequired=FALSE),1,0)</f>
        <v>0</v>
      </c>
      <c r="AAF466" s="583" t="s">
        <v>174</v>
      </c>
      <c r="AAG466" s="76"/>
      <c r="AAH466" s="76"/>
      <c r="AAI466" s="77"/>
      <c r="AAJ466" s="77"/>
      <c r="AAK466" s="77"/>
      <c r="AAL466" s="89" t="str">
        <f>"a. "&amp;S.CodeName&amp;"FEE.EXCERPT.FROM.RULE"</f>
        <v>a. FEE.EXCERPT.FROM.RULE</v>
      </c>
      <c r="AAM466" s="112"/>
      <c r="AAU466" s="44"/>
    </row>
    <row r="467" spans="1:732" s="23" customFormat="1" ht="15" outlineLevel="2">
      <c r="A467" s="558"/>
      <c r="B467" s="468" t="str">
        <f>AAL467</f>
        <v>b. FEE.EXEMPT.EMAIL</v>
      </c>
      <c r="C467" s="168"/>
      <c r="D467" s="175"/>
      <c r="E467" s="176"/>
      <c r="F467" s="176"/>
      <c r="G467" s="161"/>
      <c r="H467" s="161"/>
      <c r="I467" s="588"/>
      <c r="J467" s="592"/>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618"/>
      <c r="ZZ467" s="36"/>
      <c r="AAA467" s="588"/>
      <c r="AAB467"/>
      <c r="AAC467"/>
      <c r="AAD467" s="112"/>
      <c r="AAE467" s="551">
        <f>IF(AND(S.InvolveFee=TRUE,S.DASApprovalRequired=FALSE),1,0)</f>
        <v>0</v>
      </c>
      <c r="AAF467" s="583" t="s">
        <v>174</v>
      </c>
      <c r="AAG467" s="76"/>
      <c r="AAH467" s="76"/>
      <c r="AAI467" s="76"/>
      <c r="AAJ467" s="77"/>
      <c r="AAK467" s="77"/>
      <c r="AAL467" s="89" t="str">
        <f>"b. "&amp;S.CodeName&amp;"FEE.EXEMPT.EMAIL"</f>
        <v>b. FEE.EXEMPT.EMAIL</v>
      </c>
      <c r="AAM467" s="112"/>
      <c r="AAU467" s="44"/>
      <c r="AAV467"/>
      <c r="AAW467"/>
      <c r="AAX467"/>
      <c r="AAY467"/>
      <c r="AAZ467"/>
      <c r="ABA467"/>
      <c r="ABB467"/>
      <c r="ABC467"/>
      <c r="ABD467"/>
    </row>
    <row r="468" spans="1:732" s="23" customFormat="1" ht="15" outlineLevel="2">
      <c r="A468" s="558"/>
      <c r="B468" s="468" t="str">
        <f>AAL468</f>
        <v>c. DAS.SHUTTLE.PROOF</v>
      </c>
      <c r="C468" s="168"/>
      <c r="D468" s="175"/>
      <c r="E468" s="176"/>
      <c r="F468" s="176"/>
      <c r="G468" s="161"/>
      <c r="H468" s="161"/>
      <c r="I468" s="588"/>
      <c r="J468" s="592"/>
      <c r="K468" s="50"/>
      <c r="L468" s="50"/>
      <c r="M468" s="50"/>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c r="AM468" s="50"/>
      <c r="AN468" s="50"/>
      <c r="AO468" s="50"/>
      <c r="AP468" s="50"/>
      <c r="AQ468" s="50"/>
      <c r="AR468" s="50"/>
      <c r="AS468" s="50"/>
      <c r="AT468" s="50"/>
      <c r="AU468" s="50"/>
      <c r="AV468" s="50"/>
      <c r="AW468" s="50"/>
      <c r="AX468" s="50"/>
      <c r="AY468" s="50"/>
      <c r="AZ468" s="50"/>
      <c r="BA468" s="50"/>
      <c r="BB468" s="50"/>
      <c r="BC468" s="50"/>
      <c r="BD468" s="50"/>
      <c r="BE468" s="50"/>
      <c r="BF468" s="50"/>
      <c r="BG468" s="50"/>
      <c r="BH468" s="50"/>
      <c r="BI468" s="50"/>
      <c r="BJ468" s="50"/>
      <c r="BK468" s="50"/>
      <c r="BL468" s="50"/>
      <c r="BM468" s="50"/>
      <c r="BN468" s="50"/>
      <c r="BO468" s="50"/>
      <c r="BP468" s="50"/>
      <c r="BQ468" s="50"/>
      <c r="BR468" s="50"/>
      <c r="BS468" s="50"/>
      <c r="BT468" s="50"/>
      <c r="BU468" s="50"/>
      <c r="BV468" s="50"/>
      <c r="BW468" s="50"/>
      <c r="BX468" s="50"/>
      <c r="BY468" s="50"/>
      <c r="BZ468" s="50"/>
      <c r="CA468" s="50"/>
      <c r="CB468" s="50"/>
      <c r="CC468" s="50"/>
      <c r="CD468" s="50"/>
      <c r="CE468" s="50"/>
      <c r="CF468" s="50"/>
      <c r="CG468" s="50"/>
      <c r="CH468" s="50"/>
      <c r="CI468" s="50"/>
      <c r="CJ468" s="50"/>
      <c r="CK468" s="50"/>
      <c r="CL468" s="50"/>
      <c r="CM468" s="50"/>
      <c r="CN468" s="50"/>
      <c r="CO468" s="50"/>
      <c r="CP468" s="50"/>
      <c r="CQ468" s="50"/>
      <c r="CR468" s="50"/>
      <c r="CS468" s="50"/>
      <c r="CT468" s="50"/>
      <c r="CU468" s="50"/>
      <c r="CV468" s="50"/>
      <c r="CW468" s="50"/>
      <c r="CX468" s="50"/>
      <c r="CY468" s="50"/>
      <c r="CZ468" s="50"/>
      <c r="DA468" s="50"/>
      <c r="DB468" s="50"/>
      <c r="DC468" s="50"/>
      <c r="DD468" s="50"/>
      <c r="DE468" s="50"/>
      <c r="DF468" s="50"/>
      <c r="DG468" s="50"/>
      <c r="DH468" s="50"/>
      <c r="DI468" s="50"/>
      <c r="DJ468" s="50"/>
      <c r="DK468" s="50"/>
      <c r="DL468" s="50"/>
      <c r="DM468" s="50"/>
      <c r="DN468" s="50"/>
      <c r="DO468" s="50"/>
      <c r="DP468" s="50"/>
      <c r="DQ468" s="50"/>
      <c r="DR468" s="50"/>
      <c r="DS468" s="50"/>
      <c r="DT468" s="50"/>
      <c r="DU468" s="50"/>
      <c r="DV468" s="50"/>
      <c r="DW468" s="50"/>
      <c r="DX468" s="50"/>
      <c r="DY468" s="50"/>
      <c r="DZ468" s="50"/>
      <c r="EA468" s="50"/>
      <c r="EB468" s="50"/>
      <c r="EC468" s="50"/>
      <c r="ED468" s="50"/>
      <c r="EE468" s="50"/>
      <c r="EF468" s="50"/>
      <c r="EG468" s="50"/>
      <c r="EH468" s="50"/>
      <c r="EI468" s="50"/>
      <c r="EJ468" s="50"/>
      <c r="EK468" s="50"/>
      <c r="EL468" s="50"/>
      <c r="EM468" s="50"/>
      <c r="EN468" s="50"/>
      <c r="EO468" s="50"/>
      <c r="EP468" s="50"/>
      <c r="EQ468" s="50"/>
      <c r="ER468" s="50"/>
      <c r="ES468" s="50"/>
      <c r="ET468" s="50"/>
      <c r="EU468" s="50"/>
      <c r="EV468" s="50"/>
      <c r="EW468" s="50"/>
      <c r="EX468" s="50"/>
      <c r="EY468" s="50"/>
      <c r="EZ468" s="50"/>
      <c r="FA468" s="50"/>
      <c r="FB468" s="50"/>
      <c r="FC468" s="50"/>
      <c r="FD468" s="50"/>
      <c r="FE468" s="50"/>
      <c r="FF468" s="50"/>
      <c r="FG468" s="50"/>
      <c r="FH468" s="50"/>
      <c r="FI468" s="50"/>
      <c r="FJ468" s="50"/>
      <c r="FK468" s="50"/>
      <c r="FL468" s="50"/>
      <c r="FM468" s="50"/>
      <c r="FN468" s="50"/>
      <c r="FO468" s="50"/>
      <c r="FP468" s="50"/>
      <c r="FQ468" s="50"/>
      <c r="FR468" s="50"/>
      <c r="FS468" s="50"/>
      <c r="FT468" s="50"/>
      <c r="FU468" s="50"/>
      <c r="FV468" s="50"/>
      <c r="FW468" s="50"/>
      <c r="FX468" s="50"/>
      <c r="FY468" s="50"/>
      <c r="FZ468" s="50"/>
      <c r="GA468" s="50"/>
      <c r="GB468" s="50"/>
      <c r="GC468" s="50"/>
      <c r="GD468" s="50"/>
      <c r="GE468" s="50"/>
      <c r="GF468" s="50"/>
      <c r="GG468" s="50"/>
      <c r="GH468" s="50"/>
      <c r="GI468" s="50"/>
      <c r="GJ468" s="50"/>
      <c r="GK468" s="50"/>
      <c r="GL468" s="50"/>
      <c r="GM468" s="50"/>
      <c r="GN468" s="50"/>
      <c r="GO468" s="50"/>
      <c r="GP468" s="50"/>
      <c r="GQ468" s="50"/>
      <c r="GR468" s="50"/>
      <c r="GS468" s="50"/>
      <c r="GT468" s="50"/>
      <c r="GU468" s="50"/>
      <c r="GV468" s="50"/>
      <c r="GW468" s="50"/>
      <c r="GX468" s="50"/>
      <c r="GY468" s="50"/>
      <c r="GZ468" s="50"/>
      <c r="HA468" s="50"/>
      <c r="HB468" s="50"/>
      <c r="HC468" s="50"/>
      <c r="HD468" s="50"/>
      <c r="HE468" s="50"/>
      <c r="HF468" s="50"/>
      <c r="HG468" s="50"/>
      <c r="HH468" s="50"/>
      <c r="HI468" s="50"/>
      <c r="HJ468" s="50"/>
      <c r="HK468" s="50"/>
      <c r="HL468" s="50"/>
      <c r="HM468" s="50"/>
      <c r="HN468" s="50"/>
      <c r="HO468" s="50"/>
      <c r="HP468" s="50"/>
      <c r="HQ468" s="50"/>
      <c r="HR468" s="50"/>
      <c r="HS468" s="50"/>
      <c r="HT468" s="50"/>
      <c r="HU468" s="50"/>
      <c r="HV468" s="50"/>
      <c r="HW468" s="50"/>
      <c r="HX468" s="50"/>
      <c r="HY468" s="50"/>
      <c r="HZ468" s="50"/>
      <c r="IA468" s="50"/>
      <c r="IB468" s="50"/>
      <c r="IC468" s="50"/>
      <c r="ID468" s="50"/>
      <c r="IE468" s="50"/>
      <c r="IF468" s="50"/>
      <c r="IG468" s="50"/>
      <c r="IH468" s="50"/>
      <c r="II468" s="50"/>
      <c r="IJ468" s="50"/>
      <c r="IK468" s="50"/>
      <c r="IL468" s="50"/>
      <c r="IM468" s="50"/>
      <c r="IN468" s="50"/>
      <c r="IO468" s="50"/>
      <c r="IP468" s="50"/>
      <c r="IQ468" s="50"/>
      <c r="IR468" s="50"/>
      <c r="IS468" s="50"/>
      <c r="IT468" s="50"/>
      <c r="IU468" s="50"/>
      <c r="IV468" s="50"/>
      <c r="IW468" s="50"/>
      <c r="IX468" s="50"/>
      <c r="IY468" s="50"/>
      <c r="IZ468" s="50"/>
      <c r="JA468" s="50"/>
      <c r="JB468" s="50"/>
      <c r="JC468" s="50"/>
      <c r="JD468" s="50"/>
      <c r="JE468" s="50"/>
      <c r="JF468" s="50"/>
      <c r="JG468" s="50"/>
      <c r="JH468" s="50"/>
      <c r="JI468" s="50"/>
      <c r="JJ468" s="50"/>
      <c r="JK468" s="50"/>
      <c r="JL468" s="50"/>
      <c r="JM468" s="50"/>
      <c r="JN468" s="50"/>
      <c r="JO468" s="50"/>
      <c r="JP468" s="50"/>
      <c r="JQ468" s="50"/>
      <c r="JR468" s="50"/>
      <c r="JS468" s="50"/>
      <c r="JT468" s="50"/>
      <c r="JU468" s="50"/>
      <c r="JV468" s="50"/>
      <c r="JW468" s="50"/>
      <c r="JX468" s="50"/>
      <c r="JY468" s="50"/>
      <c r="JZ468" s="50"/>
      <c r="KA468" s="50"/>
      <c r="KB468" s="50"/>
      <c r="KC468" s="50"/>
      <c r="KD468" s="50"/>
      <c r="KE468" s="50"/>
      <c r="KF468" s="50"/>
      <c r="KG468" s="50"/>
      <c r="KH468" s="50"/>
      <c r="KI468" s="50"/>
      <c r="KJ468" s="50"/>
      <c r="KK468" s="50"/>
      <c r="KL468" s="50"/>
      <c r="KM468" s="50"/>
      <c r="KN468" s="50"/>
      <c r="KO468" s="50"/>
      <c r="KP468" s="50"/>
      <c r="KQ468" s="50"/>
      <c r="KR468" s="50"/>
      <c r="KS468" s="50"/>
      <c r="KT468" s="50"/>
      <c r="KU468" s="50"/>
      <c r="KV468" s="50"/>
      <c r="KW468" s="50"/>
      <c r="KX468" s="50"/>
      <c r="KY468" s="50"/>
      <c r="KZ468" s="50"/>
      <c r="LA468" s="50"/>
      <c r="LB468" s="50"/>
      <c r="LC468" s="50"/>
      <c r="LD468" s="50"/>
      <c r="LE468" s="50"/>
      <c r="LF468" s="50"/>
      <c r="LG468" s="50"/>
      <c r="LH468" s="50"/>
      <c r="LI468" s="50"/>
      <c r="LJ468" s="50"/>
      <c r="LK468" s="50"/>
      <c r="LL468" s="50"/>
      <c r="LM468" s="50"/>
      <c r="LN468" s="50"/>
      <c r="LO468" s="50"/>
      <c r="LP468" s="50"/>
      <c r="LQ468" s="50"/>
      <c r="LR468" s="50"/>
      <c r="LS468" s="50"/>
      <c r="LT468" s="50"/>
      <c r="LU468" s="50"/>
      <c r="LV468" s="50"/>
      <c r="LW468" s="50"/>
      <c r="LX468" s="50"/>
      <c r="LY468" s="50"/>
      <c r="LZ468" s="50"/>
      <c r="MA468" s="50"/>
      <c r="MB468" s="50"/>
      <c r="MC468" s="50"/>
      <c r="MD468" s="50"/>
      <c r="ME468" s="50"/>
      <c r="MF468" s="50"/>
      <c r="MG468" s="50"/>
      <c r="MH468" s="50"/>
      <c r="MI468" s="50"/>
      <c r="MJ468" s="50"/>
      <c r="MK468" s="50"/>
      <c r="ML468" s="50"/>
      <c r="MM468" s="50"/>
      <c r="MN468" s="50"/>
      <c r="MO468" s="50"/>
      <c r="MP468" s="50"/>
      <c r="MQ468" s="50"/>
      <c r="MR468" s="50"/>
      <c r="MS468" s="50"/>
      <c r="MT468" s="50"/>
      <c r="MU468" s="50"/>
      <c r="MV468" s="50"/>
      <c r="MW468" s="50"/>
      <c r="MX468" s="50"/>
      <c r="MY468" s="50"/>
      <c r="MZ468" s="50"/>
      <c r="NA468" s="50"/>
      <c r="NB468" s="50"/>
      <c r="NC468" s="50"/>
      <c r="ND468" s="50"/>
      <c r="NE468" s="50"/>
      <c r="NF468" s="50"/>
      <c r="NG468" s="50"/>
      <c r="NH468" s="50"/>
      <c r="NI468" s="50"/>
      <c r="NJ468" s="50"/>
      <c r="NK468" s="50"/>
      <c r="NL468" s="50"/>
      <c r="NM468" s="50"/>
      <c r="NN468" s="50"/>
      <c r="NO468" s="50"/>
      <c r="NP468" s="50"/>
      <c r="NQ468" s="50"/>
      <c r="NR468" s="50"/>
      <c r="NS468" s="50"/>
      <c r="NT468" s="50"/>
      <c r="NU468" s="50"/>
      <c r="NV468" s="50"/>
      <c r="NW468" s="50"/>
      <c r="NX468" s="50"/>
      <c r="NY468" s="50"/>
      <c r="NZ468" s="50"/>
      <c r="OA468" s="50"/>
      <c r="OB468" s="50"/>
      <c r="OC468" s="50"/>
      <c r="OD468" s="50"/>
      <c r="OE468" s="50"/>
      <c r="OF468" s="50"/>
      <c r="OG468" s="50"/>
      <c r="OH468" s="50"/>
      <c r="OI468" s="50"/>
      <c r="OJ468" s="50"/>
      <c r="OK468" s="50"/>
      <c r="OL468" s="50"/>
      <c r="OM468" s="50"/>
      <c r="ON468" s="50"/>
      <c r="OO468" s="50"/>
      <c r="OP468" s="50"/>
      <c r="OQ468" s="50"/>
      <c r="OR468" s="50"/>
      <c r="OS468" s="50"/>
      <c r="OT468" s="50"/>
      <c r="OU468" s="50"/>
      <c r="OV468" s="50"/>
      <c r="OW468" s="50"/>
      <c r="OX468" s="50"/>
      <c r="OY468" s="50"/>
      <c r="OZ468" s="50"/>
      <c r="PA468" s="50"/>
      <c r="PB468" s="50"/>
      <c r="PC468" s="50"/>
      <c r="PD468" s="50"/>
      <c r="PE468" s="50"/>
      <c r="PF468" s="50"/>
      <c r="PG468" s="50"/>
      <c r="PH468" s="50"/>
      <c r="PI468" s="50"/>
      <c r="PJ468" s="50"/>
      <c r="PK468" s="50"/>
      <c r="PL468" s="50"/>
      <c r="PM468" s="50"/>
      <c r="PN468" s="50"/>
      <c r="PO468" s="50"/>
      <c r="PP468" s="50"/>
      <c r="PQ468" s="50"/>
      <c r="PR468" s="50"/>
      <c r="PS468" s="50"/>
      <c r="PT468" s="50"/>
      <c r="PU468" s="50"/>
      <c r="PV468" s="50"/>
      <c r="PW468" s="50"/>
      <c r="PX468" s="50"/>
      <c r="PY468" s="50"/>
      <c r="PZ468" s="50"/>
      <c r="QA468" s="50"/>
      <c r="QB468" s="50"/>
      <c r="QC468" s="50"/>
      <c r="QD468" s="50"/>
      <c r="QE468" s="50"/>
      <c r="QF468" s="50"/>
      <c r="QG468" s="50"/>
      <c r="QH468" s="50"/>
      <c r="QI468" s="50"/>
      <c r="QJ468" s="50"/>
      <c r="QK468" s="50"/>
      <c r="QL468" s="50"/>
      <c r="QM468" s="50"/>
      <c r="QN468" s="50"/>
      <c r="QO468" s="50"/>
      <c r="QP468" s="50"/>
      <c r="QQ468" s="50"/>
      <c r="QR468" s="50"/>
      <c r="QS468" s="50"/>
      <c r="QT468" s="50"/>
      <c r="QU468" s="50"/>
      <c r="QV468" s="50"/>
      <c r="QW468" s="50"/>
      <c r="QX468" s="50"/>
      <c r="QY468" s="50"/>
      <c r="QZ468" s="50"/>
      <c r="RA468" s="50"/>
      <c r="RB468" s="50"/>
      <c r="RC468" s="50"/>
      <c r="RD468" s="50"/>
      <c r="RE468" s="50"/>
      <c r="RF468" s="50"/>
      <c r="RG468" s="50"/>
      <c r="RH468" s="50"/>
      <c r="RI468" s="50"/>
      <c r="RJ468" s="50"/>
      <c r="RK468" s="50"/>
      <c r="RL468" s="50"/>
      <c r="RM468" s="50"/>
      <c r="RN468" s="50"/>
      <c r="RO468" s="50"/>
      <c r="RP468" s="50"/>
      <c r="RQ468" s="50"/>
      <c r="RR468" s="50"/>
      <c r="RS468" s="50"/>
      <c r="RT468" s="50"/>
      <c r="RU468" s="50"/>
      <c r="RV468" s="50"/>
      <c r="RW468" s="50"/>
      <c r="RX468" s="50"/>
      <c r="RY468" s="50"/>
      <c r="RZ468" s="50"/>
      <c r="SA468" s="50"/>
      <c r="SB468" s="50"/>
      <c r="SC468" s="50"/>
      <c r="SD468" s="50"/>
      <c r="SE468" s="50"/>
      <c r="SF468" s="50"/>
      <c r="SG468" s="50"/>
      <c r="SH468" s="50"/>
      <c r="SI468" s="50"/>
      <c r="SJ468" s="50"/>
      <c r="SK468" s="50"/>
      <c r="SL468" s="50"/>
      <c r="SM468" s="50"/>
      <c r="SN468" s="50"/>
      <c r="SO468" s="50"/>
      <c r="SP468" s="50"/>
      <c r="SQ468" s="50"/>
      <c r="SR468" s="50"/>
      <c r="SS468" s="50"/>
      <c r="ST468" s="50"/>
      <c r="SU468" s="50"/>
      <c r="SV468" s="50"/>
      <c r="SW468" s="50"/>
      <c r="SX468" s="50"/>
      <c r="SY468" s="50"/>
      <c r="SZ468" s="50"/>
      <c r="TA468" s="50"/>
      <c r="TB468" s="50"/>
      <c r="TC468" s="50"/>
      <c r="TD468" s="50"/>
      <c r="TE468" s="50"/>
      <c r="TF468" s="50"/>
      <c r="TG468" s="50"/>
      <c r="TH468" s="50"/>
      <c r="TI468" s="50"/>
      <c r="TJ468" s="50"/>
      <c r="TK468" s="50"/>
      <c r="TL468" s="50"/>
      <c r="TM468" s="50"/>
      <c r="TN468" s="50"/>
      <c r="TO468" s="50"/>
      <c r="TP468" s="50"/>
      <c r="TQ468" s="50"/>
      <c r="TR468" s="50"/>
      <c r="TS468" s="50"/>
      <c r="TT468" s="50"/>
      <c r="TU468" s="50"/>
      <c r="TV468" s="50"/>
      <c r="TW468" s="50"/>
      <c r="TX468" s="50"/>
      <c r="TY468" s="50"/>
      <c r="TZ468" s="50"/>
      <c r="UA468" s="50"/>
      <c r="UB468" s="50"/>
      <c r="UC468" s="50"/>
      <c r="UD468" s="50"/>
      <c r="UE468" s="50"/>
      <c r="UF468" s="50"/>
      <c r="UG468" s="50"/>
      <c r="UH468" s="50"/>
      <c r="UI468" s="50"/>
      <c r="UJ468" s="50"/>
      <c r="UK468" s="50"/>
      <c r="UL468" s="50"/>
      <c r="UM468" s="50"/>
      <c r="UN468" s="50"/>
      <c r="UO468" s="50"/>
      <c r="UP468" s="50"/>
      <c r="UQ468" s="50"/>
      <c r="UR468" s="50"/>
      <c r="US468" s="50"/>
      <c r="UT468" s="50"/>
      <c r="UU468" s="50"/>
      <c r="UV468" s="50"/>
      <c r="UW468" s="50"/>
      <c r="UX468" s="50"/>
      <c r="UY468" s="50"/>
      <c r="UZ468" s="50"/>
      <c r="VA468" s="50"/>
      <c r="VB468" s="50"/>
      <c r="VC468" s="50"/>
      <c r="VD468" s="50"/>
      <c r="VE468" s="50"/>
      <c r="VF468" s="50"/>
      <c r="VG468" s="50"/>
      <c r="VH468" s="50"/>
      <c r="VI468" s="50"/>
      <c r="VJ468" s="50"/>
      <c r="VK468" s="50"/>
      <c r="VL468" s="50"/>
      <c r="VM468" s="50"/>
      <c r="VN468" s="50"/>
      <c r="VO468" s="50"/>
      <c r="VP468" s="50"/>
      <c r="VQ468" s="50"/>
      <c r="VR468" s="50"/>
      <c r="VS468" s="50"/>
      <c r="VT468" s="50"/>
      <c r="VU468" s="50"/>
      <c r="VV468" s="50"/>
      <c r="VW468" s="50"/>
      <c r="VX468" s="50"/>
      <c r="VY468" s="50"/>
      <c r="VZ468" s="50"/>
      <c r="WA468" s="50"/>
      <c r="WB468" s="50"/>
      <c r="WC468" s="50"/>
      <c r="WD468" s="50"/>
      <c r="WE468" s="50"/>
      <c r="WF468" s="50"/>
      <c r="WG468" s="50"/>
      <c r="WH468" s="50"/>
      <c r="WI468" s="50"/>
      <c r="WJ468" s="50"/>
      <c r="WK468" s="50"/>
      <c r="WL468" s="50"/>
      <c r="WM468" s="50"/>
      <c r="WN468" s="50"/>
      <c r="WO468" s="50"/>
      <c r="WP468" s="50"/>
      <c r="WQ468" s="50"/>
      <c r="WR468" s="50"/>
      <c r="WS468" s="50"/>
      <c r="WT468" s="50"/>
      <c r="WU468" s="50"/>
      <c r="WV468" s="50"/>
      <c r="WW468" s="50"/>
      <c r="WX468" s="50"/>
      <c r="WY468" s="50"/>
      <c r="WZ468" s="50"/>
      <c r="XA468" s="50"/>
      <c r="XB468" s="50"/>
      <c r="XC468" s="50"/>
      <c r="XD468" s="50"/>
      <c r="XE468" s="50"/>
      <c r="XF468" s="50"/>
      <c r="XG468" s="50"/>
      <c r="XH468" s="50"/>
      <c r="XI468" s="50"/>
      <c r="XJ468" s="50"/>
      <c r="XK468" s="50"/>
      <c r="XL468" s="50"/>
      <c r="XM468" s="50"/>
      <c r="XN468" s="50"/>
      <c r="XO468" s="50"/>
      <c r="XP468" s="50"/>
      <c r="XQ468" s="50"/>
      <c r="XR468" s="50"/>
      <c r="XS468" s="50"/>
      <c r="XT468" s="50"/>
      <c r="XU468" s="50"/>
      <c r="XV468" s="50"/>
      <c r="XW468" s="50"/>
      <c r="XX468" s="50"/>
      <c r="XY468" s="50"/>
      <c r="XZ468" s="50"/>
      <c r="YA468" s="50"/>
      <c r="YB468" s="50"/>
      <c r="YC468" s="50"/>
      <c r="YD468" s="50"/>
      <c r="YE468" s="50"/>
      <c r="YF468" s="50"/>
      <c r="YG468" s="50"/>
      <c r="YH468" s="50"/>
      <c r="YI468" s="50"/>
      <c r="YJ468" s="50"/>
      <c r="YK468" s="50"/>
      <c r="YL468" s="50"/>
      <c r="YM468" s="50"/>
      <c r="YN468" s="50"/>
      <c r="YO468" s="50"/>
      <c r="YP468" s="50"/>
      <c r="YQ468" s="50"/>
      <c r="YR468" s="50"/>
      <c r="YS468" s="50"/>
      <c r="YT468" s="50"/>
      <c r="YU468" s="50"/>
      <c r="YV468" s="50"/>
      <c r="YW468" s="50"/>
      <c r="YX468" s="50"/>
      <c r="YY468" s="50"/>
      <c r="YZ468" s="50"/>
      <c r="ZA468" s="50"/>
      <c r="ZB468" s="50"/>
      <c r="ZC468" s="50"/>
      <c r="ZD468" s="50"/>
      <c r="ZE468" s="50"/>
      <c r="ZF468" s="50"/>
      <c r="ZG468" s="50"/>
      <c r="ZH468" s="50"/>
      <c r="ZI468" s="50"/>
      <c r="ZJ468" s="50"/>
      <c r="ZK468" s="50"/>
      <c r="ZL468" s="50"/>
      <c r="ZM468" s="50"/>
      <c r="ZN468" s="50"/>
      <c r="ZO468" s="50"/>
      <c r="ZP468" s="50"/>
      <c r="ZQ468" s="50"/>
      <c r="ZR468" s="50"/>
      <c r="ZS468" s="50"/>
      <c r="ZT468" s="50"/>
      <c r="ZU468" s="50"/>
      <c r="ZV468" s="50"/>
      <c r="ZW468" s="50"/>
      <c r="ZX468" s="50"/>
      <c r="ZY468" s="618"/>
      <c r="ZZ468" s="36"/>
      <c r="AAA468" s="588"/>
      <c r="AAB468"/>
      <c r="AAC468"/>
      <c r="AAD468" s="112"/>
      <c r="AAE468" s="551">
        <f>IF(AND(S.InvolveFee=TRUE,S.DASApprovalRequired=FALSE),1,0)</f>
        <v>0</v>
      </c>
      <c r="AAF468" s="583" t="s">
        <v>174</v>
      </c>
      <c r="AAG468" s="76"/>
      <c r="AAH468" s="76"/>
      <c r="AAI468" s="76"/>
      <c r="AAJ468" s="77"/>
      <c r="AAK468" s="77"/>
      <c r="AAL468" s="89" t="str">
        <f>"c. "&amp;S.CodeName&amp;"DAS.SHUTTLE.PROOF"</f>
        <v>c. DAS.SHUTTLE.PROOF</v>
      </c>
      <c r="AAM468" s="112"/>
      <c r="AAU468" s="44"/>
      <c r="AAV468"/>
      <c r="AAW468"/>
      <c r="AAX468"/>
      <c r="AAY468"/>
      <c r="AAZ468"/>
      <c r="ABA468"/>
      <c r="ABB468"/>
      <c r="ABC468"/>
      <c r="ABD468"/>
    </row>
    <row r="469" spans="1:732" ht="15.75" customHeight="1" outlineLevel="2">
      <c r="A469" s="558"/>
      <c r="B469" s="462" t="s">
        <v>163</v>
      </c>
      <c r="C469" s="689"/>
      <c r="D469" s="145"/>
      <c r="E469" s="160"/>
      <c r="F469" s="160"/>
      <c r="G469" s="161"/>
      <c r="H469" s="161"/>
      <c r="I469" s="588"/>
      <c r="J469" s="597"/>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c r="BC469" s="45"/>
      <c r="BD469" s="45"/>
      <c r="BE469" s="45"/>
      <c r="BF469" s="45"/>
      <c r="BG469" s="45"/>
      <c r="BH469" s="45"/>
      <c r="BI469" s="45"/>
      <c r="BJ469" s="45"/>
      <c r="BK469" s="45"/>
      <c r="BL469" s="45"/>
      <c r="BM469" s="45"/>
      <c r="BN469" s="45"/>
      <c r="BO469" s="45"/>
      <c r="BP469" s="45"/>
      <c r="BQ469" s="45"/>
      <c r="BR469" s="45"/>
      <c r="BS469" s="45"/>
      <c r="BT469" s="45"/>
      <c r="BU469" s="45"/>
      <c r="BV469" s="45"/>
      <c r="BW469" s="45"/>
      <c r="BX469" s="45"/>
      <c r="BY469" s="45"/>
      <c r="BZ469" s="45"/>
      <c r="CA469" s="45"/>
      <c r="CB469" s="45"/>
      <c r="CC469" s="45"/>
      <c r="CD469" s="45"/>
      <c r="CE469" s="45"/>
      <c r="CF469" s="45"/>
      <c r="CG469" s="45"/>
      <c r="CH469" s="45"/>
      <c r="CI469" s="45"/>
      <c r="CJ469" s="45"/>
      <c r="CK469" s="45"/>
      <c r="CL469" s="45"/>
      <c r="CM469" s="45"/>
      <c r="CN469" s="45"/>
      <c r="CO469" s="45"/>
      <c r="CP469" s="45"/>
      <c r="CQ469" s="45"/>
      <c r="CR469" s="45"/>
      <c r="CS469" s="45"/>
      <c r="CT469" s="45"/>
      <c r="CU469" s="45"/>
      <c r="CV469" s="45"/>
      <c r="CW469" s="45"/>
      <c r="CX469" s="45"/>
      <c r="CY469" s="45"/>
      <c r="CZ469" s="45"/>
      <c r="DA469" s="45"/>
      <c r="DB469" s="45"/>
      <c r="DC469" s="45"/>
      <c r="DD469" s="45"/>
      <c r="DE469" s="45"/>
      <c r="DF469" s="45"/>
      <c r="DG469" s="45"/>
      <c r="DH469" s="45"/>
      <c r="DI469" s="45"/>
      <c r="DJ469" s="45"/>
      <c r="DK469" s="45"/>
      <c r="DL469" s="45"/>
      <c r="DM469" s="45"/>
      <c r="DN469" s="45"/>
      <c r="DO469" s="45"/>
      <c r="DP469" s="45"/>
      <c r="DQ469" s="45"/>
      <c r="DR469" s="45"/>
      <c r="DS469" s="45"/>
      <c r="DT469" s="45"/>
      <c r="DU469" s="45"/>
      <c r="DV469" s="45"/>
      <c r="DW469" s="45"/>
      <c r="DX469" s="45"/>
      <c r="DY469" s="45"/>
      <c r="DZ469" s="45"/>
      <c r="EA469" s="45"/>
      <c r="EB469" s="45"/>
      <c r="EC469" s="45"/>
      <c r="ED469" s="45"/>
      <c r="EE469" s="45"/>
      <c r="EF469" s="45"/>
      <c r="EG469" s="45"/>
      <c r="EH469" s="45"/>
      <c r="EI469" s="45"/>
      <c r="EJ469" s="45"/>
      <c r="EK469" s="45"/>
      <c r="EL469" s="45"/>
      <c r="EM469" s="45"/>
      <c r="EN469" s="45"/>
      <c r="EO469" s="45"/>
      <c r="EP469" s="45"/>
      <c r="EQ469" s="45"/>
      <c r="ER469" s="45"/>
      <c r="ES469" s="45"/>
      <c r="ET469" s="45"/>
      <c r="EU469" s="45"/>
      <c r="EV469" s="45"/>
      <c r="EW469" s="45"/>
      <c r="EX469" s="45"/>
      <c r="EY469" s="45"/>
      <c r="EZ469" s="45"/>
      <c r="FA469" s="45"/>
      <c r="FB469" s="45"/>
      <c r="FC469" s="45"/>
      <c r="FD469" s="45"/>
      <c r="FE469" s="45"/>
      <c r="FF469" s="45"/>
      <c r="FG469" s="45"/>
      <c r="FH469" s="45"/>
      <c r="FI469" s="45"/>
      <c r="FJ469" s="45"/>
      <c r="FK469" s="45"/>
      <c r="FL469" s="45"/>
      <c r="FM469" s="45"/>
      <c r="FN469" s="45"/>
      <c r="FO469" s="45"/>
      <c r="FP469" s="45"/>
      <c r="FQ469" s="45"/>
      <c r="FR469" s="45"/>
      <c r="FS469" s="45"/>
      <c r="FT469" s="45"/>
      <c r="FU469" s="45"/>
      <c r="FV469" s="45"/>
      <c r="FW469" s="45"/>
      <c r="FX469" s="45"/>
      <c r="FY469" s="45"/>
      <c r="FZ469" s="45"/>
      <c r="GA469" s="45"/>
      <c r="GB469" s="45"/>
      <c r="GC469" s="45"/>
      <c r="GD469" s="45"/>
      <c r="GE469" s="45"/>
      <c r="GF469" s="45"/>
      <c r="GG469" s="45"/>
      <c r="GH469" s="45"/>
      <c r="GI469" s="45"/>
      <c r="GJ469" s="45"/>
      <c r="GK469" s="45"/>
      <c r="GL469" s="45"/>
      <c r="GM469" s="45"/>
      <c r="GN469" s="45"/>
      <c r="GO469" s="45"/>
      <c r="GP469" s="45"/>
      <c r="GQ469" s="45"/>
      <c r="GR469" s="45"/>
      <c r="GS469" s="45"/>
      <c r="GT469" s="45"/>
      <c r="GU469" s="45"/>
      <c r="GV469" s="45"/>
      <c r="GW469" s="45"/>
      <c r="GX469" s="45"/>
      <c r="GY469" s="45"/>
      <c r="GZ469" s="45"/>
      <c r="HA469" s="45"/>
      <c r="HB469" s="45"/>
      <c r="HC469" s="45"/>
      <c r="HD469" s="45"/>
      <c r="HE469" s="45"/>
      <c r="HF469" s="45"/>
      <c r="HG469" s="45"/>
      <c r="HH469" s="45"/>
      <c r="HI469" s="45"/>
      <c r="HJ469" s="45"/>
      <c r="HK469" s="45"/>
      <c r="HL469" s="45"/>
      <c r="HM469" s="45"/>
      <c r="HN469" s="45"/>
      <c r="HO469" s="45"/>
      <c r="HP469" s="45"/>
      <c r="HQ469" s="45"/>
      <c r="HR469" s="45"/>
      <c r="HS469" s="45"/>
      <c r="HT469" s="45"/>
      <c r="HU469" s="45"/>
      <c r="HV469" s="45"/>
      <c r="HW469" s="45"/>
      <c r="HX469" s="45"/>
      <c r="HY469" s="45"/>
      <c r="HZ469" s="45"/>
      <c r="IA469" s="45"/>
      <c r="IB469" s="45"/>
      <c r="IC469" s="45"/>
      <c r="ID469" s="45"/>
      <c r="IE469" s="45"/>
      <c r="IF469" s="45"/>
      <c r="IG469" s="45"/>
      <c r="IH469" s="45"/>
      <c r="II469" s="45"/>
      <c r="IJ469" s="45"/>
      <c r="IK469" s="45"/>
      <c r="IL469" s="45"/>
      <c r="IM469" s="45"/>
      <c r="IN469" s="45"/>
      <c r="IO469" s="45"/>
      <c r="IP469" s="45"/>
      <c r="IQ469" s="45"/>
      <c r="IR469" s="45"/>
      <c r="IS469" s="45"/>
      <c r="IT469" s="45"/>
      <c r="IU469" s="45"/>
      <c r="IV469" s="45"/>
      <c r="IW469" s="45"/>
      <c r="IX469" s="45"/>
      <c r="IY469" s="45"/>
      <c r="IZ469" s="45"/>
      <c r="JA469" s="45"/>
      <c r="JB469" s="45"/>
      <c r="JC469" s="45"/>
      <c r="JD469" s="45"/>
      <c r="JE469" s="45"/>
      <c r="JF469" s="45"/>
      <c r="JG469" s="45"/>
      <c r="JH469" s="45"/>
      <c r="JI469" s="45"/>
      <c r="JJ469" s="45"/>
      <c r="JK469" s="45"/>
      <c r="JL469" s="45"/>
      <c r="JM469" s="45"/>
      <c r="JN469" s="45"/>
      <c r="JO469" s="45"/>
      <c r="JP469" s="45"/>
      <c r="JQ469" s="45"/>
      <c r="JR469" s="45"/>
      <c r="JS469" s="45"/>
      <c r="JT469" s="45"/>
      <c r="JU469" s="45"/>
      <c r="JV469" s="45"/>
      <c r="JW469" s="45"/>
      <c r="JX469" s="45"/>
      <c r="JY469" s="45"/>
      <c r="JZ469" s="45"/>
      <c r="KA469" s="45"/>
      <c r="KB469" s="45"/>
      <c r="KC469" s="45"/>
      <c r="KD469" s="45"/>
      <c r="KE469" s="45"/>
      <c r="KF469" s="45"/>
      <c r="KG469" s="45"/>
      <c r="KH469" s="45"/>
      <c r="KI469" s="45"/>
      <c r="KJ469" s="45"/>
      <c r="KK469" s="45"/>
      <c r="KL469" s="45"/>
      <c r="KM469" s="45"/>
      <c r="KN469" s="45"/>
      <c r="KO469" s="45"/>
      <c r="KP469" s="45"/>
      <c r="KQ469" s="45"/>
      <c r="KR469" s="45"/>
      <c r="KS469" s="45"/>
      <c r="KT469" s="45"/>
      <c r="KU469" s="45"/>
      <c r="KV469" s="45"/>
      <c r="KW469" s="45"/>
      <c r="KX469" s="45"/>
      <c r="KY469" s="45"/>
      <c r="KZ469" s="45"/>
      <c r="LA469" s="45"/>
      <c r="LB469" s="45"/>
      <c r="LC469" s="45"/>
      <c r="LD469" s="45"/>
      <c r="LE469" s="45"/>
      <c r="LF469" s="45"/>
      <c r="LG469" s="45"/>
      <c r="LH469" s="45"/>
      <c r="LI469" s="45"/>
      <c r="LJ469" s="45"/>
      <c r="LK469" s="45"/>
      <c r="LL469" s="45"/>
      <c r="LM469" s="45"/>
      <c r="LN469" s="45"/>
      <c r="LO469" s="45"/>
      <c r="LP469" s="45"/>
      <c r="LQ469" s="45"/>
      <c r="LR469" s="45"/>
      <c r="LS469" s="45"/>
      <c r="LT469" s="45"/>
      <c r="LU469" s="45"/>
      <c r="LV469" s="45"/>
      <c r="LW469" s="45"/>
      <c r="LX469" s="45"/>
      <c r="LY469" s="45"/>
      <c r="LZ469" s="45"/>
      <c r="MA469" s="45"/>
      <c r="MB469" s="45"/>
      <c r="MC469" s="45"/>
      <c r="MD469" s="45"/>
      <c r="ME469" s="45"/>
      <c r="MF469" s="45"/>
      <c r="MG469" s="45"/>
      <c r="MH469" s="45"/>
      <c r="MI469" s="45"/>
      <c r="MJ469" s="45"/>
      <c r="MK469" s="45"/>
      <c r="ML469" s="45"/>
      <c r="MM469" s="45"/>
      <c r="MN469" s="45"/>
      <c r="MO469" s="45"/>
      <c r="MP469" s="45"/>
      <c r="MQ469" s="45"/>
      <c r="MR469" s="45"/>
      <c r="MS469" s="45"/>
      <c r="MT469" s="45"/>
      <c r="MU469" s="45"/>
      <c r="MV469" s="45"/>
      <c r="MW469" s="45"/>
      <c r="MX469" s="45"/>
      <c r="MY469" s="45"/>
      <c r="MZ469" s="45"/>
      <c r="NA469" s="45"/>
      <c r="NB469" s="45"/>
      <c r="NC469" s="45"/>
      <c r="ND469" s="45"/>
      <c r="NE469" s="45"/>
      <c r="NF469" s="45"/>
      <c r="NG469" s="45"/>
      <c r="NH469" s="45"/>
      <c r="NI469" s="45"/>
      <c r="NJ469" s="45"/>
      <c r="NK469" s="45"/>
      <c r="NL469" s="45"/>
      <c r="NM469" s="45"/>
      <c r="NN469" s="45"/>
      <c r="NO469" s="45"/>
      <c r="NP469" s="45"/>
      <c r="NQ469" s="45"/>
      <c r="NR469" s="45"/>
      <c r="NS469" s="45"/>
      <c r="NT469" s="45"/>
      <c r="NU469" s="45"/>
      <c r="NV469" s="45"/>
      <c r="NW469" s="45"/>
      <c r="NX469" s="45"/>
      <c r="NY469" s="45"/>
      <c r="NZ469" s="45"/>
      <c r="OA469" s="45"/>
      <c r="OB469" s="45"/>
      <c r="OC469" s="45"/>
      <c r="OD469" s="45"/>
      <c r="OE469" s="45"/>
      <c r="OF469" s="45"/>
      <c r="OG469" s="45"/>
      <c r="OH469" s="45"/>
      <c r="OI469" s="45"/>
      <c r="OJ469" s="45"/>
      <c r="OK469" s="45"/>
      <c r="OL469" s="45"/>
      <c r="OM469" s="45"/>
      <c r="ON469" s="45"/>
      <c r="OO469" s="45"/>
      <c r="OP469" s="45"/>
      <c r="OQ469" s="45"/>
      <c r="OR469" s="45"/>
      <c r="OS469" s="45"/>
      <c r="OT469" s="45"/>
      <c r="OU469" s="45"/>
      <c r="OV469" s="45"/>
      <c r="OW469" s="45"/>
      <c r="OX469" s="45"/>
      <c r="OY469" s="45"/>
      <c r="OZ469" s="45"/>
      <c r="PA469" s="45"/>
      <c r="PB469" s="45"/>
      <c r="PC469" s="45"/>
      <c r="PD469" s="45"/>
      <c r="PE469" s="45"/>
      <c r="PF469" s="45"/>
      <c r="PG469" s="45"/>
      <c r="PH469" s="45"/>
      <c r="PI469" s="45"/>
      <c r="PJ469" s="45"/>
      <c r="PK469" s="45"/>
      <c r="PL469" s="45"/>
      <c r="PM469" s="45"/>
      <c r="PN469" s="45"/>
      <c r="PO469" s="45"/>
      <c r="PP469" s="45"/>
      <c r="PQ469" s="45"/>
      <c r="PR469" s="45"/>
      <c r="PS469" s="45"/>
      <c r="PT469" s="45"/>
      <c r="PU469" s="45"/>
      <c r="PV469" s="45"/>
      <c r="PW469" s="45"/>
      <c r="PX469" s="45"/>
      <c r="PY469" s="45"/>
      <c r="PZ469" s="45"/>
      <c r="QA469" s="45"/>
      <c r="QB469" s="45"/>
      <c r="QC469" s="45"/>
      <c r="QD469" s="45"/>
      <c r="QE469" s="45"/>
      <c r="QF469" s="45"/>
      <c r="QG469" s="45"/>
      <c r="QH469" s="45"/>
      <c r="QI469" s="45"/>
      <c r="QJ469" s="45"/>
      <c r="QK469" s="45"/>
      <c r="QL469" s="45"/>
      <c r="QM469" s="45"/>
      <c r="QN469" s="45"/>
      <c r="QO469" s="45"/>
      <c r="QP469" s="45"/>
      <c r="QQ469" s="45"/>
      <c r="QR469" s="45"/>
      <c r="QS469" s="45"/>
      <c r="QT469" s="45"/>
      <c r="QU469" s="45"/>
      <c r="QV469" s="45"/>
      <c r="QW469" s="45"/>
      <c r="QX469" s="45"/>
      <c r="QY469" s="45"/>
      <c r="QZ469" s="45"/>
      <c r="RA469" s="45"/>
      <c r="RB469" s="45"/>
      <c r="RC469" s="45"/>
      <c r="RD469" s="45"/>
      <c r="RE469" s="45"/>
      <c r="RF469" s="45"/>
      <c r="RG469" s="45"/>
      <c r="RH469" s="45"/>
      <c r="RI469" s="45"/>
      <c r="RJ469" s="45"/>
      <c r="RK469" s="45"/>
      <c r="RL469" s="45"/>
      <c r="RM469" s="45"/>
      <c r="RN469" s="45"/>
      <c r="RO469" s="45"/>
      <c r="RP469" s="45"/>
      <c r="RQ469" s="45"/>
      <c r="RR469" s="45"/>
      <c r="RS469" s="45"/>
      <c r="RT469" s="45"/>
      <c r="RU469" s="45"/>
      <c r="RV469" s="45"/>
      <c r="RW469" s="45"/>
      <c r="RX469" s="45"/>
      <c r="RY469" s="45"/>
      <c r="RZ469" s="45"/>
      <c r="SA469" s="45"/>
      <c r="SB469" s="45"/>
      <c r="SC469" s="45"/>
      <c r="SD469" s="45"/>
      <c r="SE469" s="45"/>
      <c r="SF469" s="45"/>
      <c r="SG469" s="45"/>
      <c r="SH469" s="45"/>
      <c r="SI469" s="45"/>
      <c r="SJ469" s="45"/>
      <c r="SK469" s="45"/>
      <c r="SL469" s="45"/>
      <c r="SM469" s="45"/>
      <c r="SN469" s="45"/>
      <c r="SO469" s="45"/>
      <c r="SP469" s="45"/>
      <c r="SQ469" s="45"/>
      <c r="SR469" s="45"/>
      <c r="SS469" s="45"/>
      <c r="ST469" s="45"/>
      <c r="SU469" s="45"/>
      <c r="SV469" s="45"/>
      <c r="SW469" s="45"/>
      <c r="SX469" s="45"/>
      <c r="SY469" s="45"/>
      <c r="SZ469" s="45"/>
      <c r="TA469" s="45"/>
      <c r="TB469" s="45"/>
      <c r="TC469" s="45"/>
      <c r="TD469" s="45"/>
      <c r="TE469" s="45"/>
      <c r="TF469" s="45"/>
      <c r="TG469" s="45"/>
      <c r="TH469" s="45"/>
      <c r="TI469" s="45"/>
      <c r="TJ469" s="45"/>
      <c r="TK469" s="45"/>
      <c r="TL469" s="45"/>
      <c r="TM469" s="45"/>
      <c r="TN469" s="45"/>
      <c r="TO469" s="45"/>
      <c r="TP469" s="45"/>
      <c r="TQ469" s="45"/>
      <c r="TR469" s="45"/>
      <c r="TS469" s="45"/>
      <c r="TT469" s="45"/>
      <c r="TU469" s="45"/>
      <c r="TV469" s="45"/>
      <c r="TW469" s="45"/>
      <c r="TX469" s="45"/>
      <c r="TY469" s="45"/>
      <c r="TZ469" s="45"/>
      <c r="UA469" s="45"/>
      <c r="UB469" s="45"/>
      <c r="UC469" s="45"/>
      <c r="UD469" s="45"/>
      <c r="UE469" s="45"/>
      <c r="UF469" s="45"/>
      <c r="UG469" s="45"/>
      <c r="UH469" s="45"/>
      <c r="UI469" s="45"/>
      <c r="UJ469" s="45"/>
      <c r="UK469" s="45"/>
      <c r="UL469" s="45"/>
      <c r="UM469" s="45"/>
      <c r="UN469" s="45"/>
      <c r="UO469" s="45"/>
      <c r="UP469" s="45"/>
      <c r="UQ469" s="45"/>
      <c r="UR469" s="45"/>
      <c r="US469" s="45"/>
      <c r="UT469" s="45"/>
      <c r="UU469" s="45"/>
      <c r="UV469" s="45"/>
      <c r="UW469" s="45"/>
      <c r="UX469" s="45"/>
      <c r="UY469" s="45"/>
      <c r="UZ469" s="45"/>
      <c r="VA469" s="45"/>
      <c r="VB469" s="45"/>
      <c r="VC469" s="45"/>
      <c r="VD469" s="45"/>
      <c r="VE469" s="45"/>
      <c r="VF469" s="45"/>
      <c r="VG469" s="45"/>
      <c r="VH469" s="45"/>
      <c r="VI469" s="45"/>
      <c r="VJ469" s="45"/>
      <c r="VK469" s="45"/>
      <c r="VL469" s="45"/>
      <c r="VM469" s="45"/>
      <c r="VN469" s="45"/>
      <c r="VO469" s="45"/>
      <c r="VP469" s="45"/>
      <c r="VQ469" s="45"/>
      <c r="VR469" s="45"/>
      <c r="VS469" s="45"/>
      <c r="VT469" s="45"/>
      <c r="VU469" s="45"/>
      <c r="VV469" s="45"/>
      <c r="VW469" s="45"/>
      <c r="VX469" s="45"/>
      <c r="VY469" s="45"/>
      <c r="VZ469" s="45"/>
      <c r="WA469" s="45"/>
      <c r="WB469" s="45"/>
      <c r="WC469" s="45"/>
      <c r="WD469" s="45"/>
      <c r="WE469" s="45"/>
      <c r="WF469" s="45"/>
      <c r="WG469" s="45"/>
      <c r="WH469" s="45"/>
      <c r="WI469" s="45"/>
      <c r="WJ469" s="45"/>
      <c r="WK469" s="45"/>
      <c r="WL469" s="45"/>
      <c r="WM469" s="45"/>
      <c r="WN469" s="45"/>
      <c r="WO469" s="45"/>
      <c r="WP469" s="45"/>
      <c r="WQ469" s="45"/>
      <c r="WR469" s="45"/>
      <c r="WS469" s="45"/>
      <c r="WT469" s="45"/>
      <c r="WU469" s="45"/>
      <c r="WV469" s="45"/>
      <c r="WW469" s="45"/>
      <c r="WX469" s="45"/>
      <c r="WY469" s="45"/>
      <c r="WZ469" s="45"/>
      <c r="XA469" s="45"/>
      <c r="XB469" s="45"/>
      <c r="XC469" s="45"/>
      <c r="XD469" s="45"/>
      <c r="XE469" s="45"/>
      <c r="XF469" s="45"/>
      <c r="XG469" s="45"/>
      <c r="XH469" s="45"/>
      <c r="XI469" s="45"/>
      <c r="XJ469" s="45"/>
      <c r="XK469" s="45"/>
      <c r="XL469" s="45"/>
      <c r="XM469" s="45"/>
      <c r="XN469" s="45"/>
      <c r="XO469" s="45"/>
      <c r="XP469" s="45"/>
      <c r="XQ469" s="45"/>
      <c r="XR469" s="45"/>
      <c r="XS469" s="45"/>
      <c r="XT469" s="45"/>
      <c r="XU469" s="45"/>
      <c r="XV469" s="45"/>
      <c r="XW469" s="45"/>
      <c r="XX469" s="45"/>
      <c r="XY469" s="45"/>
      <c r="XZ469" s="45"/>
      <c r="YA469" s="45"/>
      <c r="YB469" s="45"/>
      <c r="YC469" s="45"/>
      <c r="YD469" s="45"/>
      <c r="YE469" s="45"/>
      <c r="YF469" s="45"/>
      <c r="YG469" s="45"/>
      <c r="YH469" s="45"/>
      <c r="YI469" s="45"/>
      <c r="YJ469" s="45"/>
      <c r="YK469" s="45"/>
      <c r="YL469" s="45"/>
      <c r="YM469" s="45"/>
      <c r="YN469" s="45"/>
      <c r="YO469" s="45"/>
      <c r="YP469" s="45"/>
      <c r="YQ469" s="45"/>
      <c r="YR469" s="45"/>
      <c r="YS469" s="45"/>
      <c r="YT469" s="45"/>
      <c r="YU469" s="45"/>
      <c r="YV469" s="45"/>
      <c r="YW469" s="45"/>
      <c r="YX469" s="45"/>
      <c r="YY469" s="45"/>
      <c r="YZ469" s="45"/>
      <c r="ZA469" s="45"/>
      <c r="ZB469" s="45"/>
      <c r="ZC469" s="45"/>
      <c r="ZD469" s="45"/>
      <c r="ZE469" s="45"/>
      <c r="ZF469" s="45"/>
      <c r="ZG469" s="45"/>
      <c r="ZH469" s="45"/>
      <c r="ZI469" s="45"/>
      <c r="ZJ469" s="45"/>
      <c r="ZK469" s="45"/>
      <c r="ZL469" s="45"/>
      <c r="ZM469" s="45"/>
      <c r="ZN469" s="45"/>
      <c r="ZO469" s="45"/>
      <c r="ZP469" s="45"/>
      <c r="ZQ469" s="45"/>
      <c r="ZR469" s="45"/>
      <c r="ZS469" s="45"/>
      <c r="ZT469" s="45"/>
      <c r="ZU469" s="45"/>
      <c r="ZV469" s="45"/>
      <c r="ZW469" s="45"/>
      <c r="ZX469" s="45"/>
      <c r="ZY469" s="621"/>
      <c r="ZZ469" s="624"/>
      <c r="AAA469" s="588"/>
      <c r="AAD469" s="112"/>
      <c r="AAE469" s="551">
        <v>1</v>
      </c>
      <c r="AAF469" s="583" t="s">
        <v>174</v>
      </c>
      <c r="AAG469" s="63"/>
      <c r="AAH469" s="63"/>
      <c r="AAI469" s="63"/>
      <c r="AAJ469" s="59"/>
      <c r="AAK469" s="59"/>
      <c r="AAL469" s="54"/>
      <c r="AAM469" s="112"/>
      <c r="AAN469"/>
      <c r="AAT469" s="23"/>
      <c r="AAU469" s="44"/>
    </row>
    <row r="470" spans="1:732" ht="15.75" customHeight="1" outlineLevel="2">
      <c r="A470" s="558"/>
      <c r="B470" s="474" t="s">
        <v>125</v>
      </c>
      <c r="C470" s="168"/>
      <c r="D470" s="277"/>
      <c r="E470" s="368">
        <f t="shared" ref="E470" si="1013">NETWORKDAYS(G470,H470,S.DDL_DEQClosed)</f>
        <v>1</v>
      </c>
      <c r="F470" s="372">
        <f t="shared" ref="F470" ca="1" si="1014">NETWORKDAYS(TODAY(),H470)</f>
        <v>91</v>
      </c>
      <c r="G470" s="449">
        <f t="shared" ref="G470:H470" si="1015">AAG470</f>
        <v>41778</v>
      </c>
      <c r="H470" s="449">
        <f t="shared" si="1015"/>
        <v>41778</v>
      </c>
      <c r="I470" s="627"/>
      <c r="J470" s="592"/>
      <c r="K470" s="50"/>
      <c r="L470" s="50"/>
      <c r="M470" s="50"/>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c r="AM470" s="50"/>
      <c r="AN470" s="50"/>
      <c r="AO470" s="50"/>
      <c r="AP470" s="50"/>
      <c r="AQ470" s="50"/>
      <c r="AR470" s="50"/>
      <c r="AS470" s="50"/>
      <c r="AT470" s="50"/>
      <c r="AU470" s="50"/>
      <c r="AV470" s="50"/>
      <c r="AW470" s="50"/>
      <c r="AX470" s="50"/>
      <c r="AY470" s="50"/>
      <c r="AZ470" s="50"/>
      <c r="BA470" s="50"/>
      <c r="BB470" s="50"/>
      <c r="BC470" s="50"/>
      <c r="BD470" s="50"/>
      <c r="BE470" s="50"/>
      <c r="BF470" s="50"/>
      <c r="BG470" s="50"/>
      <c r="BH470" s="50"/>
      <c r="BI470" s="50"/>
      <c r="BJ470" s="50"/>
      <c r="BK470" s="50"/>
      <c r="BL470" s="50"/>
      <c r="BM470" s="50"/>
      <c r="BN470" s="50"/>
      <c r="BO470" s="50"/>
      <c r="BP470" s="50"/>
      <c r="BQ470" s="50"/>
      <c r="BR470" s="50"/>
      <c r="BS470" s="50"/>
      <c r="BT470" s="50"/>
      <c r="BU470" s="50"/>
      <c r="BV470" s="50"/>
      <c r="BW470" s="50"/>
      <c r="BX470" s="50"/>
      <c r="BY470" s="50"/>
      <c r="BZ470" s="50"/>
      <c r="CA470" s="50"/>
      <c r="CB470" s="50"/>
      <c r="CC470" s="50"/>
      <c r="CD470" s="50"/>
      <c r="CE470" s="50"/>
      <c r="CF470" s="50"/>
      <c r="CG470" s="50"/>
      <c r="CH470" s="50"/>
      <c r="CI470" s="50"/>
      <c r="CJ470" s="50"/>
      <c r="CK470" s="50"/>
      <c r="CL470" s="50"/>
      <c r="CM470" s="50"/>
      <c r="CN470" s="50"/>
      <c r="CO470" s="50"/>
      <c r="CP470" s="50"/>
      <c r="CQ470" s="50"/>
      <c r="CR470" s="50"/>
      <c r="CS470" s="50"/>
      <c r="CT470" s="50"/>
      <c r="CU470" s="50"/>
      <c r="CV470" s="50"/>
      <c r="CW470" s="50"/>
      <c r="CX470" s="50"/>
      <c r="CY470" s="50"/>
      <c r="CZ470" s="50"/>
      <c r="DA470" s="50"/>
      <c r="DB470" s="50"/>
      <c r="DC470" s="50"/>
      <c r="DD470" s="50"/>
      <c r="DE470" s="50"/>
      <c r="DF470" s="50"/>
      <c r="DG470" s="50"/>
      <c r="DH470" s="50"/>
      <c r="DI470" s="50"/>
      <c r="DJ470" s="50"/>
      <c r="DK470" s="50"/>
      <c r="DL470" s="50"/>
      <c r="DM470" s="50"/>
      <c r="DN470" s="50"/>
      <c r="DO470" s="50"/>
      <c r="DP470" s="50"/>
      <c r="DQ470" s="50"/>
      <c r="DR470" s="50"/>
      <c r="DS470" s="50"/>
      <c r="DT470" s="50"/>
      <c r="DU470" s="50"/>
      <c r="DV470" s="50"/>
      <c r="DW470" s="50"/>
      <c r="DX470" s="50"/>
      <c r="DY470" s="50"/>
      <c r="DZ470" s="50"/>
      <c r="EA470" s="50"/>
      <c r="EB470" s="50"/>
      <c r="EC470" s="50"/>
      <c r="ED470" s="50"/>
      <c r="EE470" s="50"/>
      <c r="EF470" s="50"/>
      <c r="EG470" s="50"/>
      <c r="EH470" s="50"/>
      <c r="EI470" s="50"/>
      <c r="EJ470" s="50"/>
      <c r="EK470" s="50"/>
      <c r="EL470" s="50"/>
      <c r="EM470" s="50"/>
      <c r="EN470" s="50"/>
      <c r="EO470" s="50"/>
      <c r="EP470" s="50"/>
      <c r="EQ470" s="50"/>
      <c r="ER470" s="50"/>
      <c r="ES470" s="50"/>
      <c r="ET470" s="50"/>
      <c r="EU470" s="50"/>
      <c r="EV470" s="50"/>
      <c r="EW470" s="50"/>
      <c r="EX470" s="50"/>
      <c r="EY470" s="50"/>
      <c r="EZ470" s="50"/>
      <c r="FA470" s="50"/>
      <c r="FB470" s="50"/>
      <c r="FC470" s="50"/>
      <c r="FD470" s="50"/>
      <c r="FE470" s="50"/>
      <c r="FF470" s="50"/>
      <c r="FG470" s="50"/>
      <c r="FH470" s="50"/>
      <c r="FI470" s="50"/>
      <c r="FJ470" s="50"/>
      <c r="FK470" s="50"/>
      <c r="FL470" s="50"/>
      <c r="FM470" s="50"/>
      <c r="FN470" s="50"/>
      <c r="FO470" s="50"/>
      <c r="FP470" s="50"/>
      <c r="FQ470" s="50"/>
      <c r="FR470" s="50"/>
      <c r="FS470" s="50"/>
      <c r="FT470" s="50"/>
      <c r="FU470" s="50"/>
      <c r="FV470" s="50"/>
      <c r="FW470" s="50"/>
      <c r="FX470" s="50"/>
      <c r="FY470" s="50"/>
      <c r="FZ470" s="50"/>
      <c r="GA470" s="50"/>
      <c r="GB470" s="50"/>
      <c r="GC470" s="50"/>
      <c r="GD470" s="50"/>
      <c r="GE470" s="50"/>
      <c r="GF470" s="50"/>
      <c r="GG470" s="50"/>
      <c r="GH470" s="50"/>
      <c r="GI470" s="50"/>
      <c r="GJ470" s="50"/>
      <c r="GK470" s="50"/>
      <c r="GL470" s="50"/>
      <c r="GM470" s="50"/>
      <c r="GN470" s="50"/>
      <c r="GO470" s="50"/>
      <c r="GP470" s="50"/>
      <c r="GQ470" s="50"/>
      <c r="GR470" s="50"/>
      <c r="GS470" s="50"/>
      <c r="GT470" s="50"/>
      <c r="GU470" s="50"/>
      <c r="GV470" s="50"/>
      <c r="GW470" s="50"/>
      <c r="GX470" s="50"/>
      <c r="GY470" s="50"/>
      <c r="GZ470" s="50"/>
      <c r="HA470" s="50"/>
      <c r="HB470" s="50"/>
      <c r="HC470" s="50"/>
      <c r="HD470" s="50"/>
      <c r="HE470" s="50"/>
      <c r="HF470" s="50"/>
      <c r="HG470" s="50"/>
      <c r="HH470" s="50"/>
      <c r="HI470" s="50"/>
      <c r="HJ470" s="50"/>
      <c r="HK470" s="50"/>
      <c r="HL470" s="50"/>
      <c r="HM470" s="50"/>
      <c r="HN470" s="50"/>
      <c r="HO470" s="50"/>
      <c r="HP470" s="50"/>
      <c r="HQ470" s="50"/>
      <c r="HR470" s="50"/>
      <c r="HS470" s="50"/>
      <c r="HT470" s="50"/>
      <c r="HU470" s="50"/>
      <c r="HV470" s="50"/>
      <c r="HW470" s="50"/>
      <c r="HX470" s="50"/>
      <c r="HY470" s="50"/>
      <c r="HZ470" s="50"/>
      <c r="IA470" s="50"/>
      <c r="IB470" s="50"/>
      <c r="IC470" s="50"/>
      <c r="ID470" s="50"/>
      <c r="IE470" s="50"/>
      <c r="IF470" s="50"/>
      <c r="IG470" s="50"/>
      <c r="IH470" s="50"/>
      <c r="II470" s="50"/>
      <c r="IJ470" s="50"/>
      <c r="IK470" s="50"/>
      <c r="IL470" s="50"/>
      <c r="IM470" s="50"/>
      <c r="IN470" s="50"/>
      <c r="IO470" s="50"/>
      <c r="IP470" s="50"/>
      <c r="IQ470" s="50"/>
      <c r="IR470" s="50"/>
      <c r="IS470" s="50"/>
      <c r="IT470" s="50"/>
      <c r="IU470" s="50"/>
      <c r="IV470" s="50"/>
      <c r="IW470" s="50"/>
      <c r="IX470" s="50"/>
      <c r="IY470" s="50"/>
      <c r="IZ470" s="50"/>
      <c r="JA470" s="50"/>
      <c r="JB470" s="50"/>
      <c r="JC470" s="50"/>
      <c r="JD470" s="50"/>
      <c r="JE470" s="50"/>
      <c r="JF470" s="50"/>
      <c r="JG470" s="50"/>
      <c r="JH470" s="50"/>
      <c r="JI470" s="50"/>
      <c r="JJ470" s="50"/>
      <c r="JK470" s="50"/>
      <c r="JL470" s="50"/>
      <c r="JM470" s="50"/>
      <c r="JN470" s="50"/>
      <c r="JO470" s="50"/>
      <c r="JP470" s="50"/>
      <c r="JQ470" s="50"/>
      <c r="JR470" s="50"/>
      <c r="JS470" s="50"/>
      <c r="JT470" s="50"/>
      <c r="JU470" s="50"/>
      <c r="JV470" s="50"/>
      <c r="JW470" s="50"/>
      <c r="JX470" s="50"/>
      <c r="JY470" s="50"/>
      <c r="JZ470" s="50"/>
      <c r="KA470" s="50"/>
      <c r="KB470" s="50"/>
      <c r="KC470" s="50"/>
      <c r="KD470" s="50"/>
      <c r="KE470" s="50"/>
      <c r="KF470" s="50"/>
      <c r="KG470" s="50"/>
      <c r="KH470" s="50"/>
      <c r="KI470" s="50"/>
      <c r="KJ470" s="50"/>
      <c r="KK470" s="50"/>
      <c r="KL470" s="50"/>
      <c r="KM470" s="50"/>
      <c r="KN470" s="50"/>
      <c r="KO470" s="50"/>
      <c r="KP470" s="50"/>
      <c r="KQ470" s="50"/>
      <c r="KR470" s="50"/>
      <c r="KS470" s="50"/>
      <c r="KT470" s="50"/>
      <c r="KU470" s="50"/>
      <c r="KV470" s="50"/>
      <c r="KW470" s="50"/>
      <c r="KX470" s="50"/>
      <c r="KY470" s="50"/>
      <c r="KZ470" s="50"/>
      <c r="LA470" s="50"/>
      <c r="LB470" s="50"/>
      <c r="LC470" s="50"/>
      <c r="LD470" s="50"/>
      <c r="LE470" s="50"/>
      <c r="LF470" s="50"/>
      <c r="LG470" s="50"/>
      <c r="LH470" s="50"/>
      <c r="LI470" s="50"/>
      <c r="LJ470" s="50"/>
      <c r="LK470" s="50"/>
      <c r="LL470" s="50"/>
      <c r="LM470" s="50"/>
      <c r="LN470" s="50"/>
      <c r="LO470" s="50"/>
      <c r="LP470" s="50"/>
      <c r="LQ470" s="50"/>
      <c r="LR470" s="50"/>
      <c r="LS470" s="50"/>
      <c r="LT470" s="50"/>
      <c r="LU470" s="50"/>
      <c r="LV470" s="50"/>
      <c r="LW470" s="50"/>
      <c r="LX470" s="50"/>
      <c r="LY470" s="50"/>
      <c r="LZ470" s="50"/>
      <c r="MA470" s="50"/>
      <c r="MB470" s="50"/>
      <c r="MC470" s="50"/>
      <c r="MD470" s="50"/>
      <c r="ME470" s="50"/>
      <c r="MF470" s="50"/>
      <c r="MG470" s="50"/>
      <c r="MH470" s="50"/>
      <c r="MI470" s="50"/>
      <c r="MJ470" s="50"/>
      <c r="MK470" s="50"/>
      <c r="ML470" s="50"/>
      <c r="MM470" s="50"/>
      <c r="MN470" s="50"/>
      <c r="MO470" s="50"/>
      <c r="MP470" s="50"/>
      <c r="MQ470" s="50"/>
      <c r="MR470" s="50"/>
      <c r="MS470" s="50"/>
      <c r="MT470" s="50"/>
      <c r="MU470" s="50"/>
      <c r="MV470" s="50"/>
      <c r="MW470" s="50"/>
      <c r="MX470" s="50"/>
      <c r="MY470" s="50"/>
      <c r="MZ470" s="50"/>
      <c r="NA470" s="50"/>
      <c r="NB470" s="50"/>
      <c r="NC470" s="50"/>
      <c r="ND470" s="50"/>
      <c r="NE470" s="50"/>
      <c r="NF470" s="50"/>
      <c r="NG470" s="50"/>
      <c r="NH470" s="50"/>
      <c r="NI470" s="50"/>
      <c r="NJ470" s="50"/>
      <c r="NK470" s="50"/>
      <c r="NL470" s="50"/>
      <c r="NM470" s="50"/>
      <c r="NN470" s="50"/>
      <c r="NO470" s="50"/>
      <c r="NP470" s="50"/>
      <c r="NQ470" s="50"/>
      <c r="NR470" s="50"/>
      <c r="NS470" s="50"/>
      <c r="NT470" s="50"/>
      <c r="NU470" s="50"/>
      <c r="NV470" s="50"/>
      <c r="NW470" s="50"/>
      <c r="NX470" s="50"/>
      <c r="NY470" s="50"/>
      <c r="NZ470" s="50"/>
      <c r="OA470" s="50"/>
      <c r="OB470" s="50"/>
      <c r="OC470" s="50"/>
      <c r="OD470" s="50"/>
      <c r="OE470" s="50"/>
      <c r="OF470" s="50"/>
      <c r="OG470" s="50"/>
      <c r="OH470" s="50"/>
      <c r="OI470" s="50"/>
      <c r="OJ470" s="50"/>
      <c r="OK470" s="50"/>
      <c r="OL470" s="50"/>
      <c r="OM470" s="50"/>
      <c r="ON470" s="50"/>
      <c r="OO470" s="50"/>
      <c r="OP470" s="50"/>
      <c r="OQ470" s="50"/>
      <c r="OR470" s="50"/>
      <c r="OS470" s="50"/>
      <c r="OT470" s="50"/>
      <c r="OU470" s="50"/>
      <c r="OV470" s="50"/>
      <c r="OW470" s="50"/>
      <c r="OX470" s="50"/>
      <c r="OY470" s="50"/>
      <c r="OZ470" s="50"/>
      <c r="PA470" s="50"/>
      <c r="PB470" s="50"/>
      <c r="PC470" s="50"/>
      <c r="PD470" s="50"/>
      <c r="PE470" s="50"/>
      <c r="PF470" s="50"/>
      <c r="PG470" s="50"/>
      <c r="PH470" s="50"/>
      <c r="PI470" s="50"/>
      <c r="PJ470" s="50"/>
      <c r="PK470" s="50"/>
      <c r="PL470" s="50"/>
      <c r="PM470" s="50"/>
      <c r="PN470" s="50"/>
      <c r="PO470" s="50"/>
      <c r="PP470" s="50"/>
      <c r="PQ470" s="50"/>
      <c r="PR470" s="50"/>
      <c r="PS470" s="50"/>
      <c r="PT470" s="50"/>
      <c r="PU470" s="50"/>
      <c r="PV470" s="50"/>
      <c r="PW470" s="50"/>
      <c r="PX470" s="50"/>
      <c r="PY470" s="50"/>
      <c r="PZ470" s="50"/>
      <c r="QA470" s="50"/>
      <c r="QB470" s="50"/>
      <c r="QC470" s="50"/>
      <c r="QD470" s="50"/>
      <c r="QE470" s="50"/>
      <c r="QF470" s="50"/>
      <c r="QG470" s="50"/>
      <c r="QH470" s="50"/>
      <c r="QI470" s="50"/>
      <c r="QJ470" s="50"/>
      <c r="QK470" s="50"/>
      <c r="QL470" s="50"/>
      <c r="QM470" s="50"/>
      <c r="QN470" s="50"/>
      <c r="QO470" s="50"/>
      <c r="QP470" s="50"/>
      <c r="QQ470" s="50"/>
      <c r="QR470" s="50"/>
      <c r="QS470" s="50"/>
      <c r="QT470" s="50"/>
      <c r="QU470" s="50"/>
      <c r="QV470" s="50"/>
      <c r="QW470" s="50"/>
      <c r="QX470" s="50"/>
      <c r="QY470" s="50"/>
      <c r="QZ470" s="50"/>
      <c r="RA470" s="50"/>
      <c r="RB470" s="50"/>
      <c r="RC470" s="50"/>
      <c r="RD470" s="50"/>
      <c r="RE470" s="50"/>
      <c r="RF470" s="50"/>
      <c r="RG470" s="50"/>
      <c r="RH470" s="50"/>
      <c r="RI470" s="50"/>
      <c r="RJ470" s="50"/>
      <c r="RK470" s="50"/>
      <c r="RL470" s="50"/>
      <c r="RM470" s="50"/>
      <c r="RN470" s="50"/>
      <c r="RO470" s="50"/>
      <c r="RP470" s="50"/>
      <c r="RQ470" s="50"/>
      <c r="RR470" s="50"/>
      <c r="RS470" s="50"/>
      <c r="RT470" s="50"/>
      <c r="RU470" s="50"/>
      <c r="RV470" s="50"/>
      <c r="RW470" s="50"/>
      <c r="RX470" s="50"/>
      <c r="RY470" s="50"/>
      <c r="RZ470" s="50"/>
      <c r="SA470" s="50"/>
      <c r="SB470" s="50"/>
      <c r="SC470" s="50"/>
      <c r="SD470" s="50"/>
      <c r="SE470" s="50"/>
      <c r="SF470" s="50"/>
      <c r="SG470" s="50"/>
      <c r="SH470" s="50"/>
      <c r="SI470" s="50"/>
      <c r="SJ470" s="50"/>
      <c r="SK470" s="50"/>
      <c r="SL470" s="50"/>
      <c r="SM470" s="50"/>
      <c r="SN470" s="50"/>
      <c r="SO470" s="50"/>
      <c r="SP470" s="50"/>
      <c r="SQ470" s="50"/>
      <c r="SR470" s="50"/>
      <c r="SS470" s="50"/>
      <c r="ST470" s="50"/>
      <c r="SU470" s="50"/>
      <c r="SV470" s="50"/>
      <c r="SW470" s="50"/>
      <c r="SX470" s="50"/>
      <c r="SY470" s="50"/>
      <c r="SZ470" s="50"/>
      <c r="TA470" s="50"/>
      <c r="TB470" s="50"/>
      <c r="TC470" s="50"/>
      <c r="TD470" s="50"/>
      <c r="TE470" s="50"/>
      <c r="TF470" s="50"/>
      <c r="TG470" s="50"/>
      <c r="TH470" s="50"/>
      <c r="TI470" s="50"/>
      <c r="TJ470" s="50"/>
      <c r="TK470" s="50"/>
      <c r="TL470" s="50"/>
      <c r="TM470" s="50"/>
      <c r="TN470" s="50"/>
      <c r="TO470" s="50"/>
      <c r="TP470" s="50"/>
      <c r="TQ470" s="50"/>
      <c r="TR470" s="50"/>
      <c r="TS470" s="50"/>
      <c r="TT470" s="50"/>
      <c r="TU470" s="50"/>
      <c r="TV470" s="50"/>
      <c r="TW470" s="50"/>
      <c r="TX470" s="50"/>
      <c r="TY470" s="50"/>
      <c r="TZ470" s="50"/>
      <c r="UA470" s="50"/>
      <c r="UB470" s="50"/>
      <c r="UC470" s="50"/>
      <c r="UD470" s="50"/>
      <c r="UE470" s="50"/>
      <c r="UF470" s="50"/>
      <c r="UG470" s="50"/>
      <c r="UH470" s="50"/>
      <c r="UI470" s="50"/>
      <c r="UJ470" s="50"/>
      <c r="UK470" s="50"/>
      <c r="UL470" s="50"/>
      <c r="UM470" s="50"/>
      <c r="UN470" s="50"/>
      <c r="UO470" s="50"/>
      <c r="UP470" s="50"/>
      <c r="UQ470" s="50"/>
      <c r="UR470" s="50"/>
      <c r="US470" s="50"/>
      <c r="UT470" s="50"/>
      <c r="UU470" s="50"/>
      <c r="UV470" s="50"/>
      <c r="UW470" s="50"/>
      <c r="UX470" s="50"/>
      <c r="UY470" s="50"/>
      <c r="UZ470" s="50"/>
      <c r="VA470" s="50"/>
      <c r="VB470" s="50"/>
      <c r="VC470" s="50"/>
      <c r="VD470" s="50"/>
      <c r="VE470" s="50"/>
      <c r="VF470" s="50"/>
      <c r="VG470" s="50"/>
      <c r="VH470" s="50"/>
      <c r="VI470" s="50"/>
      <c r="VJ470" s="50"/>
      <c r="VK470" s="50"/>
      <c r="VL470" s="50"/>
      <c r="VM470" s="50"/>
      <c r="VN470" s="50"/>
      <c r="VO470" s="50"/>
      <c r="VP470" s="50"/>
      <c r="VQ470" s="50"/>
      <c r="VR470" s="50"/>
      <c r="VS470" s="50"/>
      <c r="VT470" s="50"/>
      <c r="VU470" s="50"/>
      <c r="VV470" s="50"/>
      <c r="VW470" s="50"/>
      <c r="VX470" s="50"/>
      <c r="VY470" s="50"/>
      <c r="VZ470" s="50"/>
      <c r="WA470" s="50"/>
      <c r="WB470" s="50"/>
      <c r="WC470" s="50"/>
      <c r="WD470" s="50"/>
      <c r="WE470" s="50"/>
      <c r="WF470" s="50"/>
      <c r="WG470" s="50"/>
      <c r="WH470" s="50"/>
      <c r="WI470" s="50"/>
      <c r="WJ470" s="50"/>
      <c r="WK470" s="50"/>
      <c r="WL470" s="50"/>
      <c r="WM470" s="50"/>
      <c r="WN470" s="50"/>
      <c r="WO470" s="50"/>
      <c r="WP470" s="50"/>
      <c r="WQ470" s="50"/>
      <c r="WR470" s="50"/>
      <c r="WS470" s="50"/>
      <c r="WT470" s="50"/>
      <c r="WU470" s="50"/>
      <c r="WV470" s="50"/>
      <c r="WW470" s="50"/>
      <c r="WX470" s="50"/>
      <c r="WY470" s="50"/>
      <c r="WZ470" s="50"/>
      <c r="XA470" s="50"/>
      <c r="XB470" s="50"/>
      <c r="XC470" s="50"/>
      <c r="XD470" s="50"/>
      <c r="XE470" s="50"/>
      <c r="XF470" s="50"/>
      <c r="XG470" s="50"/>
      <c r="XH470" s="50"/>
      <c r="XI470" s="50"/>
      <c r="XJ470" s="50"/>
      <c r="XK470" s="50"/>
      <c r="XL470" s="50"/>
      <c r="XM470" s="50"/>
      <c r="XN470" s="50"/>
      <c r="XO470" s="50"/>
      <c r="XP470" s="50"/>
      <c r="XQ470" s="50"/>
      <c r="XR470" s="50"/>
      <c r="XS470" s="50"/>
      <c r="XT470" s="50"/>
      <c r="XU470" s="50"/>
      <c r="XV470" s="50"/>
      <c r="XW470" s="50"/>
      <c r="XX470" s="50"/>
      <c r="XY470" s="50"/>
      <c r="XZ470" s="50"/>
      <c r="YA470" s="50"/>
      <c r="YB470" s="50"/>
      <c r="YC470" s="50"/>
      <c r="YD470" s="50"/>
      <c r="YE470" s="50"/>
      <c r="YF470" s="50"/>
      <c r="YG470" s="50"/>
      <c r="YH470" s="50"/>
      <c r="YI470" s="50"/>
      <c r="YJ470" s="50"/>
      <c r="YK470" s="50"/>
      <c r="YL470" s="50"/>
      <c r="YM470" s="50"/>
      <c r="YN470" s="50"/>
      <c r="YO470" s="50"/>
      <c r="YP470" s="50"/>
      <c r="YQ470" s="50"/>
      <c r="YR470" s="50"/>
      <c r="YS470" s="50"/>
      <c r="YT470" s="50"/>
      <c r="YU470" s="50"/>
      <c r="YV470" s="50"/>
      <c r="YW470" s="50"/>
      <c r="YX470" s="50"/>
      <c r="YY470" s="50"/>
      <c r="YZ470" s="50"/>
      <c r="ZA470" s="50"/>
      <c r="ZB470" s="50"/>
      <c r="ZC470" s="50"/>
      <c r="ZD470" s="50"/>
      <c r="ZE470" s="50"/>
      <c r="ZF470" s="50"/>
      <c r="ZG470" s="50"/>
      <c r="ZH470" s="50"/>
      <c r="ZI470" s="50"/>
      <c r="ZJ470" s="50"/>
      <c r="ZK470" s="50"/>
      <c r="ZL470" s="50"/>
      <c r="ZM470" s="50"/>
      <c r="ZN470" s="50"/>
      <c r="ZO470" s="50"/>
      <c r="ZP470" s="50"/>
      <c r="ZQ470" s="50"/>
      <c r="ZR470" s="50"/>
      <c r="ZS470" s="50"/>
      <c r="ZT470" s="50"/>
      <c r="ZU470" s="50"/>
      <c r="ZV470" s="50"/>
      <c r="ZW470" s="50"/>
      <c r="ZX470" s="50"/>
      <c r="ZY470" s="50"/>
      <c r="ZZ470" s="50"/>
      <c r="AAA470" s="588"/>
      <c r="AAD470" s="112"/>
      <c r="AAE470" s="551">
        <v>1</v>
      </c>
      <c r="AAF470" s="112"/>
      <c r="AAG470" s="78">
        <f>S.BANNER.PostEQCStart</f>
        <v>41778</v>
      </c>
      <c r="AAH470" s="78">
        <f>S.BANNER.PostEQCEnd</f>
        <v>41778</v>
      </c>
      <c r="AAI470" s="77"/>
      <c r="AAJ470" s="60"/>
      <c r="AAK470" s="60"/>
      <c r="AAL470" s="42"/>
      <c r="AAM470" s="112"/>
      <c r="AAN470"/>
      <c r="AAT470" s="23"/>
      <c r="AAU470" s="44"/>
    </row>
    <row r="471" spans="1:732" ht="15">
      <c r="A471" s="558"/>
      <c r="B471" s="144"/>
      <c r="C471" s="689"/>
      <c r="D471" s="145"/>
      <c r="E471" s="146"/>
      <c r="F471" s="146"/>
      <c r="G471" s="145"/>
      <c r="H471" s="333" t="str">
        <f ca="1">CELL("address")</f>
        <v>$B$327</v>
      </c>
      <c r="I471" s="588"/>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36"/>
      <c r="BV471" s="36"/>
      <c r="BW471" s="36"/>
      <c r="BX471" s="36"/>
      <c r="BY471" s="36"/>
      <c r="BZ471" s="36"/>
      <c r="CA471" s="36"/>
      <c r="CB471" s="36"/>
      <c r="CC471" s="36"/>
      <c r="CD471" s="36"/>
      <c r="CE471" s="36"/>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6"/>
      <c r="DT471" s="36"/>
      <c r="DU471" s="36"/>
      <c r="DV471" s="36"/>
      <c r="DW471" s="36"/>
      <c r="DX471" s="36"/>
      <c r="DY471" s="36"/>
      <c r="DZ471" s="36"/>
      <c r="EA471" s="36"/>
      <c r="EB471" s="36"/>
      <c r="EC471" s="36"/>
      <c r="ED471" s="36"/>
      <c r="EE471" s="36"/>
      <c r="EF471" s="36"/>
      <c r="EG471" s="36"/>
      <c r="EH471" s="36"/>
      <c r="EI471" s="36"/>
      <c r="EJ471" s="36"/>
      <c r="EK471" s="36"/>
      <c r="EL471" s="36"/>
      <c r="EM471" s="36"/>
      <c r="EN471" s="36"/>
      <c r="EO471" s="36"/>
      <c r="EP471" s="36"/>
      <c r="EQ471" s="36"/>
      <c r="ER471" s="36"/>
      <c r="ES471" s="36"/>
      <c r="ET471" s="36"/>
      <c r="EU471" s="36"/>
      <c r="EV471" s="36"/>
      <c r="EW471" s="36"/>
      <c r="EX471" s="36"/>
      <c r="EY471" s="36"/>
      <c r="EZ471" s="36"/>
      <c r="FA471" s="36"/>
      <c r="FB471" s="36"/>
      <c r="FC471" s="36"/>
      <c r="FD471" s="36"/>
      <c r="FE471" s="36"/>
      <c r="FF471" s="36"/>
      <c r="FG471" s="36"/>
      <c r="FH471" s="36"/>
      <c r="FI471" s="36"/>
      <c r="FJ471" s="36"/>
      <c r="FK471" s="36"/>
      <c r="FL471" s="36"/>
      <c r="FM471" s="36"/>
      <c r="FN471" s="36"/>
      <c r="FO471" s="36"/>
      <c r="FP471" s="36"/>
      <c r="FQ471" s="36"/>
      <c r="FR471" s="36"/>
      <c r="FS471" s="36"/>
      <c r="FT471" s="36"/>
      <c r="FU471" s="36"/>
      <c r="FV471" s="36"/>
      <c r="FW471" s="36"/>
      <c r="FX471" s="36"/>
      <c r="FY471" s="36"/>
      <c r="FZ471" s="36"/>
      <c r="GA471" s="36"/>
      <c r="GB471" s="36"/>
      <c r="GC471" s="36"/>
      <c r="GD471" s="36"/>
      <c r="GE471" s="36"/>
      <c r="GF471" s="36"/>
      <c r="GG471" s="36"/>
      <c r="GH471" s="36"/>
      <c r="GI471" s="36"/>
      <c r="GJ471" s="36"/>
      <c r="GK471" s="36"/>
      <c r="GL471" s="36"/>
      <c r="GM471" s="36"/>
      <c r="GN471" s="36"/>
      <c r="GO471" s="36"/>
      <c r="GP471" s="36"/>
      <c r="GQ471" s="36"/>
      <c r="GR471" s="36"/>
      <c r="GS471" s="36"/>
      <c r="GT471" s="36"/>
      <c r="GU471" s="36"/>
      <c r="GV471" s="36"/>
      <c r="GW471" s="36"/>
      <c r="GX471" s="36"/>
      <c r="GY471" s="36"/>
      <c r="GZ471" s="36"/>
      <c r="HA471" s="36"/>
      <c r="HB471" s="36"/>
      <c r="HC471" s="36"/>
      <c r="HD471" s="36"/>
      <c r="HE471" s="36"/>
      <c r="HF471" s="36"/>
      <c r="HG471" s="36"/>
      <c r="HH471" s="36"/>
      <c r="HI471" s="36"/>
      <c r="HJ471" s="36"/>
      <c r="HK471" s="36"/>
      <c r="HL471" s="36"/>
      <c r="HM471" s="36"/>
      <c r="HN471" s="36"/>
      <c r="HO471" s="36"/>
      <c r="HP471" s="36"/>
      <c r="HQ471" s="36"/>
      <c r="HR471" s="36"/>
      <c r="HS471" s="36"/>
      <c r="HT471" s="36"/>
      <c r="HU471" s="36"/>
      <c r="HV471" s="36"/>
      <c r="HW471" s="36"/>
      <c r="HX471" s="36"/>
      <c r="HY471" s="36"/>
      <c r="HZ471" s="36"/>
      <c r="IA471" s="36"/>
      <c r="IB471" s="36"/>
      <c r="IC471" s="36"/>
      <c r="ID471" s="36"/>
      <c r="IE471" s="36"/>
      <c r="IF471" s="36"/>
      <c r="IG471" s="36"/>
      <c r="IH471" s="36"/>
      <c r="II471" s="36"/>
      <c r="IJ471" s="36"/>
      <c r="IK471" s="36"/>
      <c r="IL471" s="36"/>
      <c r="IM471" s="36"/>
      <c r="IN471" s="36"/>
      <c r="IO471" s="36"/>
      <c r="IP471" s="36"/>
      <c r="IQ471" s="36"/>
      <c r="IR471" s="36"/>
      <c r="IS471" s="36"/>
      <c r="IT471" s="36"/>
      <c r="IU471" s="36"/>
      <c r="IV471" s="36"/>
      <c r="IW471" s="36"/>
      <c r="IX471" s="36"/>
      <c r="IY471" s="36"/>
      <c r="IZ471" s="36"/>
      <c r="JA471" s="36"/>
      <c r="JB471" s="36"/>
      <c r="JC471" s="36"/>
      <c r="JD471" s="36"/>
      <c r="JE471" s="36"/>
      <c r="JF471" s="36"/>
      <c r="JG471" s="36"/>
      <c r="JH471" s="36"/>
      <c r="JI471" s="36"/>
      <c r="JJ471" s="36"/>
      <c r="JK471" s="36"/>
      <c r="JL471" s="36"/>
      <c r="JM471" s="36"/>
      <c r="JN471" s="36"/>
      <c r="JO471" s="36"/>
      <c r="JP471" s="36"/>
      <c r="JQ471" s="36"/>
      <c r="JR471" s="36"/>
      <c r="JS471" s="36"/>
      <c r="JT471" s="36"/>
      <c r="JU471" s="36"/>
      <c r="JV471" s="36"/>
      <c r="JW471" s="36"/>
      <c r="JX471" s="36"/>
      <c r="JY471" s="36"/>
      <c r="JZ471" s="36"/>
      <c r="KA471" s="36"/>
      <c r="KB471" s="36"/>
      <c r="KC471" s="36"/>
      <c r="KD471" s="36"/>
      <c r="KE471" s="36"/>
      <c r="KF471" s="36"/>
      <c r="KG471" s="36"/>
      <c r="KH471" s="36"/>
      <c r="KI471" s="36"/>
      <c r="KJ471" s="36"/>
      <c r="KK471" s="36"/>
      <c r="KL471" s="36"/>
      <c r="KM471" s="36"/>
      <c r="KN471" s="36"/>
      <c r="KO471" s="36"/>
      <c r="KP471" s="36"/>
      <c r="KQ471" s="36"/>
      <c r="KR471" s="36"/>
      <c r="KS471" s="36"/>
      <c r="KT471" s="36"/>
      <c r="KU471" s="36"/>
      <c r="KV471" s="36"/>
      <c r="KW471" s="36"/>
      <c r="KX471" s="36"/>
      <c r="KY471" s="36"/>
      <c r="KZ471" s="36"/>
      <c r="LA471" s="36"/>
      <c r="LB471" s="36"/>
      <c r="LC471" s="36"/>
      <c r="LD471" s="36"/>
      <c r="LE471" s="36"/>
      <c r="LF471" s="36"/>
      <c r="LG471" s="36"/>
      <c r="LH471" s="36"/>
      <c r="LI471" s="36"/>
      <c r="LJ471" s="36"/>
      <c r="LK471" s="36"/>
      <c r="LL471" s="36"/>
      <c r="LM471" s="36"/>
      <c r="LN471" s="36"/>
      <c r="LO471" s="36"/>
      <c r="LP471" s="36"/>
      <c r="LQ471" s="36"/>
      <c r="LR471" s="36"/>
      <c r="LS471" s="36"/>
      <c r="LT471" s="36"/>
      <c r="LU471" s="36"/>
      <c r="LV471" s="36"/>
      <c r="LW471" s="36"/>
      <c r="LX471" s="36"/>
      <c r="LY471" s="36"/>
      <c r="LZ471" s="36"/>
      <c r="MA471" s="36"/>
      <c r="MB471" s="36"/>
      <c r="MC471" s="36"/>
      <c r="MD471" s="36"/>
      <c r="ME471" s="36"/>
      <c r="MF471" s="36"/>
      <c r="MG471" s="36"/>
      <c r="MH471" s="36"/>
      <c r="MI471" s="36"/>
      <c r="MJ471" s="36"/>
      <c r="MK471" s="36"/>
      <c r="ML471" s="36"/>
      <c r="MM471" s="36"/>
      <c r="MN471" s="36"/>
      <c r="MO471" s="36"/>
      <c r="MP471" s="36"/>
      <c r="MQ471" s="36"/>
      <c r="MR471" s="36"/>
      <c r="MS471" s="36"/>
      <c r="MT471" s="36"/>
      <c r="MU471" s="36"/>
      <c r="MV471" s="36"/>
      <c r="MW471" s="36"/>
      <c r="MX471" s="36"/>
      <c r="MY471" s="36"/>
      <c r="MZ471" s="36"/>
      <c r="NA471" s="36"/>
      <c r="NB471" s="36"/>
      <c r="NC471" s="36"/>
      <c r="ND471" s="36"/>
      <c r="NE471" s="36"/>
      <c r="NF471" s="36"/>
      <c r="NG471" s="36"/>
      <c r="NH471" s="36"/>
      <c r="NI471" s="36"/>
      <c r="NJ471" s="36"/>
      <c r="NK471" s="36"/>
      <c r="NL471" s="36"/>
      <c r="NM471" s="36"/>
      <c r="NN471" s="36"/>
      <c r="NO471" s="36"/>
      <c r="NP471" s="36"/>
      <c r="NQ471" s="36"/>
      <c r="NR471" s="36"/>
      <c r="NS471" s="36"/>
      <c r="NT471" s="36"/>
      <c r="NU471" s="36"/>
      <c r="NV471" s="36"/>
      <c r="NW471" s="36"/>
      <c r="NX471" s="36"/>
      <c r="NY471" s="36"/>
      <c r="NZ471" s="36"/>
      <c r="OA471" s="36"/>
      <c r="OB471" s="36"/>
      <c r="OC471" s="36"/>
      <c r="OD471" s="36"/>
      <c r="OE471" s="36"/>
      <c r="OF471" s="36"/>
      <c r="OG471" s="36"/>
      <c r="OH471" s="36"/>
      <c r="OI471" s="36"/>
      <c r="OJ471" s="36"/>
      <c r="OK471" s="36"/>
      <c r="OL471" s="36"/>
      <c r="OM471" s="36"/>
      <c r="ON471" s="36"/>
      <c r="OO471" s="36"/>
      <c r="OP471" s="36"/>
      <c r="OQ471" s="36"/>
      <c r="OR471" s="36"/>
      <c r="OS471" s="36"/>
      <c r="OT471" s="36"/>
      <c r="OU471" s="36"/>
      <c r="OV471" s="36"/>
      <c r="OW471" s="36"/>
      <c r="OX471" s="36"/>
      <c r="OY471" s="36"/>
      <c r="OZ471" s="36"/>
      <c r="PA471" s="36"/>
      <c r="PB471" s="36"/>
      <c r="PC471" s="36"/>
      <c r="PD471" s="36"/>
      <c r="PE471" s="36"/>
      <c r="PF471" s="36"/>
      <c r="PG471" s="36"/>
      <c r="PH471" s="36"/>
      <c r="PI471" s="36"/>
      <c r="PJ471" s="36"/>
      <c r="PK471" s="36"/>
      <c r="PL471" s="36"/>
      <c r="PM471" s="36"/>
      <c r="PN471" s="36"/>
      <c r="PO471" s="36"/>
      <c r="PP471" s="36"/>
      <c r="PQ471" s="36"/>
      <c r="PR471" s="36"/>
      <c r="PS471" s="36"/>
      <c r="PT471" s="36"/>
      <c r="PU471" s="36"/>
      <c r="PV471" s="36"/>
      <c r="PW471" s="36"/>
      <c r="PX471" s="36"/>
      <c r="PY471" s="36"/>
      <c r="PZ471" s="36"/>
      <c r="QA471" s="36"/>
      <c r="QB471" s="36"/>
      <c r="QC471" s="36"/>
      <c r="QD471" s="36"/>
      <c r="QE471" s="36"/>
      <c r="QF471" s="36"/>
      <c r="QG471" s="36"/>
      <c r="QH471" s="36"/>
      <c r="QI471" s="36"/>
      <c r="QJ471" s="36"/>
      <c r="QK471" s="36"/>
      <c r="QL471" s="36"/>
      <c r="QM471" s="36"/>
      <c r="QN471" s="36"/>
      <c r="QO471" s="36"/>
      <c r="QP471" s="36"/>
      <c r="QQ471" s="36"/>
      <c r="QR471" s="36"/>
      <c r="QS471" s="36"/>
      <c r="QT471" s="36"/>
      <c r="QU471" s="36"/>
      <c r="QV471" s="36"/>
      <c r="QW471" s="36"/>
      <c r="QX471" s="36"/>
      <c r="QY471" s="36"/>
      <c r="QZ471" s="36"/>
      <c r="RA471" s="36"/>
      <c r="RB471" s="36"/>
      <c r="RC471" s="36"/>
      <c r="RD471" s="36"/>
      <c r="RE471" s="36"/>
      <c r="RF471" s="36"/>
      <c r="RG471" s="36"/>
      <c r="RH471" s="36"/>
      <c r="RI471" s="36"/>
      <c r="RJ471" s="36"/>
      <c r="RK471" s="36"/>
      <c r="RL471" s="36"/>
      <c r="RM471" s="36"/>
      <c r="RN471" s="36"/>
      <c r="RO471" s="36"/>
      <c r="RP471" s="36"/>
      <c r="RQ471" s="36"/>
      <c r="RR471" s="36"/>
      <c r="RS471" s="36"/>
      <c r="RT471" s="36"/>
      <c r="RU471" s="36"/>
      <c r="RV471" s="36"/>
      <c r="RW471" s="36"/>
      <c r="RX471" s="36"/>
      <c r="RY471" s="36"/>
      <c r="RZ471" s="36"/>
      <c r="SA471" s="36"/>
      <c r="SB471" s="36"/>
      <c r="SC471" s="36"/>
      <c r="SD471" s="36"/>
      <c r="SE471" s="36"/>
      <c r="SF471" s="36"/>
      <c r="SG471" s="36"/>
      <c r="SH471" s="36"/>
      <c r="SI471" s="36"/>
      <c r="SJ471" s="36"/>
      <c r="SK471" s="36"/>
      <c r="SL471" s="36"/>
      <c r="SM471" s="36"/>
      <c r="SN471" s="36"/>
      <c r="SO471" s="36"/>
      <c r="SP471" s="36"/>
      <c r="SQ471" s="36"/>
      <c r="SR471" s="36"/>
      <c r="SS471" s="36"/>
      <c r="ST471" s="36"/>
      <c r="SU471" s="36"/>
      <c r="SV471" s="36"/>
      <c r="SW471" s="36"/>
      <c r="SX471" s="36"/>
      <c r="SY471" s="36"/>
      <c r="SZ471" s="36"/>
      <c r="TA471" s="36"/>
      <c r="TB471" s="36"/>
      <c r="TC471" s="36"/>
      <c r="TD471" s="36"/>
      <c r="TE471" s="36"/>
      <c r="TF471" s="36"/>
      <c r="TG471" s="36"/>
      <c r="TH471" s="36"/>
      <c r="TI471" s="36"/>
      <c r="TJ471" s="36"/>
      <c r="TK471" s="36"/>
      <c r="TL471" s="36"/>
      <c r="TM471" s="36"/>
      <c r="TN471" s="36"/>
      <c r="TO471" s="36"/>
      <c r="TP471" s="36"/>
      <c r="TQ471" s="36"/>
      <c r="TR471" s="36"/>
      <c r="TS471" s="36"/>
      <c r="TT471" s="36"/>
      <c r="TU471" s="36"/>
      <c r="TV471" s="36"/>
      <c r="TW471" s="36"/>
      <c r="TX471" s="36"/>
      <c r="TY471" s="36"/>
      <c r="TZ471" s="36"/>
      <c r="UA471" s="36"/>
      <c r="UB471" s="36"/>
      <c r="UC471" s="36"/>
      <c r="UD471" s="36"/>
      <c r="UE471" s="36"/>
      <c r="UF471" s="36"/>
      <c r="UG471" s="36"/>
      <c r="UH471" s="36"/>
      <c r="UI471" s="36"/>
      <c r="UJ471" s="36"/>
      <c r="UK471" s="36"/>
      <c r="UL471" s="36"/>
      <c r="UM471" s="36"/>
      <c r="UN471" s="36"/>
      <c r="UO471" s="36"/>
      <c r="UP471" s="36"/>
      <c r="UQ471" s="36"/>
      <c r="UR471" s="36"/>
      <c r="US471" s="36"/>
      <c r="UT471" s="36"/>
      <c r="UU471" s="36"/>
      <c r="UV471" s="36"/>
      <c r="UW471" s="36"/>
      <c r="UX471" s="36"/>
      <c r="UY471" s="36"/>
      <c r="UZ471" s="36"/>
      <c r="VA471" s="36"/>
      <c r="VB471" s="36"/>
      <c r="VC471" s="36"/>
      <c r="VD471" s="36"/>
      <c r="VE471" s="36"/>
      <c r="VF471" s="36"/>
      <c r="VG471" s="36"/>
      <c r="VH471" s="36"/>
      <c r="VI471" s="36"/>
      <c r="VJ471" s="36"/>
      <c r="VK471" s="36"/>
      <c r="VL471" s="36"/>
      <c r="VM471" s="36"/>
      <c r="VN471" s="36"/>
      <c r="VO471" s="36"/>
      <c r="VP471" s="36"/>
      <c r="VQ471" s="36"/>
      <c r="VR471" s="36"/>
      <c r="VS471" s="36"/>
      <c r="VT471" s="36"/>
      <c r="VU471" s="36"/>
      <c r="VV471" s="36"/>
      <c r="VW471" s="36"/>
      <c r="VX471" s="36"/>
      <c r="VY471" s="36"/>
      <c r="VZ471" s="36"/>
      <c r="WA471" s="36"/>
      <c r="WB471" s="36"/>
      <c r="WC471" s="36"/>
      <c r="WD471" s="36"/>
      <c r="WE471" s="36"/>
      <c r="WF471" s="36"/>
      <c r="WG471" s="36"/>
      <c r="WH471" s="36"/>
      <c r="WI471" s="36"/>
      <c r="WJ471" s="36"/>
      <c r="WK471" s="36"/>
      <c r="WL471" s="36"/>
      <c r="WM471" s="36"/>
      <c r="WN471" s="36"/>
      <c r="WO471" s="36"/>
      <c r="WP471" s="36"/>
      <c r="WQ471" s="36"/>
      <c r="WR471" s="36"/>
      <c r="WS471" s="36"/>
      <c r="WT471" s="36"/>
      <c r="WU471" s="36"/>
      <c r="WV471" s="36"/>
      <c r="WW471" s="36"/>
      <c r="WX471" s="36"/>
      <c r="WY471" s="36"/>
      <c r="WZ471" s="36"/>
      <c r="XA471" s="36"/>
      <c r="XB471" s="36"/>
      <c r="XC471" s="36"/>
      <c r="XD471" s="36"/>
      <c r="XE471" s="36"/>
      <c r="XF471" s="36"/>
      <c r="XG471" s="36"/>
      <c r="XH471" s="36"/>
      <c r="XI471" s="36"/>
      <c r="XJ471" s="36"/>
      <c r="XK471" s="36"/>
      <c r="XL471" s="36"/>
      <c r="XM471" s="36"/>
      <c r="XN471" s="36"/>
      <c r="XO471" s="36"/>
      <c r="XP471" s="36"/>
      <c r="XQ471" s="36"/>
      <c r="XR471" s="36"/>
      <c r="XS471" s="36"/>
      <c r="XT471" s="36"/>
      <c r="XU471" s="36"/>
      <c r="XV471" s="36"/>
      <c r="XW471" s="36"/>
      <c r="XX471" s="36"/>
      <c r="XY471" s="36"/>
      <c r="XZ471" s="36"/>
      <c r="YA471" s="36"/>
      <c r="YB471" s="36"/>
      <c r="YC471" s="36"/>
      <c r="YD471" s="36"/>
      <c r="YE471" s="36"/>
      <c r="YF471" s="36"/>
      <c r="YG471" s="36"/>
      <c r="YH471" s="36"/>
      <c r="YI471" s="36"/>
      <c r="YJ471" s="36"/>
      <c r="YK471" s="36"/>
      <c r="YL471" s="36"/>
      <c r="YM471" s="36"/>
      <c r="YN471" s="36"/>
      <c r="YO471" s="36"/>
      <c r="YP471" s="36"/>
      <c r="YQ471" s="36"/>
      <c r="YR471" s="36"/>
      <c r="YS471" s="36"/>
      <c r="YT471" s="36"/>
      <c r="YU471" s="36"/>
      <c r="YV471" s="36"/>
      <c r="YW471" s="36"/>
      <c r="YX471" s="36"/>
      <c r="YY471" s="36"/>
      <c r="YZ471" s="36"/>
      <c r="ZA471" s="36"/>
      <c r="ZB471" s="36"/>
      <c r="ZC471" s="36"/>
      <c r="ZD471" s="36"/>
      <c r="ZE471" s="36"/>
      <c r="ZF471" s="36"/>
      <c r="ZG471" s="36"/>
      <c r="ZH471" s="36"/>
      <c r="ZI471" s="36"/>
      <c r="ZJ471" s="36"/>
      <c r="ZK471" s="36"/>
      <c r="ZL471" s="36"/>
      <c r="ZM471" s="36"/>
      <c r="ZN471" s="36"/>
      <c r="ZO471" s="36"/>
      <c r="ZP471" s="36"/>
      <c r="ZQ471" s="36"/>
      <c r="ZR471" s="36"/>
      <c r="ZS471" s="36"/>
      <c r="ZT471" s="36"/>
      <c r="ZU471" s="36"/>
      <c r="ZV471" s="36"/>
      <c r="ZW471" s="36"/>
      <c r="ZX471" s="36"/>
      <c r="ZY471" s="36"/>
      <c r="ZZ471" s="36"/>
      <c r="AAA471" s="588"/>
      <c r="AAD471" s="112"/>
      <c r="AAE471" s="549" t="s">
        <v>0</v>
      </c>
      <c r="AAF471" s="583" t="s">
        <v>174</v>
      </c>
      <c r="AAG471" s="63"/>
      <c r="AAH471" s="63"/>
      <c r="AAI471" s="63"/>
      <c r="AAJ471" s="60"/>
      <c r="AAK471" s="60"/>
      <c r="AAL471" s="42"/>
      <c r="AAM471" s="112"/>
      <c r="AAN471"/>
      <c r="AAT471" s="23"/>
      <c r="AAU471" s="44"/>
    </row>
    <row r="472" spans="1:732" ht="9" customHeight="1">
      <c r="A472" s="558"/>
      <c r="B472" s="615"/>
      <c r="C472" s="728"/>
      <c r="D472" s="648"/>
      <c r="E472" s="649"/>
      <c r="F472" s="649"/>
      <c r="G472" s="648"/>
      <c r="H472" s="648"/>
      <c r="I472" s="614"/>
      <c r="J472" s="615"/>
      <c r="K472" s="615"/>
      <c r="L472" s="615"/>
      <c r="M472" s="615"/>
      <c r="N472" s="615"/>
      <c r="O472" s="615"/>
      <c r="P472" s="615"/>
      <c r="Q472" s="615"/>
      <c r="R472" s="615"/>
      <c r="S472" s="615"/>
      <c r="T472" s="615"/>
      <c r="U472" s="615"/>
      <c r="V472" s="615"/>
      <c r="W472" s="615"/>
      <c r="X472" s="615"/>
      <c r="Y472" s="615"/>
      <c r="Z472" s="615"/>
      <c r="AA472" s="615"/>
      <c r="AB472" s="615"/>
      <c r="AC472" s="615"/>
      <c r="AD472" s="615"/>
      <c r="AE472" s="615"/>
      <c r="AF472" s="615"/>
      <c r="AG472" s="615"/>
      <c r="AH472" s="615"/>
      <c r="AI472" s="615"/>
      <c r="AJ472" s="615"/>
      <c r="AK472" s="615"/>
      <c r="AL472" s="615"/>
      <c r="AM472" s="615"/>
      <c r="AN472" s="615"/>
      <c r="AO472" s="615"/>
      <c r="AP472" s="615"/>
      <c r="AQ472" s="615"/>
      <c r="AR472" s="615"/>
      <c r="AS472" s="615"/>
      <c r="AT472" s="615"/>
      <c r="AU472" s="615"/>
      <c r="AV472" s="615"/>
      <c r="AW472" s="615"/>
      <c r="AX472" s="615"/>
      <c r="AY472" s="615"/>
      <c r="AZ472" s="615"/>
      <c r="BA472" s="615"/>
      <c r="BB472" s="615"/>
      <c r="BC472" s="615"/>
      <c r="BD472" s="615"/>
      <c r="BE472" s="615"/>
      <c r="BF472" s="615"/>
      <c r="BG472" s="615"/>
      <c r="BH472" s="615"/>
      <c r="BI472" s="615"/>
      <c r="BJ472" s="615"/>
      <c r="BK472" s="615"/>
      <c r="BL472" s="615"/>
      <c r="BM472" s="615"/>
      <c r="BN472" s="615"/>
      <c r="BO472" s="615"/>
      <c r="BP472" s="615"/>
      <c r="BQ472" s="615"/>
      <c r="BR472" s="615"/>
      <c r="BS472" s="615"/>
      <c r="BT472" s="615"/>
      <c r="BU472" s="615"/>
      <c r="BV472" s="615"/>
      <c r="BW472" s="615"/>
      <c r="BX472" s="615"/>
      <c r="BY472" s="615"/>
      <c r="BZ472" s="615"/>
      <c r="CA472" s="615"/>
      <c r="CB472" s="615"/>
      <c r="CC472" s="615"/>
      <c r="CD472" s="615"/>
      <c r="CE472" s="615"/>
      <c r="CF472" s="615"/>
      <c r="CG472" s="615"/>
      <c r="CH472" s="615"/>
      <c r="CI472" s="615"/>
      <c r="CJ472" s="615"/>
      <c r="CK472" s="615"/>
      <c r="CL472" s="615"/>
      <c r="CM472" s="615"/>
      <c r="CN472" s="615"/>
      <c r="CO472" s="615"/>
      <c r="CP472" s="615"/>
      <c r="CQ472" s="615"/>
      <c r="CR472" s="615"/>
      <c r="CS472" s="615"/>
      <c r="CT472" s="615"/>
      <c r="CU472" s="615"/>
      <c r="CV472" s="615"/>
      <c r="CW472" s="615"/>
      <c r="CX472" s="615"/>
      <c r="CY472" s="615"/>
      <c r="CZ472" s="615"/>
      <c r="DA472" s="615"/>
      <c r="DB472" s="615"/>
      <c r="DC472" s="615"/>
      <c r="DD472" s="615"/>
      <c r="DE472" s="615"/>
      <c r="DF472" s="615"/>
      <c r="DG472" s="615"/>
      <c r="DH472" s="615"/>
      <c r="DI472" s="615"/>
      <c r="DJ472" s="615"/>
      <c r="DK472" s="615"/>
      <c r="DL472" s="615"/>
      <c r="DM472" s="615"/>
      <c r="DN472" s="615"/>
      <c r="DO472" s="615"/>
      <c r="DP472" s="615"/>
      <c r="DQ472" s="615"/>
      <c r="DR472" s="615"/>
      <c r="DS472" s="615"/>
      <c r="DT472" s="615"/>
      <c r="DU472" s="615"/>
      <c r="DV472" s="615"/>
      <c r="DW472" s="615"/>
      <c r="DX472" s="615"/>
      <c r="DY472" s="615"/>
      <c r="DZ472" s="615"/>
      <c r="EA472" s="615"/>
      <c r="EB472" s="615"/>
      <c r="EC472" s="615"/>
      <c r="ED472" s="615"/>
      <c r="EE472" s="615"/>
      <c r="EF472" s="615"/>
      <c r="EG472" s="615"/>
      <c r="EH472" s="615"/>
      <c r="EI472" s="615"/>
      <c r="EJ472" s="615"/>
      <c r="EK472" s="615"/>
      <c r="EL472" s="615"/>
      <c r="EM472" s="615"/>
      <c r="EN472" s="615"/>
      <c r="EO472" s="615"/>
      <c r="EP472" s="615"/>
      <c r="EQ472" s="615"/>
      <c r="ER472" s="615"/>
      <c r="ES472" s="615"/>
      <c r="ET472" s="615"/>
      <c r="EU472" s="615"/>
      <c r="EV472" s="615"/>
      <c r="EW472" s="615"/>
      <c r="EX472" s="615"/>
      <c r="EY472" s="615"/>
      <c r="EZ472" s="615"/>
      <c r="FA472" s="615"/>
      <c r="FB472" s="615"/>
      <c r="FC472" s="615"/>
      <c r="FD472" s="615"/>
      <c r="FE472" s="615"/>
      <c r="FF472" s="615"/>
      <c r="FG472" s="615"/>
      <c r="FH472" s="615"/>
      <c r="FI472" s="615"/>
      <c r="FJ472" s="615"/>
      <c r="FK472" s="615"/>
      <c r="FL472" s="615"/>
      <c r="FM472" s="615"/>
      <c r="FN472" s="615"/>
      <c r="FO472" s="615"/>
      <c r="FP472" s="615"/>
      <c r="FQ472" s="615"/>
      <c r="FR472" s="615"/>
      <c r="FS472" s="615"/>
      <c r="FT472" s="615"/>
      <c r="FU472" s="615"/>
      <c r="FV472" s="615"/>
      <c r="FW472" s="615"/>
      <c r="FX472" s="615"/>
      <c r="FY472" s="615"/>
      <c r="FZ472" s="615"/>
      <c r="GA472" s="615"/>
      <c r="GB472" s="615"/>
      <c r="GC472" s="615"/>
      <c r="GD472" s="615"/>
      <c r="GE472" s="615"/>
      <c r="GF472" s="615"/>
      <c r="GG472" s="615"/>
      <c r="GH472" s="615"/>
      <c r="GI472" s="615"/>
      <c r="GJ472" s="615"/>
      <c r="GK472" s="615"/>
      <c r="GL472" s="615"/>
      <c r="GM472" s="615"/>
      <c r="GN472" s="615"/>
      <c r="GO472" s="615"/>
      <c r="GP472" s="615"/>
      <c r="GQ472" s="615"/>
      <c r="GR472" s="615"/>
      <c r="GS472" s="615"/>
      <c r="GT472" s="615"/>
      <c r="GU472" s="615"/>
      <c r="GV472" s="615"/>
      <c r="GW472" s="615"/>
      <c r="GX472" s="615"/>
      <c r="GY472" s="615"/>
      <c r="GZ472" s="615"/>
      <c r="HA472" s="615"/>
      <c r="HB472" s="615"/>
      <c r="HC472" s="615"/>
      <c r="HD472" s="615"/>
      <c r="HE472" s="615"/>
      <c r="HF472" s="615"/>
      <c r="HG472" s="615"/>
      <c r="HH472" s="615"/>
      <c r="HI472" s="615"/>
      <c r="HJ472" s="615"/>
      <c r="HK472" s="615"/>
      <c r="HL472" s="615"/>
      <c r="HM472" s="615"/>
      <c r="HN472" s="615"/>
      <c r="HO472" s="615"/>
      <c r="HP472" s="615"/>
      <c r="HQ472" s="615"/>
      <c r="HR472" s="615"/>
      <c r="HS472" s="615"/>
      <c r="HT472" s="615"/>
      <c r="HU472" s="615"/>
      <c r="HV472" s="615"/>
      <c r="HW472" s="615"/>
      <c r="HX472" s="615"/>
      <c r="HY472" s="615"/>
      <c r="HZ472" s="615"/>
      <c r="IA472" s="615"/>
      <c r="IB472" s="615"/>
      <c r="IC472" s="615"/>
      <c r="ID472" s="615"/>
      <c r="IE472" s="615"/>
      <c r="IF472" s="615"/>
      <c r="IG472" s="615"/>
      <c r="IH472" s="615"/>
      <c r="II472" s="615"/>
      <c r="IJ472" s="615"/>
      <c r="IK472" s="615"/>
      <c r="IL472" s="615"/>
      <c r="IM472" s="615"/>
      <c r="IN472" s="615"/>
      <c r="IO472" s="615"/>
      <c r="IP472" s="615"/>
      <c r="IQ472" s="615"/>
      <c r="IR472" s="615"/>
      <c r="IS472" s="615"/>
      <c r="IT472" s="615"/>
      <c r="IU472" s="615"/>
      <c r="IV472" s="615"/>
      <c r="IW472" s="615"/>
      <c r="IX472" s="615"/>
      <c r="IY472" s="615"/>
      <c r="IZ472" s="615"/>
      <c r="JA472" s="615"/>
      <c r="JB472" s="615"/>
      <c r="JC472" s="615"/>
      <c r="JD472" s="615"/>
      <c r="JE472" s="615"/>
      <c r="JF472" s="615"/>
      <c r="JG472" s="615"/>
      <c r="JH472" s="615"/>
      <c r="JI472" s="615"/>
      <c r="JJ472" s="615"/>
      <c r="JK472" s="615"/>
      <c r="JL472" s="615"/>
      <c r="JM472" s="615"/>
      <c r="JN472" s="615"/>
      <c r="JO472" s="615"/>
      <c r="JP472" s="615"/>
      <c r="JQ472" s="615"/>
      <c r="JR472" s="615"/>
      <c r="JS472" s="615"/>
      <c r="JT472" s="615"/>
      <c r="JU472" s="615"/>
      <c r="JV472" s="615"/>
      <c r="JW472" s="615"/>
      <c r="JX472" s="615"/>
      <c r="JY472" s="615"/>
      <c r="JZ472" s="615"/>
      <c r="KA472" s="615"/>
      <c r="KB472" s="615"/>
      <c r="KC472" s="615"/>
      <c r="KD472" s="615"/>
      <c r="KE472" s="615"/>
      <c r="KF472" s="615"/>
      <c r="KG472" s="615"/>
      <c r="KH472" s="615"/>
      <c r="KI472" s="615"/>
      <c r="KJ472" s="615"/>
      <c r="KK472" s="615"/>
      <c r="KL472" s="615"/>
      <c r="KM472" s="615"/>
      <c r="KN472" s="615"/>
      <c r="KO472" s="615"/>
      <c r="KP472" s="615"/>
      <c r="KQ472" s="615"/>
      <c r="KR472" s="615"/>
      <c r="KS472" s="615"/>
      <c r="KT472" s="615"/>
      <c r="KU472" s="615"/>
      <c r="KV472" s="615"/>
      <c r="KW472" s="615"/>
      <c r="KX472" s="615"/>
      <c r="KY472" s="615"/>
      <c r="KZ472" s="615"/>
      <c r="LA472" s="615"/>
      <c r="LB472" s="615"/>
      <c r="LC472" s="615"/>
      <c r="LD472" s="615"/>
      <c r="LE472" s="615"/>
      <c r="LF472" s="615"/>
      <c r="LG472" s="615"/>
      <c r="LH472" s="615"/>
      <c r="LI472" s="615"/>
      <c r="LJ472" s="615"/>
      <c r="LK472" s="615"/>
      <c r="LL472" s="615"/>
      <c r="LM472" s="615"/>
      <c r="LN472" s="615"/>
      <c r="LO472" s="615"/>
      <c r="LP472" s="615"/>
      <c r="LQ472" s="615"/>
      <c r="LR472" s="615"/>
      <c r="LS472" s="615"/>
      <c r="LT472" s="615"/>
      <c r="LU472" s="615"/>
      <c r="LV472" s="615"/>
      <c r="LW472" s="615"/>
      <c r="LX472" s="615"/>
      <c r="LY472" s="615"/>
      <c r="LZ472" s="615"/>
      <c r="MA472" s="615"/>
      <c r="MB472" s="615"/>
      <c r="MC472" s="615"/>
      <c r="MD472" s="615"/>
      <c r="ME472" s="615"/>
      <c r="MF472" s="615"/>
      <c r="MG472" s="615"/>
      <c r="MH472" s="615"/>
      <c r="MI472" s="615"/>
      <c r="MJ472" s="615"/>
      <c r="MK472" s="615"/>
      <c r="ML472" s="615"/>
      <c r="MM472" s="615"/>
      <c r="MN472" s="615"/>
      <c r="MO472" s="615"/>
      <c r="MP472" s="615"/>
      <c r="MQ472" s="615"/>
      <c r="MR472" s="615"/>
      <c r="MS472" s="615"/>
      <c r="MT472" s="615"/>
      <c r="MU472" s="615"/>
      <c r="MV472" s="615"/>
      <c r="MW472" s="615"/>
      <c r="MX472" s="615"/>
      <c r="MY472" s="615"/>
      <c r="MZ472" s="615"/>
      <c r="NA472" s="615"/>
      <c r="NB472" s="615"/>
      <c r="NC472" s="615"/>
      <c r="ND472" s="615"/>
      <c r="NE472" s="615"/>
      <c r="NF472" s="615"/>
      <c r="NG472" s="615"/>
      <c r="NH472" s="615"/>
      <c r="NI472" s="615"/>
      <c r="NJ472" s="615"/>
      <c r="NK472" s="615"/>
      <c r="NL472" s="615"/>
      <c r="NM472" s="615"/>
      <c r="NN472" s="615"/>
      <c r="NO472" s="615"/>
      <c r="NP472" s="615"/>
      <c r="NQ472" s="615"/>
      <c r="NR472" s="615"/>
      <c r="NS472" s="615"/>
      <c r="NT472" s="615"/>
      <c r="NU472" s="615"/>
      <c r="NV472" s="615"/>
      <c r="NW472" s="615"/>
      <c r="NX472" s="615"/>
      <c r="NY472" s="615"/>
      <c r="NZ472" s="615"/>
      <c r="OA472" s="615"/>
      <c r="OB472" s="615"/>
      <c r="OC472" s="615"/>
      <c r="OD472" s="615"/>
      <c r="OE472" s="615"/>
      <c r="OF472" s="615"/>
      <c r="OG472" s="615"/>
      <c r="OH472" s="615"/>
      <c r="OI472" s="615"/>
      <c r="OJ472" s="615"/>
      <c r="OK472" s="615"/>
      <c r="OL472" s="615"/>
      <c r="OM472" s="615"/>
      <c r="ON472" s="615"/>
      <c r="OO472" s="615"/>
      <c r="OP472" s="615"/>
      <c r="OQ472" s="615"/>
      <c r="OR472" s="615"/>
      <c r="OS472" s="615"/>
      <c r="OT472" s="615"/>
      <c r="OU472" s="615"/>
      <c r="OV472" s="615"/>
      <c r="OW472" s="615"/>
      <c r="OX472" s="615"/>
      <c r="OY472" s="615"/>
      <c r="OZ472" s="615"/>
      <c r="PA472" s="615"/>
      <c r="PB472" s="615"/>
      <c r="PC472" s="615"/>
      <c r="PD472" s="615"/>
      <c r="PE472" s="615"/>
      <c r="PF472" s="615"/>
      <c r="PG472" s="615"/>
      <c r="PH472" s="615"/>
      <c r="PI472" s="615"/>
      <c r="PJ472" s="615"/>
      <c r="PK472" s="615"/>
      <c r="PL472" s="615"/>
      <c r="PM472" s="615"/>
      <c r="PN472" s="615"/>
      <c r="PO472" s="615"/>
      <c r="PP472" s="615"/>
      <c r="PQ472" s="615"/>
      <c r="PR472" s="615"/>
      <c r="PS472" s="615"/>
      <c r="PT472" s="615"/>
      <c r="PU472" s="615"/>
      <c r="PV472" s="615"/>
      <c r="PW472" s="615"/>
      <c r="PX472" s="615"/>
      <c r="PY472" s="615"/>
      <c r="PZ472" s="615"/>
      <c r="QA472" s="615"/>
      <c r="QB472" s="615"/>
      <c r="QC472" s="615"/>
      <c r="QD472" s="615"/>
      <c r="QE472" s="615"/>
      <c r="QF472" s="615"/>
      <c r="QG472" s="615"/>
      <c r="QH472" s="615"/>
      <c r="QI472" s="615"/>
      <c r="QJ472" s="615"/>
      <c r="QK472" s="615"/>
      <c r="QL472" s="615"/>
      <c r="QM472" s="615"/>
      <c r="QN472" s="615"/>
      <c r="QO472" s="615"/>
      <c r="QP472" s="615"/>
      <c r="QQ472" s="615"/>
      <c r="QR472" s="615"/>
      <c r="QS472" s="615"/>
      <c r="QT472" s="615"/>
      <c r="QU472" s="615"/>
      <c r="QV472" s="615"/>
      <c r="QW472" s="615"/>
      <c r="QX472" s="615"/>
      <c r="QY472" s="615"/>
      <c r="QZ472" s="615"/>
      <c r="RA472" s="615"/>
      <c r="RB472" s="615"/>
      <c r="RC472" s="615"/>
      <c r="RD472" s="615"/>
      <c r="RE472" s="615"/>
      <c r="RF472" s="615"/>
      <c r="RG472" s="615"/>
      <c r="RH472" s="615"/>
      <c r="RI472" s="615"/>
      <c r="RJ472" s="615"/>
      <c r="RK472" s="615"/>
      <c r="RL472" s="615"/>
      <c r="RM472" s="615"/>
      <c r="RN472" s="615"/>
      <c r="RO472" s="615"/>
      <c r="RP472" s="615"/>
      <c r="RQ472" s="615"/>
      <c r="RR472" s="615"/>
      <c r="RS472" s="615"/>
      <c r="RT472" s="615"/>
      <c r="RU472" s="615"/>
      <c r="RV472" s="615"/>
      <c r="RW472" s="615"/>
      <c r="RX472" s="615"/>
      <c r="RY472" s="615"/>
      <c r="RZ472" s="615"/>
      <c r="SA472" s="615"/>
      <c r="SB472" s="615"/>
      <c r="SC472" s="615"/>
      <c r="SD472" s="615"/>
      <c r="SE472" s="615"/>
      <c r="SF472" s="615"/>
      <c r="SG472" s="615"/>
      <c r="SH472" s="615"/>
      <c r="SI472" s="615"/>
      <c r="SJ472" s="615"/>
      <c r="SK472" s="615"/>
      <c r="SL472" s="615"/>
      <c r="SM472" s="615"/>
      <c r="SN472" s="615"/>
      <c r="SO472" s="615"/>
      <c r="SP472" s="615"/>
      <c r="SQ472" s="615"/>
      <c r="SR472" s="615"/>
      <c r="SS472" s="615"/>
      <c r="ST472" s="615"/>
      <c r="SU472" s="615"/>
      <c r="SV472" s="615"/>
      <c r="SW472" s="615"/>
      <c r="SX472" s="615"/>
      <c r="SY472" s="615"/>
      <c r="SZ472" s="615"/>
      <c r="TA472" s="615"/>
      <c r="TB472" s="615"/>
      <c r="TC472" s="615"/>
      <c r="TD472" s="615"/>
      <c r="TE472" s="615"/>
      <c r="TF472" s="615"/>
      <c r="TG472" s="615"/>
      <c r="TH472" s="615"/>
      <c r="TI472" s="615"/>
      <c r="TJ472" s="615"/>
      <c r="TK472" s="615"/>
      <c r="TL472" s="615"/>
      <c r="TM472" s="615"/>
      <c r="TN472" s="615"/>
      <c r="TO472" s="615"/>
      <c r="TP472" s="615"/>
      <c r="TQ472" s="615"/>
      <c r="TR472" s="615"/>
      <c r="TS472" s="615"/>
      <c r="TT472" s="615"/>
      <c r="TU472" s="615"/>
      <c r="TV472" s="615"/>
      <c r="TW472" s="615"/>
      <c r="TX472" s="615"/>
      <c r="TY472" s="615"/>
      <c r="TZ472" s="615"/>
      <c r="UA472" s="615"/>
      <c r="UB472" s="615"/>
      <c r="UC472" s="615"/>
      <c r="UD472" s="615"/>
      <c r="UE472" s="615"/>
      <c r="UF472" s="615"/>
      <c r="UG472" s="615"/>
      <c r="UH472" s="615"/>
      <c r="UI472" s="615"/>
      <c r="UJ472" s="615"/>
      <c r="UK472" s="615"/>
      <c r="UL472" s="615"/>
      <c r="UM472" s="615"/>
      <c r="UN472" s="615"/>
      <c r="UO472" s="615"/>
      <c r="UP472" s="615"/>
      <c r="UQ472" s="615"/>
      <c r="UR472" s="615"/>
      <c r="US472" s="615"/>
      <c r="UT472" s="615"/>
      <c r="UU472" s="615"/>
      <c r="UV472" s="615"/>
      <c r="UW472" s="615"/>
      <c r="UX472" s="615"/>
      <c r="UY472" s="615"/>
      <c r="UZ472" s="615"/>
      <c r="VA472" s="615"/>
      <c r="VB472" s="615"/>
      <c r="VC472" s="615"/>
      <c r="VD472" s="615"/>
      <c r="VE472" s="615"/>
      <c r="VF472" s="615"/>
      <c r="VG472" s="615"/>
      <c r="VH472" s="615"/>
      <c r="VI472" s="615"/>
      <c r="VJ472" s="615"/>
      <c r="VK472" s="615"/>
      <c r="VL472" s="615"/>
      <c r="VM472" s="615"/>
      <c r="VN472" s="615"/>
      <c r="VO472" s="615"/>
      <c r="VP472" s="615"/>
      <c r="VQ472" s="615"/>
      <c r="VR472" s="615"/>
      <c r="VS472" s="615"/>
      <c r="VT472" s="615"/>
      <c r="VU472" s="615"/>
      <c r="VV472" s="615"/>
      <c r="VW472" s="615"/>
      <c r="VX472" s="615"/>
      <c r="VY472" s="615"/>
      <c r="VZ472" s="615"/>
      <c r="WA472" s="615"/>
      <c r="WB472" s="615"/>
      <c r="WC472" s="615"/>
      <c r="WD472" s="615"/>
      <c r="WE472" s="615"/>
      <c r="WF472" s="615"/>
      <c r="WG472" s="615"/>
      <c r="WH472" s="615"/>
      <c r="WI472" s="615"/>
      <c r="WJ472" s="615"/>
      <c r="WK472" s="615"/>
      <c r="WL472" s="615"/>
      <c r="WM472" s="615"/>
      <c r="WN472" s="615"/>
      <c r="WO472" s="615"/>
      <c r="WP472" s="615"/>
      <c r="WQ472" s="615"/>
      <c r="WR472" s="615"/>
      <c r="WS472" s="615"/>
      <c r="WT472" s="615"/>
      <c r="WU472" s="615"/>
      <c r="WV472" s="615"/>
      <c r="WW472" s="615"/>
      <c r="WX472" s="615"/>
      <c r="WY472" s="615"/>
      <c r="WZ472" s="615"/>
      <c r="XA472" s="615"/>
      <c r="XB472" s="615"/>
      <c r="XC472" s="615"/>
      <c r="XD472" s="615"/>
      <c r="XE472" s="615"/>
      <c r="XF472" s="615"/>
      <c r="XG472" s="615"/>
      <c r="XH472" s="615"/>
      <c r="XI472" s="615"/>
      <c r="XJ472" s="615"/>
      <c r="XK472" s="615"/>
      <c r="XL472" s="615"/>
      <c r="XM472" s="615"/>
      <c r="XN472" s="615"/>
      <c r="XO472" s="615"/>
      <c r="XP472" s="615"/>
      <c r="XQ472" s="615"/>
      <c r="XR472" s="615"/>
      <c r="XS472" s="615"/>
      <c r="XT472" s="615"/>
      <c r="XU472" s="615"/>
      <c r="XV472" s="615"/>
      <c r="XW472" s="615"/>
      <c r="XX472" s="615"/>
      <c r="XY472" s="615"/>
      <c r="XZ472" s="615"/>
      <c r="YA472" s="615"/>
      <c r="YB472" s="615"/>
      <c r="YC472" s="615"/>
      <c r="YD472" s="615"/>
      <c r="YE472" s="615"/>
      <c r="YF472" s="615"/>
      <c r="YG472" s="615"/>
      <c r="YH472" s="615"/>
      <c r="YI472" s="615"/>
      <c r="YJ472" s="615"/>
      <c r="YK472" s="615"/>
      <c r="YL472" s="615"/>
      <c r="YM472" s="615"/>
      <c r="YN472" s="615"/>
      <c r="YO472" s="615"/>
      <c r="YP472" s="615"/>
      <c r="YQ472" s="615"/>
      <c r="YR472" s="615"/>
      <c r="YS472" s="615"/>
      <c r="YT472" s="615"/>
      <c r="YU472" s="615"/>
      <c r="YV472" s="615"/>
      <c r="YW472" s="615"/>
      <c r="YX472" s="615"/>
      <c r="YY472" s="615"/>
      <c r="YZ472" s="615"/>
      <c r="ZA472" s="615"/>
      <c r="ZB472" s="615"/>
      <c r="ZC472" s="615"/>
      <c r="ZD472" s="615"/>
      <c r="ZE472" s="615"/>
      <c r="ZF472" s="615"/>
      <c r="ZG472" s="615"/>
      <c r="ZH472" s="615"/>
      <c r="ZI472" s="615"/>
      <c r="ZJ472" s="615"/>
      <c r="ZK472" s="615"/>
      <c r="ZL472" s="615"/>
      <c r="ZM472" s="615"/>
      <c r="ZN472" s="615"/>
      <c r="ZO472" s="615"/>
      <c r="ZP472" s="615"/>
      <c r="ZQ472" s="615"/>
      <c r="ZR472" s="615"/>
      <c r="ZS472" s="615"/>
      <c r="ZT472" s="615"/>
      <c r="ZU472" s="615"/>
      <c r="ZV472" s="615"/>
      <c r="ZW472" s="615"/>
      <c r="ZX472" s="615"/>
      <c r="ZY472" s="615"/>
      <c r="ZZ472" s="625"/>
      <c r="AAA472" s="614"/>
      <c r="AAB472" s="615"/>
      <c r="AAC472" s="615"/>
      <c r="AAD472" s="612"/>
      <c r="AAE472" s="613" t="s">
        <v>245</v>
      </c>
      <c r="AAF472" s="613"/>
      <c r="AAG472" s="612"/>
      <c r="AAH472" s="612"/>
      <c r="AAI472" s="612"/>
      <c r="AAJ472" s="612"/>
      <c r="AAK472" s="612"/>
      <c r="AAL472" s="612"/>
      <c r="AAM472" s="612"/>
      <c r="AAN472"/>
      <c r="AAT472" s="23"/>
      <c r="AAU472" s="44"/>
    </row>
  </sheetData>
  <sheetProtection formatRows="0" insertHyperlinks="0"/>
  <mergeCells count="139">
    <mergeCell ref="AAE1:AAK2"/>
    <mergeCell ref="ABK6:ABQ6"/>
    <mergeCell ref="AAS20:AAS21"/>
    <mergeCell ref="B32:D32"/>
    <mergeCell ref="B28:D28"/>
    <mergeCell ref="B99:H99"/>
    <mergeCell ref="B81:G81"/>
    <mergeCell ref="E44:E45"/>
    <mergeCell ref="D30:E30"/>
    <mergeCell ref="AAO20:AAO21"/>
    <mergeCell ref="AAP20:AAP21"/>
    <mergeCell ref="AAQ20:AAQ21"/>
    <mergeCell ref="AAR20:AAR21"/>
    <mergeCell ref="AAO2:AAT2"/>
    <mergeCell ref="D13:E13"/>
    <mergeCell ref="D14:E14"/>
    <mergeCell ref="D15:E15"/>
    <mergeCell ref="C2:H3"/>
    <mergeCell ref="O3:P3"/>
    <mergeCell ref="R3:S3"/>
    <mergeCell ref="U3:V3"/>
    <mergeCell ref="AM3:AN3"/>
    <mergeCell ref="CP3:CQ3"/>
    <mergeCell ref="CS3:CT3"/>
    <mergeCell ref="D260:F260"/>
    <mergeCell ref="D257:F257"/>
    <mergeCell ref="D258:F258"/>
    <mergeCell ref="D259:F259"/>
    <mergeCell ref="B246:H246"/>
    <mergeCell ref="B248:C248"/>
    <mergeCell ref="D255:F255"/>
    <mergeCell ref="B237:C237"/>
    <mergeCell ref="B231:H231"/>
    <mergeCell ref="B233:C233"/>
    <mergeCell ref="B236:C236"/>
    <mergeCell ref="A2:A3"/>
    <mergeCell ref="B25:D25"/>
    <mergeCell ref="B12:D12"/>
    <mergeCell ref="B17:C17"/>
    <mergeCell ref="E4:F4"/>
    <mergeCell ref="B2:B3"/>
    <mergeCell ref="B241:C241"/>
    <mergeCell ref="D256:F256"/>
    <mergeCell ref="B250:H250"/>
    <mergeCell ref="D128:F128"/>
    <mergeCell ref="D148:F148"/>
    <mergeCell ref="D168:F168"/>
    <mergeCell ref="D188:F188"/>
    <mergeCell ref="B210:H210"/>
    <mergeCell ref="B41:C41"/>
    <mergeCell ref="B38:D38"/>
    <mergeCell ref="D108:F108"/>
    <mergeCell ref="G4:H4"/>
    <mergeCell ref="B40:D40"/>
    <mergeCell ref="B26:D26"/>
    <mergeCell ref="B27:D27"/>
    <mergeCell ref="D6:E6"/>
    <mergeCell ref="E43:F43"/>
    <mergeCell ref="B29:D29"/>
    <mergeCell ref="B439:H439"/>
    <mergeCell ref="D261:F261"/>
    <mergeCell ref="D262:F262"/>
    <mergeCell ref="B426:H426"/>
    <mergeCell ref="B363:C363"/>
    <mergeCell ref="B359:H359"/>
    <mergeCell ref="B388:H388"/>
    <mergeCell ref="B341:H341"/>
    <mergeCell ref="B392:H392"/>
    <mergeCell ref="B273:H273"/>
    <mergeCell ref="B299:H299"/>
    <mergeCell ref="CV3:CW3"/>
    <mergeCell ref="DQ3:DR3"/>
    <mergeCell ref="DT3:DU3"/>
    <mergeCell ref="AP3:AQ3"/>
    <mergeCell ref="AS3:AT3"/>
    <mergeCell ref="BO3:BP3"/>
    <mergeCell ref="BR3:BS3"/>
    <mergeCell ref="BU3:BV3"/>
    <mergeCell ref="FV3:FW3"/>
    <mergeCell ref="FY3:FZ3"/>
    <mergeCell ref="GT3:GU3"/>
    <mergeCell ref="GW3:GX3"/>
    <mergeCell ref="GZ3:HA3"/>
    <mergeCell ref="DW3:DX3"/>
    <mergeCell ref="ER3:ES3"/>
    <mergeCell ref="EU3:EV3"/>
    <mergeCell ref="EX3:EY3"/>
    <mergeCell ref="FS3:FT3"/>
    <mergeCell ref="JC3:JD3"/>
    <mergeCell ref="JY3:JZ3"/>
    <mergeCell ref="KB3:KC3"/>
    <mergeCell ref="KE3:KF3"/>
    <mergeCell ref="LA3:LB3"/>
    <mergeCell ref="HU3:HV3"/>
    <mergeCell ref="HX3:HY3"/>
    <mergeCell ref="IA3:IB3"/>
    <mergeCell ref="IW3:IX3"/>
    <mergeCell ref="IZ3:JA3"/>
    <mergeCell ref="ND3:NE3"/>
    <mergeCell ref="NG3:NH3"/>
    <mergeCell ref="NJ3:NK3"/>
    <mergeCell ref="OE3:OF3"/>
    <mergeCell ref="OH3:OI3"/>
    <mergeCell ref="LD3:LE3"/>
    <mergeCell ref="LG3:LH3"/>
    <mergeCell ref="MB3:MC3"/>
    <mergeCell ref="ME3:MF3"/>
    <mergeCell ref="MH3:MI3"/>
    <mergeCell ref="QK3:QL3"/>
    <mergeCell ref="QN3:QO3"/>
    <mergeCell ref="RI3:RJ3"/>
    <mergeCell ref="RL3:RM3"/>
    <mergeCell ref="RO3:RP3"/>
    <mergeCell ref="OK3:OL3"/>
    <mergeCell ref="PG3:PH3"/>
    <mergeCell ref="PJ3:PK3"/>
    <mergeCell ref="PM3:PN3"/>
    <mergeCell ref="QH3:QI3"/>
    <mergeCell ref="TS3:TT3"/>
    <mergeCell ref="UP3:UQ3"/>
    <mergeCell ref="US3:UT3"/>
    <mergeCell ref="UV3:UW3"/>
    <mergeCell ref="VQ3:VR3"/>
    <mergeCell ref="SK3:SL3"/>
    <mergeCell ref="SN3:SO3"/>
    <mergeCell ref="SQ3:SR3"/>
    <mergeCell ref="TM3:TN3"/>
    <mergeCell ref="TP3:TQ3"/>
    <mergeCell ref="ZA3:ZB3"/>
    <mergeCell ref="XT3:XU3"/>
    <mergeCell ref="XW3:XX3"/>
    <mergeCell ref="XZ3:YA3"/>
    <mergeCell ref="YU3:YV3"/>
    <mergeCell ref="YX3:YY3"/>
    <mergeCell ref="VT3:VU3"/>
    <mergeCell ref="VW3:VX3"/>
    <mergeCell ref="WR3:WS3"/>
    <mergeCell ref="WU3:WV3"/>
    <mergeCell ref="WX3:WY3"/>
  </mergeCells>
  <conditionalFormatting sqref="B32">
    <cfRule type="expression" dxfId="14" priority="77" stopIfTrue="1">
      <formula>IF(AND(S.InvolveNotice=FALSE,S.InvolveHearing=TRUE),TRUE)</formula>
    </cfRule>
  </conditionalFormatting>
  <conditionalFormatting sqref="B17:B18">
    <cfRule type="expression" dxfId="13" priority="62" stopIfTrue="1">
      <formula>IF(AND(S.InvolveHearing=FALSE,S.InvolveSIP=TRUE),TRUE)</formula>
    </cfRule>
  </conditionalFormatting>
  <conditionalFormatting sqref="B15 G15:H15">
    <cfRule type="expression" dxfId="12" priority="57" stopIfTrue="1">
      <formula>IF(AND(S.InvolveHearing=FALSE,S.InvolveEQCFacHearing=TRUE),TRUE)</formula>
    </cfRule>
  </conditionalFormatting>
  <conditionalFormatting sqref="G17:G470">
    <cfRule type="expression" dxfId="11" priority="3847" stopIfTrue="1">
      <formula>IF(WORKDAY($G17-1,1,S.DDL_DEQClosed)&lt;&gt;$G17,TRUE)</formula>
    </cfRule>
  </conditionalFormatting>
  <conditionalFormatting sqref="H17:H470">
    <cfRule type="expression" dxfId="10" priority="4047" stopIfTrue="1">
      <formula>IF(WORKDAY($H17-1,1,S.DDL_DEQClosed)&lt;&gt;$H17,TRUE)</formula>
    </cfRule>
  </conditionalFormatting>
  <conditionalFormatting sqref="J8:ZZ470">
    <cfRule type="expression" dxfId="9" priority="4091" stopIfTrue="1">
      <formula>IF($AAF8="X",TRUE)</formula>
    </cfRule>
    <cfRule type="expression" dxfId="8" priority="4092" stopIfTrue="1">
      <formula>IF(OR(WEEKDAY(J$6)=1,WEEKDAY(J$6)=7),TRUE)</formula>
    </cfRule>
    <cfRule type="expression" dxfId="7" priority="4093" stopIfTrue="1">
      <formula>IF(ISERROR(VLOOKUP(J$6,S.DDL_DEQClosed,1,FALSE)),0,1)</formula>
    </cfRule>
    <cfRule type="expression" dxfId="6" priority="4132" stopIfTrue="1">
      <formula>AND($AAF8&lt;&gt;"X",$G8&lt;K$6,$H8&gt;=J$6)</formula>
    </cfRule>
  </conditionalFormatting>
  <conditionalFormatting sqref="B92">
    <cfRule type="expression" dxfId="5" priority="4138" stopIfTrue="1">
      <formula>IF($AAE91=0,TRUE)</formula>
    </cfRule>
  </conditionalFormatting>
  <conditionalFormatting sqref="B91">
    <cfRule type="expression" dxfId="4" priority="4139" stopIfTrue="1">
      <formula>IF($AAE86=0,TRUE)</formula>
    </cfRule>
  </conditionalFormatting>
  <conditionalFormatting sqref="B4:ZZ470">
    <cfRule type="expression" dxfId="3" priority="7" stopIfTrue="1">
      <formula>IF($AAE4="T",TRUE)</formula>
    </cfRule>
    <cfRule type="expression" dxfId="2" priority="12" stopIfTrue="1">
      <formula>IF($AAE4="B",TRUE)</formula>
    </cfRule>
    <cfRule type="expression" dxfId="1" priority="16" stopIfTrue="1">
      <formula>IF($AAE4="Y",TRUE)</formula>
    </cfRule>
    <cfRule type="expression" dxfId="0" priority="40" stopIfTrue="1">
      <formula>IF($AAE4=0,TRUE)</formula>
    </cfRule>
  </conditionalFormatting>
  <dataValidations xWindow="515" yWindow="1079"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7:G230 G244">
      <formula1>H222</formula1>
      <formula2>S.BANNER.FeeEnd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4">
      <formula1>G214</formula1>
      <formula2>S.BANNER.FeeEnd</formula2>
    </dataValidation>
    <dataValidation type="date" allowBlank="1" showInputMessage="1" showErrorMessage="1" errorTitle="INVALID DATE" error="Enter a date between the OPEN preview period and the SOS Notice submittal date." promptTitle="TASK END" prompt="DEFUALT          5 workdays after opening preview period_x000a__x000a_OVERWRITE      Yes, to a date between opening the preview period and the SOS notice submittal date._x000a__x000a__x000a_" sqref="H305">
      <formula1>G302</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The date in the cell to the left_x000a__x000a_OVERWRITE      Yes, to a date between the default  and the notice submittal date to Secretary of State._x000a__x000a__x000a_" sqref="H263">
      <formula1>G263</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8">
      <formula1>H241</formula1>
      <formula2>H212</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9">
      <formula1>G239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4">
      <formula1>H230</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5">
      <formula1>H234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1">
      <formula1>G221</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5">
      <formula1>H241</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6:H230">
      <formula1>G226</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09 H95:H98 H122 H111:H115 H117:H120 H124:H127 H129 H142 H131:H135 H137:H140 H144:H147 H149 H162 H151:H155 H157:H160 H164:H167 H169 H182 H171:H175 H177:H180 H184:H187 H189 H202 H191:H195 H197:H200 H204:H208 H86:H93 H101:H107">
      <formula1>G86</formula1>
      <formula2>S.BANNER.AdvisoryCommitteeEnd</formula2>
    </dataValidation>
    <dataValidation type="date" allowBlank="1" showErrorMessage="1" errorTitle="INVALID DATE" error="If you need a differenct date, change the Submit notice to SOS under Key dates." sqref="H333 H311 H324">
      <formula1>G311</formula1>
      <formula2>G311</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7:H378 H372:H373 H381:H387">
      <formula1>G372</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5:H270">
      <formula1>G265</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36 H271 H362">
      <formula1>$F271</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28 H308">
      <formula1>G308</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 G221">
      <formula1>H215</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49 H220">
      <formula1>G220</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65 H215">
      <formula1>G215</formula1>
      <formula2>S.BANNER.FeeEnd</formula2>
    </dataValidation>
    <dataValidation type="date" allowBlank="1" showInputMessage="1" showErrorMessage="1" errorTitle="OUT OF DATE RANGE" error="Enter a date between  &quot;Notify ARC Notice Packet approved&quot; and submittal date to SOS for publication in the Bulletin (ARC Actions.)" promptTitle="TASK START" prompt="DEFUALT       The &quot;Notify ARC Notice Packet approved&quot; date above_x000a__x000a_OVERWRITE      Yes, to a date between default and submittal date to SOS for publication in the Bulletin (ARC Actions.)_x000a__x000a__x000a_" sqref="G313">
      <formula1>G311</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1:H302 H309">
      <formula1>G301</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7 H422:H425 H416 H396:H397">
      <formula1>G396</formula1>
      <formula2>S.EQCMeeting</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2">
      <formula1>H240</formula1>
      <formula2>S.BANNER.FeeEnd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2 AAH41">
      <formula1>G40</formula1>
    </dataValidation>
    <dataValidation type="date" allowBlank="1" showInputMessage="1" showErrorMessage="1" errorTitle="DATE RANGE ERROR" error="The date entered must be between the START and END date on the Planning section heade." sqref="G47">
      <formula1>G33</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40">
      <formula1>AAE240</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5">
      <formula1>AAE235</formula1>
      <formula2>S.BANNER.FeeEnd</formula2>
    </dataValidation>
    <dataValidation type="date" allowBlank="1" showInputMessage="1" showErrorMessage="1" errorTitle="DATE RANGE ERROR" error="The date entered must be between the START and END date on the Planning section heade." sqref="H47">
      <formula1>#REF!</formula1>
      <formula2>AAE33</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8:H50 H68:H71">
      <formula1>G48</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3:H78">
      <formula1>G73</formula1>
      <formula2>S.SubmitNoticeToEPA</formula2>
    </dataValidation>
    <dataValidation type="date" allowBlank="1" showInputMessage="1" showErrorMessage="1" errorTitle="OUT OF RANGE" error="Enter a date between the Start Task on the 4-Public notice banner above and &quot;Open preview period for Notice Packet&quot; below." promptTitle="TASK START" prompt="DEFUALT          The &quot;Open preview period for Notice Packet&quot; below_x000a__x000a_OVERWRITE      Yes, to a date between the Start date on the Notice banner and the default._x000a__x000a__x000a_" sqref="G301">
      <formula1>S.BANNER.NoticeStart</formula1>
      <formula2>G302</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2">
      <formula1>S.BANNER.FeeStart</formula1>
      <formula2>AAH212</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H244">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3">
      <formula1>G243</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5">
      <formula1>G245</formula1>
      <formula2>S.BANNER.FeeEnd</formula2>
    </dataValidation>
    <dataValidation type="date" allowBlank="1" showInputMessage="1" showErrorMessage="1" errorTitle="OUT OF RANGE" error="Enter a date between the close of the preview period and the date in the cell below._x000a_" promptTitle="TASK START" prompt="DEFAULT    2 workdays before date in cell below._x000a__x000a_OVERWRITE    Yes, to a date between the close of the preview period and the date in the cell below._x000a__x000a__x000a_" sqref="G310">
      <formula1>H305</formula1>
      <formula2>G311</formula2>
    </dataValidation>
    <dataValidation type="date" allowBlank="1" showInputMessage="1" showErrorMessage="1" errorTitle="DATE OUT OF RANGE" error="Enter a date between &quot;Close Notice Packet preview period&quot; above and  2 workdays before Start Task date for &quot;Obtain managers approval of Notice Packet&quot; below" promptTitle="TASK START" prompt="DEFUALT           2 workdays before Start Task date for &quot;Obtain managers approval of Notice Packet&quot;_x000a__x000a_OVERWRITE      Yes, to a date between &quot;Close Notice Packet preview period&quot; and default._x000a__x000a__x000a_" sqref="G308">
      <formula1>H305</formula1>
      <formula2>G310</formula2>
    </dataValidation>
    <dataValidation type="date" allowBlank="1" showInputMessage="1" showErrorMessage="1" errorTitle="OUT OF RANGE" error="Enter a date between the close of the preview period and Notify ARC Notice Packet approved._x000a_" promptTitle="TASK END" prompt="DEFAULT    The Notify ARC Notice Packet approved date below._x000a__x000a_OVERWRITE    Yes, to a date between the close of the preview period and default._x000a__x000a__x000a_" sqref="H310">
      <formula1>H305</formula1>
      <formula2>G311</formula2>
    </dataValidation>
    <dataValidation type="date" allowBlank="1" showErrorMessage="1" errorTitle="OUT OF RANGE" error="Enter date between &quot;CLOSE Notice Packet preview period&quot; above and &quot;Notify ARC Notice Packet approved&quot; below." promptTitle="ENTER D" prompt="DEFUALT           Start Notice_x000a__x000a_OVERWRITE      Yes, to a date between the Start date on the Notice banner and the SOS notice submittal date._x000a__x000a__x000a_" sqref="G309">
      <formula1>H305</formula1>
      <formula2>G311</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7">
      <formula1>H305</formula1>
      <formula2>G310</formula2>
    </dataValidation>
    <dataValidation type="date" allowBlank="1" showErrorMessage="1" errorTitle="LOCKED" error="Change the Submit notice to SOS under Overview of Key Dates banner." sqref="H313">
      <formula1>G313</formula1>
      <formula2>S.SubmitNoticeToSOS</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7">
      <formula1>G307</formula1>
      <formula2>G310</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6">
      <formula1>G306</formula1>
      <formula2>G310</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6">
      <formula1>H304</formula1>
      <formula2>G310</formula2>
    </dataValidation>
    <dataValidation type="date" allowBlank="1" showInputMessage="1" showErrorMessage="1" errorTitle="INVALID DATE" error="Enter a date between the Start Task date on the 4-Public notice banner and 5 workdays before Start Task for &quot;Obtain managers approval of Notice Packet.&quot;" promptTitle="TASK START" prompt="DEFUALT           20 workdays before Start Task for &quot;Obtain managers approval of Notice Packet&quot;_x000a__x000a_OVERWRITE      Yes, to a date between the Start Task on the 4-Notice banner above and 5 workdays before &quot;Obtain managers approval of Notice Packet below.&quot;_x000a__x000a__x000a_" sqref="G302">
      <formula1>S.BANNER.NoticeStart</formula1>
      <formula2>WORKDAY(G310,-5,S.DDL_DEQClosed)</formula2>
    </dataValidation>
    <dataValidation type="date" allowBlank="1" showErrorMessage="1" errorTitle="DATE OUT OF RANGE" error="Enter a date between the date to the left and the &quot;LA briefing meeting&quot; date below." sqref="AAH298">
      <formula1>G298</formula1>
      <formula2>WORKDAY(G301,-2,S.DDL_DEQClosed)</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95:G298 G286 G289">
      <formula1>S.BANNER.NoticeStart</formula1>
      <formula2>G315</formula2>
    </dataValidation>
    <dataValidation type="date" allowBlank="1" showInputMessage="1" showErrorMessage="1" errorTitle="OUT OF DATE RANGE" error="Enter a date between the date to the left and the &quot;LA briefing meeting&quot; date&quot; below.." promptTitle="TASK END" prompt="DEFUALT         The &quot;LA briefing meeting&quot; date_x000a__x000a_OVERWRITE      Yes, to a date between the date to the left and the default._x000a__x000a__x000a_" sqref="H272 H274:H277 H285:H289 H295:H298">
      <formula1>G272</formula1>
      <formula2>$G$301</formula2>
    </dataValidation>
    <dataValidation allowBlank="1" showInputMessage="1" showErrorMessage="1" promptTitle="TEAM DISCRETION" prompt="The team may place an &quot;X&quot; in this location to indicate the task has been completed." sqref="C417:C420 C422:C425 C409:C415 C461 C470 C466:C468 C452:C455 C445:C448 C433:C434 C428:C431 C457:C459 C222:C230 C87 C104 C72:C79 C101:C102 C92:C93 C96:C98 C48:C51 C90 C68:C70 C364:C373 C398:C399 C390 C207:C208 C172:C175 C204:C205 C202 C192:C195 C187:C189 C152:C155 C184:C185 C182 C198:C200 C167:C169 C132:C135 C164:C165 C162 C178:C180 C147:C149 C112:C115 C144:C145 C142 C158:C160 C127:C129 C124:C125 C122 C138:C140 C214 C217:C218 C118:C120 C238:C240 C242:C245 C255:C263 C350 C377:C378 C381:C387 C361 C345 C335:C339 C276:C286 C328:C333 C326 C324 C305:C313 C301:C302 C265:C270 C274 C352:C358 C295:C298 C288:C289 C106:C109"/>
    <dataValidation allowBlank="1" showErrorMessage="1" sqref="AAL452:AAL459 B452:B459 B447:B448 AAL447:AAL448 B99:H99"/>
    <dataValidation allowBlank="1" sqref="AAG433 AAG26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4 AAG354:AAG358 AAG361 AAG266:AAG270">
      <formula1>S.BANNER.NoticeStart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65 G449 G215 G220">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4"/>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3"/>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2">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70">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70">
      <formula1>S.BANNER.PostEQCStart</formula1>
      <formula2>S.BANNER.PostEQCEnd</formula2>
    </dataValidation>
    <dataValidation type="date" allowBlank="1" showInputMessage="1" showErrorMessage="1" sqref="H444">
      <formula1>S.EQCMeeting</formula1>
      <formula2>S.BANNER.PostEQCEnd</formula2>
    </dataValidation>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36 G271 G362">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29">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33:G434 G422:G425 G407 G416 G428 G430:G431 G396:G397">
      <formula1>S.BANNER.EQCStart</formula1>
      <formula2>S.BANNER.EQCEnd</formula2>
    </dataValidation>
    <dataValidation type="date" allowBlank="1" showInputMessage="1" showErrorMessage="1" errorTitle="DATE RANGE ERROR" error="Enter a date between the date to the left and 45 days after the date to the left." sqref="H441">
      <formula1>S.BANNER.PostEQCStart</formula1>
      <formula2>S.BANNER.PostEQCStart+45</formula2>
    </dataValidation>
    <dataValidation type="date" allowBlank="1" showInputMessage="1" showErrorMessage="1" sqref="G444">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29">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30">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3:H434 H431">
      <formula1>S.BANNER.EQCStart</formula1>
      <formula2>S.BANNER.EQCEnd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40 E44 E82 E342 E251 E211 E393"/>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40 G44 G82 G393 G342 G251 G211 G5"/>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40 H44 H82 H393 H342 H251 H211 H5"/>
    <dataValidation operator="greaterThanOrEqual" allowBlank="1" showInputMessage="1" showErrorMessage="1" sqref="AAG426 AAG359 AAG295:AAG299 AAG272:AAG277 AAG263 AAG231 AAG246 AAG285:AAG289 AAG388"/>
    <dataValidation allowBlank="1" showInputMessage="1" showErrorMessage="1" promptTitle="OUTCOME BASED MEASURE" prompt="The number of loops is a reportable measure for outcome-based measures. Please track the start and end date for each loop. Ask the PE to add more loop lines if needed." sqref="B422:B426 B384:B388 B227:B232 B246 B267:B270 B295:B299 B355:B359"/>
    <dataValidation allowBlank="1" showInputMessage="1" showErrorMessage="1" promptTitle="VERIFY COMPILATION" prompt="Verify redline/strikethrough is based on the latest compilation. See Hist.: at the bottom of each rule._x000a_" sqref="B400"/>
    <dataValidation allowBlank="1" showInputMessage="1" showErrorMessage="1" promptTitle="Project Assistant" prompt="Meeting mechanics tab" sqref="D109 D90 D105 D189 D169 D149 D129"/>
    <dataValidation type="date" allowBlank="1" showInputMessage="1" showErrorMessage="1" errorTitle="OUT OF DATE RANGE" error="Enter a date between _x000a_cell above &quot;Obtain managers approval of Notice Packet&quot; and 2 workdays before Secretary of State notice submittal." promptTitle="TASK START" prompt="DEFUALT         2 workdays before submitting notice to Secretary of State_x000a__x000a_OVERWRITE      Yes, to a date between cell above &quot;Obtain managers approval of Notice Packet&quot; and default. " sqref="G311">
      <formula1>S.MgrNoticeApproval</formula1>
      <formula2>WORKDAY(S.SubmitNoticeToSOS,-2,S.DDL_DEQClosed)</formula2>
    </dataValidation>
    <dataValidation type="date" allowBlank="1" showInputMessage="1" errorTitle="LOCKED" promptTitle="LOCKED" prompt="DEFAULT   Date entered under Overview of Key Dates banner for notice submittal to Secretary of State. " sqref="G315">
      <formula1>S.MgrNoticeApproval</formula1>
      <formula2>S.SubmitNoticeToSOS</formula2>
    </dataValidation>
    <dataValidation type="date" allowBlank="1" showInputMessage="1" showErrorMessage="1" promptTitle="LOCKED" prompt="DEFAULT   EQC Meeting date selected in cell G10" sqref="H394">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4">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90">
      <formula1>S.PublicNoticeInBulletin</formula1>
      <formula2>S.SubmitStaffRpt</formula2>
    </dataValidation>
    <dataValidation allowBlank="1" showInputMessage="1" showErrorMessage="1" promptTitle="ENTER NUMBER" prompt="Enter the number of loops." sqref="C389"/>
    <dataValidation type="date" allowBlank="1" showInputMessage="1" showErrorMessage="1" promptTitle="ENTER DATE" prompt="DEFAULT   30 days before submitting the SOS notice." sqref="G398">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3">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1 H345 H348 H354:H358">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4:G358 G361 G345 G348">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2:G373">
      <formula1>S.HearingFirst</formula1>
      <formula2>S.BANNER.HearingEnd</formula2>
    </dataValidation>
    <dataValidation allowBlank="1" showInputMessage="1" showErrorMessage="1" promptTitle="LOCKED: CANNOT CHANGE DATE HERE" prompt="Change the hearing dates under Public notice section." sqref="G364:H371"/>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3">
      <formula1>S.BANNER.HearingStart</formula1>
      <formula2>S.SubmitStaffRpt</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3 G324">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5">
      <formula1>S.BANNER.NoticeStart</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7"/>
    <dataValidation allowBlank="1" showInputMessage="1" showErrorMessage="1" promptTitle="ENTER CITY" prompt="Enter the city where this hearing will be held." sqref="D255:F262"/>
    <dataValidation allowBlank="1" showInputMessage="1" showErrorMessage="1" promptTitle="ENTER TIME" prompt="Enter the time of this hearing as hh:mm followed by a.m. or p.m._x000a__x000a__x000a_" sqref="H255:H262"/>
    <dataValidation type="date" allowBlank="1" showInputMessage="1" showErrorMessage="1" errorTitle="LOCKED" error="Change under notice section of OVerview of Key Dates" promptTitle="LOCKED" prompt="Change under notice section of Overview of Key Dates_x000a__x000a__x000a_" sqref="G238">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3">
      <formula1>#REF!</formula1>
      <formula2>S.BANNER.FeeEnd</formula2>
    </dataValidation>
    <dataValidation allowBlank="1" showInputMessage="1" showErrorMessage="1" promptTitle="DAS PROCESS IMPROVEMENTS" prompt="This information willl help us  gather data to support our requests for DAS process improvements." sqref="B242:B245"/>
    <dataValidation type="date" allowBlank="1" showInputMessage="1" showErrorMessage="1" errorTitle="OUT OF RANGE" error="The date must be between the Start Task date on the 1-Planning banner and the Close of Comment. " promptTitle="TASK START" prompt="DEFAULT            The Start Task date on the 1-Planning banner._x000a__x000a_OVERWRITE        Yes, to a date between the default and the Close of Comment date. " sqref="G252">
      <formula1>S.BANNER.PlanningStart</formula1>
      <formula2>S.CloseComment</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2">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0">
      <formula1>S.BANNER.FeeStart</formula1>
      <formula2>S.BANNER.FeeEnd</formula2>
    </dataValidation>
    <dataValidation type="date" allowBlank="1" showInputMessage="1" showErrorMessage="1" errorTitle="LOCKED" promptTitle="LOCKED" prompt="Entered under Overview of Key Dates" sqref="G212">
      <formula1>S.BANNER.PlanningStart</formula1>
      <formula2>S.SubmitFeeToDAS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4">
      <formula1>S.BANNER.FeeStart</formula1>
      <formula2>S.BANNER.FeeEnd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2 G101:G107 G87:G93 G95:G98 G204:G208 G191:G195 G189 G197:G200 G202 G184:G187 G171:G175 G169 G177:G180 G182 G164:G167 G151:G155 G149 G157:G160 G162 G144:G147 G131:G135 G129 G137:G140 G142 G124:G127 G111:G115 G109 G117:G120">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10 C94 C190 C170 C150 C130"/>
    <dataValidation allowBlank="1" showInputMessage="1" showErrorMessage="1" promptTitle="ENTER TIME" prompt="Enter the time of the advisory committee meeting as hh:mm followed by a.m. or p.m._x000a__x000a__x000a_" sqref="H188 H168 H148 H128 H108"/>
    <dataValidation allowBlank="1" showInputMessage="1" showErrorMessage="1" promptTitle="ENTER DATE" prompt="Enter the date of the advisory committee meeting as mm/dd/yy._x000a__x000a_" sqref="G108 G188 G168 G148 G128"/>
    <dataValidation allowBlank="1" showInputMessage="1" showErrorMessage="1" promptTitle="ENTER LOCATION" prompt="Enter location of advisory committee meeting." sqref="D108:F108 D188:F188 D168:F168 D148:F148 D128:F128"/>
    <dataValidation type="date" allowBlank="1" showInputMessage="1" showErrorMessage="1" promptTitle="ENTER DATE" prompt="Enter the date of this hearing as mm/dd/yy._x000a__x000a_" sqref="G256:G262">
      <formula1>S.FirstHearingDate</formula1>
      <formula2>S.CloseComment</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9">
      <formula1>S.BANNER.FeeStart</formula1>
      <formula2>S.SubmitFeeToDAS</formula2>
    </dataValidation>
    <dataValidation allowBlank="1" showInputMessage="1" showErrorMessage="1" errorTitle="LOCKED" error="Change under Overview of Key Dates" promptTitle="LOCKED" prompt="Change under Overview of Key Dates" sqref="H374"/>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7:G378 G381:G387">
      <formula1>S.PostNoticeToRegistry</formula1>
      <formula2>S.SubmitStaffRpt</formula2>
    </dataValidation>
    <dataValidation type="date" allowBlank="1" showInputMessage="1" showErrorMessage="1" errorTitle="INVALID DATE" error="Enter a date between the Start Task date on the 4-Public Notice banner and the notice submittal date to Secretary of State." promptTitle="TASK START" prompt="DEFUALT           Start Task date on 4-Public Notice banner_x000a__x000a_OVERWRITE      Yes, to a date between the default and submittal of notice to Secretary of State._x000a__x000a__x000a_" sqref="G263 G265:G270">
      <formula1>S.BANNER.NoticeStart</formula1>
      <formula2>S.SubmitNoticeToSOS</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72 G274:G277 G285 G287:G288">
      <formula1>S.BANNER.NoticeStart</formula1>
      <formula2>$G$301</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89"/>
    <dataValidation type="date" allowBlank="1" showInputMessage="1" showErrorMessage="1" errorTitle="DATE OUT OF RANGE" error="Enter a date between the Last Hearing date and Submit staff report._x000a__x000a_The Last Hearing is equal to the First Hearing unless set to a later date under 4-Notice section below." promptTitle="ENTER DATE" prompt="DEFAULT   3 workdays after First Hearing above. The Last Hearing date is equal to the First Hearing unless set to a later date under 4-Notice section below._x000a__x000a_OVERWRITE   Yes, to a date between the First Hearing above and Submit staff report below." sqref="H33">
      <formula1>S.LastHearingDate</formula1>
      <formula2>S.SubmitStaffRpt</formula2>
    </dataValidation>
    <dataValidation type="date" allowBlank="1" showInputMessage="1" showErrorMessage="1" errorTitle="LOCKED" error="Modify under Overview of Key Dates - cell H28" promptTitle="LOCKED" prompt="This is a key date. Modify under Overview of Key Dates - cell H28." sqref="H72 H79">
      <formula1>S.SubmitNoticeToEPA</formula1>
      <formula2>S.SubmitNoticeToEPA</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3">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3">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6">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7"/>
    <dataValidation allowBlank="1" showInputMessage="1" showErrorMessage="1" promptTitle="ADVISORY COMMITTEE CHARTER" prompt="The Considerations workbook helps the team  identify what is in- and out- of the advisory committee's scope." sqref="B93"/>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9">
      <formula1>S.BANNER.PlanningStart</formula1>
      <formula2>S.BANNER.EndPlanning</formula2>
    </dataValidation>
    <dataValidation type="date" allowBlank="1" showInputMessage="1" showErrorMessage="1" errorTitle="LOCKED" error="Modify under Overview of Key Dates - cell G19" promptTitle="LOCKED" prompt="This is a key date. Modify under Overview of Key Dates in cell G19." sqref="G72">
      <formula1>S.SIPStart</formula1>
      <formula2>S.SIPStart</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68:G71 G48:G51">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3:G78">
      <formula1>S.SIPStart</formula1>
      <formula2>S.SubmitNoticeToEPA</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5">
      <formula1>S.BANNER.PlanningStart</formula1>
      <formula2>S.PublicNoticeInBulletin</formula2>
    </dataValidation>
    <dataValidation type="date" allowBlank="1" showInputMessage="1" showErrorMessage="1" errorTitle="DATE OUT OF RANGE" error="Enter date that is at least on the 15th after Bulletin publication and on or before close of the public comment period. CHANGE Close of Public Comment." promptTitle="ENTER DATE" prompt="DEFAULT   The first workday on or after 15th of  month following Bulletin publication_x000a__x000a_OVERWRITE  Yes to a date between the default and the close of public comment." sqref="H32">
      <formula1>WORKDAY(S.PublicNoticeInBulletin+13,1,S.DDL_EQCMeeting)</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1">
      <formula1>S.BANNER.PlanningStart</formula1>
      <formula2>S.BANNER.PlanningEnd</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30">
      <formula1>S.DDL_Bulletin</formula1>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1">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9">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0">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8">
      <formula1>S.EQCMeeting</formula1>
      <formula2>S.BANNER.OverviewEnd</formula2>
    </dataValidation>
    <dataValidation type="date" allowBlank="1" showInputMessage="1" showErrorMessage="1" errorTitle="LOCKED" error="Change the Start Task Date on the Overview of Key Dates banner" promptTitle="LOCKED" prompt="This is the Start Task Date on the Overview of Key Dates banner" sqref="G45">
      <formula1>S.BANNER.OverviewStart</formula1>
      <formula2>S.BANNER.OverviewStart</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14:H15 H13">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H29">
      <formula1>S.BANNER.OverviewStart</formula1>
      <formula2>VLOOKUP(S.PublicNoticeInBulletin,VL_Bulletin,2,FALSE)</formula2>
    </dataValidation>
    <dataValidation operator="equal" allowBlank="1" showInputMessage="1" showErrorMessage="1" promptTitle="ADJUST L8" prompt="_x000a_ENTER        A positive or negative whole number to adjust the date in L8._x000a__x000a_DEFAULT     Today" sqref="AAF3"/>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s>
  <hyperlinks>
    <hyperlink ref="C275" r:id="rId1"/>
    <hyperlink ref="C287" r:id="rId2"/>
    <hyperlink ref="C126" r:id="rId3"/>
    <hyperlink ref="C71" r:id="rId4"/>
    <hyperlink ref="C95" r:id="rId5"/>
    <hyperlink ref="C347" r:id="rId6"/>
    <hyperlink ref="C54" r:id="rId7"/>
    <hyperlink ref="C58" r:id="rId8"/>
    <hyperlink ref="C327" r:id="rId9"/>
    <hyperlink ref="C325" r:id="rId10"/>
    <hyperlink ref="C88" r:id="rId11"/>
    <hyperlink ref="C89" r:id="rId12" display=" i"/>
    <hyperlink ref="C400" r:id="rId13"/>
    <hyperlink ref="C105" r:id="rId14"/>
    <hyperlink ref="C456" r:id="rId15"/>
    <hyperlink ref="C315" r:id="rId16"/>
    <hyperlink ref="C35" r:id="rId17"/>
    <hyperlink ref="C351" r:id="rId18"/>
    <hyperlink ref="C90" r:id="rId19"/>
    <hyperlink ref="C36" r:id="rId20"/>
    <hyperlink ref="C85" r:id="rId21"/>
    <hyperlink ref="C47" r:id="rId22"/>
    <hyperlink ref="C86" r:id="rId23"/>
    <hyperlink ref="C103" r:id="rId24"/>
    <hyperlink ref="C111" r:id="rId25"/>
    <hyperlink ref="C146" r:id="rId26"/>
    <hyperlink ref="C131" r:id="rId27"/>
    <hyperlink ref="C151" r:id="rId28"/>
    <hyperlink ref="C166" r:id="rId29"/>
    <hyperlink ref="C171" r:id="rId30"/>
    <hyperlink ref="C186" r:id="rId31"/>
    <hyperlink ref="C191" r:id="rId32"/>
    <hyperlink ref="C206" r:id="rId33"/>
    <hyperlink ref="C197" r:id="rId34"/>
    <hyperlink ref="C177" r:id="rId35"/>
    <hyperlink ref="C157" r:id="rId36"/>
    <hyperlink ref="C137" r:id="rId37"/>
    <hyperlink ref="C117" r:id="rId38"/>
  </hyperlinks>
  <pageMargins left="0.25" right="0.25" top="0.36" bottom="0.36" header="0.3" footer="0.3"/>
  <pageSetup orientation="portrait" horizontalDpi="4294967293" r:id="rId39"/>
  <rowBreaks count="8" manualBreakCount="8">
    <brk id="42" min="1" max="7" man="1"/>
    <brk id="80" min="1" max="7" man="1"/>
    <brk id="127" min="1" max="7" man="1"/>
    <brk id="167" min="1" max="7" man="1"/>
    <brk id="209" min="1" max="7" man="1"/>
    <brk id="249" min="1" max="7" man="1"/>
    <brk id="340" min="1" max="7" man="1"/>
    <brk id="438" min="1" max="7" man="1"/>
  </rowBreaks>
  <ignoredErrors>
    <ignoredError sqref="G91:H93 G122:H122 G220:H220 G234:H235 G248 G214:H214 G345:H345 G348:H348 G354:H358 G361:H361 G390 G396:H396 G416:H416 G407:H407 G422:H424 H239:H240 G226:H230 G240 H444 G456:H459 G461:H461 G470:H470 H441 G324:H324 G333:H333 H312 G394 H462 H429:H431 G428 G430:G431 G433:H434 G95:H98 G109:H109 G125:H127 G106:H107 G111:H115 G119:H120 G117:H117 G372:H373 H215 G453:H454 G243:G245 H377:H378 H265:H270 G425 G101:H104 G86:H86" unlockedFormula="1"/>
  </ignoredErrors>
  <drawing r:id="rId40"/>
  <legacyDrawing r:id="rId4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7" sqref="E7"/>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5"/>
      <c r="B1" s="557"/>
      <c r="C1" s="105"/>
      <c r="D1" s="38" t="s">
        <v>139</v>
      </c>
      <c r="E1" s="38" t="s">
        <v>142</v>
      </c>
      <c r="F1" s="38" t="s">
        <v>128</v>
      </c>
      <c r="G1" s="330" t="s">
        <v>256</v>
      </c>
    </row>
    <row r="2" spans="1:7" s="23" customFormat="1" ht="25.5" customHeight="1">
      <c r="A2" s="105"/>
      <c r="B2" s="792" t="s">
        <v>140</v>
      </c>
      <c r="C2" s="792"/>
      <c r="D2" s="105"/>
      <c r="E2" s="105"/>
      <c r="F2" s="105"/>
      <c r="G2" s="105"/>
    </row>
    <row r="3" spans="1:7" s="23" customFormat="1">
      <c r="A3" s="105"/>
      <c r="B3" s="557" t="s">
        <v>27</v>
      </c>
      <c r="C3" s="105" t="s">
        <v>144</v>
      </c>
      <c r="D3" s="559" t="s">
        <v>80</v>
      </c>
      <c r="E3" s="560" t="s">
        <v>304</v>
      </c>
      <c r="F3" s="560" t="s">
        <v>302</v>
      </c>
      <c r="G3" s="105"/>
    </row>
    <row r="4" spans="1:7" s="23" customFormat="1">
      <c r="A4" s="105"/>
      <c r="B4" s="557" t="s">
        <v>20</v>
      </c>
      <c r="C4" s="105" t="s">
        <v>289</v>
      </c>
      <c r="D4" s="561" t="s">
        <v>129</v>
      </c>
      <c r="E4" s="560" t="s">
        <v>303</v>
      </c>
      <c r="F4" s="667" t="s">
        <v>143</v>
      </c>
      <c r="G4" s="105"/>
    </row>
    <row r="5" spans="1:7" s="23" customFormat="1">
      <c r="A5" s="105"/>
      <c r="B5" s="557" t="s">
        <v>26</v>
      </c>
      <c r="C5" s="105"/>
      <c r="D5" s="556" t="s">
        <v>288</v>
      </c>
      <c r="E5" s="560" t="s">
        <v>305</v>
      </c>
      <c r="F5" s="667" t="s">
        <v>143</v>
      </c>
      <c r="G5" s="105"/>
    </row>
    <row r="6" spans="1:7" s="23" customFormat="1">
      <c r="A6" s="105"/>
      <c r="B6" s="557" t="s">
        <v>286</v>
      </c>
      <c r="C6" s="105" t="s">
        <v>287</v>
      </c>
      <c r="D6" s="556" t="s">
        <v>288</v>
      </c>
      <c r="E6" s="563" t="s">
        <v>306</v>
      </c>
      <c r="F6" s="667" t="s">
        <v>143</v>
      </c>
      <c r="G6" s="105"/>
    </row>
    <row r="7" spans="1:7" s="23" customFormat="1">
      <c r="A7" s="105"/>
      <c r="B7" s="557"/>
      <c r="C7" s="105"/>
      <c r="D7" s="554"/>
      <c r="E7" s="563"/>
      <c r="F7" s="562"/>
      <c r="G7" s="105"/>
    </row>
    <row r="8" spans="1:7" s="23" customFormat="1">
      <c r="A8" s="105"/>
      <c r="B8" s="557"/>
      <c r="C8" s="105"/>
      <c r="D8" s="554"/>
      <c r="E8" s="563"/>
      <c r="F8" s="562"/>
      <c r="G8" s="105"/>
    </row>
    <row r="9" spans="1:7" ht="18">
      <c r="A9" s="105"/>
      <c r="B9" s="792" t="s">
        <v>141</v>
      </c>
      <c r="C9" s="792"/>
      <c r="D9" s="567" t="s">
        <v>145</v>
      </c>
      <c r="E9" s="568" t="s">
        <v>146</v>
      </c>
      <c r="F9" s="105"/>
      <c r="G9" s="105"/>
    </row>
    <row r="10" spans="1:7">
      <c r="A10" s="105"/>
      <c r="B10" s="557"/>
      <c r="C10" s="558"/>
      <c r="D10" s="569" t="s">
        <v>133</v>
      </c>
      <c r="E10" s="560" t="s">
        <v>292</v>
      </c>
      <c r="F10" s="105" t="s">
        <v>293</v>
      </c>
      <c r="G10" s="105"/>
    </row>
    <row r="11" spans="1:7">
      <c r="A11" s="105"/>
      <c r="B11" s="557"/>
      <c r="C11" s="558"/>
      <c r="D11" s="569" t="s">
        <v>133</v>
      </c>
      <c r="E11" s="560" t="s">
        <v>295</v>
      </c>
      <c r="F11" s="105" t="s">
        <v>294</v>
      </c>
      <c r="G11" s="105"/>
    </row>
    <row r="12" spans="1:7" s="23" customFormat="1">
      <c r="A12" s="105"/>
      <c r="B12" s="557"/>
      <c r="C12" s="105"/>
      <c r="D12" s="566" t="s">
        <v>115</v>
      </c>
      <c r="E12" s="560" t="s">
        <v>134</v>
      </c>
      <c r="F12" s="105" t="s">
        <v>290</v>
      </c>
      <c r="G12" s="105"/>
    </row>
    <row r="13" spans="1:7" s="23" customFormat="1">
      <c r="A13" s="105"/>
      <c r="B13" s="557"/>
      <c r="C13" s="105"/>
      <c r="D13" s="565" t="s">
        <v>143</v>
      </c>
      <c r="E13" s="560" t="s">
        <v>132</v>
      </c>
      <c r="F13" s="105" t="s">
        <v>291</v>
      </c>
      <c r="G13" s="105"/>
    </row>
    <row r="14" spans="1:7" ht="18">
      <c r="A14" s="105"/>
      <c r="B14" s="792" t="s">
        <v>211</v>
      </c>
      <c r="C14" s="792"/>
      <c r="D14" s="105"/>
      <c r="E14" s="105"/>
      <c r="F14" s="105"/>
      <c r="G14" s="105"/>
    </row>
    <row r="15" spans="1:7">
      <c r="A15" s="105"/>
      <c r="B15" s="557"/>
      <c r="C15" s="105" t="s">
        <v>257</v>
      </c>
      <c r="D15" s="564" t="s">
        <v>64</v>
      </c>
      <c r="E15" s="560" t="s">
        <v>210</v>
      </c>
      <c r="F15" s="105" t="s">
        <v>213</v>
      </c>
      <c r="G15" s="105"/>
    </row>
    <row r="16" spans="1:7">
      <c r="A16" s="105"/>
      <c r="B16" s="557"/>
      <c r="C16" s="105"/>
      <c r="D16" s="25" t="s">
        <v>63</v>
      </c>
      <c r="E16" s="563" t="s">
        <v>212</v>
      </c>
      <c r="F16" s="105" t="s">
        <v>213</v>
      </c>
      <c r="G16" s="105"/>
    </row>
    <row r="17" spans="1:7">
      <c r="A17" s="105"/>
      <c r="B17" s="557"/>
      <c r="C17" s="105"/>
      <c r="D17" s="24" t="s">
        <v>62</v>
      </c>
      <c r="E17" s="563" t="s">
        <v>214</v>
      </c>
      <c r="F17" s="105" t="s">
        <v>213</v>
      </c>
      <c r="G17" s="105"/>
    </row>
    <row r="18" spans="1:7">
      <c r="A18" s="105"/>
      <c r="B18" s="557"/>
      <c r="C18" s="105"/>
      <c r="D18" s="105"/>
      <c r="E18" s="105"/>
      <c r="F18" s="105"/>
      <c r="G18" s="105"/>
    </row>
    <row r="19" spans="1:7">
      <c r="A19" s="105"/>
      <c r="B19" s="557"/>
      <c r="C19" s="105"/>
      <c r="D19" s="105"/>
      <c r="E19" s="105"/>
      <c r="F19" s="105"/>
      <c r="G19" s="105"/>
    </row>
    <row r="20" spans="1:7">
      <c r="A20" s="105"/>
      <c r="B20" s="557"/>
      <c r="C20" s="105"/>
      <c r="D20" s="105"/>
      <c r="E20" s="105"/>
      <c r="F20" s="105"/>
      <c r="G20" s="105"/>
    </row>
    <row r="21" spans="1:7">
      <c r="A21" s="105"/>
      <c r="B21" s="557"/>
      <c r="C21" s="105"/>
      <c r="D21" s="105"/>
      <c r="E21" s="105" t="s">
        <v>258</v>
      </c>
      <c r="F21" s="105" t="s">
        <v>0</v>
      </c>
      <c r="G21" s="105"/>
    </row>
    <row r="22" spans="1:7">
      <c r="A22" s="105"/>
      <c r="B22" s="557"/>
      <c r="C22" s="105"/>
      <c r="D22" s="105"/>
      <c r="E22" s="105" t="s">
        <v>259</v>
      </c>
      <c r="F22" s="105" t="s">
        <v>0</v>
      </c>
      <c r="G22" s="105"/>
    </row>
    <row r="23" spans="1:7">
      <c r="A23" s="105"/>
      <c r="B23" s="557"/>
      <c r="C23" s="105"/>
      <c r="D23" s="105"/>
      <c r="E23" s="105"/>
      <c r="F23" s="105"/>
      <c r="G23" s="105"/>
    </row>
    <row r="24" spans="1:7">
      <c r="A24" s="105"/>
      <c r="B24" s="557"/>
      <c r="C24" s="105"/>
      <c r="D24" s="105"/>
      <c r="E24" s="105"/>
      <c r="F24" s="105"/>
      <c r="G24" s="105"/>
    </row>
    <row r="25" spans="1:7">
      <c r="A25" s="105"/>
      <c r="B25" s="557"/>
      <c r="C25" s="105"/>
      <c r="D25" s="105"/>
      <c r="E25" s="105"/>
      <c r="F25" s="105"/>
      <c r="G25" s="105"/>
    </row>
    <row r="26" spans="1:7">
      <c r="A26" s="105"/>
      <c r="B26" s="557"/>
      <c r="C26" s="105"/>
      <c r="D26" s="105"/>
      <c r="E26" s="105"/>
      <c r="F26" s="105"/>
      <c r="G26" s="105"/>
    </row>
    <row r="27" spans="1:7">
      <c r="A27" s="105"/>
      <c r="B27" s="557"/>
      <c r="C27" s="105"/>
      <c r="D27" s="105"/>
      <c r="E27" s="105"/>
      <c r="F27" s="105"/>
      <c r="G27" s="105"/>
    </row>
    <row r="28" spans="1:7">
      <c r="A28" s="105"/>
      <c r="B28" s="557"/>
      <c r="C28" s="105"/>
      <c r="D28" s="105"/>
      <c r="E28" s="105"/>
      <c r="F28" s="105"/>
      <c r="G28" s="105"/>
    </row>
    <row r="29" spans="1:7">
      <c r="D29" s="105"/>
      <c r="E29" s="105"/>
      <c r="F29" s="105"/>
      <c r="G29" s="105"/>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Supporting Document</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C8F340BF595B47BFCA96D560AED0C2" ma:contentTypeVersion="" ma:contentTypeDescription="Create a new document." ma:contentTypeScope="" ma:versionID="bd9b1a5ef3959a5586e144f636810f69">
  <xsd:schema xmlns:xsd="http://www.w3.org/2001/XMLSchema" xmlns:xs="http://www.w3.org/2001/XMLSchema" xmlns:p="http://schemas.microsoft.com/office/2006/metadata/properties" xmlns:ns2="$ListId:docs;" targetNamespace="http://schemas.microsoft.com/office/2006/metadata/properties" ma:root="true" ma:fieldsID="57c8f91f9b72b987bc697b1abe536703"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file>

<file path=customXml/itemProps2.xml><?xml version="1.0" encoding="utf-8"?>
<ds:datastoreItem xmlns:ds="http://schemas.openxmlformats.org/officeDocument/2006/customXml" ds:itemID="{77C33C1E-8DEB-4FB9-85EE-E1D6884B1580}"/>
</file>

<file path=customXml/itemProps3.xml><?xml version="1.0" encoding="utf-8"?>
<ds:datastoreItem xmlns:ds="http://schemas.openxmlformats.org/officeDocument/2006/customXml" ds:itemID="{A263DAD0-2B8A-4897-A4FA-F1995F6DBA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ACurtis</cp:lastModifiedBy>
  <cp:lastPrinted>2013-03-08T20:27:01Z</cp:lastPrinted>
  <dcterms:created xsi:type="dcterms:W3CDTF">2012-04-11T21:44:01Z</dcterms:created>
  <dcterms:modified xsi:type="dcterms:W3CDTF">2014-01-13T20:40:55Z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0x01010012C8F340BF595B47BFCA96D560AED0C2</vt:lpwstr>
  </property>
</Properties>
</file>