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aveExternalLinkValues="0" codeName="ThisWorkbook"/>
  <mc:AlternateContent xmlns:mc="http://schemas.openxmlformats.org/markup-compatibility/2006">
    <mc:Choice Requires="x15">
      <x15ac:absPath xmlns:x15ac="http://schemas.microsoft.com/office/spreadsheetml/2010/11/ac" url="http://deqsps/programs/rulemaking/aq/ppu/docs/1-Planning/"/>
    </mc:Choice>
  </mc:AlternateContent>
  <bookViews>
    <workbookView xWindow="0" yWindow="0" windowWidth="15600" windowHeight="11760" tabRatio="488"/>
  </bookViews>
  <sheets>
    <sheet name="AQPerm.ScheduleOfTasks" sheetId="94" r:id="rId1"/>
    <sheet name="ConditionalFormat" sheetId="93" r:id="rId2"/>
    <sheet name="WQTrade.Calendar" sheetId="102" state="hidden" r:id="rId3"/>
    <sheet name="GetStarted" sheetId="96" r:id="rId4"/>
    <sheet name="HearingAndAdDates" sheetId="99" r:id="rId5"/>
    <sheet name="DDLs" sheetId="84" r:id="rId6"/>
    <sheet name="ActivitySequence" sheetId="103" r:id="rId7"/>
  </sheets>
  <definedNames>
    <definedName name="_xlnm.Print_Area" localSheetId="0">AQPerm.ScheduleOfTasks!$B$1:$H$910</definedName>
    <definedName name="_xlnm.Print_Area" localSheetId="2">WQTrade.Calendar!$A$1:$BI$56</definedName>
    <definedName name="S.AC.BANNER.Begin">AQPerm.ScheduleOfTasks!$G$12</definedName>
    <definedName name="S.AC.BANNER.End">AQPerm.ScheduleOfTasks!$H$12</definedName>
    <definedName name="S.AC.Charter">AQPerm.ScheduleOfTasks!$C$319</definedName>
    <definedName name="S.AC.CommitteeInvolved">AQPerm.ScheduleOfTasks!$C$12</definedName>
    <definedName name="S.AC.DateMeeting1">AQPerm.ScheduleOfTasks!$G$332</definedName>
    <definedName name="S.AC.DateMeeting2">AQPerm.ScheduleOfTasks!$G$357</definedName>
    <definedName name="S.AC.DateMeeting3">AQPerm.ScheduleOfTasks!$G$380</definedName>
    <definedName name="S.AC.DateMeeting4">AQPerm.ScheduleOfTasks!$G$403</definedName>
    <definedName name="S.AC.DateMeeting5">AQPerm.ScheduleOfTasks!$G$426</definedName>
    <definedName name="S.AC.InvolveMeeting1">AQPerm.ScheduleOfTasks!$C$332</definedName>
    <definedName name="S.AC.InvolveMeeting2">AQPerm.ScheduleOfTasks!$C$357</definedName>
    <definedName name="S.AC.InvolveMeeting3">AQPerm.ScheduleOfTasks!$C$380</definedName>
    <definedName name="S.AC.InvolveMeeting4">AQPerm.ScheduleOfTasks!$C$403</definedName>
    <definedName name="S.AC.InvolveMeeting5">AQPerm.ScheduleOfTasks!$C$426</definedName>
    <definedName name="S.AC.Presentation1">AQPerm.ScheduleOfTasks!$C$346</definedName>
    <definedName name="S.AC.Presentation2">AQPerm.ScheduleOfTasks!$C$368</definedName>
    <definedName name="S.AC.Presentation3">AQPerm.ScheduleOfTasks!$C$391</definedName>
    <definedName name="S.AC.Presentation4">AQPerm.ScheduleOfTasks!$C$414</definedName>
    <definedName name="S.AC.Presentation5">AQPerm.ScheduleOfTasks!$C$437</definedName>
    <definedName name="S.AC.SendInvitation">AQPerm.ScheduleOfTasks!$H$330</definedName>
    <definedName name="S.AC.WebPage">AQPerm.ScheduleOfTasks!$C$318</definedName>
    <definedName name="S.Comment.ApproveResponseLoop2">AQPerm.ScheduleOfTasks!$C$740</definedName>
    <definedName name="S.Comment.ApproveResponseLoop3">AQPerm.ScheduleOfTasks!$C$741</definedName>
    <definedName name="S.Comment.ApproveResponseLoop4">AQPerm.ScheduleOfTasks!$C$742</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AQPerm.ScheduleOfTasks!$AG$749</definedName>
    <definedName name="S.DIRECTOR.Approves.ForDEQRulemakingPlan">AQPerm.ScheduleOfTasks!$AH$6</definedName>
    <definedName name="S.EndOfRulemaking">AQPerm.ScheduleOfTasks!$H$908</definedName>
    <definedName name="S.EQC.1on1Briefing">AQPerm.ScheduleOfTasks!$C$816</definedName>
    <definedName name="S.EQC.ApprovePacketLoop1">AQPerm.ScheduleOfTasks!$C$799</definedName>
    <definedName name="S.EQC.ApprovePacketLoop2">AQPerm.ScheduleOfTasks!$C$803</definedName>
    <definedName name="S.EQC.ApprovePacketLoop3">AQPerm.ScheduleOfTasks!$C$807</definedName>
    <definedName name="S.EQC.ApprovePacketLoop4">AQPerm.ScheduleOfTasks!$C$823</definedName>
    <definedName name="S.EQC.ApprovePresentationLoop2">AQPerm.ScheduleOfTasks!$C$695</definedName>
    <definedName name="S.EQC.ApprovePresentationLoop3">AQPerm.ScheduleOfTasks!$C$696</definedName>
    <definedName name="S.EQC.ApprovePresentationLoop4">AQPerm.ScheduleOfTasks!$C$697</definedName>
    <definedName name="S.EQC.BANNER.Begin">AQPerm.ScheduleOfTasks!$G$34</definedName>
    <definedName name="S.EQC.BANNER.End">AQPerm.ScheduleOfTasks!$H$34</definedName>
    <definedName name="S.EQC.DirectorsReport1">AQPerm.ScheduleOfTasks!$G$37</definedName>
    <definedName name="S.EQC.DirectorsReport2">AQPerm.ScheduleOfTasks!$H$37</definedName>
    <definedName name="S.EQC.DirReport">AQPerm.ScheduleOfTasks!$C$37</definedName>
    <definedName name="S.EQC.FacHearing">AQPerm.ScheduleOfTasks!$C$39</definedName>
    <definedName name="S.EQC.FacHearing1">AQPerm.ScheduleOfTasks!$G$39</definedName>
    <definedName name="S.EQC.FacHearing2">AQPerm.ScheduleOfTasks!$H$39</definedName>
    <definedName name="S.EQC.FacHearingDates">AQPerm.ScheduleOfTasks!$G$219:$G$226</definedName>
    <definedName name="S.EQC.InfoItem">AQPerm.ScheduleOfTasks!$C$38</definedName>
    <definedName name="S.EQC.InfoItem1">AQPerm.ScheduleOfTasks!$G$38</definedName>
    <definedName name="S.EQC.InfoItem2">AQPerm.ScheduleOfTasks!$H$38</definedName>
    <definedName name="S.EQC.Meeting">AQPerm.ScheduleOfTasks!$H$42</definedName>
    <definedName name="S.EQC.MeetingNEXT">AQPerm.ScheduleOfTasks!$AH$5</definedName>
    <definedName name="S.EQC.PacketBeginReview">AQPerm.ScheduleOfTasks!$G$799</definedName>
    <definedName name="S.EQC.PacketEndReview">AQPerm.ScheduleOfTasks!$H$826</definedName>
    <definedName name="S.EQC.SubmitStaffRpt">AQPerm.ScheduleOfTasks!$H$41</definedName>
    <definedName name="S.Fee.ApproveDASdenialResponseLoop1">AQPerm.ScheduleOfTasks!$C$479</definedName>
    <definedName name="S.Fee.ApproveDASdenialResponseLoop2">AQPerm.ScheduleOfTasks!$C$480</definedName>
    <definedName name="S.Fee.ApproveDASdenialResponseLoop4">AQPerm.ScheduleOfTasks!$C$481</definedName>
    <definedName name="S.Fee.ApprovePacketLoop2">AQPerm.ScheduleOfTasks!$C$468</definedName>
    <definedName name="S.Fee.ApprovePacketLoop3">AQPerm.ScheduleOfTasks!$C$469</definedName>
    <definedName name="S.Fee.ApprovePacketLoop4">AQPerm.ScheduleOfTasks!$C$470</definedName>
    <definedName name="S.Fee.BANNER.Begin">AQPerm.ScheduleOfTasks!$G$14</definedName>
    <definedName name="S.Fee.BANNER.End">AQPerm.ScheduleOfTasks!$H$14</definedName>
    <definedName name="S.Fee.DASApprovalRequired">AQPerm.ScheduleOfTasks!$C$15</definedName>
    <definedName name="S.Fee.Involved">AQPerm.ScheduleOfTasks!$C$14</definedName>
    <definedName name="S.Fee.SubmitToDAS">AQPerm.ScheduleOfTasks!$H$16</definedName>
    <definedName name="S.General.CodeName">GetStarted!$C$2</definedName>
    <definedName name="S.General.Complexity">AQPerm.ScheduleOfTasks!$C$10</definedName>
    <definedName name="S.General.DaysRecommended">AQPerm.ScheduleOfTasks!$I$44</definedName>
    <definedName name="S.General.LastCellSchedule">AQPerm.ScheduleOfTasks!$H$910</definedName>
    <definedName name="S.General.RulemakingTitle">GetStarted!$B$2</definedName>
    <definedName name="S.General.RuleType">AQPerm.ScheduleOfTasks!$C$8</definedName>
    <definedName name="S.Hearing.1stCity">AQPerm.ScheduleOfTasks!$B$219</definedName>
    <definedName name="S.Hearing.1stDate">AQPerm.ScheduleOfTasks!$H$31</definedName>
    <definedName name="S.Hearing.1stInvolve">AQPerm.ScheduleOfTasks!$C$31</definedName>
    <definedName name="S.Hearing.1stTime">AQPerm.ScheduleOfTasks!$H$219</definedName>
    <definedName name="S.Hearing.2ndCity">AQPerm.ScheduleOfTasks!$B$220</definedName>
    <definedName name="S.Hearing.2ndDate">AQPerm.ScheduleOfTasks!$G$220</definedName>
    <definedName name="S.Hearing.2ndInvolve">AQPerm.ScheduleOfTasks!$C$220</definedName>
    <definedName name="S.Hearing.2ndTime">AQPerm.ScheduleOfTasks!$H$220</definedName>
    <definedName name="S.Hearing.3rdCity">AQPerm.ScheduleOfTasks!$B$221</definedName>
    <definedName name="S.Hearing.3rdDate">AQPerm.ScheduleOfTasks!$G$221</definedName>
    <definedName name="S.Hearing.3rdInvolve">AQPerm.ScheduleOfTasks!$C$221</definedName>
    <definedName name="S.Hearing.3rdTime">AQPerm.ScheduleOfTasks!$H$221</definedName>
    <definedName name="S.Hearing.4thCity">AQPerm.ScheduleOfTasks!$B$222</definedName>
    <definedName name="S.Hearing.4thDate">AQPerm.ScheduleOfTasks!$G$222</definedName>
    <definedName name="S.Hearing.4thInvolve">AQPerm.ScheduleOfTasks!$C$222</definedName>
    <definedName name="S.Hearing.4thTime">AQPerm.ScheduleOfTasks!$H$222</definedName>
    <definedName name="S.Hearing.5thCity">AQPerm.ScheduleOfTasks!$B$223</definedName>
    <definedName name="S.Hearing.5thDate">AQPerm.ScheduleOfTasks!$G$223</definedName>
    <definedName name="S.Hearing.5thInvolve">AQPerm.ScheduleOfTasks!$C$223</definedName>
    <definedName name="S.Hearing.5thTime">AQPerm.ScheduleOfTasks!$H$223</definedName>
    <definedName name="S.Hearing.6thCity">AQPerm.ScheduleOfTasks!$B$224</definedName>
    <definedName name="S.Hearing.6thDate">AQPerm.ScheduleOfTasks!$G$224</definedName>
    <definedName name="S.Hearing.6thInvolve">AQPerm.ScheduleOfTasks!$C$224</definedName>
    <definedName name="S.Hearing.6thTime">AQPerm.ScheduleOfTasks!$H$224</definedName>
    <definedName name="S.Hearing.7thCity">AQPerm.ScheduleOfTasks!$B$225</definedName>
    <definedName name="S.Hearing.7thDate">AQPerm.ScheduleOfTasks!$G$225</definedName>
    <definedName name="S.Hearing.7thInvolve">AQPerm.ScheduleOfTasks!$C$225</definedName>
    <definedName name="S.Hearing.7thTime">AQPerm.ScheduleOfTasks!$H$225</definedName>
    <definedName name="S.Hearing.8thCity">AQPerm.ScheduleOfTasks!$B$226</definedName>
    <definedName name="S.Hearing.8thDate">AQPerm.ScheduleOfTasks!$G$226</definedName>
    <definedName name="S.Hearing.8thTime">AQPerm.ScheduleOfTasks!$H$226</definedName>
    <definedName name="S.Hearing.8thtInvolve">AQPerm.ScheduleOfTasks!$C$226</definedName>
    <definedName name="S.Hearing.BANNER.Begin">AQPerm.ScheduleOfTasks!$G$29</definedName>
    <definedName name="S.Hearing.BANNER.End">AQPerm.ScheduleOfTasks!$H$682</definedName>
    <definedName name="S.HearingsOfficers">HearingAndAdDates!$E$4</definedName>
    <definedName name="S.Link.RuleDevelopment">GetStarted!#REF!</definedName>
    <definedName name="S.LinkSharePoint">GetStarted!#REF!</definedName>
    <definedName name="S.Newspapers">DDLs!$B$194:$B$202</definedName>
    <definedName name="S.Notice.AD.Involved">AQPerm.ScheduleOfTasks!$C$194</definedName>
    <definedName name="S.Notice.AD.PubDate1">AQPerm.ScheduleOfTasks!$H$237</definedName>
    <definedName name="S.Notice.AD.PubDate2">AQPerm.ScheduleOfTasks!$H$238</definedName>
    <definedName name="S.Notice.AD.PubDate3">AQPerm.ScheduleOfTasks!$H$239</definedName>
    <definedName name="S.Notice.AD.PubDate4">AQPerm.ScheduleOfTasks!$H$240</definedName>
    <definedName name="S.Notice.AD.PubDate5">AQPerm.ScheduleOfTasks!$H$241</definedName>
    <definedName name="S.Notice.AD.PubDate6">AQPerm.ScheduleOfTasks!$H$242</definedName>
    <definedName name="S.Notice.AD.PubDate7">AQPerm.ScheduleOfTasks!$H$243</definedName>
    <definedName name="S.Notice.AD.PubDate8">AQPerm.ScheduleOfTasks!$H$244</definedName>
    <definedName name="S.Notice.AD.PubID1">AQPerm.ScheduleOfTasks!$B$237</definedName>
    <definedName name="S.Notice.AD.PubID2">AQPerm.ScheduleOfTasks!$B$238</definedName>
    <definedName name="S.Notice.AD.PubID3">AQPerm.ScheduleOfTasks!$B$239</definedName>
    <definedName name="S.Notice.AD.PubID4">AQPerm.ScheduleOfTasks!$B$240</definedName>
    <definedName name="S.Notice.AD.PubID5">AQPerm.ScheduleOfTasks!$B$241</definedName>
    <definedName name="S.Notice.AD.PubID6">AQPerm.ScheduleOfTasks!$B$242</definedName>
    <definedName name="S.Notice.AD.PubID7">AQPerm.ScheduleOfTasks!$B$243</definedName>
    <definedName name="S.Notice.AD.PubID8">AQPerm.ScheduleOfTasks!$B$244</definedName>
    <definedName name="S.Notice.AD.ToContractServices">AQPerm.ScheduleOfTasks!$H$249</definedName>
    <definedName name="S.Notice.ADABriefing">AQPerm.ScheduleOfTasks!$H$624</definedName>
    <definedName name="S.Notice.ApprovePacketLoop2">AQPerm.ScheduleOfTasks!#REF!</definedName>
    <definedName name="S.Notice.ApprovePacketLoop3">AQPerm.ScheduleOfTasks!#REF!</definedName>
    <definedName name="S.Notice.ApprovePacketLoop4">AQPerm.ScheduleOfTasks!#REF!</definedName>
    <definedName name="S.Notice.BANNER.Begin">AQPerm.ScheduleOfTasks!$G$22</definedName>
    <definedName name="S.Notice.BANNER.End">AQPerm.ScheduleOfTasks!$H$22</definedName>
    <definedName name="S.Notice.CloseComment">AQPerm.ScheduleOfTasks!$H$32</definedName>
    <definedName name="S.Notice.CustomReviewLoop1">AQPerm.ScheduleOfTasks!$C$550</definedName>
    <definedName name="S.Notice.CustomReviewLoop2">AQPerm.ScheduleOfTasks!$C$554</definedName>
    <definedName name="S.Notice.CustomReviewLoop3">AQPerm.ScheduleOfTasks!$C$558</definedName>
    <definedName name="S.Notice.DASNotification">AQPerm.ScheduleOfTasks!$G$653</definedName>
    <definedName name="S.Notice.EndInvolveResources">AQPerm.ScheduleOfTasks!#REF!</definedName>
    <definedName name="S.Notice.EPA.180days">AQPerm.ScheduleOfTasks!$H$19</definedName>
    <definedName name="S.Notice.HearingInvolved">AQPerm.ScheduleOfTasks!$C$29</definedName>
    <definedName name="S.Notice.InformationMeeting">AQPerm.ScheduleOfTasks!$C$197</definedName>
    <definedName name="S.Notice.InOregonBulletin">AQPerm.ScheduleOfTasks!$H$27</definedName>
    <definedName name="S.Notice.Involved">AQPerm.ScheduleOfTasks!$C$22</definedName>
    <definedName name="S.Notice.LA.BriefingMeeting">AQPerm.ScheduleOfTasks!#REF!</definedName>
    <definedName name="S.Notice.LastHearingDate">AQPerm.ScheduleOfTasks!$G$227</definedName>
    <definedName name="S.Notice.MgrNoticeApproval">AQPerm.ScheduleOfTasks!$H$639</definedName>
    <definedName name="S.Notice.NewsRelease">AQPerm.ScheduleOfTasks!$C$195</definedName>
    <definedName name="S.Notice.OK.ToPublish">AQPerm.ScheduleOfTasks!$H$645</definedName>
    <definedName name="S.Notice.OpenComment">AQPerm.ScheduleOfTasks!$H$30</definedName>
    <definedName name="S.Notice.PreviewBegin">AQPerm.ScheduleOfTasks!$G$627</definedName>
    <definedName name="S.Notice.PreviewEnd">AQPerm.ScheduleOfTasks!$H$627</definedName>
    <definedName name="S.Notice.StartDraft">AQPerm.ScheduleOfTasks!$G$493</definedName>
    <definedName name="S.Notice.StartInvolveResources">AQPerm.ScheduleOfTasks!#REF!</definedName>
    <definedName name="S.Notice.Submit.ToADA">AQPerm.ScheduleOfTasks!$G$25</definedName>
    <definedName name="S.Notice.Submit.ToRG">AQPerm.ScheduleOfTasks!$G$24</definedName>
    <definedName name="S.Notice.Submit.ToSponsoringMgr">AQPerm.ScheduleOfTasks!$G$23</definedName>
    <definedName name="S.Notice.SubmitToEPA">AQPerm.ScheduleOfTasks!$H$20</definedName>
    <definedName name="S.Notice.SubmitToSOS">AQPerm.ScheduleOfTasks!$H$26</definedName>
    <definedName name="S.Overview.BANNER.End">AQPerm.ScheduleOfTasks!$H$3</definedName>
    <definedName name="S.Overview.BANNER.Start">AQPerm.ScheduleOfTasks!$G$3</definedName>
    <definedName name="S.Planning.AddConceptToPlanDate">AQPerm.ScheduleOfTasks!$H$163</definedName>
    <definedName name="S.Planning.ApproveCommunicationsLoop2">AQPerm.ScheduleOfTasks!$C$208</definedName>
    <definedName name="S.Planning.ApproveCommunicationsLoop3">AQPerm.ScheduleOfTasks!$C$209</definedName>
    <definedName name="S.Planning.ApproveCommunicationsLoop4">AQPerm.ScheduleOfTasks!$C$210</definedName>
    <definedName name="S.Planning.BANNER.Begin">AQPerm.ScheduleOfTasks!$G$54</definedName>
    <definedName name="S.Planning.BANNER.End">AQPerm.ScheduleOfTasks!$H$54</definedName>
    <definedName name="S.Planning.CommunicationMeeting">AQPerm.ScheduleOfTasks!$H$190</definedName>
    <definedName name="S.Planning.CommunicationsPlan">AQPerm.ScheduleOfTasks!$C$192</definedName>
    <definedName name="S.Planning.DecisionToAddToPlan">AQPerm.ScheduleOfTasks!$C$170</definedName>
    <definedName name="S.Planning.DraftWorkbooksEnd">AQPerm.ScheduleOfTasks!$H$146</definedName>
    <definedName name="S.Planning.DraftWorkbooksStart">AQPerm.ScheduleOfTasks!$G$146</definedName>
    <definedName name="S.Planning.ExpandTeam">AQPerm.ScheduleOfTasks!$C$174</definedName>
    <definedName name="S.Planning.MessageMap">AQPerm.ScheduleOfTasks!$C$193</definedName>
    <definedName name="S.Planning.ProgramWebPage">AQPerm.ScheduleOfTasks!$C$196</definedName>
    <definedName name="S.PlanningKickoff">AQPerm.ScheduleOfTasks!$H$129</definedName>
    <definedName name="S.PlanningWorkbooksStart">AQPerm.ScheduleOfTasks!$G$146</definedName>
    <definedName name="S.PostEQC.BANNER.Begin">AQPerm.ScheduleOfTasks!$G$46</definedName>
    <definedName name="S.PostEQC.BANNER.End">AQPerm.ScheduleOfTasks!$H$46</definedName>
    <definedName name="S.PostEQC.EffectiveUponFiling">AQPerm.ScheduleOfTasks!$C$49</definedName>
    <definedName name="S.PostEQC.FileRuleWithSOS">AQPerm.ScheduleOfTasks!$H$47</definedName>
    <definedName name="S.PostEQC.NotifyStakeholders">AQPerm.ScheduleOfTasks!$C$859</definedName>
    <definedName name="S.PostEQC.RuleEffective">AQPerm.ScheduleOfTasks!$H$49</definedName>
    <definedName name="S.PostEQC.SubmitDASPart2">AQPerm.ScheduleOfTasks!$H$48</definedName>
    <definedName name="S.PostEQC.SubmitSIPToEPA">AQPerm.ScheduleOfTasks!$H$50</definedName>
    <definedName name="S.PublicInformartionOfficer.Involved">AQPerm.ScheduleOfTasks!$AI$192</definedName>
    <definedName name="S.QtimeEnd">AQPerm.ScheduleOfTasks!$H$175</definedName>
    <definedName name="S.QtimeStart">AQPerm.ScheduleOfTasks!$G$123</definedName>
    <definedName name="S.SIP.Involved">AQPerm.ScheduleOfTasks!$C$18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AQPerm.ScheduleOfTasks!$AI$3</definedName>
    <definedName name="S.WePageLink">GetStarted!#REF!</definedName>
    <definedName name="VL_Bulletin">DDLs!$A$80:$B$187</definedName>
    <definedName name="VL_EQCActivities">DDLs!$A$4:$F$25</definedName>
  </definedNames>
  <calcPr calcId="152511"/>
</workbook>
</file>

<file path=xl/calcChain.xml><?xml version="1.0" encoding="utf-8"?>
<calcChain xmlns="http://schemas.openxmlformats.org/spreadsheetml/2006/main">
  <c r="AG757" i="94" l="1"/>
  <c r="AH757" i="94"/>
  <c r="AG789" i="94"/>
  <c r="AH789" i="94"/>
  <c r="AG812" i="94"/>
  <c r="AH812" i="94"/>
  <c r="G812" i="94"/>
  <c r="AK812" i="94"/>
  <c r="AF812" i="94"/>
  <c r="AK827" i="94"/>
  <c r="AG827" i="94"/>
  <c r="AK824" i="94"/>
  <c r="AK795" i="94"/>
  <c r="B795" i="94" s="1"/>
  <c r="AK781" i="94"/>
  <c r="AK835" i="94"/>
  <c r="AK840" i="94"/>
  <c r="AG837" i="94"/>
  <c r="AG836" i="94"/>
  <c r="AG816" i="94"/>
  <c r="AG798" i="94"/>
  <c r="AG797" i="94"/>
  <c r="AG796" i="94"/>
  <c r="AG755" i="94"/>
  <c r="AG754" i="94"/>
  <c r="AG753" i="94"/>
  <c r="G749" i="94"/>
  <c r="AF753" i="94"/>
  <c r="AH836" i="94"/>
  <c r="AH837" i="94"/>
  <c r="AH838" i="94"/>
  <c r="AH839" i="94"/>
  <c r="C577" i="94"/>
  <c r="C582" i="94"/>
  <c r="AK577" i="94"/>
  <c r="AF577" i="94"/>
  <c r="B577" i="94"/>
  <c r="AK598" i="94"/>
  <c r="B598" i="94" s="1"/>
  <c r="AK569" i="94"/>
  <c r="C494" i="94"/>
  <c r="C320" i="94"/>
  <c r="C297" i="94"/>
  <c r="C296" i="94"/>
  <c r="C294" i="94"/>
  <c r="AF450" i="94"/>
  <c r="AF449" i="94"/>
  <c r="C849" i="94"/>
  <c r="C751" i="94"/>
  <c r="C684" i="94"/>
  <c r="C491" i="94"/>
  <c r="C456" i="94"/>
  <c r="C247" i="94"/>
  <c r="C246" i="94"/>
  <c r="C141" i="94"/>
  <c r="C140" i="94"/>
  <c r="C139" i="94"/>
  <c r="C137" i="94"/>
  <c r="C127" i="94"/>
  <c r="C126" i="94"/>
  <c r="C116" i="94"/>
  <c r="C56" i="94"/>
  <c r="G6" i="94"/>
  <c r="AH6" i="94" s="1"/>
  <c r="AF31" i="94"/>
  <c r="AF30" i="94"/>
  <c r="AK29" i="94"/>
  <c r="AF29" i="94" s="1"/>
  <c r="AF730" i="94"/>
  <c r="AF600" i="94"/>
  <c r="AF485" i="94"/>
  <c r="AK493" i="94"/>
  <c r="AF494" i="94"/>
  <c r="AK608" i="94"/>
  <c r="B608" i="94" s="1"/>
  <c r="AK603" i="94"/>
  <c r="B603" i="94" s="1"/>
  <c r="AK616" i="94"/>
  <c r="AK607" i="94"/>
  <c r="AK564" i="94"/>
  <c r="AK644" i="94"/>
  <c r="AK635" i="94"/>
  <c r="AK625" i="94"/>
  <c r="AK622" i="94"/>
  <c r="AK621" i="94"/>
  <c r="AK612" i="94"/>
  <c r="B612" i="94" s="1"/>
  <c r="AF568" i="94"/>
  <c r="B564" i="94"/>
  <c r="AF566" i="94"/>
  <c r="AF564" i="94"/>
  <c r="AF567" i="94"/>
  <c r="AF565" i="94"/>
  <c r="AK615" i="94"/>
  <c r="B615" i="94" s="1"/>
  <c r="B616" i="94"/>
  <c r="B607" i="94"/>
  <c r="AK609" i="94"/>
  <c r="B609" i="94" s="1"/>
  <c r="AF608" i="94"/>
  <c r="AK594" i="94"/>
  <c r="B594" i="94" s="1"/>
  <c r="AK624" i="94"/>
  <c r="AK524" i="94"/>
  <c r="AK510" i="94"/>
  <c r="AF537" i="94"/>
  <c r="AF572" i="94"/>
  <c r="AF573" i="94"/>
  <c r="AF571" i="94"/>
  <c r="AK677" i="94"/>
  <c r="AK669" i="94"/>
  <c r="B652" i="94"/>
  <c r="AK651" i="94"/>
  <c r="AK576" i="94"/>
  <c r="AK640" i="94"/>
  <c r="AK623" i="94"/>
  <c r="B623" i="94" s="1"/>
  <c r="AF623" i="94"/>
  <c r="AK620" i="94"/>
  <c r="AK618" i="94"/>
  <c r="B618" i="94" s="1"/>
  <c r="AF618" i="94"/>
  <c r="AK617" i="94"/>
  <c r="AF617" i="94"/>
  <c r="AK610" i="94"/>
  <c r="B610" i="94" s="1"/>
  <c r="AF612" i="94"/>
  <c r="AK611" i="94"/>
  <c r="AF616" i="94"/>
  <c r="AF611" i="94"/>
  <c r="AF610" i="94"/>
  <c r="AF609" i="94"/>
  <c r="AF606" i="94"/>
  <c r="AK604" i="94"/>
  <c r="B604" i="94" s="1"/>
  <c r="AF597" i="94"/>
  <c r="AF575" i="94"/>
  <c r="AK590" i="94"/>
  <c r="AF590" i="94"/>
  <c r="AK600" i="94"/>
  <c r="AK595" i="94"/>
  <c r="B595" i="94" s="1"/>
  <c r="AK601" i="94"/>
  <c r="B601" i="94" s="1"/>
  <c r="AK589" i="94"/>
  <c r="B589" i="94" s="1"/>
  <c r="AF607" i="94"/>
  <c r="AF605" i="94"/>
  <c r="AF604" i="94"/>
  <c r="AF603" i="94"/>
  <c r="AF594" i="94"/>
  <c r="AK593" i="94"/>
  <c r="B593" i="94" s="1"/>
  <c r="AK592" i="94"/>
  <c r="AF589" i="94"/>
  <c r="AF595" i="94"/>
  <c r="AF596" i="94"/>
  <c r="AF601" i="94"/>
  <c r="AF602" i="94"/>
  <c r="B600" i="94"/>
  <c r="AF546" i="94"/>
  <c r="AF547" i="94"/>
  <c r="AF548" i="94"/>
  <c r="AF549" i="94"/>
  <c r="AF550" i="94"/>
  <c r="AF551" i="94"/>
  <c r="AF552" i="94"/>
  <c r="AF553" i="94"/>
  <c r="AF554" i="94"/>
  <c r="AF555" i="94"/>
  <c r="AF556" i="94"/>
  <c r="AF557" i="94"/>
  <c r="AF558" i="94"/>
  <c r="AF559" i="94"/>
  <c r="AF560" i="94"/>
  <c r="AF561" i="94"/>
  <c r="AF562" i="94"/>
  <c r="AF563" i="94"/>
  <c r="AF569" i="94"/>
  <c r="AF570" i="94"/>
  <c r="AF574" i="94"/>
  <c r="AF580" i="94"/>
  <c r="AF581" i="94"/>
  <c r="AF582" i="94"/>
  <c r="AF583" i="94"/>
  <c r="AF584" i="94"/>
  <c r="AF585" i="94"/>
  <c r="AF586" i="94"/>
  <c r="AF587" i="94"/>
  <c r="AF588" i="94"/>
  <c r="AF591" i="94"/>
  <c r="AF592" i="94"/>
  <c r="AF593" i="94"/>
  <c r="AF598" i="94"/>
  <c r="AF599" i="94"/>
  <c r="AK591" i="94"/>
  <c r="B644" i="94"/>
  <c r="AK643" i="94"/>
  <c r="B643" i="94" s="1"/>
  <c r="AF643" i="94"/>
  <c r="AG613" i="94"/>
  <c r="G613" i="94" s="1"/>
  <c r="AH613" i="94" s="1"/>
  <c r="H613" i="94" s="1"/>
  <c r="AF615" i="94"/>
  <c r="AF614" i="94"/>
  <c r="AK613" i="94"/>
  <c r="B613" i="94" s="1"/>
  <c r="AF613" i="94"/>
  <c r="AK107" i="94"/>
  <c r="AK105" i="94"/>
  <c r="AK110" i="94"/>
  <c r="AK112" i="94"/>
  <c r="AK183" i="94"/>
  <c r="C655" i="94"/>
  <c r="AK31" i="94"/>
  <c r="C161" i="94"/>
  <c r="C136" i="94"/>
  <c r="AK78" i="94"/>
  <c r="B488" i="94"/>
  <c r="B288" i="94"/>
  <c r="B53" i="94"/>
  <c r="B2" i="94"/>
  <c r="AK638" i="94"/>
  <c r="AK632" i="94"/>
  <c r="AK626" i="94"/>
  <c r="B592" i="94" l="1"/>
  <c r="AK531" i="94"/>
  <c r="B531" i="94" s="1"/>
  <c r="AF532" i="94"/>
  <c r="AF531" i="94"/>
  <c r="AF545" i="94"/>
  <c r="AK544" i="94"/>
  <c r="AK545" i="94"/>
  <c r="B545" i="94" s="1"/>
  <c r="AK522" i="94"/>
  <c r="AK547" i="94"/>
  <c r="AK548" i="94"/>
  <c r="AF540" i="94"/>
  <c r="B78" i="94"/>
  <c r="I38" i="94"/>
  <c r="I29" i="94"/>
  <c r="I24" i="94"/>
  <c r="I23" i="94"/>
  <c r="I20" i="94"/>
  <c r="I16" i="94" s="1"/>
  <c r="I18" i="94"/>
  <c r="I15" i="94"/>
  <c r="I14" i="94"/>
  <c r="I12" i="94"/>
  <c r="I10" i="94"/>
  <c r="I8" i="94"/>
  <c r="AK32" i="94"/>
  <c r="AK41" i="94"/>
  <c r="AK25" i="94"/>
  <c r="AK24" i="94"/>
  <c r="AK23" i="94"/>
  <c r="AF25" i="94"/>
  <c r="AK97" i="94"/>
  <c r="B97" i="94" s="1"/>
  <c r="AK81" i="94"/>
  <c r="AF78" i="94"/>
  <c r="AK71" i="94"/>
  <c r="B71" i="94" s="1"/>
  <c r="AK80" i="94"/>
  <c r="AF80" i="94"/>
  <c r="AK96" i="94"/>
  <c r="AF96" i="94"/>
  <c r="AF70" i="94"/>
  <c r="AF71" i="94"/>
  <c r="AK82" i="94"/>
  <c r="AK94" i="94"/>
  <c r="AF94" i="94"/>
  <c r="AK86" i="94"/>
  <c r="AF86" i="94"/>
  <c r="AF97" i="94"/>
  <c r="B81" i="94" l="1"/>
  <c r="AK58" i="94"/>
  <c r="AK72" i="94"/>
  <c r="AF81" i="94"/>
  <c r="AI192" i="94"/>
  <c r="AF195" i="94"/>
  <c r="AF194" i="94"/>
  <c r="D12" i="94"/>
  <c r="F18" i="94" l="1"/>
  <c r="F20" i="94"/>
  <c r="F16" i="94" s="1"/>
  <c r="AK153" i="94"/>
  <c r="B153" i="94" s="1"/>
  <c r="AK161" i="94"/>
  <c r="AK152" i="94"/>
  <c r="B152" i="94" s="1"/>
  <c r="AK151" i="94"/>
  <c r="B151" i="94" s="1"/>
  <c r="AK160" i="94"/>
  <c r="AF821" i="94"/>
  <c r="AF820" i="94"/>
  <c r="AF819" i="94"/>
  <c r="AF818" i="94"/>
  <c r="AF817" i="94"/>
  <c r="AK794" i="94"/>
  <c r="AK790" i="94"/>
  <c r="B790" i="94" s="1"/>
  <c r="AK786" i="94"/>
  <c r="B786" i="94" s="1"/>
  <c r="AK788" i="94"/>
  <c r="B788" i="94" s="1"/>
  <c r="AK732" i="94"/>
  <c r="AK731" i="94"/>
  <c r="AK738" i="94"/>
  <c r="AF697" i="94"/>
  <c r="AF696" i="94"/>
  <c r="AF695" i="94"/>
  <c r="AK685" i="94"/>
  <c r="AF363" i="94"/>
  <c r="AF362" i="94"/>
  <c r="AF361" i="94"/>
  <c r="AF360" i="94"/>
  <c r="AK295" i="94"/>
  <c r="B295" i="94" s="1"/>
  <c r="AF293" i="94"/>
  <c r="AF296" i="94"/>
  <c r="AF303" i="94"/>
  <c r="AK292" i="94"/>
  <c r="AK157" i="94"/>
  <c r="B157" i="94" s="1"/>
  <c r="AF156" i="94"/>
  <c r="AK159" i="94"/>
  <c r="B159" i="94" s="1"/>
  <c r="AF158" i="94"/>
  <c r="AF155" i="94"/>
  <c r="AK154" i="94"/>
  <c r="B154" i="94" s="1"/>
  <c r="AH154" i="94"/>
  <c r="H154" i="94" s="1"/>
  <c r="AK162" i="94"/>
  <c r="AF650" i="94"/>
  <c r="AK649" i="94"/>
  <c r="B649" i="94" s="1"/>
  <c r="AF649" i="94"/>
  <c r="AK645" i="94"/>
  <c r="B645" i="94" s="1"/>
  <c r="AF645" i="94"/>
  <c r="B651" i="94"/>
  <c r="AF651" i="94"/>
  <c r="AF626" i="94"/>
  <c r="AF625" i="94"/>
  <c r="AK22" i="94"/>
  <c r="AF22" i="94" s="1"/>
  <c r="B569" i="94" l="1"/>
  <c r="AK673" i="94"/>
  <c r="B673" i="94" s="1"/>
  <c r="AF678" i="94"/>
  <c r="AK668" i="94"/>
  <c r="AF654" i="94"/>
  <c r="AF667" i="94"/>
  <c r="C667" i="94"/>
  <c r="AF655" i="94"/>
  <c r="AK656" i="94"/>
  <c r="AK660" i="94"/>
  <c r="AF660" i="94"/>
  <c r="AF642" i="94"/>
  <c r="AF641" i="94"/>
  <c r="B626" i="94"/>
  <c r="AF529" i="94"/>
  <c r="AF528" i="94"/>
  <c r="AK527" i="94"/>
  <c r="B527" i="94" s="1"/>
  <c r="AF523" i="94"/>
  <c r="AK530" i="94"/>
  <c r="B530" i="94" s="1"/>
  <c r="AF530" i="94"/>
  <c r="AF527" i="94"/>
  <c r="B23" i="94"/>
  <c r="AF23" i="94"/>
  <c r="AG3" i="94"/>
  <c r="AF6" i="94"/>
  <c r="AF510" i="94"/>
  <c r="AF509" i="94"/>
  <c r="AF508" i="94"/>
  <c r="AF32" i="94"/>
  <c r="AF14" i="94"/>
  <c r="AF12" i="94"/>
  <c r="B24" i="94"/>
  <c r="AF234" i="94"/>
  <c r="B6" i="99"/>
  <c r="E13" i="99"/>
  <c r="E12" i="99"/>
  <c r="E11" i="99"/>
  <c r="E10" i="99"/>
  <c r="E9" i="99"/>
  <c r="E8" i="99"/>
  <c r="E7" i="99"/>
  <c r="E6" i="99"/>
  <c r="D13" i="99"/>
  <c r="D12" i="99"/>
  <c r="D11" i="99"/>
  <c r="D10" i="99"/>
  <c r="D9" i="99"/>
  <c r="D8" i="99"/>
  <c r="D7" i="99"/>
  <c r="D6" i="99"/>
  <c r="AF216" i="94"/>
  <c r="AF217" i="94"/>
  <c r="AK217" i="94"/>
  <c r="B217" i="94" s="1"/>
  <c r="AF218" i="94"/>
  <c r="AK218" i="94"/>
  <c r="AF219" i="94"/>
  <c r="B220" i="94"/>
  <c r="AF220" i="94"/>
  <c r="AG220" i="94"/>
  <c r="G220" i="94" s="1"/>
  <c r="AH220" i="94"/>
  <c r="H220" i="94" s="1"/>
  <c r="B221" i="94"/>
  <c r="AF221" i="94"/>
  <c r="AG221" i="94"/>
  <c r="G221" i="94" s="1"/>
  <c r="AH221" i="94"/>
  <c r="H221" i="94" s="1"/>
  <c r="B222" i="94"/>
  <c r="AF222" i="94"/>
  <c r="AG222" i="94"/>
  <c r="G222" i="94" s="1"/>
  <c r="AH222" i="94"/>
  <c r="H222" i="94" s="1"/>
  <c r="B223" i="94"/>
  <c r="AF223" i="94"/>
  <c r="AG223" i="94"/>
  <c r="G223" i="94" s="1"/>
  <c r="AH223" i="94"/>
  <c r="H223" i="94" s="1"/>
  <c r="B224" i="94"/>
  <c r="AF224" i="94"/>
  <c r="AG224" i="94"/>
  <c r="G224" i="94" s="1"/>
  <c r="AH224" i="94"/>
  <c r="H224" i="94" s="1"/>
  <c r="B225" i="94"/>
  <c r="AF225" i="94"/>
  <c r="AG225" i="94"/>
  <c r="G225" i="94" s="1"/>
  <c r="AH225" i="94"/>
  <c r="H225" i="94" s="1"/>
  <c r="B226" i="94"/>
  <c r="AF226" i="94"/>
  <c r="AG226" i="94"/>
  <c r="G226" i="94" s="1"/>
  <c r="AH226" i="94"/>
  <c r="H226" i="94" s="1"/>
  <c r="AF227" i="94"/>
  <c r="AF229" i="94"/>
  <c r="AK229" i="94"/>
  <c r="B229" i="94" s="1"/>
  <c r="AF230" i="94"/>
  <c r="AK230" i="94"/>
  <c r="B230" i="94" s="1"/>
  <c r="AK525" i="94"/>
  <c r="AK517" i="94"/>
  <c r="B517" i="94" s="1"/>
  <c r="AF517" i="94"/>
  <c r="B107" i="94"/>
  <c r="AF107" i="94"/>
  <c r="AF106" i="94"/>
  <c r="B105" i="94"/>
  <c r="AF105" i="94"/>
  <c r="AF104" i="94"/>
  <c r="AF108" i="94"/>
  <c r="AF103" i="94"/>
  <c r="AK114" i="94"/>
  <c r="AF113" i="94"/>
  <c r="AF111" i="94"/>
  <c r="AF109" i="94"/>
  <c r="C671" i="94" l="1"/>
  <c r="AK657" i="94"/>
  <c r="AF657" i="94"/>
  <c r="AK639" i="94"/>
  <c r="AK637" i="94"/>
  <c r="AK636" i="94"/>
  <c r="AK513" i="94"/>
  <c r="AK526" i="94"/>
  <c r="B547" i="94"/>
  <c r="AK541" i="94"/>
  <c r="AK518" i="94"/>
  <c r="AF503" i="94"/>
  <c r="AF502" i="94"/>
  <c r="AK98" i="94" l="1"/>
  <c r="AK508" i="94"/>
  <c r="AF619" i="94"/>
  <c r="B621" i="94"/>
  <c r="AF621" i="94"/>
  <c r="AF526" i="94"/>
  <c r="B526" i="94"/>
  <c r="B525" i="94"/>
  <c r="AF525" i="94"/>
  <c r="AK516" i="94"/>
  <c r="AK512" i="94"/>
  <c r="AF238" i="94" l="1"/>
  <c r="AF239" i="94"/>
  <c r="AF240" i="94"/>
  <c r="AF241" i="94"/>
  <c r="AF242" i="94"/>
  <c r="AF243" i="94"/>
  <c r="AF244" i="94"/>
  <c r="AF237" i="94"/>
  <c r="AK238" i="94"/>
  <c r="B238" i="94" s="1"/>
  <c r="AK239" i="94"/>
  <c r="B239" i="94" s="1"/>
  <c r="AK240" i="94"/>
  <c r="B240" i="94" s="1"/>
  <c r="AK241" i="94"/>
  <c r="B241" i="94" s="1"/>
  <c r="AK242" i="94"/>
  <c r="B242" i="94" s="1"/>
  <c r="AK243" i="94"/>
  <c r="B243" i="94" s="1"/>
  <c r="AK244" i="94"/>
  <c r="B244" i="94" s="1"/>
  <c r="AK237" i="94"/>
  <c r="B237" i="94" s="1"/>
  <c r="AF235" i="94"/>
  <c r="B620" i="94"/>
  <c r="AF620" i="94"/>
  <c r="AF672" i="94" l="1"/>
  <c r="B668" i="94"/>
  <c r="B656" i="94"/>
  <c r="AF515" i="94"/>
  <c r="AF514" i="94"/>
  <c r="AK533" i="94"/>
  <c r="AF535" i="94"/>
  <c r="AF656" i="94"/>
  <c r="AK250" i="94"/>
  <c r="AK251" i="94"/>
  <c r="AK233" i="94"/>
  <c r="AF236" i="94"/>
  <c r="AF648" i="94"/>
  <c r="B233" i="94" l="1"/>
  <c r="AF232" i="94"/>
  <c r="B548" i="94"/>
  <c r="AF507" i="94"/>
  <c r="AF506" i="94"/>
  <c r="AF505" i="94"/>
  <c r="AF501" i="94"/>
  <c r="AF504" i="94"/>
  <c r="AF500" i="94"/>
  <c r="AF499" i="94"/>
  <c r="AF498" i="94"/>
  <c r="AF497" i="94"/>
  <c r="AF496" i="94"/>
  <c r="AF495" i="94"/>
  <c r="AF492" i="94"/>
  <c r="AF256" i="94"/>
  <c r="AF255" i="94"/>
  <c r="AF254" i="94"/>
  <c r="AF253" i="94"/>
  <c r="AF258" i="94"/>
  <c r="AF259" i="94"/>
  <c r="AF260" i="94"/>
  <c r="AF261" i="94"/>
  <c r="AF257" i="94"/>
  <c r="B522" i="94"/>
  <c r="B513" i="94"/>
  <c r="AF513" i="94"/>
  <c r="B516" i="94"/>
  <c r="AF516" i="94"/>
  <c r="B518" i="94"/>
  <c r="AF518" i="94"/>
  <c r="AF522" i="94"/>
  <c r="AF541" i="94"/>
  <c r="B508" i="94"/>
  <c r="AK539" i="94"/>
  <c r="AK546" i="94"/>
  <c r="B546" i="94" s="1"/>
  <c r="B544" i="94"/>
  <c r="AF544" i="94"/>
  <c r="AK543" i="94"/>
  <c r="AK542" i="94"/>
  <c r="AK254" i="94"/>
  <c r="B254" i="94" s="1"/>
  <c r="AK280" i="94"/>
  <c r="B280" i="94" s="1"/>
  <c r="AF280" i="94"/>
  <c r="AK282" i="94"/>
  <c r="AK270" i="94"/>
  <c r="B270" i="94" s="1"/>
  <c r="AF271" i="94"/>
  <c r="AF270" i="94"/>
  <c r="AK274" i="94"/>
  <c r="B274" i="94" s="1"/>
  <c r="AF265" i="94"/>
  <c r="AK182" i="94"/>
  <c r="B182" i="94" s="1"/>
  <c r="AF182" i="94"/>
  <c r="AK181" i="94"/>
  <c r="B181" i="94" s="1"/>
  <c r="AK150" i="94"/>
  <c r="B150" i="94" s="1"/>
  <c r="AK174" i="94"/>
  <c r="AF189" i="94"/>
  <c r="AK177" i="94"/>
  <c r="AF267" i="94"/>
  <c r="AF266" i="94"/>
  <c r="AF268" i="94"/>
  <c r="C268" i="94"/>
  <c r="AF269" i="94"/>
  <c r="AF204" i="94"/>
  <c r="AF202" i="94"/>
  <c r="AK200" i="94"/>
  <c r="AK211" i="94"/>
  <c r="AK206" i="94"/>
  <c r="AK201" i="94"/>
  <c r="AK191" i="94"/>
  <c r="AK190" i="94"/>
  <c r="AF149" i="94"/>
  <c r="AF148" i="94"/>
  <c r="AF147" i="94"/>
  <c r="AF181" i="94"/>
  <c r="AF180" i="94"/>
  <c r="AK175" i="94"/>
  <c r="AK171" i="94"/>
  <c r="AK168" i="94"/>
  <c r="AK167" i="94"/>
  <c r="AK166" i="94"/>
  <c r="AK169" i="94"/>
  <c r="AK146" i="94"/>
  <c r="AF24" i="94"/>
  <c r="AK117" i="94"/>
  <c r="AK122" i="94"/>
  <c r="B122" i="94" s="1"/>
  <c r="AK123" i="94"/>
  <c r="AK121" i="94"/>
  <c r="AK99" i="94"/>
  <c r="AK100" i="94"/>
  <c r="AH257" i="94" l="1"/>
  <c r="AK259" i="94"/>
  <c r="F257" i="94" s="1"/>
  <c r="AK118" i="94"/>
  <c r="B117" i="94"/>
  <c r="AK120" i="94"/>
  <c r="B100" i="94"/>
  <c r="B99" i="94"/>
  <c r="C18" i="103"/>
  <c r="B71" i="103"/>
  <c r="E58" i="103"/>
  <c r="E57" i="103"/>
  <c r="E85" i="103"/>
  <c r="E52" i="103"/>
  <c r="E78" i="103"/>
  <c r="E71" i="103"/>
  <c r="E77" i="103"/>
  <c r="E70" i="103"/>
  <c r="E69" i="103"/>
  <c r="E68" i="103"/>
  <c r="B47" i="103"/>
  <c r="B69" i="103"/>
  <c r="E67" i="103"/>
  <c r="E66" i="103"/>
  <c r="B65" i="103"/>
  <c r="E25" i="103"/>
  <c r="E51" i="103"/>
  <c r="E49" i="103"/>
  <c r="D27" i="103"/>
  <c r="E45" i="103"/>
  <c r="B45" i="103"/>
  <c r="B25" i="103"/>
  <c r="B24" i="103"/>
  <c r="E48" i="103"/>
  <c r="E47" i="103"/>
  <c r="E46" i="103"/>
  <c r="E43" i="103"/>
  <c r="E44" i="103"/>
  <c r="E42" i="103"/>
  <c r="E24" i="103"/>
  <c r="E26" i="103" l="1"/>
  <c r="C19" i="103"/>
  <c r="C17" i="103"/>
  <c r="C107" i="103"/>
  <c r="C104" i="103"/>
  <c r="B32" i="103"/>
  <c r="B49" i="103"/>
  <c r="B26" i="103"/>
  <c r="B48" i="103"/>
  <c r="B85" i="103"/>
  <c r="B31" i="103"/>
  <c r="B41" i="103"/>
  <c r="B43" i="103"/>
  <c r="B46" i="103"/>
  <c r="B51" i="103"/>
  <c r="B77" i="103"/>
  <c r="B70" i="103"/>
  <c r="B68" i="103"/>
  <c r="B57" i="103"/>
  <c r="B52" i="103"/>
  <c r="B86" i="103"/>
  <c r="B79" i="103"/>
  <c r="B78" i="103"/>
  <c r="B66" i="103"/>
  <c r="B58" i="103"/>
  <c r="B50" i="103"/>
  <c r="B28" i="103"/>
  <c r="B27" i="103"/>
  <c r="B44" i="103"/>
  <c r="AK176" i="94"/>
  <c r="B176" i="94" s="1"/>
  <c r="AF176" i="94"/>
  <c r="E28" i="103"/>
  <c r="AK129" i="94" l="1"/>
  <c r="B98" i="94"/>
  <c r="B82" i="94"/>
  <c r="B72" i="94"/>
  <c r="B58" i="94"/>
  <c r="B25" i="102"/>
  <c r="C25" i="102" s="1"/>
  <c r="A1" i="102"/>
  <c r="A4" i="103"/>
  <c r="A3" i="103"/>
  <c r="F1" i="102"/>
  <c r="AK670" i="94"/>
  <c r="A3" i="102"/>
  <c r="B46" i="102"/>
  <c r="C46" i="102" s="1"/>
  <c r="AK737" i="94"/>
  <c r="AK736" i="94"/>
  <c r="B736" i="94" s="1"/>
  <c r="AF736" i="94"/>
  <c r="B732" i="94"/>
  <c r="AF668" i="94"/>
  <c r="B543" i="94"/>
  <c r="AF357" i="94"/>
  <c r="AF358" i="94"/>
  <c r="AF359" i="94"/>
  <c r="AK359" i="94"/>
  <c r="B359" i="94" s="1"/>
  <c r="C360" i="94"/>
  <c r="C362" i="94"/>
  <c r="AF364" i="94"/>
  <c r="AF365" i="94"/>
  <c r="AF366" i="94"/>
  <c r="AF367" i="94"/>
  <c r="AF368" i="94"/>
  <c r="AF369" i="94"/>
  <c r="C370" i="94"/>
  <c r="AF370" i="94"/>
  <c r="AF371" i="94"/>
  <c r="AF372" i="94"/>
  <c r="AF373" i="94"/>
  <c r="C374" i="94"/>
  <c r="AF374" i="94"/>
  <c r="AK374" i="94"/>
  <c r="B374" i="94" s="1"/>
  <c r="AF375" i="94"/>
  <c r="AF376" i="94"/>
  <c r="AK376" i="94"/>
  <c r="B376" i="94" s="1"/>
  <c r="AF377" i="94"/>
  <c r="C378" i="94"/>
  <c r="AF378" i="94"/>
  <c r="AF379" i="94"/>
  <c r="AF380" i="94"/>
  <c r="AF381" i="94"/>
  <c r="B175" i="94"/>
  <c r="E25" i="102" l="1"/>
  <c r="E56" i="102"/>
  <c r="E46" i="102"/>
  <c r="E57" i="102"/>
  <c r="F2" i="102"/>
  <c r="F4" i="102"/>
  <c r="AK471" i="94"/>
  <c r="AK464" i="94"/>
  <c r="B464" i="94" s="1"/>
  <c r="AF465" i="94"/>
  <c r="AF464" i="94"/>
  <c r="AK458" i="94"/>
  <c r="AK466" i="94"/>
  <c r="B466" i="94" s="1"/>
  <c r="D8" i="84"/>
  <c r="E8" i="84" s="1"/>
  <c r="D7" i="84"/>
  <c r="F8" i="84" s="1"/>
  <c r="D6" i="84"/>
  <c r="F7" i="84" s="1"/>
  <c r="D5" i="84"/>
  <c r="F6" i="84" s="1"/>
  <c r="D4" i="84"/>
  <c r="F5" i="84" s="1"/>
  <c r="G4" i="102" l="1"/>
  <c r="H4" i="102" s="1"/>
  <c r="I4" i="102" s="1"/>
  <c r="J4" i="102" s="1"/>
  <c r="K4" i="102" s="1"/>
  <c r="L4" i="102" s="1"/>
  <c r="M4" i="102" s="1"/>
  <c r="E7" i="84"/>
  <c r="E4" i="84"/>
  <c r="E5" i="84"/>
  <c r="E6" i="84"/>
  <c r="M2" i="102" l="1"/>
  <c r="N4" i="102"/>
  <c r="O4" i="102" s="1"/>
  <c r="P4" i="102" s="1"/>
  <c r="Q4" i="102" s="1"/>
  <c r="R4" i="102" s="1"/>
  <c r="S4" i="102" s="1"/>
  <c r="T4" i="102" s="1"/>
  <c r="T2" i="102" s="1"/>
  <c r="D9" i="84"/>
  <c r="AK338" i="94"/>
  <c r="B338" i="94" s="1"/>
  <c r="AF340" i="94"/>
  <c r="AF305" i="94"/>
  <c r="AF304" i="94"/>
  <c r="AF297" i="94"/>
  <c r="AK337" i="94"/>
  <c r="B337" i="94" s="1"/>
  <c r="AF337" i="94"/>
  <c r="AF338" i="94"/>
  <c r="AK323" i="94"/>
  <c r="B14" i="102"/>
  <c r="AK284" i="94"/>
  <c r="AF320" i="94"/>
  <c r="AF183" i="94"/>
  <c r="AF173" i="94"/>
  <c r="D38" i="94"/>
  <c r="D37" i="94"/>
  <c r="U4" i="102" l="1"/>
  <c r="V4" i="102" s="1"/>
  <c r="W4" i="102" s="1"/>
  <c r="X4" i="102" s="1"/>
  <c r="Y4" i="102" s="1"/>
  <c r="Z4" i="102" s="1"/>
  <c r="AA4" i="102" s="1"/>
  <c r="AB4" i="102" s="1"/>
  <c r="AC4" i="102" s="1"/>
  <c r="AD4" i="102" s="1"/>
  <c r="AE4" i="102" s="1"/>
  <c r="AF4" i="102" s="1"/>
  <c r="AG4" i="102" s="1"/>
  <c r="AH4" i="102" s="1"/>
  <c r="E9" i="84"/>
  <c r="F10" i="84"/>
  <c r="D15" i="94"/>
  <c r="AA2" i="102" l="1"/>
  <c r="AI4" i="102"/>
  <c r="AJ4" i="102" s="1"/>
  <c r="AK4" i="102" s="1"/>
  <c r="AL4" i="102" s="1"/>
  <c r="AM4" i="102" s="1"/>
  <c r="AN4" i="102" s="1"/>
  <c r="AO4" i="102" s="1"/>
  <c r="AH2" i="102"/>
  <c r="AK858" i="94"/>
  <c r="AF457" i="94"/>
  <c r="AO2" i="102" l="1"/>
  <c r="AP4" i="102"/>
  <c r="AQ4" i="102" s="1"/>
  <c r="AR4" i="102" s="1"/>
  <c r="AS4" i="102" s="1"/>
  <c r="AT4" i="102" s="1"/>
  <c r="AU4" i="102" s="1"/>
  <c r="AV4" i="102" s="1"/>
  <c r="B112" i="94"/>
  <c r="B110" i="94"/>
  <c r="B114" i="94"/>
  <c r="AK14" i="94"/>
  <c r="B452" i="94" s="1"/>
  <c r="AF448" i="94"/>
  <c r="AF447" i="94"/>
  <c r="AF446" i="94"/>
  <c r="AF445" i="94"/>
  <c r="AF444" i="94"/>
  <c r="AF443" i="94"/>
  <c r="AF442" i="94"/>
  <c r="AF441" i="94"/>
  <c r="AF440" i="94"/>
  <c r="AF439" i="94"/>
  <c r="AF438" i="94"/>
  <c r="AF432" i="94"/>
  <c r="AF431" i="94"/>
  <c r="AF430" i="94"/>
  <c r="AF429" i="94"/>
  <c r="AF425" i="94"/>
  <c r="AF424" i="94"/>
  <c r="AF423" i="94"/>
  <c r="AF422" i="94"/>
  <c r="AF421" i="94"/>
  <c r="AF420" i="94"/>
  <c r="AF419" i="94"/>
  <c r="AF418" i="94"/>
  <c r="AF417" i="94"/>
  <c r="AF416" i="94"/>
  <c r="AF415" i="94"/>
  <c r="AF409" i="94"/>
  <c r="AF408" i="94"/>
  <c r="AF407" i="94"/>
  <c r="AF406" i="94"/>
  <c r="AF398" i="94"/>
  <c r="AF397" i="94"/>
  <c r="AF396" i="94"/>
  <c r="AF395" i="94"/>
  <c r="AF394" i="94"/>
  <c r="AF393" i="94"/>
  <c r="AF392" i="94"/>
  <c r="AF386" i="94"/>
  <c r="AF385" i="94"/>
  <c r="AF384" i="94"/>
  <c r="AF383" i="94"/>
  <c r="AW4" i="102" l="1"/>
  <c r="AX4" i="102" s="1"/>
  <c r="AY4" i="102" s="1"/>
  <c r="AZ4" i="102" s="1"/>
  <c r="BA4" i="102" s="1"/>
  <c r="BB4" i="102" s="1"/>
  <c r="BC4" i="102" s="1"/>
  <c r="AV2" i="102"/>
  <c r="AK889" i="94"/>
  <c r="C889" i="94"/>
  <c r="AK880" i="94"/>
  <c r="B880" i="94" s="1"/>
  <c r="AF880" i="94"/>
  <c r="BC2" i="102" l="1"/>
  <c r="BD4" i="102"/>
  <c r="BE4" i="102" s="1"/>
  <c r="BF4" i="102" s="1"/>
  <c r="BG4" i="102" s="1"/>
  <c r="BH4" i="102" s="1"/>
  <c r="BI4" i="102" s="1"/>
  <c r="AK39" i="94"/>
  <c r="AK38" i="94"/>
  <c r="AK37" i="94"/>
  <c r="AK697" i="94"/>
  <c r="AK696" i="94"/>
  <c r="AK695" i="94"/>
  <c r="AK694" i="94"/>
  <c r="C291" i="94"/>
  <c r="AF735" i="94"/>
  <c r="AF734" i="94"/>
  <c r="AF733" i="94"/>
  <c r="AF732" i="94"/>
  <c r="AF731" i="94"/>
  <c r="B129" i="94"/>
  <c r="B2" i="99"/>
  <c r="AK164" i="94"/>
  <c r="AF484" i="94"/>
  <c r="AK735" i="94"/>
  <c r="B731" i="94"/>
  <c r="AF324" i="94"/>
  <c r="AF323" i="94"/>
  <c r="AF315" i="94"/>
  <c r="AF314" i="94"/>
  <c r="AF313" i="94"/>
  <c r="AF312" i="94"/>
  <c r="AF311" i="94"/>
  <c r="AK205" i="94"/>
  <c r="AK816" i="94"/>
  <c r="C877" i="94" l="1"/>
  <c r="C652" i="94"/>
  <c r="C284" i="94"/>
  <c r="C458" i="94"/>
  <c r="D2" i="96"/>
  <c r="AF310" i="94"/>
  <c r="AF292" i="94"/>
  <c r="B292" i="94"/>
  <c r="AF294" i="94"/>
  <c r="C295" i="94"/>
  <c r="AF295" i="94"/>
  <c r="AF755" i="94"/>
  <c r="AF754" i="94"/>
  <c r="AF850" i="94"/>
  <c r="AK204" i="94"/>
  <c r="AK203" i="94"/>
  <c r="C754" i="94" l="1"/>
  <c r="C768" i="94"/>
  <c r="C534" i="94"/>
  <c r="C631" i="94"/>
  <c r="C668" i="94"/>
  <c r="C620" i="94"/>
  <c r="C255" i="94"/>
  <c r="C462" i="94"/>
  <c r="C463" i="94"/>
  <c r="AK463" i="94"/>
  <c r="AK462" i="94"/>
  <c r="C447" i="94"/>
  <c r="C424" i="94"/>
  <c r="C401" i="94"/>
  <c r="C355" i="94"/>
  <c r="C443" i="94"/>
  <c r="C420" i="94"/>
  <c r="C397" i="94"/>
  <c r="C352" i="94"/>
  <c r="C439" i="94"/>
  <c r="C416" i="94"/>
  <c r="C393" i="94"/>
  <c r="C431" i="94"/>
  <c r="C408" i="94"/>
  <c r="C385" i="94"/>
  <c r="C339" i="94"/>
  <c r="C429" i="94"/>
  <c r="C406" i="94"/>
  <c r="C383" i="94"/>
  <c r="C335" i="94"/>
  <c r="C328" i="94"/>
  <c r="C300" i="94"/>
  <c r="C299" i="94"/>
  <c r="C271" i="94"/>
  <c r="C203" i="94"/>
  <c r="C201" i="94"/>
  <c r="C171" i="94"/>
  <c r="C449" i="94"/>
  <c r="C484" i="94"/>
  <c r="C677" i="94"/>
  <c r="C744" i="94"/>
  <c r="C842" i="94"/>
  <c r="C906" i="94"/>
  <c r="C872" i="94"/>
  <c r="C890" i="94"/>
  <c r="C870" i="94"/>
  <c r="C861" i="94"/>
  <c r="C862" i="94"/>
  <c r="AK759" i="94"/>
  <c r="AK861" i="94"/>
  <c r="AK905" i="94"/>
  <c r="B905" i="94" s="1"/>
  <c r="B889" i="94" l="1"/>
  <c r="AK868" i="94"/>
  <c r="AK860" i="94"/>
  <c r="AK851" i="94"/>
  <c r="AK862" i="94"/>
  <c r="AF833" i="94"/>
  <c r="AF832" i="94"/>
  <c r="AF803" i="94"/>
  <c r="AK36" i="94" l="1"/>
  <c r="AK18" i="94"/>
  <c r="AF18" i="94" s="1"/>
  <c r="AK42" i="94"/>
  <c r="B42" i="94" s="1"/>
  <c r="AK8" i="94"/>
  <c r="B8" i="94" s="1"/>
  <c r="B41" i="94"/>
  <c r="AK12" i="94"/>
  <c r="B38" i="94"/>
  <c r="B37" i="94"/>
  <c r="AK30" i="94"/>
  <c r="AK16" i="94"/>
  <c r="AK27" i="94"/>
  <c r="AK26" i="94"/>
  <c r="B25" i="94"/>
  <c r="AK15" i="94"/>
  <c r="AK701" i="94"/>
  <c r="AF727" i="94"/>
  <c r="AF726" i="94"/>
  <c r="AF724" i="94"/>
  <c r="AF720" i="94"/>
  <c r="AF719" i="94"/>
  <c r="AF717" i="94"/>
  <c r="AF716" i="94"/>
  <c r="AF715" i="94"/>
  <c r="AF714" i="94"/>
  <c r="AF713" i="94"/>
  <c r="AF712" i="94"/>
  <c r="AF711" i="94"/>
  <c r="AF710" i="94"/>
  <c r="AF709" i="94"/>
  <c r="AF708" i="94"/>
  <c r="AF707" i="94"/>
  <c r="AF706" i="94"/>
  <c r="AF705" i="94"/>
  <c r="AF704" i="94"/>
  <c r="AF703" i="94"/>
  <c r="AF702" i="94"/>
  <c r="AF698" i="94"/>
  <c r="AF694" i="94"/>
  <c r="AF693" i="94"/>
  <c r="AF692" i="94"/>
  <c r="AF691" i="94"/>
  <c r="AF690" i="94"/>
  <c r="AF689" i="94"/>
  <c r="AF688" i="94"/>
  <c r="AF686" i="94"/>
  <c r="AF685" i="94"/>
  <c r="AF39" i="94"/>
  <c r="AK815" i="94"/>
  <c r="AK783" i="94"/>
  <c r="AK770" i="94"/>
  <c r="AK757" i="94"/>
  <c r="AK141" i="94"/>
  <c r="F15" i="94"/>
  <c r="AF178" i="94"/>
  <c r="AF177" i="94"/>
  <c r="AF175" i="94"/>
  <c r="AF179" i="94"/>
  <c r="AK754" i="94"/>
  <c r="AK753" i="94"/>
  <c r="AK755" i="94"/>
  <c r="AK752" i="94"/>
  <c r="AF533" i="94"/>
  <c r="H910" i="94"/>
  <c r="F14" i="94"/>
  <c r="AK903" i="94"/>
  <c r="B903" i="94" s="1"/>
  <c r="AK900" i="94"/>
  <c r="B900" i="94" s="1"/>
  <c r="AK909" i="94"/>
  <c r="B909" i="94" s="1"/>
  <c r="AG902" i="94"/>
  <c r="AG903" i="94"/>
  <c r="B29" i="94" l="1"/>
  <c r="B680" i="94"/>
  <c r="AF187" i="94"/>
  <c r="B183" i="94"/>
  <c r="AF186" i="94"/>
  <c r="B174" i="94"/>
  <c r="AF174" i="94"/>
  <c r="AF185" i="94"/>
  <c r="AK899" i="94"/>
  <c r="AF767" i="94"/>
  <c r="AF766" i="94"/>
  <c r="AF210" i="94"/>
  <c r="AG210" i="94" s="1"/>
  <c r="G210" i="94" s="1"/>
  <c r="AF209" i="94"/>
  <c r="AG209" i="94" s="1"/>
  <c r="G209" i="94" s="1"/>
  <c r="AF208" i="94"/>
  <c r="AG208" i="94" s="1"/>
  <c r="B738" i="94"/>
  <c r="AF738" i="94"/>
  <c r="B737" i="94"/>
  <c r="AF737" i="94"/>
  <c r="B735" i="94"/>
  <c r="B190" i="94"/>
  <c r="B191" i="94"/>
  <c r="AF191" i="94"/>
  <c r="AK686" i="94"/>
  <c r="AK676" i="94"/>
  <c r="AK214" i="94"/>
  <c r="B214" i="94" s="1"/>
  <c r="AF213" i="94"/>
  <c r="AF214" i="94"/>
  <c r="AF212" i="94"/>
  <c r="AF211" i="94"/>
  <c r="B211" i="94"/>
  <c r="B206" i="94"/>
  <c r="AF206" i="94"/>
  <c r="B205" i="94"/>
  <c r="AF205" i="94"/>
  <c r="AF207" i="94"/>
  <c r="AF190" i="94"/>
  <c r="AF193" i="94"/>
  <c r="B204" i="94"/>
  <c r="B203" i="94"/>
  <c r="B201" i="94"/>
  <c r="B200" i="94"/>
  <c r="AF203" i="94"/>
  <c r="AF200" i="94"/>
  <c r="AF199" i="94"/>
  <c r="AF196" i="94"/>
  <c r="AK321" i="94"/>
  <c r="AF302" i="94"/>
  <c r="AK264" i="94"/>
  <c r="AK165" i="94"/>
  <c r="AF459" i="94"/>
  <c r="AF38" i="94"/>
  <c r="AF37" i="94"/>
  <c r="AF765" i="94"/>
  <c r="AF764" i="94"/>
  <c r="AF763" i="94"/>
  <c r="AF762" i="94"/>
  <c r="AF761" i="94"/>
  <c r="AF760" i="94"/>
  <c r="AF759" i="94"/>
  <c r="AF745" i="94"/>
  <c r="AF744" i="94"/>
  <c r="AF743" i="94"/>
  <c r="AF722" i="94"/>
  <c r="AF742" i="94"/>
  <c r="AG742" i="94" s="1"/>
  <c r="AF741" i="94"/>
  <c r="AG741" i="94" s="1"/>
  <c r="AF740" i="94"/>
  <c r="AG740" i="94" s="1"/>
  <c r="AF739" i="94"/>
  <c r="AF729" i="94"/>
  <c r="AF728" i="94"/>
  <c r="AF725" i="94"/>
  <c r="AF723" i="94"/>
  <c r="AF721" i="94"/>
  <c r="AF718" i="94"/>
  <c r="AF701" i="94"/>
  <c r="AF700" i="94"/>
  <c r="AF699" i="94"/>
  <c r="AF687" i="94"/>
  <c r="AF677" i="94"/>
  <c r="AF676" i="94"/>
  <c r="AF666" i="94"/>
  <c r="AF665" i="94"/>
  <c r="AF675" i="94"/>
  <c r="AF674" i="94"/>
  <c r="AF670" i="94"/>
  <c r="AF664" i="94"/>
  <c r="AF663" i="94"/>
  <c r="AF662" i="94"/>
  <c r="AF661" i="94"/>
  <c r="AF659" i="94"/>
  <c r="AF653" i="94"/>
  <c r="AF652" i="94"/>
  <c r="AF658" i="94"/>
  <c r="AF579" i="94"/>
  <c r="AF578" i="94"/>
  <c r="AF576" i="94"/>
  <c r="AF644" i="94"/>
  <c r="AF114" i="94"/>
  <c r="AF112" i="94"/>
  <c r="AF110" i="94"/>
  <c r="AF640" i="94"/>
  <c r="AF647" i="94"/>
  <c r="AF646" i="94"/>
  <c r="AF639" i="94"/>
  <c r="AF638" i="94"/>
  <c r="AF637" i="94"/>
  <c r="AF636" i="94"/>
  <c r="AF635" i="94"/>
  <c r="AF634" i="94"/>
  <c r="AF632" i="94"/>
  <c r="AF633" i="94"/>
  <c r="AF631" i="94"/>
  <c r="AF630" i="94"/>
  <c r="AF629" i="94"/>
  <c r="AF628" i="94"/>
  <c r="AF627" i="94"/>
  <c r="AF622" i="94"/>
  <c r="AF624" i="94"/>
  <c r="AF669" i="94"/>
  <c r="AF673" i="94"/>
  <c r="AF671" i="94"/>
  <c r="AF251" i="94"/>
  <c r="AF250" i="94"/>
  <c r="AF249" i="94"/>
  <c r="AF248" i="94"/>
  <c r="AF247" i="94"/>
  <c r="AF246" i="94"/>
  <c r="AF233" i="94"/>
  <c r="AF524" i="94"/>
  <c r="AF521" i="94"/>
  <c r="AF520" i="94"/>
  <c r="AF519" i="94"/>
  <c r="AF512" i="94"/>
  <c r="AF511" i="94"/>
  <c r="AF543" i="94"/>
  <c r="AF542" i="94"/>
  <c r="AF539" i="94"/>
  <c r="AF538" i="94"/>
  <c r="AF536" i="94"/>
  <c r="AF534" i="94"/>
  <c r="AF493" i="94"/>
  <c r="AF139" i="94"/>
  <c r="AF137" i="94"/>
  <c r="AF27" i="94"/>
  <c r="AF26" i="94"/>
  <c r="AF16" i="94"/>
  <c r="AK867" i="94"/>
  <c r="AK866" i="94"/>
  <c r="AK865" i="94"/>
  <c r="AF483" i="94"/>
  <c r="AF482" i="94"/>
  <c r="AF481" i="94"/>
  <c r="AF480" i="94"/>
  <c r="AF479" i="94"/>
  <c r="AF478" i="94"/>
  <c r="AF477" i="94"/>
  <c r="AF476" i="94"/>
  <c r="AF475" i="94"/>
  <c r="AF474" i="94"/>
  <c r="AF473" i="94"/>
  <c r="AF472" i="94"/>
  <c r="AF471" i="94"/>
  <c r="AF470" i="94"/>
  <c r="AF469" i="94"/>
  <c r="AF468" i="94"/>
  <c r="AF467" i="94"/>
  <c r="AF466" i="94"/>
  <c r="AK461" i="94"/>
  <c r="AK460" i="94"/>
  <c r="AK48" i="94"/>
  <c r="AF463" i="94"/>
  <c r="AF462" i="94"/>
  <c r="AF461" i="94"/>
  <c r="AF460" i="94"/>
  <c r="AF458" i="94"/>
  <c r="AF868" i="94"/>
  <c r="AF867" i="94"/>
  <c r="AF866" i="94"/>
  <c r="AF865" i="94"/>
  <c r="AF140" i="94"/>
  <c r="AF48" i="94"/>
  <c r="AF15" i="94"/>
  <c r="AK50" i="94"/>
  <c r="AF862" i="94"/>
  <c r="AF861" i="94"/>
  <c r="AF437" i="94"/>
  <c r="AF436" i="94"/>
  <c r="AF435" i="94"/>
  <c r="AF434" i="94"/>
  <c r="AF433" i="94"/>
  <c r="AF428" i="94"/>
  <c r="AF427" i="94"/>
  <c r="AF426" i="94"/>
  <c r="AF414" i="94"/>
  <c r="AF413" i="94"/>
  <c r="AF412" i="94"/>
  <c r="AF411" i="94"/>
  <c r="AF410" i="94"/>
  <c r="AF405" i="94"/>
  <c r="AF404" i="94"/>
  <c r="AF403" i="94"/>
  <c r="AF402" i="94"/>
  <c r="AF401" i="94"/>
  <c r="AF400" i="94"/>
  <c r="AF399" i="94"/>
  <c r="AF391" i="94"/>
  <c r="AF390" i="94"/>
  <c r="AF389" i="94"/>
  <c r="AF388" i="94"/>
  <c r="AF387" i="94"/>
  <c r="AF382" i="94"/>
  <c r="AF356" i="94"/>
  <c r="AF355" i="94"/>
  <c r="AF354" i="94"/>
  <c r="AF353" i="94"/>
  <c r="AF352" i="94"/>
  <c r="AF351" i="94"/>
  <c r="AF350" i="94"/>
  <c r="AF349" i="94"/>
  <c r="AF348" i="94"/>
  <c r="AF347" i="94"/>
  <c r="AF346" i="94"/>
  <c r="AF345" i="94"/>
  <c r="AF344" i="94"/>
  <c r="AF343" i="94"/>
  <c r="AF342" i="94"/>
  <c r="AF341" i="94"/>
  <c r="AF339" i="94"/>
  <c r="AF336" i="94"/>
  <c r="AF335" i="94"/>
  <c r="AF334" i="94"/>
  <c r="AF333" i="94"/>
  <c r="AF332" i="94"/>
  <c r="AF331" i="94"/>
  <c r="AF330" i="94"/>
  <c r="AF329" i="94"/>
  <c r="AF328" i="94"/>
  <c r="AF327" i="94"/>
  <c r="AF326" i="94"/>
  <c r="AF325" i="94"/>
  <c r="AF322" i="94"/>
  <c r="AF321" i="94"/>
  <c r="AF319" i="94"/>
  <c r="AF318" i="94"/>
  <c r="AF317" i="94"/>
  <c r="AF316" i="94"/>
  <c r="AF309" i="94"/>
  <c r="AF308" i="94"/>
  <c r="AF307" i="94"/>
  <c r="AF306" i="94"/>
  <c r="AF301" i="94"/>
  <c r="AF300" i="94"/>
  <c r="AF299" i="94"/>
  <c r="AF860" i="94"/>
  <c r="AF283" i="94"/>
  <c r="AF50" i="94"/>
  <c r="B639" i="94"/>
  <c r="B638" i="94"/>
  <c r="AK646" i="94"/>
  <c r="B646" i="94" s="1"/>
  <c r="AK702" i="94"/>
  <c r="B702" i="94" s="1"/>
  <c r="AF201" i="94" l="1"/>
  <c r="AF192" i="94"/>
  <c r="AF276" i="94"/>
  <c r="AF278" i="94"/>
  <c r="AF275" i="94"/>
  <c r="AF274" i="94"/>
  <c r="B794" i="94"/>
  <c r="AF816" i="94"/>
  <c r="B816" i="94"/>
  <c r="AK826" i="94"/>
  <c r="B826" i="94" s="1"/>
  <c r="AK825" i="94"/>
  <c r="B825" i="94" s="1"/>
  <c r="AF810" i="94"/>
  <c r="AF809" i="94"/>
  <c r="AF808" i="94"/>
  <c r="AF806" i="94"/>
  <c r="AF805" i="94"/>
  <c r="AF804" i="94"/>
  <c r="AF802" i="94"/>
  <c r="AF801" i="94"/>
  <c r="AF800" i="94"/>
  <c r="AF799" i="94"/>
  <c r="B524" i="94"/>
  <c r="B541" i="94"/>
  <c r="AK842" i="94" l="1"/>
  <c r="AK743" i="94"/>
  <c r="B743" i="94" s="1"/>
  <c r="B669" i="94"/>
  <c r="AK484" i="94"/>
  <c r="AK449" i="94"/>
  <c r="B622" i="94"/>
  <c r="B251" i="94"/>
  <c r="B250" i="94"/>
  <c r="C13" i="99"/>
  <c r="B13" i="99"/>
  <c r="G2" i="99"/>
  <c r="B12" i="99"/>
  <c r="B11" i="99"/>
  <c r="B10" i="99"/>
  <c r="B9" i="99"/>
  <c r="B8" i="99"/>
  <c r="B7" i="99"/>
  <c r="C12" i="99"/>
  <c r="C11" i="99"/>
  <c r="C10" i="99"/>
  <c r="C9" i="99"/>
  <c r="C8" i="99"/>
  <c r="C7" i="99"/>
  <c r="B25" i="99"/>
  <c r="B24" i="99"/>
  <c r="B23" i="99"/>
  <c r="B22" i="99"/>
  <c r="B21" i="99"/>
  <c r="B20" i="99"/>
  <c r="B18" i="99"/>
  <c r="B19" i="99"/>
  <c r="B171" i="94"/>
  <c r="B169" i="94"/>
  <c r="AK718" i="94"/>
  <c r="AK687" i="94"/>
  <c r="B687" i="94" s="1"/>
  <c r="AK674" i="94"/>
  <c r="B640" i="94"/>
  <c r="B542" i="94"/>
  <c r="AK716" i="94"/>
  <c r="B716" i="94" s="1"/>
  <c r="AG481" i="94"/>
  <c r="AG480" i="94"/>
  <c r="AG479" i="94"/>
  <c r="AK477" i="94"/>
  <c r="AG469" i="94"/>
  <c r="AH469" i="94"/>
  <c r="AH470" i="94"/>
  <c r="AH468" i="94"/>
  <c r="AG468" i="94"/>
  <c r="AK481" i="94"/>
  <c r="B481" i="94" s="1"/>
  <c r="AK480" i="94"/>
  <c r="B480" i="94" s="1"/>
  <c r="AK479" i="94"/>
  <c r="B479" i="94" s="1"/>
  <c r="AK478" i="94"/>
  <c r="B478" i="94" s="1"/>
  <c r="AK470" i="94"/>
  <c r="B470" i="94" s="1"/>
  <c r="AK469" i="94"/>
  <c r="B469" i="94" s="1"/>
  <c r="AK467" i="94"/>
  <c r="B467" i="94" s="1"/>
  <c r="AK468" i="94"/>
  <c r="B468" i="94" s="1"/>
  <c r="AK445" i="94"/>
  <c r="B445" i="94" s="1"/>
  <c r="AK443" i="94"/>
  <c r="B443" i="94" s="1"/>
  <c r="AK422" i="94"/>
  <c r="B422" i="94" s="1"/>
  <c r="AK420" i="94"/>
  <c r="B420" i="94" s="1"/>
  <c r="AK397" i="94"/>
  <c r="B397" i="94" s="1"/>
  <c r="AK352" i="94"/>
  <c r="B352" i="94" s="1"/>
  <c r="AK334" i="94" l="1"/>
  <c r="AK308" i="94"/>
  <c r="B533" i="94"/>
  <c r="AF807" i="94"/>
  <c r="AF859" i="94"/>
  <c r="B697" i="94"/>
  <c r="B696" i="94"/>
  <c r="B695" i="94"/>
  <c r="B694" i="94"/>
  <c r="AK693" i="94"/>
  <c r="B693" i="94" s="1"/>
  <c r="B686" i="94"/>
  <c r="AF197" i="94"/>
  <c r="B670" i="94" l="1"/>
  <c r="B576" i="94"/>
  <c r="B637" i="94"/>
  <c r="B636" i="94"/>
  <c r="A41" i="103" l="1"/>
  <c r="B41" i="102"/>
  <c r="B168" i="94" l="1"/>
  <c r="AF168" i="94"/>
  <c r="AK898" i="94"/>
  <c r="AK894" i="94"/>
  <c r="B894" i="94" s="1"/>
  <c r="AK864" i="94"/>
  <c r="B864" i="94" s="1"/>
  <c r="B851" i="94"/>
  <c r="B493" i="94" l="1"/>
  <c r="B458" i="94"/>
  <c r="AK457" i="94"/>
  <c r="B457" i="94" s="1"/>
  <c r="AF272" i="94"/>
  <c r="B162" i="94"/>
  <c r="AK399" i="94"/>
  <c r="AK428" i="94"/>
  <c r="AK405" i="94"/>
  <c r="AK382" i="94"/>
  <c r="B323" i="94"/>
  <c r="AK283" i="94"/>
  <c r="B264" i="94"/>
  <c r="AF264" i="94"/>
  <c r="AK279" i="94"/>
  <c r="B899" i="94"/>
  <c r="AK723" i="94"/>
  <c r="B723" i="94" s="1"/>
  <c r="AK630" i="94" l="1"/>
  <c r="B630" i="94" s="1"/>
  <c r="B449" i="94"/>
  <c r="B754" i="94"/>
  <c r="B141" i="94"/>
  <c r="AF898" i="94"/>
  <c r="B539" i="94" l="1"/>
  <c r="B815" i="94"/>
  <c r="B753" i="94"/>
  <c r="B755" i="94"/>
  <c r="B752" i="94"/>
  <c r="B510" i="94"/>
  <c r="B30" i="94"/>
  <c r="B165" i="94"/>
  <c r="B164" i="94"/>
  <c r="AF165" i="94"/>
  <c r="AF164" i="94"/>
  <c r="AF285" i="94"/>
  <c r="AF284" i="94"/>
  <c r="AF282" i="94"/>
  <c r="AF281" i="94"/>
  <c r="AF279" i="94"/>
  <c r="AF277" i="94"/>
  <c r="AF273" i="94"/>
  <c r="AF263" i="94"/>
  <c r="AF184" i="94"/>
  <c r="AF167" i="94"/>
  <c r="AF166" i="94"/>
  <c r="B48" i="94" l="1"/>
  <c r="AK3" i="94"/>
  <c r="B177" i="94" l="1"/>
  <c r="B898" i="94" l="1"/>
  <c r="AK904" i="94"/>
  <c r="B904" i="94" s="1"/>
  <c r="AK869" i="94"/>
  <c r="B869" i="94" s="1"/>
  <c r="B862" i="94"/>
  <c r="B861" i="94"/>
  <c r="B860" i="94"/>
  <c r="B842" i="94"/>
  <c r="AK714" i="94"/>
  <c r="B714" i="94" s="1"/>
  <c r="AK712" i="94"/>
  <c r="B712" i="94" s="1"/>
  <c r="AK710" i="94"/>
  <c r="B710" i="94" s="1"/>
  <c r="AK708" i="94"/>
  <c r="B708" i="94" s="1"/>
  <c r="AK706" i="94"/>
  <c r="B706" i="94" s="1"/>
  <c r="AK704" i="94"/>
  <c r="B704" i="94" s="1"/>
  <c r="B677" i="94"/>
  <c r="B484" i="94"/>
  <c r="B858" i="94"/>
  <c r="B770" i="94"/>
  <c r="B759" i="94"/>
  <c r="B757" i="94"/>
  <c r="B718" i="94"/>
  <c r="B701" i="94"/>
  <c r="B685" i="94"/>
  <c r="AK482" i="94"/>
  <c r="B482" i="94" s="1"/>
  <c r="AK476" i="94"/>
  <c r="B476" i="94" s="1"/>
  <c r="B477" i="94"/>
  <c r="B471" i="94"/>
  <c r="B428" i="94"/>
  <c r="B405" i="94"/>
  <c r="B399" i="94"/>
  <c r="B382" i="94"/>
  <c r="B334" i="94"/>
  <c r="B308" i="94"/>
  <c r="AK327" i="94"/>
  <c r="B327" i="94" s="1"/>
  <c r="B321" i="94"/>
  <c r="B161" i="94"/>
  <c r="B283" i="94"/>
  <c r="B279" i="94"/>
  <c r="AK281" i="94"/>
  <c r="B167" i="94" l="1"/>
  <c r="B166" i="94"/>
  <c r="B146" i="94"/>
  <c r="AK124" i="94"/>
  <c r="B124" i="94" s="1"/>
  <c r="B121" i="94"/>
  <c r="B120" i="94"/>
  <c r="AK119" i="94"/>
  <c r="B119" i="94" s="1"/>
  <c r="B118" i="94"/>
  <c r="B676" i="94"/>
  <c r="B674" i="94"/>
  <c r="B635" i="94" l="1"/>
  <c r="B632" i="94"/>
  <c r="B625" i="94"/>
  <c r="B624" i="94"/>
  <c r="B512" i="94"/>
  <c r="B783" i="94" l="1"/>
  <c r="B39" i="94" l="1"/>
  <c r="B287" i="94" l="1"/>
  <c r="B18" i="94"/>
  <c r="D20" i="84"/>
  <c r="E20" i="84" s="1"/>
  <c r="D21" i="84"/>
  <c r="E21" i="84" s="1"/>
  <c r="D22" i="84"/>
  <c r="E22" i="84" s="1"/>
  <c r="D23" i="84"/>
  <c r="E23" i="84" s="1"/>
  <c r="D24" i="84"/>
  <c r="E24" i="84" s="1"/>
  <c r="C15" i="84"/>
  <c r="C16" i="84"/>
  <c r="C17" i="84"/>
  <c r="C18" i="84"/>
  <c r="C19" i="84"/>
  <c r="C20" i="84"/>
  <c r="C21" i="84"/>
  <c r="C22" i="84"/>
  <c r="C23" i="84"/>
  <c r="C24" i="84"/>
  <c r="C25" i="84"/>
  <c r="C14" i="84"/>
  <c r="B15" i="84"/>
  <c r="B16" i="84"/>
  <c r="B17" i="84"/>
  <c r="B18" i="84"/>
  <c r="B19" i="84"/>
  <c r="B20" i="84"/>
  <c r="B21" i="84"/>
  <c r="B22" i="84"/>
  <c r="B23" i="84"/>
  <c r="B24" i="84"/>
  <c r="B25" i="84"/>
  <c r="B14" i="84"/>
  <c r="D10" i="84"/>
  <c r="E10" i="84" s="1"/>
  <c r="D11" i="84"/>
  <c r="F12" i="84" s="1"/>
  <c r="D12" i="84"/>
  <c r="E12" i="84" s="1"/>
  <c r="D13" i="84"/>
  <c r="E13" i="84" s="1"/>
  <c r="D14" i="84"/>
  <c r="E14" i="84" s="1"/>
  <c r="D15" i="84"/>
  <c r="E15" i="84" s="1"/>
  <c r="D16" i="84"/>
  <c r="E16" i="84" s="1"/>
  <c r="D17" i="84"/>
  <c r="E17" i="84" s="1"/>
  <c r="D18" i="84"/>
  <c r="E18" i="84" s="1"/>
  <c r="D19" i="84"/>
  <c r="F20" i="84" s="1"/>
  <c r="B27" i="94"/>
  <c r="B487" i="94"/>
  <c r="E19" i="84" l="1"/>
  <c r="E11" i="84"/>
  <c r="F19" i="84"/>
  <c r="F11" i="84"/>
  <c r="F18" i="84"/>
  <c r="F17" i="84"/>
  <c r="F24" i="84"/>
  <c r="F16" i="84"/>
  <c r="F23" i="84"/>
  <c r="F15" i="84"/>
  <c r="F22" i="84"/>
  <c r="F14" i="84"/>
  <c r="F21" i="84"/>
  <c r="F13" i="84"/>
  <c r="B867" i="94"/>
  <c r="B868" i="94"/>
  <c r="B866" i="94"/>
  <c r="B865" i="94"/>
  <c r="B462" i="94"/>
  <c r="B463" i="94"/>
  <c r="B460" i="94"/>
  <c r="B461" i="94"/>
  <c r="AK452" i="94"/>
  <c r="D25" i="84"/>
  <c r="B36" i="94"/>
  <c r="B26" i="94"/>
  <c r="B50" i="94"/>
  <c r="B15" i="94"/>
  <c r="B16" i="94"/>
  <c r="B22" i="94"/>
  <c r="B31" i="94"/>
  <c r="C80" i="84" l="1"/>
  <c r="B12" i="94"/>
  <c r="B7" i="102" l="1"/>
  <c r="B14" i="94"/>
  <c r="C75" i="84" l="1"/>
  <c r="C74" i="84"/>
  <c r="C73" i="84"/>
  <c r="C72" i="84"/>
  <c r="C71" i="84"/>
  <c r="C70" i="84"/>
  <c r="C69" i="84"/>
  <c r="C68" i="84"/>
  <c r="C67" i="84"/>
  <c r="C57" i="84"/>
  <c r="C56" i="84"/>
  <c r="C55" i="84"/>
  <c r="C54" i="84"/>
  <c r="C53" i="84"/>
  <c r="C52" i="84"/>
  <c r="C51" i="84"/>
  <c r="C50" i="84"/>
  <c r="C49" i="84"/>
  <c r="C66" i="84"/>
  <c r="C65" i="84"/>
  <c r="C64" i="84"/>
  <c r="C63" i="84"/>
  <c r="C62" i="84"/>
  <c r="C61" i="84"/>
  <c r="C60" i="84"/>
  <c r="C59" i="84"/>
  <c r="C58" i="84"/>
  <c r="C29" i="84"/>
  <c r="C30" i="84"/>
  <c r="C31" i="84"/>
  <c r="C32" i="84"/>
  <c r="C33" i="84"/>
  <c r="C34" i="84"/>
  <c r="C35" i="84"/>
  <c r="C36" i="84"/>
  <c r="C37" i="84"/>
  <c r="C38" i="84"/>
  <c r="C39" i="84"/>
  <c r="C40" i="84"/>
  <c r="C41" i="84"/>
  <c r="C42" i="84"/>
  <c r="C43" i="84"/>
  <c r="C44" i="84"/>
  <c r="C45" i="84"/>
  <c r="C46" i="84"/>
  <c r="C47" i="84"/>
  <c r="C48" i="84"/>
  <c r="C76" i="84"/>
  <c r="C28" i="84"/>
  <c r="C187" i="84" l="1"/>
  <c r="C186" i="84"/>
  <c r="C185" i="84"/>
  <c r="C184" i="84"/>
  <c r="C183" i="84"/>
  <c r="C182" i="84"/>
  <c r="C181" i="84"/>
  <c r="C180" i="84"/>
  <c r="C179" i="84"/>
  <c r="C178" i="84"/>
  <c r="C177" i="84"/>
  <c r="C176" i="84"/>
  <c r="C175" i="84"/>
  <c r="C174" i="84"/>
  <c r="C173" i="84"/>
  <c r="C172" i="84"/>
  <c r="C171" i="84"/>
  <c r="C170" i="84"/>
  <c r="C169" i="84"/>
  <c r="C168" i="84"/>
  <c r="C167" i="84"/>
  <c r="C166" i="84"/>
  <c r="C165" i="84"/>
  <c r="C164" i="84"/>
  <c r="C163" i="84"/>
  <c r="C162" i="84"/>
  <c r="C161" i="84"/>
  <c r="C160" i="84"/>
  <c r="C159" i="84"/>
  <c r="C158" i="84"/>
  <c r="C157" i="84"/>
  <c r="C156" i="84"/>
  <c r="C155" i="84"/>
  <c r="C154" i="84"/>
  <c r="C153" i="84"/>
  <c r="C152" i="84"/>
  <c r="C151" i="84"/>
  <c r="C150" i="84"/>
  <c r="C149" i="84"/>
  <c r="C148" i="84"/>
  <c r="C147" i="84"/>
  <c r="C146" i="84"/>
  <c r="C145" i="84"/>
  <c r="C144" i="84"/>
  <c r="C143" i="84"/>
  <c r="C142" i="84"/>
  <c r="C141" i="84"/>
  <c r="C140" i="84"/>
  <c r="C139" i="84"/>
  <c r="C138" i="84"/>
  <c r="C137" i="84"/>
  <c r="C136" i="84"/>
  <c r="C135" i="84"/>
  <c r="C134" i="84"/>
  <c r="C133" i="84"/>
  <c r="C132" i="84"/>
  <c r="C131" i="84"/>
  <c r="C130" i="84"/>
  <c r="C129" i="84"/>
  <c r="C128" i="84"/>
  <c r="C127" i="84"/>
  <c r="C126" i="84"/>
  <c r="C125" i="84"/>
  <c r="C124" i="84"/>
  <c r="C123" i="84"/>
  <c r="C122" i="84"/>
  <c r="C121" i="84"/>
  <c r="C120" i="84"/>
  <c r="C119" i="84"/>
  <c r="C118" i="84"/>
  <c r="C117" i="84"/>
  <c r="C116" i="84"/>
  <c r="C115" i="84"/>
  <c r="C114" i="84"/>
  <c r="C113" i="84"/>
  <c r="C112" i="84"/>
  <c r="C111" i="84"/>
  <c r="C110" i="84"/>
  <c r="C109" i="84"/>
  <c r="C108" i="84"/>
  <c r="C107" i="84"/>
  <c r="C106" i="84"/>
  <c r="C105" i="84"/>
  <c r="C104" i="84"/>
  <c r="C103" i="84"/>
  <c r="C102" i="84"/>
  <c r="C101" i="84"/>
  <c r="C100" i="84"/>
  <c r="C99" i="84"/>
  <c r="C98" i="84"/>
  <c r="C97" i="84"/>
  <c r="C96" i="84"/>
  <c r="C95" i="84"/>
  <c r="C94" i="84"/>
  <c r="C93" i="84"/>
  <c r="C92" i="84"/>
  <c r="C91" i="84"/>
  <c r="C90" i="84"/>
  <c r="C89" i="84"/>
  <c r="C88" i="84"/>
  <c r="C87" i="84"/>
  <c r="C86" i="84"/>
  <c r="C85" i="84"/>
  <c r="C84" i="84"/>
  <c r="C83" i="84"/>
  <c r="C82" i="84"/>
  <c r="C81" i="84"/>
  <c r="AH704" i="94" l="1"/>
  <c r="H704" i="94" s="1"/>
  <c r="AH706" i="94" l="1"/>
  <c r="H706" i="94" s="1"/>
  <c r="AH708" i="94" l="1"/>
  <c r="H708" i="94" s="1"/>
  <c r="AH710" i="94"/>
  <c r="H710" i="94" s="1"/>
  <c r="G468" i="94" l="1"/>
  <c r="H468" i="94" l="1"/>
  <c r="F468" i="94" l="1"/>
  <c r="G469" i="94"/>
  <c r="H469" i="94" s="1"/>
  <c r="AG470" i="94" l="1"/>
  <c r="G470" i="94" s="1"/>
  <c r="G479" i="94"/>
  <c r="AH479" i="94" s="1"/>
  <c r="H479" i="94" s="1"/>
  <c r="F469" i="94"/>
  <c r="F479" i="94" l="1"/>
  <c r="G480" i="94"/>
  <c r="H470" i="94"/>
  <c r="AH480" i="94" l="1"/>
  <c r="H480" i="94" s="1"/>
  <c r="F470" i="94"/>
  <c r="AH283" i="94" l="1"/>
  <c r="G481" i="94"/>
  <c r="F480" i="94"/>
  <c r="H283" i="94" l="1"/>
  <c r="AH481" i="94"/>
  <c r="H481" i="94" s="1"/>
  <c r="F481" i="94" l="1"/>
  <c r="G208" i="94" l="1"/>
  <c r="AH208" i="94" l="1"/>
  <c r="H208" i="94" l="1"/>
  <c r="AH209" i="94" l="1"/>
  <c r="H209" i="94" s="1"/>
  <c r="AH210" i="94" l="1"/>
  <c r="H210" i="94" s="1"/>
  <c r="AH712" i="94" l="1"/>
  <c r="H712" i="94" s="1"/>
  <c r="AH716" i="94" l="1"/>
  <c r="H716" i="94" s="1"/>
  <c r="AH714" i="94"/>
  <c r="H714" i="94" s="1"/>
  <c r="E6" i="102" l="1"/>
  <c r="E33" i="102"/>
  <c r="G841" i="94"/>
  <c r="E52" i="102" l="1"/>
  <c r="E18" i="102"/>
  <c r="C15" i="102" l="1"/>
  <c r="E15" i="102" s="1"/>
  <c r="A42" i="103" l="1"/>
  <c r="C41" i="102"/>
  <c r="E41" i="102" s="1"/>
  <c r="AH690" i="94" l="1"/>
  <c r="AH689" i="94"/>
  <c r="AH691" i="94"/>
  <c r="AH688" i="94"/>
  <c r="AH692" i="94"/>
  <c r="AG695" i="94" l="1"/>
  <c r="AG696" i="94"/>
  <c r="AG697" i="94"/>
  <c r="AH696" i="94" l="1"/>
  <c r="H696" i="94" s="1"/>
  <c r="G696" i="94"/>
  <c r="AH695" i="94"/>
  <c r="H695" i="94" s="1"/>
  <c r="G695" i="94"/>
  <c r="AH697" i="94"/>
  <c r="H697" i="94" s="1"/>
  <c r="G697" i="94"/>
  <c r="G740" i="94"/>
  <c r="AH740" i="94" l="1"/>
  <c r="H740" i="94" s="1"/>
  <c r="G741" i="94" l="1"/>
  <c r="AH741" i="94" l="1"/>
  <c r="H741" i="94" s="1"/>
  <c r="G742" i="94" l="1"/>
  <c r="AH742" i="94" l="1"/>
  <c r="H742" i="94" s="1"/>
  <c r="C14" i="102" l="1"/>
  <c r="E14" i="102" l="1"/>
  <c r="E50" i="102" l="1"/>
  <c r="E26" i="102"/>
  <c r="E38" i="102" l="1"/>
  <c r="E22" i="102" l="1"/>
  <c r="B40" i="102" l="1"/>
  <c r="C40" i="102" s="1"/>
  <c r="E40" i="102" s="1"/>
  <c r="B20" i="102"/>
  <c r="C20" i="102" s="1"/>
  <c r="E20" i="102" s="1"/>
  <c r="E10" i="102" l="1"/>
  <c r="AG14" i="94" l="1"/>
  <c r="AG283" i="94"/>
  <c r="G14" i="94" l="1"/>
  <c r="AG454" i="94" s="1"/>
  <c r="G454" i="94" s="1"/>
  <c r="AG458" i="94" l="1"/>
  <c r="G458" i="94" s="1"/>
  <c r="AH458" i="94" s="1"/>
  <c r="H458" i="94" s="1"/>
  <c r="AG464" i="94" l="1"/>
  <c r="G464" i="94" s="1"/>
  <c r="F458" i="94"/>
  <c r="B28" i="102" l="1"/>
  <c r="C28" i="102" s="1"/>
  <c r="E28" i="102" s="1"/>
  <c r="AK416" i="94"/>
  <c r="B416" i="94" s="1"/>
  <c r="AK383" i="94"/>
  <c r="B383" i="94" s="1"/>
  <c r="AK393" i="94"/>
  <c r="B393" i="94" s="1"/>
  <c r="AK384" i="94"/>
  <c r="B384" i="94" s="1"/>
  <c r="AK406" i="94"/>
  <c r="B406" i="94" s="1"/>
  <c r="AK439" i="94"/>
  <c r="B439" i="94" s="1"/>
  <c r="AK348" i="94"/>
  <c r="B348" i="94" s="1"/>
  <c r="AK429" i="94"/>
  <c r="B429" i="94" s="1"/>
  <c r="AH354" i="94"/>
  <c r="H354" i="94" s="1"/>
  <c r="G402" i="94"/>
  <c r="AK355" i="94"/>
  <c r="B355" i="94" s="1"/>
  <c r="AG356" i="94"/>
  <c r="G356" i="94" s="1"/>
  <c r="G401" i="94"/>
  <c r="AK370" i="94"/>
  <c r="B370" i="94" s="1"/>
  <c r="AK360" i="94"/>
  <c r="B360" i="94" s="1"/>
  <c r="AK336" i="94"/>
  <c r="B336" i="94" s="1"/>
  <c r="AK361" i="94"/>
  <c r="B361" i="94" s="1"/>
  <c r="AK447" i="94"/>
  <c r="B447" i="94" s="1"/>
  <c r="AG357" i="94"/>
  <c r="AK407" i="94"/>
  <c r="B407" i="94" s="1"/>
  <c r="AK430" i="94"/>
  <c r="B430" i="94" s="1"/>
  <c r="AG355" i="94"/>
  <c r="G355" i="94" s="1"/>
  <c r="AK424" i="94"/>
  <c r="B424" i="94" s="1"/>
  <c r="AK378" i="94"/>
  <c r="B378" i="94" s="1"/>
  <c r="AK401" i="94"/>
  <c r="B401" i="94" s="1"/>
  <c r="AK335" i="94"/>
  <c r="B335" i="94" s="1"/>
  <c r="AH464" i="94"/>
  <c r="H464" i="94" s="1"/>
  <c r="AH355" i="94" l="1"/>
  <c r="H355" i="94" s="1"/>
  <c r="AH402" i="94"/>
  <c r="H402" i="94" s="1"/>
  <c r="B29" i="102"/>
  <c r="C29" i="102" s="1"/>
  <c r="E29" i="102" s="1"/>
  <c r="AG358" i="94"/>
  <c r="G358" i="94" s="1"/>
  <c r="AG379" i="94"/>
  <c r="G379" i="94" s="1"/>
  <c r="AG380" i="94"/>
  <c r="AH377" i="94"/>
  <c r="H377" i="94" s="1"/>
  <c r="AG378" i="94"/>
  <c r="G378" i="94" s="1"/>
  <c r="AH356" i="94"/>
  <c r="H356" i="94" s="1"/>
  <c r="AH401" i="94"/>
  <c r="H401" i="94" s="1"/>
  <c r="AH466" i="94"/>
  <c r="H466" i="94" s="1"/>
  <c r="AG467" i="94" s="1"/>
  <c r="G467" i="94" s="1"/>
  <c r="F464" i="94"/>
  <c r="F402" i="94" l="1"/>
  <c r="AH400" i="94"/>
  <c r="H400" i="94" s="1"/>
  <c r="AG401" i="94"/>
  <c r="AG403" i="94"/>
  <c r="G403" i="94" s="1"/>
  <c r="AG402" i="94"/>
  <c r="B30" i="102"/>
  <c r="C30" i="102" s="1"/>
  <c r="E30" i="102" s="1"/>
  <c r="AG381" i="94"/>
  <c r="G381" i="94" s="1"/>
  <c r="AH378" i="94"/>
  <c r="H378" i="94" s="1"/>
  <c r="AH358" i="94"/>
  <c r="H358" i="94" s="1"/>
  <c r="AG360" i="94"/>
  <c r="G360" i="94" s="1"/>
  <c r="AH379" i="94"/>
  <c r="H379" i="94" s="1"/>
  <c r="F401" i="94"/>
  <c r="F358" i="94" l="1"/>
  <c r="F379" i="94"/>
  <c r="B31" i="102"/>
  <c r="C31" i="102" s="1"/>
  <c r="E31" i="102" s="1"/>
  <c r="AH423" i="94"/>
  <c r="H423" i="94" s="1"/>
  <c r="AG424" i="94"/>
  <c r="G424" i="94" s="1"/>
  <c r="AG404" i="94"/>
  <c r="G404" i="94" s="1"/>
  <c r="AG426" i="94"/>
  <c r="G426" i="94" s="1"/>
  <c r="AG425" i="94"/>
  <c r="G425" i="94" s="1"/>
  <c r="F378" i="94"/>
  <c r="AH360" i="94"/>
  <c r="H360" i="94" s="1"/>
  <c r="AG361" i="94"/>
  <c r="G361" i="94" s="1"/>
  <c r="AH381" i="94"/>
  <c r="H381" i="94" s="1"/>
  <c r="AG383" i="94"/>
  <c r="G383" i="94" s="1"/>
  <c r="F360" i="94" l="1"/>
  <c r="AG362" i="94"/>
  <c r="G362" i="94" s="1"/>
  <c r="AH361" i="94"/>
  <c r="H361" i="94" s="1"/>
  <c r="AH424" i="94"/>
  <c r="H424" i="94" s="1"/>
  <c r="AG406" i="94"/>
  <c r="G406" i="94" s="1"/>
  <c r="AH404" i="94"/>
  <c r="H404" i="94" s="1"/>
  <c r="AH383" i="94"/>
  <c r="H383" i="94" s="1"/>
  <c r="AG384" i="94"/>
  <c r="G384" i="94" s="1"/>
  <c r="AG448" i="94"/>
  <c r="G448" i="94" s="1"/>
  <c r="B32" i="102"/>
  <c r="C32" i="102" s="1"/>
  <c r="E32" i="102" s="1"/>
  <c r="AG447" i="94"/>
  <c r="G447" i="94" s="1"/>
  <c r="AG427" i="94"/>
  <c r="G427" i="94" s="1"/>
  <c r="AH446" i="94"/>
  <c r="H446" i="94" s="1"/>
  <c r="F381" i="94"/>
  <c r="AH425" i="94"/>
  <c r="H425" i="94" s="1"/>
  <c r="F424" i="94" l="1"/>
  <c r="F361" i="94"/>
  <c r="F404" i="94"/>
  <c r="F425" i="94"/>
  <c r="AG363" i="94"/>
  <c r="G363" i="94" s="1"/>
  <c r="AH362" i="94"/>
  <c r="H362" i="94" s="1"/>
  <c r="AG385" i="94"/>
  <c r="G385" i="94" s="1"/>
  <c r="AH384" i="94"/>
  <c r="H384" i="94" s="1"/>
  <c r="F383" i="94"/>
  <c r="AH448" i="94"/>
  <c r="H448" i="94" s="1"/>
  <c r="AH447" i="94"/>
  <c r="H447" i="94" s="1"/>
  <c r="AH406" i="94"/>
  <c r="H406" i="94" s="1"/>
  <c r="AG407" i="94"/>
  <c r="G407" i="94" s="1"/>
  <c r="AG429" i="94"/>
  <c r="G429" i="94" s="1"/>
  <c r="AH427" i="94"/>
  <c r="H427" i="94" s="1"/>
  <c r="F362" i="94" l="1"/>
  <c r="F448" i="94"/>
  <c r="F447" i="94"/>
  <c r="AH363" i="94"/>
  <c r="H363" i="94" s="1"/>
  <c r="AG364" i="94"/>
  <c r="G364" i="94" s="1"/>
  <c r="AH407" i="94"/>
  <c r="H407" i="94" s="1"/>
  <c r="AG408" i="94"/>
  <c r="G408" i="94" s="1"/>
  <c r="AG386" i="94"/>
  <c r="G386" i="94" s="1"/>
  <c r="AH385" i="94"/>
  <c r="H385" i="94" s="1"/>
  <c r="F384" i="94"/>
  <c r="F406" i="94"/>
  <c r="AG430" i="94"/>
  <c r="G430" i="94" s="1"/>
  <c r="AH429" i="94"/>
  <c r="H429" i="94" s="1"/>
  <c r="F427" i="94"/>
  <c r="F385" i="94" l="1"/>
  <c r="AG365" i="94"/>
  <c r="G365" i="94" s="1"/>
  <c r="AH364" i="94"/>
  <c r="H364" i="94" s="1"/>
  <c r="AG431" i="94"/>
  <c r="G431" i="94" s="1"/>
  <c r="AH430" i="94"/>
  <c r="H430" i="94" s="1"/>
  <c r="AH408" i="94"/>
  <c r="H408" i="94" s="1"/>
  <c r="AG409" i="94"/>
  <c r="G409" i="94" s="1"/>
  <c r="F363" i="94"/>
  <c r="F407" i="94"/>
  <c r="AG387" i="94"/>
  <c r="G387" i="94" s="1"/>
  <c r="AH386" i="94"/>
  <c r="H386" i="94" s="1"/>
  <c r="F429" i="94"/>
  <c r="F386" i="94" l="1"/>
  <c r="AH365" i="94"/>
  <c r="H365" i="94" s="1"/>
  <c r="AG366" i="94"/>
  <c r="G366" i="94" s="1"/>
  <c r="AG388" i="94"/>
  <c r="G388" i="94" s="1"/>
  <c r="AH387" i="94"/>
  <c r="H387" i="94" s="1"/>
  <c r="F364" i="94"/>
  <c r="AG432" i="94"/>
  <c r="G432" i="94" s="1"/>
  <c r="AH431" i="94"/>
  <c r="H431" i="94" s="1"/>
  <c r="F430" i="94"/>
  <c r="AG410" i="94"/>
  <c r="G410" i="94" s="1"/>
  <c r="AH409" i="94"/>
  <c r="H409" i="94" s="1"/>
  <c r="F408" i="94"/>
  <c r="F387" i="94" l="1"/>
  <c r="F365" i="94"/>
  <c r="F409" i="94"/>
  <c r="AH366" i="94"/>
  <c r="H366" i="94" s="1"/>
  <c r="AG367" i="94"/>
  <c r="G367" i="94" s="1"/>
  <c r="F431" i="94"/>
  <c r="AG389" i="94"/>
  <c r="G389" i="94" s="1"/>
  <c r="AH388" i="94"/>
  <c r="H388" i="94" s="1"/>
  <c r="F388" i="94" s="1"/>
  <c r="AG411" i="94"/>
  <c r="G411" i="94" s="1"/>
  <c r="AH410" i="94"/>
  <c r="H410" i="94" s="1"/>
  <c r="AG433" i="94"/>
  <c r="G433" i="94" s="1"/>
  <c r="AH432" i="94"/>
  <c r="H432" i="94" s="1"/>
  <c r="F366" i="94" l="1"/>
  <c r="AH367" i="94"/>
  <c r="H367" i="94" s="1"/>
  <c r="AG370" i="94"/>
  <c r="G370" i="94" s="1"/>
  <c r="F410" i="94"/>
  <c r="AG390" i="94"/>
  <c r="G390" i="94" s="1"/>
  <c r="AH389" i="94"/>
  <c r="H389" i="94" s="1"/>
  <c r="F432" i="94"/>
  <c r="AG434" i="94"/>
  <c r="G434" i="94" s="1"/>
  <c r="AH433" i="94"/>
  <c r="H433" i="94" s="1"/>
  <c r="AG412" i="94"/>
  <c r="G412" i="94" s="1"/>
  <c r="AH411" i="94"/>
  <c r="H411" i="94" s="1"/>
  <c r="F389" i="94" l="1"/>
  <c r="F411" i="94"/>
  <c r="F433" i="94"/>
  <c r="F367" i="94"/>
  <c r="AH370" i="94"/>
  <c r="H370" i="94" s="1"/>
  <c r="AG372" i="94"/>
  <c r="G372" i="94" s="1"/>
  <c r="AH412" i="94"/>
  <c r="H412" i="94" s="1"/>
  <c r="AG413" i="94"/>
  <c r="G413" i="94" s="1"/>
  <c r="AH390" i="94"/>
  <c r="H390" i="94" s="1"/>
  <c r="AG393" i="94"/>
  <c r="G393" i="94" s="1"/>
  <c r="AH434" i="94"/>
  <c r="H434" i="94" s="1"/>
  <c r="AG435" i="94"/>
  <c r="G435" i="94" s="1"/>
  <c r="F434" i="94" l="1"/>
  <c r="F390" i="94"/>
  <c r="F370" i="94"/>
  <c r="AG373" i="94"/>
  <c r="G373" i="94" s="1"/>
  <c r="AH372" i="94"/>
  <c r="H372" i="94" s="1"/>
  <c r="AG436" i="94"/>
  <c r="G436" i="94" s="1"/>
  <c r="AH435" i="94"/>
  <c r="H435" i="94" s="1"/>
  <c r="AG416" i="94"/>
  <c r="G416" i="94" s="1"/>
  <c r="AH413" i="94"/>
  <c r="H413" i="94" s="1"/>
  <c r="F412" i="94"/>
  <c r="AH393" i="94"/>
  <c r="H393" i="94" s="1"/>
  <c r="AG395" i="94"/>
  <c r="G395" i="94" s="1"/>
  <c r="F435" i="94" l="1"/>
  <c r="F372" i="94"/>
  <c r="F413" i="94"/>
  <c r="AG374" i="94"/>
  <c r="G374" i="94" s="1"/>
  <c r="AH373" i="94"/>
  <c r="H373" i="94" s="1"/>
  <c r="AH395" i="94"/>
  <c r="H395" i="94" s="1"/>
  <c r="AG396" i="94"/>
  <c r="G396" i="94" s="1"/>
  <c r="AG439" i="94"/>
  <c r="G439" i="94" s="1"/>
  <c r="AH436" i="94"/>
  <c r="H436" i="94" s="1"/>
  <c r="F393" i="94"/>
  <c r="AH416" i="94"/>
  <c r="H416" i="94" s="1"/>
  <c r="AG418" i="94"/>
  <c r="G418" i="94" s="1"/>
  <c r="F436" i="94" l="1"/>
  <c r="AG375" i="94"/>
  <c r="G375" i="94" s="1"/>
  <c r="AH374" i="94"/>
  <c r="H374" i="94" s="1"/>
  <c r="AH418" i="94"/>
  <c r="H418" i="94" s="1"/>
  <c r="AG419" i="94"/>
  <c r="G419" i="94" s="1"/>
  <c r="F373" i="94"/>
  <c r="F395" i="94"/>
  <c r="AG397" i="94"/>
  <c r="G397" i="94" s="1"/>
  <c r="AH396" i="94"/>
  <c r="H396" i="94" s="1"/>
  <c r="AH439" i="94"/>
  <c r="H439" i="94" s="1"/>
  <c r="AG441" i="94"/>
  <c r="G441" i="94" s="1"/>
  <c r="F416" i="94"/>
  <c r="F374" i="94" l="1"/>
  <c r="F439" i="94"/>
  <c r="AH397" i="94"/>
  <c r="H397" i="94" s="1"/>
  <c r="AG398" i="94"/>
  <c r="G398" i="94" s="1"/>
  <c r="AG376" i="94"/>
  <c r="G376" i="94" s="1"/>
  <c r="AH375" i="94"/>
  <c r="H375" i="94" s="1"/>
  <c r="AG442" i="94"/>
  <c r="G442" i="94" s="1"/>
  <c r="AH441" i="94"/>
  <c r="H441" i="94" s="1"/>
  <c r="AH419" i="94"/>
  <c r="H419" i="94" s="1"/>
  <c r="AG420" i="94"/>
  <c r="G420" i="94" s="1"/>
  <c r="F418" i="94"/>
  <c r="F396" i="94"/>
  <c r="F375" i="94" l="1"/>
  <c r="F441" i="94"/>
  <c r="F397" i="94"/>
  <c r="AH398" i="94"/>
  <c r="H398" i="94" s="1"/>
  <c r="AG399" i="94"/>
  <c r="G399" i="94" s="1"/>
  <c r="AH420" i="94"/>
  <c r="H420" i="94" s="1"/>
  <c r="AG421" i="94"/>
  <c r="G421" i="94" s="1"/>
  <c r="AH376" i="94"/>
  <c r="H376" i="94" s="1"/>
  <c r="F419" i="94"/>
  <c r="AG443" i="94"/>
  <c r="G443" i="94" s="1"/>
  <c r="AH442" i="94"/>
  <c r="H442" i="94" s="1"/>
  <c r="F376" i="94" l="1"/>
  <c r="F442" i="94"/>
  <c r="AH421" i="94"/>
  <c r="H421" i="94" s="1"/>
  <c r="AG422" i="94"/>
  <c r="G422" i="94" s="1"/>
  <c r="AH443" i="94"/>
  <c r="H443" i="94" s="1"/>
  <c r="AG444" i="94"/>
  <c r="G444" i="94" s="1"/>
  <c r="AH399" i="94"/>
  <c r="H399" i="94" s="1"/>
  <c r="F398" i="94"/>
  <c r="F420" i="94"/>
  <c r="F399" i="94" l="1"/>
  <c r="F443" i="94"/>
  <c r="AH422" i="94"/>
  <c r="H422" i="94" s="1"/>
  <c r="F421" i="94"/>
  <c r="AH444" i="94"/>
  <c r="H444" i="94" s="1"/>
  <c r="AG445" i="94"/>
  <c r="G445" i="94" s="1"/>
  <c r="F422" i="94" l="1"/>
  <c r="F444" i="94"/>
  <c r="AH445" i="94"/>
  <c r="H445" i="94" s="1"/>
  <c r="F445" i="94" l="1"/>
  <c r="B32" i="94" l="1"/>
  <c r="AH50" i="94" l="1"/>
  <c r="H50" i="94" s="1"/>
  <c r="AH14" i="94"/>
  <c r="H14" i="94" s="1"/>
  <c r="AH467" i="94" l="1"/>
  <c r="H467" i="94" s="1"/>
  <c r="B21" i="102"/>
  <c r="C21" i="102" s="1"/>
  <c r="E21" i="102" s="1"/>
  <c r="B55" i="102"/>
  <c r="C55" i="102" s="1"/>
  <c r="E55" i="102" s="1"/>
  <c r="B17" i="102" l="1"/>
  <c r="C17" i="102" s="1"/>
  <c r="E17" i="102" s="1"/>
  <c r="B16" i="102"/>
  <c r="F467" i="94"/>
  <c r="C16" i="102"/>
  <c r="E16" i="102" s="1"/>
  <c r="G816" i="94" l="1"/>
  <c r="AH572" i="94" l="1"/>
  <c r="H572" i="94" s="1"/>
  <c r="AH573" i="94"/>
  <c r="H573" i="94" s="1"/>
  <c r="AH571" i="94"/>
  <c r="H571" i="94" s="1"/>
  <c r="AG688" i="94"/>
  <c r="AG691" i="94"/>
  <c r="AG692" i="94"/>
  <c r="AG689" i="94"/>
  <c r="AG690" i="94"/>
  <c r="AH620" i="94" l="1"/>
  <c r="H620" i="94" s="1"/>
  <c r="AH899" i="94" l="1"/>
  <c r="H899" i="94" s="1"/>
  <c r="AG842" i="94"/>
  <c r="G842" i="94" s="1"/>
  <c r="AH842" i="94" s="1"/>
  <c r="H842" i="94" s="1"/>
  <c r="AH841" i="94"/>
  <c r="B51" i="102"/>
  <c r="C51" i="102" s="1"/>
  <c r="E51" i="102" s="1"/>
  <c r="H836" i="94"/>
  <c r="AG899" i="94"/>
  <c r="G899" i="94" s="1"/>
  <c r="AG38" i="94"/>
  <c r="G38" i="94" s="1"/>
  <c r="AH48" i="94"/>
  <c r="H48" i="94" s="1"/>
  <c r="B24" i="102" s="1"/>
  <c r="C24" i="102" s="1"/>
  <c r="E24" i="102" s="1"/>
  <c r="AG39" i="94"/>
  <c r="G39" i="94" s="1"/>
  <c r="AG46" i="94"/>
  <c r="G46" i="94" s="1"/>
  <c r="AH41" i="94"/>
  <c r="H41" i="94" s="1"/>
  <c r="H812" i="94" s="1"/>
  <c r="AH47" i="94"/>
  <c r="H47" i="94" s="1"/>
  <c r="B53" i="102" s="1"/>
  <c r="AH27" i="94"/>
  <c r="AH827" i="94" l="1"/>
  <c r="H827" i="94" s="1"/>
  <c r="AG824" i="94"/>
  <c r="G824" i="94" s="1"/>
  <c r="AG825" i="94"/>
  <c r="AG826" i="94"/>
  <c r="AH824" i="94"/>
  <c r="AH825" i="94"/>
  <c r="AH826" i="94"/>
  <c r="H824" i="94"/>
  <c r="AH816" i="94"/>
  <c r="H816" i="94" s="1"/>
  <c r="F899" i="94"/>
  <c r="H841" i="94"/>
  <c r="AH829" i="94"/>
  <c r="H829" i="94" s="1"/>
  <c r="AG838" i="94" s="1"/>
  <c r="AG839" i="94" s="1"/>
  <c r="AG829" i="94"/>
  <c r="AG847" i="94"/>
  <c r="G847" i="94" s="1"/>
  <c r="AH866" i="94"/>
  <c r="H866" i="94" s="1"/>
  <c r="AH865" i="94"/>
  <c r="H865" i="94" s="1"/>
  <c r="AH868" i="94"/>
  <c r="H868" i="94" s="1"/>
  <c r="AH867" i="94"/>
  <c r="H867" i="94" s="1"/>
  <c r="C48" i="102"/>
  <c r="E48" i="102" s="1"/>
  <c r="AH26" i="94"/>
  <c r="H26" i="94" s="1"/>
  <c r="AH39" i="94"/>
  <c r="H39" i="94" s="1"/>
  <c r="AI39" i="94" s="1"/>
  <c r="I41" i="94"/>
  <c r="I44" i="94" s="1"/>
  <c r="H825" i="94"/>
  <c r="AH754" i="94"/>
  <c r="H754" i="94" s="1"/>
  <c r="AH797" i="94"/>
  <c r="H797" i="94" s="1"/>
  <c r="AH798" i="94"/>
  <c r="H798" i="94" s="1"/>
  <c r="AH755" i="94"/>
  <c r="H755" i="94" s="1"/>
  <c r="AH753" i="94"/>
  <c r="H753" i="94" s="1"/>
  <c r="AH29" i="94"/>
  <c r="H29" i="94" s="1"/>
  <c r="AH796" i="94"/>
  <c r="H796" i="94" s="1"/>
  <c r="H757" i="94"/>
  <c r="AH34" i="94"/>
  <c r="H34" i="94" s="1"/>
  <c r="AH749" i="94" s="1"/>
  <c r="H749" i="94" s="1"/>
  <c r="H826" i="94"/>
  <c r="AH12" i="94"/>
  <c r="H12" i="94" s="1"/>
  <c r="AG799" i="94"/>
  <c r="G799" i="94" s="1"/>
  <c r="B36" i="102"/>
  <c r="C36" i="102" s="1"/>
  <c r="E36" i="102" s="1"/>
  <c r="AH38" i="94"/>
  <c r="H38" i="94" s="1"/>
  <c r="B37" i="102" s="1"/>
  <c r="C37" i="102" s="1"/>
  <c r="E37" i="102" s="1"/>
  <c r="B54" i="102"/>
  <c r="C54" i="102" s="1"/>
  <c r="E54" i="102" s="1"/>
  <c r="AH877" i="94"/>
  <c r="H877" i="94" s="1"/>
  <c r="AH870" i="94"/>
  <c r="H870" i="94" s="1"/>
  <c r="AG889" i="94"/>
  <c r="G889" i="94" s="1"/>
  <c r="AH897" i="94"/>
  <c r="AG895" i="94"/>
  <c r="G895" i="94" s="1"/>
  <c r="AH49" i="94"/>
  <c r="H49" i="94" s="1"/>
  <c r="AH46" i="94"/>
  <c r="H46" i="94" s="1"/>
  <c r="AH859" i="94"/>
  <c r="H859" i="94" s="1"/>
  <c r="AH852" i="94"/>
  <c r="H852" i="94" s="1"/>
  <c r="AH861" i="94"/>
  <c r="H861" i="94" s="1"/>
  <c r="AH860" i="94"/>
  <c r="H860" i="94" s="1"/>
  <c r="AH863" i="94"/>
  <c r="H863" i="94" s="1"/>
  <c r="AH862" i="94"/>
  <c r="H862" i="94" s="1"/>
  <c r="AH872" i="94"/>
  <c r="H872" i="94" s="1"/>
  <c r="AH892" i="94"/>
  <c r="H892" i="94" s="1"/>
  <c r="AH20" i="94" l="1"/>
  <c r="H20" i="94" s="1"/>
  <c r="AK20" i="94" s="1"/>
  <c r="B20" i="94" s="1"/>
  <c r="AH454" i="94"/>
  <c r="H454" i="94" s="1"/>
  <c r="AF20" i="94"/>
  <c r="H897" i="94"/>
  <c r="AG898" i="94" s="1"/>
  <c r="G898" i="94" s="1"/>
  <c r="AG897" i="94"/>
  <c r="G897" i="94" s="1"/>
  <c r="AG800" i="94"/>
  <c r="G800" i="94" s="1"/>
  <c r="AH809" i="94"/>
  <c r="H809" i="94" s="1"/>
  <c r="AH808" i="94"/>
  <c r="H808" i="94" s="1"/>
  <c r="AH807" i="94"/>
  <c r="H807" i="94" s="1"/>
  <c r="AH810" i="94"/>
  <c r="H810" i="94" s="1"/>
  <c r="AH805" i="94"/>
  <c r="H805" i="94" s="1"/>
  <c r="AH804" i="94"/>
  <c r="H804" i="94" s="1"/>
  <c r="AH802" i="94"/>
  <c r="H802" i="94" s="1"/>
  <c r="AH800" i="94"/>
  <c r="H800" i="94" s="1"/>
  <c r="AG801" i="94"/>
  <c r="G801" i="94" s="1"/>
  <c r="AH806" i="94"/>
  <c r="H806" i="94" s="1"/>
  <c r="AG802" i="94"/>
  <c r="G802" i="94" s="1"/>
  <c r="AH801" i="94"/>
  <c r="H801" i="94" s="1"/>
  <c r="AH799" i="94"/>
  <c r="H799" i="94" s="1"/>
  <c r="AG803" i="94" s="1"/>
  <c r="G803" i="94" s="1"/>
  <c r="AH803" i="94"/>
  <c r="H803" i="94" s="1"/>
  <c r="AG807" i="94" s="1"/>
  <c r="G807" i="94" s="1"/>
  <c r="G836" i="94"/>
  <c r="AH682" i="94"/>
  <c r="H682" i="94" s="1"/>
  <c r="AH718" i="94" s="1"/>
  <c r="H718" i="94" s="1"/>
  <c r="AH871" i="94"/>
  <c r="H871" i="94" s="1"/>
  <c r="C53" i="102"/>
  <c r="E53" i="102" s="1"/>
  <c r="AH903" i="94"/>
  <c r="H903" i="94" s="1"/>
  <c r="AH908" i="94"/>
  <c r="H908" i="94" s="1"/>
  <c r="AH3" i="94" s="1"/>
  <c r="H3" i="94" s="1"/>
  <c r="C13" i="102" s="1"/>
  <c r="E13" i="102" s="1"/>
  <c r="AH901" i="94"/>
  <c r="H901" i="94" s="1"/>
  <c r="AH847" i="94"/>
  <c r="H847" i="94" s="1"/>
  <c r="AH902" i="94"/>
  <c r="H902" i="94" s="1"/>
  <c r="AH895" i="94"/>
  <c r="H895" i="94" s="1"/>
  <c r="F895" i="94" s="1"/>
  <c r="AH889" i="94"/>
  <c r="AH289" i="94"/>
  <c r="AH449" i="94"/>
  <c r="H449" i="94" s="1"/>
  <c r="H289" i="94"/>
  <c r="B48" i="102"/>
  <c r="AH30" i="94"/>
  <c r="H30" i="94" s="1"/>
  <c r="AH16" i="94" s="1"/>
  <c r="H16" i="94" s="1"/>
  <c r="AG29" i="94"/>
  <c r="G29" i="94" s="1"/>
  <c r="AH25" i="94"/>
  <c r="AG34" i="94"/>
  <c r="G34" i="94" s="1"/>
  <c r="AI38" i="94"/>
  <c r="B23" i="102" l="1"/>
  <c r="C23" i="102" s="1"/>
  <c r="E23" i="102" s="1"/>
  <c r="AH472" i="94"/>
  <c r="H472" i="94" s="1"/>
  <c r="AH475" i="94" s="1"/>
  <c r="H475" i="94" s="1"/>
  <c r="AH476" i="94" s="1"/>
  <c r="H476" i="94" s="1"/>
  <c r="F897" i="94"/>
  <c r="AH19" i="94"/>
  <c r="H19" i="94" s="1"/>
  <c r="B19" i="102" s="1"/>
  <c r="C19" i="102" s="1"/>
  <c r="E19" i="102" s="1"/>
  <c r="AH31" i="94"/>
  <c r="H31" i="94" s="1"/>
  <c r="B39" i="102"/>
  <c r="C39" i="102" s="1"/>
  <c r="E39" i="102" s="1"/>
  <c r="AG676" i="94"/>
  <c r="G676" i="94" s="1"/>
  <c r="AH661" i="94"/>
  <c r="H661" i="94" s="1"/>
  <c r="AH658" i="94"/>
  <c r="H658" i="94" s="1"/>
  <c r="AH238" i="94"/>
  <c r="H238" i="94" s="1"/>
  <c r="C19" i="99" s="1"/>
  <c r="AH241" i="94"/>
  <c r="H241" i="94" s="1"/>
  <c r="C22" i="99" s="1"/>
  <c r="AH251" i="94"/>
  <c r="H251" i="94" s="1"/>
  <c r="AG668" i="94" s="1"/>
  <c r="AH244" i="94"/>
  <c r="H244" i="94" s="1"/>
  <c r="C25" i="99" s="1"/>
  <c r="AH237" i="94"/>
  <c r="H237" i="94" s="1"/>
  <c r="C18" i="99" s="1"/>
  <c r="AH249" i="94"/>
  <c r="H249" i="94" s="1"/>
  <c r="B44" i="102"/>
  <c r="AH673" i="94"/>
  <c r="H673" i="94" s="1"/>
  <c r="AH250" i="94"/>
  <c r="H250" i="94" s="1"/>
  <c r="AH233" i="94"/>
  <c r="H233" i="94" s="1"/>
  <c r="AH668" i="94"/>
  <c r="H668" i="94" s="1"/>
  <c r="AH243" i="94"/>
  <c r="H243" i="94" s="1"/>
  <c r="C24" i="99" s="1"/>
  <c r="AH242" i="94"/>
  <c r="H242" i="94" s="1"/>
  <c r="C23" i="99" s="1"/>
  <c r="AH240" i="94"/>
  <c r="H240" i="94" s="1"/>
  <c r="C21" i="99" s="1"/>
  <c r="AH239" i="94"/>
  <c r="H239" i="94" s="1"/>
  <c r="C20" i="99" s="1"/>
  <c r="H889" i="94"/>
  <c r="F889" i="94" s="1"/>
  <c r="AG901" i="94"/>
  <c r="G901" i="94" s="1"/>
  <c r="F901" i="94" s="1"/>
  <c r="AG908" i="94"/>
  <c r="G908" i="94" s="1"/>
  <c r="F908" i="94" s="1"/>
  <c r="AG904" i="94"/>
  <c r="G904" i="94" s="1"/>
  <c r="G829" i="94"/>
  <c r="G754" i="94"/>
  <c r="G755" i="94"/>
  <c r="G753" i="94"/>
  <c r="G796" i="94"/>
  <c r="G798" i="94"/>
  <c r="G757" i="94"/>
  <c r="G825" i="94"/>
  <c r="G826" i="94"/>
  <c r="G797" i="94"/>
  <c r="AG700" i="94"/>
  <c r="G700" i="94" s="1"/>
  <c r="AG687" i="94"/>
  <c r="G687" i="94" s="1"/>
  <c r="AG685" i="94"/>
  <c r="G685" i="94" s="1"/>
  <c r="AG699" i="94"/>
  <c r="G699" i="94" s="1"/>
  <c r="AG809" i="94"/>
  <c r="G809" i="94" s="1"/>
  <c r="AG808" i="94"/>
  <c r="G808" i="94" s="1"/>
  <c r="AG810" i="94"/>
  <c r="G810" i="94" s="1"/>
  <c r="AH898" i="94"/>
  <c r="H898" i="94" s="1"/>
  <c r="F898" i="94" s="1"/>
  <c r="AH627" i="94"/>
  <c r="H25" i="94"/>
  <c r="AG25" i="94" s="1"/>
  <c r="G25" i="94" s="1"/>
  <c r="AG805" i="94"/>
  <c r="G805" i="94" s="1"/>
  <c r="AG806" i="94"/>
  <c r="G806" i="94" s="1"/>
  <c r="AG804" i="94"/>
  <c r="G804" i="94" s="1"/>
  <c r="AG477" i="94" l="1"/>
  <c r="G477" i="94" s="1"/>
  <c r="AH477" i="94" s="1"/>
  <c r="H477" i="94" s="1"/>
  <c r="F477" i="94" s="1"/>
  <c r="AG482" i="94"/>
  <c r="G482" i="94" s="1"/>
  <c r="AH482" i="94" s="1"/>
  <c r="H482" i="94" s="1"/>
  <c r="AG478" i="94"/>
  <c r="G478" i="94" s="1"/>
  <c r="AK19" i="94"/>
  <c r="B19" i="94" s="1"/>
  <c r="B49" i="102"/>
  <c r="AH702" i="94"/>
  <c r="H702" i="94" s="1"/>
  <c r="C6" i="99"/>
  <c r="AG219" i="94"/>
  <c r="G219" i="94" s="1"/>
  <c r="AG227" i="94" s="1"/>
  <c r="G227" i="94" s="1"/>
  <c r="AH700" i="94"/>
  <c r="H700" i="94" s="1"/>
  <c r="AH685" i="94"/>
  <c r="H685" i="94" s="1"/>
  <c r="AH699" i="94"/>
  <c r="H699" i="94" s="1"/>
  <c r="AF19" i="94"/>
  <c r="AG627" i="94"/>
  <c r="G627" i="94" s="1"/>
  <c r="AH541" i="94"/>
  <c r="H541" i="94" s="1"/>
  <c r="AH542" i="94"/>
  <c r="H542" i="94" s="1"/>
  <c r="AH543" i="94"/>
  <c r="H543" i="94" s="1"/>
  <c r="AH624" i="94"/>
  <c r="H624" i="94" s="1"/>
  <c r="AH24" i="94"/>
  <c r="H24" i="94" s="1"/>
  <c r="B42" i="102"/>
  <c r="C42" i="102" s="1"/>
  <c r="E42" i="102" s="1"/>
  <c r="AH657" i="94"/>
  <c r="H657" i="94" s="1"/>
  <c r="AG637" i="94"/>
  <c r="G637" i="94" s="1"/>
  <c r="H627" i="94"/>
  <c r="C47" i="102" s="1"/>
  <c r="E47" i="102" s="1"/>
  <c r="A47" i="103"/>
  <c r="AH630" i="94"/>
  <c r="H630" i="94" s="1"/>
  <c r="AH637" i="94" s="1"/>
  <c r="AG694" i="94"/>
  <c r="AH687" i="94"/>
  <c r="H687" i="94" s="1"/>
  <c r="AG693" i="94" s="1"/>
  <c r="AH904" i="94"/>
  <c r="H904" i="94" s="1"/>
  <c r="F904" i="94" s="1"/>
  <c r="AH478" i="94" l="1"/>
  <c r="H478" i="94" s="1"/>
  <c r="AG484" i="94" s="1"/>
  <c r="G484" i="94" s="1"/>
  <c r="AH484" i="94" s="1"/>
  <c r="H484" i="94" s="1"/>
  <c r="F484" i="94" s="1"/>
  <c r="AG24" i="94"/>
  <c r="G24" i="94" s="1"/>
  <c r="G585" i="94" s="1"/>
  <c r="H585" i="94"/>
  <c r="AG611" i="94" s="1"/>
  <c r="G611" i="94" s="1"/>
  <c r="AH229" i="94"/>
  <c r="H229" i="94" s="1"/>
  <c r="AG718" i="94"/>
  <c r="G718" i="94" s="1"/>
  <c r="F718" i="94" s="1"/>
  <c r="AG723" i="94"/>
  <c r="G723" i="94" s="1"/>
  <c r="AH32" i="94"/>
  <c r="C49" i="102"/>
  <c r="E49" i="102" s="1"/>
  <c r="G693" i="94"/>
  <c r="AH693" i="94"/>
  <c r="H693" i="94" s="1"/>
  <c r="AH639" i="94"/>
  <c r="H639" i="94" s="1"/>
  <c r="H637" i="94"/>
  <c r="AH554" i="94"/>
  <c r="H554" i="94" s="1"/>
  <c r="AH551" i="94"/>
  <c r="H551" i="94" s="1"/>
  <c r="AH560" i="94"/>
  <c r="H560" i="94" s="1"/>
  <c r="AH559" i="94"/>
  <c r="H559" i="94" s="1"/>
  <c r="AH556" i="94"/>
  <c r="H556" i="94" s="1"/>
  <c r="AH552" i="94"/>
  <c r="H552" i="94" s="1"/>
  <c r="AH555" i="94"/>
  <c r="H555" i="94" s="1"/>
  <c r="AH561" i="94"/>
  <c r="H561" i="94" s="1"/>
  <c r="AH553" i="94"/>
  <c r="H553" i="94" s="1"/>
  <c r="AH558" i="94"/>
  <c r="H558" i="94" s="1"/>
  <c r="AH550" i="94"/>
  <c r="H550" i="94" s="1"/>
  <c r="AH557" i="94"/>
  <c r="H557" i="94" s="1"/>
  <c r="C45" i="102"/>
  <c r="B47" i="102"/>
  <c r="AG630" i="94"/>
  <c r="G630" i="94" s="1"/>
  <c r="A46" i="103"/>
  <c r="AH694" i="94"/>
  <c r="H694" i="94" s="1"/>
  <c r="G694" i="94"/>
  <c r="AH23" i="94" l="1"/>
  <c r="H23" i="94" s="1"/>
  <c r="AG23" i="94" s="1"/>
  <c r="G23" i="94" s="1"/>
  <c r="G789" i="94"/>
  <c r="H789" i="94" s="1"/>
  <c r="AH569" i="94"/>
  <c r="H569" i="94" s="1"/>
  <c r="AH575" i="94" s="1"/>
  <c r="AH505" i="94"/>
  <c r="AH611" i="94"/>
  <c r="H611" i="94" s="1"/>
  <c r="AH564" i="94"/>
  <c r="H564" i="94" s="1"/>
  <c r="F478" i="94"/>
  <c r="AH722" i="94"/>
  <c r="H722" i="94" s="1"/>
  <c r="AH42" i="94"/>
  <c r="C44" i="102"/>
  <c r="E44" i="102" s="1"/>
  <c r="AH723" i="94"/>
  <c r="H723" i="94" s="1"/>
  <c r="AH731" i="94" s="1"/>
  <c r="H731" i="94" s="1"/>
  <c r="AG732" i="94" s="1"/>
  <c r="G732" i="94" s="1"/>
  <c r="AH732" i="94" s="1"/>
  <c r="H732" i="94" s="1"/>
  <c r="AH738" i="94" s="1"/>
  <c r="H738" i="94" s="1"/>
  <c r="AG739" i="94" s="1"/>
  <c r="G739" i="94" s="1"/>
  <c r="AH739" i="94" s="1"/>
  <c r="H739" i="94" s="1"/>
  <c r="AH744" i="94" s="1"/>
  <c r="H744" i="94" s="1"/>
  <c r="AH22" i="94"/>
  <c r="H22" i="94" s="1"/>
  <c r="F723" i="94"/>
  <c r="B43" i="102"/>
  <c r="C43" i="102" s="1"/>
  <c r="E43" i="102" s="1"/>
  <c r="AG651" i="94"/>
  <c r="G651" i="94" s="1"/>
  <c r="AG640" i="94"/>
  <c r="G640" i="94" s="1"/>
  <c r="AH645" i="94" s="1"/>
  <c r="H645" i="94" s="1"/>
  <c r="AH650" i="94" s="1"/>
  <c r="H650" i="94" s="1"/>
  <c r="E45" i="102"/>
  <c r="B45" i="102"/>
  <c r="AH545" i="94" l="1"/>
  <c r="H545" i="94" s="1"/>
  <c r="AH493" i="94"/>
  <c r="H493" i="94" s="1"/>
  <c r="AH508" i="94"/>
  <c r="H508" i="94" s="1"/>
  <c r="AH522" i="94" s="1"/>
  <c r="H522" i="94" s="1"/>
  <c r="AH677" i="94"/>
  <c r="H677" i="94" s="1"/>
  <c r="AH489" i="94"/>
  <c r="H489" i="94" s="1"/>
  <c r="AH676" i="94"/>
  <c r="H676" i="94" s="1"/>
  <c r="G54" i="94"/>
  <c r="AH521" i="94" l="1"/>
  <c r="H521" i="94" s="1"/>
  <c r="AH510" i="94"/>
  <c r="H510" i="94" s="1"/>
  <c r="AH511" i="94"/>
  <c r="H511" i="94" s="1"/>
  <c r="AH518" i="94"/>
  <c r="H518" i="94" s="1"/>
  <c r="AH531" i="94"/>
  <c r="H531" i="94" s="1"/>
  <c r="AH520" i="94"/>
  <c r="H520" i="94" s="1"/>
  <c r="AH517" i="94"/>
  <c r="H517" i="94" s="1"/>
  <c r="AH512" i="94"/>
  <c r="H512" i="94" s="1"/>
  <c r="AH516" i="94"/>
  <c r="H516" i="94" s="1"/>
  <c r="AH513" i="94"/>
  <c r="H513" i="94" s="1"/>
  <c r="AH519" i="94"/>
  <c r="H519" i="94" s="1"/>
  <c r="AG12" i="94"/>
  <c r="G12" i="94" s="1"/>
  <c r="AG37" i="94"/>
  <c r="G37" i="94" s="1"/>
  <c r="AH117" i="94"/>
  <c r="H117" i="94" s="1"/>
  <c r="AG54" i="94"/>
  <c r="AH118" i="94"/>
  <c r="H118" i="94" s="1"/>
  <c r="AH37" i="94"/>
  <c r="H37" i="94" s="1"/>
  <c r="B35" i="102" s="1"/>
  <c r="C35" i="102" s="1"/>
  <c r="E35" i="102" s="1"/>
  <c r="AG22" i="94"/>
  <c r="G22" i="94" s="1"/>
  <c r="B13" i="102"/>
  <c r="AG557" i="94" l="1"/>
  <c r="G557" i="94" s="1"/>
  <c r="AG560" i="94"/>
  <c r="G560" i="94" s="1"/>
  <c r="AG493" i="94"/>
  <c r="G493" i="94" s="1"/>
  <c r="B15" i="102" s="1"/>
  <c r="AG250" i="94"/>
  <c r="G250" i="94" s="1"/>
  <c r="AG555" i="94"/>
  <c r="G555" i="94" s="1"/>
  <c r="AG554" i="94"/>
  <c r="G554" i="94" s="1"/>
  <c r="AG550" i="94"/>
  <c r="G550" i="94" s="1"/>
  <c r="AG682" i="94"/>
  <c r="G682" i="94" s="1"/>
  <c r="AG553" i="94"/>
  <c r="G553" i="94" s="1"/>
  <c r="AG558" i="94"/>
  <c r="G558" i="94" s="1"/>
  <c r="AG561" i="94"/>
  <c r="G561" i="94" s="1"/>
  <c r="AG508" i="94"/>
  <c r="G508" i="94" s="1"/>
  <c r="AG552" i="94"/>
  <c r="G552" i="94" s="1"/>
  <c r="AG556" i="94"/>
  <c r="G556" i="94" s="1"/>
  <c r="AG489" i="94"/>
  <c r="G489" i="94" s="1"/>
  <c r="AG677" i="94"/>
  <c r="G677" i="94" s="1"/>
  <c r="AG551" i="94"/>
  <c r="G551" i="94" s="1"/>
  <c r="AH54" i="94"/>
  <c r="H54" i="94" s="1"/>
  <c r="AG229" i="94"/>
  <c r="G229" i="94" s="1"/>
  <c r="AG251" i="94"/>
  <c r="G251" i="94" s="1"/>
  <c r="AG233" i="94"/>
  <c r="G233" i="94" s="1"/>
  <c r="AG559" i="94"/>
  <c r="G559" i="94" s="1"/>
  <c r="AH122" i="94"/>
  <c r="H122" i="94" s="1"/>
  <c r="AH120" i="94"/>
  <c r="H120" i="94" s="1"/>
  <c r="AH125" i="94"/>
  <c r="H125" i="94" s="1"/>
  <c r="AH129" i="94" s="1"/>
  <c r="H129" i="94" s="1"/>
  <c r="AG449" i="94"/>
  <c r="G449" i="94" s="1"/>
  <c r="AG328" i="94"/>
  <c r="G328" i="94" s="1"/>
  <c r="AH328" i="94" s="1"/>
  <c r="H328" i="94" s="1"/>
  <c r="AG211" i="94"/>
  <c r="G211" i="94" s="1"/>
  <c r="AH211" i="94" s="1"/>
  <c r="H211" i="94" s="1"/>
  <c r="AG292" i="94"/>
  <c r="G292" i="94" s="1"/>
  <c r="AH292" i="94" s="1"/>
  <c r="H292" i="94" s="1"/>
  <c r="AG308" i="94"/>
  <c r="G308" i="94" s="1"/>
  <c r="AH308" i="94" s="1"/>
  <c r="H308" i="94" s="1"/>
  <c r="AG317" i="94" s="1"/>
  <c r="G317" i="94" s="1"/>
  <c r="AG289" i="94"/>
  <c r="G289" i="94" s="1"/>
  <c r="AG330" i="94"/>
  <c r="G330" i="94" s="1"/>
  <c r="AH330" i="94" s="1"/>
  <c r="H330" i="94" s="1"/>
  <c r="AG321" i="94"/>
  <c r="G321" i="94" s="1"/>
  <c r="AH321" i="94" s="1"/>
  <c r="H321" i="94" s="1"/>
  <c r="AI37" i="94"/>
  <c r="B34" i="102"/>
  <c r="C34" i="102" s="1"/>
  <c r="E34" i="102" s="1"/>
  <c r="AG332" i="94" l="1"/>
  <c r="AG342" i="94"/>
  <c r="G342" i="94" s="1"/>
  <c r="AH342" i="94" s="1"/>
  <c r="H342" i="94" s="1"/>
  <c r="AG345" i="94"/>
  <c r="G345" i="94" s="1"/>
  <c r="AG338" i="94"/>
  <c r="G338" i="94" s="1"/>
  <c r="AH338" i="94" s="1"/>
  <c r="H338" i="94" s="1"/>
  <c r="AG337" i="94"/>
  <c r="G337" i="94" s="1"/>
  <c r="AH337" i="94" s="1"/>
  <c r="H337" i="94" s="1"/>
  <c r="AG344" i="94"/>
  <c r="G344" i="94" s="1"/>
  <c r="AH344" i="94" s="1"/>
  <c r="H344" i="94" s="1"/>
  <c r="AG343" i="94"/>
  <c r="G343" i="94" s="1"/>
  <c r="AH343" i="94" s="1"/>
  <c r="H343" i="94" s="1"/>
  <c r="B27" i="102"/>
  <c r="C27" i="102" s="1"/>
  <c r="E27" i="102" s="1"/>
  <c r="AG334" i="94"/>
  <c r="G334" i="94" s="1"/>
  <c r="AH334" i="94" s="1"/>
  <c r="H334" i="94" s="1"/>
  <c r="AH317" i="94"/>
  <c r="H317" i="94" s="1"/>
  <c r="AG318" i="94"/>
  <c r="G318" i="94" s="1"/>
  <c r="AG322" i="94"/>
  <c r="G322" i="94" s="1"/>
  <c r="AH322" i="94" s="1"/>
  <c r="H322" i="94" s="1"/>
  <c r="AG323" i="94"/>
  <c r="G323" i="94" s="1"/>
  <c r="AH323" i="94" s="1"/>
  <c r="H323" i="94" s="1"/>
  <c r="AG325" i="94" s="1"/>
  <c r="G325" i="94" s="1"/>
  <c r="AH325" i="94" s="1"/>
  <c r="H325" i="94" s="1"/>
  <c r="AG326" i="94" s="1"/>
  <c r="G326" i="94" s="1"/>
  <c r="AH326" i="94" s="1"/>
  <c r="H326" i="94" s="1"/>
  <c r="A24" i="103"/>
  <c r="AG146" i="94"/>
  <c r="G146" i="94" s="1"/>
  <c r="B9" i="102"/>
  <c r="C9" i="102" s="1"/>
  <c r="E9" i="102" s="1"/>
  <c r="AG510" i="94"/>
  <c r="G510" i="94" s="1"/>
  <c r="AG513" i="94"/>
  <c r="G513" i="94" s="1"/>
  <c r="AG516" i="94"/>
  <c r="G516" i="94" s="1"/>
  <c r="AG511" i="94"/>
  <c r="G511" i="94" s="1"/>
  <c r="AG521" i="94"/>
  <c r="G521" i="94" s="1"/>
  <c r="AG518" i="94"/>
  <c r="G518" i="94" s="1"/>
  <c r="AG520" i="94"/>
  <c r="G520" i="94" s="1"/>
  <c r="AG512" i="94"/>
  <c r="G512" i="94" s="1"/>
  <c r="AG517" i="94"/>
  <c r="G517" i="94" s="1"/>
  <c r="AG522" i="94"/>
  <c r="G522" i="94" s="1"/>
  <c r="AG519" i="94"/>
  <c r="G519" i="94" s="1"/>
  <c r="AG531" i="94"/>
  <c r="G531" i="94" s="1"/>
  <c r="AH146" i="94" l="1"/>
  <c r="H146" i="94" s="1"/>
  <c r="B11" i="102"/>
  <c r="AH318" i="94"/>
  <c r="H318" i="94" s="1"/>
  <c r="AG319" i="94"/>
  <c r="G319" i="94" s="1"/>
  <c r="AH319" i="94" s="1"/>
  <c r="H319" i="94" s="1"/>
  <c r="AG348" i="94"/>
  <c r="G348" i="94" s="1"/>
  <c r="AH345" i="94"/>
  <c r="H345" i="94" s="1"/>
  <c r="AH348" i="94" l="1"/>
  <c r="H348" i="94" s="1"/>
  <c r="AG350" i="94"/>
  <c r="G350" i="94" s="1"/>
  <c r="AH157" i="94"/>
  <c r="H157" i="94" s="1"/>
  <c r="AH151" i="94"/>
  <c r="H151" i="94" s="1"/>
  <c r="AH159" i="94"/>
  <c r="H159" i="94" s="1"/>
  <c r="AH150" i="94"/>
  <c r="H150" i="94" s="1"/>
  <c r="AG161" i="94" s="1"/>
  <c r="G161" i="94" s="1"/>
  <c r="AH161" i="94" s="1"/>
  <c r="H161" i="94" s="1"/>
  <c r="AH163" i="94" s="1"/>
  <c r="H163" i="94" s="1"/>
  <c r="A25" i="103"/>
  <c r="AH153" i="94"/>
  <c r="H153" i="94" s="1"/>
  <c r="C11" i="102"/>
  <c r="E11" i="102" s="1"/>
  <c r="AH152" i="94"/>
  <c r="H152" i="94" s="1"/>
  <c r="AH271" i="94" l="1"/>
  <c r="H271" i="94" s="1"/>
  <c r="AH181" i="94"/>
  <c r="H181" i="94" s="1"/>
  <c r="B8" i="102"/>
  <c r="C8" i="102" s="1"/>
  <c r="E8" i="102" s="1"/>
  <c r="AH175" i="94"/>
  <c r="H175" i="94" s="1"/>
  <c r="C7" i="102" s="1"/>
  <c r="E7" i="102" s="1"/>
  <c r="A26" i="103"/>
  <c r="AH174" i="94"/>
  <c r="H174" i="94" s="1"/>
  <c r="AH182" i="94"/>
  <c r="H182" i="94" s="1"/>
  <c r="AH284" i="94"/>
  <c r="H284" i="94" s="1"/>
  <c r="AH279" i="94"/>
  <c r="H279" i="94" s="1"/>
  <c r="AG183" i="94"/>
  <c r="G183" i="94" s="1"/>
  <c r="AH183" i="94" s="1"/>
  <c r="H183" i="94" s="1"/>
  <c r="AH281" i="94"/>
  <c r="H281" i="94" s="1"/>
  <c r="AH282" i="94"/>
  <c r="H282" i="94" s="1"/>
  <c r="AG264" i="94"/>
  <c r="G264" i="94" s="1"/>
  <c r="AH264" i="94" s="1"/>
  <c r="H264" i="94" s="1"/>
  <c r="AG190" i="94"/>
  <c r="G190" i="94" s="1"/>
  <c r="AH190" i="94" s="1"/>
  <c r="H190" i="94" s="1"/>
  <c r="AH350" i="94"/>
  <c r="H350" i="94" s="1"/>
  <c r="AG351" i="94"/>
  <c r="G351" i="94" s="1"/>
  <c r="AH351" i="94" s="1"/>
  <c r="H351" i="94" s="1"/>
  <c r="B12" i="102" l="1"/>
  <c r="C12" i="102" s="1"/>
  <c r="E12" i="102" s="1"/>
  <c r="AG201" i="94"/>
  <c r="G201" i="94" s="1"/>
  <c r="AH201" i="94" l="1"/>
  <c r="H201" i="94" s="1"/>
  <c r="AG203" i="94"/>
  <c r="G203" i="94" s="1"/>
  <c r="AH203" i="94" l="1"/>
  <c r="H203" i="94" s="1"/>
  <c r="AG204" i="94"/>
  <c r="G204" i="94" s="1"/>
  <c r="AH204" i="94" s="1"/>
  <c r="H204" i="94" s="1"/>
  <c r="AG206" i="94" s="1"/>
  <c r="G206" i="94" s="1"/>
  <c r="AH206" i="94" s="1"/>
  <c r="H206" i="94" s="1"/>
  <c r="AG207" i="94" s="1"/>
  <c r="G207" i="94" s="1"/>
  <c r="AH207" i="94" s="1"/>
  <c r="H207" i="94" s="1"/>
  <c r="AI54" i="94" l="1"/>
</calcChain>
</file>

<file path=xl/sharedStrings.xml><?xml version="1.0" encoding="utf-8"?>
<sst xmlns="http://schemas.openxmlformats.org/spreadsheetml/2006/main" count="1925" uniqueCount="736">
  <si>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</si>
  <si>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</si>
  <si>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</si>
  <si>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</si>
  <si>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</si>
  <si>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</si>
  <si>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</si>
  <si>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</si>
  <si>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</si>
  <si>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</si>
  <si>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</si>
  <si>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</si>
  <si>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</si>
  <si>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</si>
  <si>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</si>
  <si>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</si>
  <si>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</si>
  <si>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</si>
  <si>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</si>
  <si>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</si>
  <si>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</si>
  <si>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</si>
  <si>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</si>
  <si>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</si>
  <si>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</si>
  <si>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</si>
  <si>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</si>
  <si>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</si>
  <si>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</si>
  <si>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Meeting 4</t>
  </si>
  <si>
    <t>Applies to</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</si>
  <si>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</si>
  <si>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</si>
  <si>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Office Closure date</t>
  </si>
  <si>
    <t xml:space="preserve">Office Closure </t>
  </si>
  <si>
    <t>Calculation</t>
  </si>
  <si>
    <t>EFFECTIVE DATE</t>
  </si>
  <si>
    <t>i</t>
  </si>
  <si>
    <t>6:00 p.m.</t>
  </si>
  <si>
    <t>=AND($J10&lt;&gt;"X",$G10&lt;=L$7,$H10&gt;=K$7)</t>
  </si>
  <si>
    <t>Gantt</t>
  </si>
  <si>
    <t>=IF(OR(WEEKDAY(K$7)=1,WEEKDAY(K$7)=7),TRUE)</t>
  </si>
  <si>
    <t>$K10:$AHC$450</t>
  </si>
  <si>
    <t>=IF(ISERROR(VLOOKUP(K$7,S.DDL_DEQClosed,1,FALSE)),0,1)</t>
  </si>
  <si>
    <t>Next</t>
  </si>
  <si>
    <t>Start</t>
  </si>
  <si>
    <t>SOS - file rules</t>
  </si>
  <si>
    <t xml:space="preserve">                 </t>
  </si>
  <si>
    <t xml:space="preserve">Days to next </t>
  </si>
  <si>
    <t>Last row</t>
  </si>
  <si>
    <t>An 'X' in $J10 identifies the row as for Gantt to format</t>
  </si>
  <si>
    <t>S.LastCellGantt</t>
  </si>
  <si>
    <t>s.LastCellschedule</t>
  </si>
  <si>
    <t>Last</t>
  </si>
  <si>
    <t>5 p.m.</t>
  </si>
  <si>
    <t>Option 2 ↓</t>
  </si>
  <si>
    <t>Option 1 ↓</t>
  </si>
  <si>
    <t>Inform</t>
  </si>
  <si>
    <t>Web Master</t>
  </si>
  <si>
    <t>EQC Assistant</t>
  </si>
  <si>
    <t>Maggie</t>
  </si>
  <si>
    <t>Assistant Attorney General</t>
  </si>
  <si>
    <t>Support staff</t>
  </si>
  <si>
    <t>Time Accounting</t>
  </si>
  <si>
    <t>- INVITATION.TO.COMMENT (blank in folder 4)</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</si>
  <si>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</si>
  <si>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</si>
  <si>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</si>
  <si>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</si>
  <si>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</si>
  <si>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</si>
  <si>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</si>
  <si>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</si>
  <si>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</si>
  <si>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</si>
  <si>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</si>
  <si>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</si>
  <si>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</si>
  <si>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</si>
  <si>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</si>
  <si>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</si>
  <si>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</si>
  <si>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</si>
  <si>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</si>
  <si>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</si>
  <si>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</si>
  <si>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</si>
  <si>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</si>
  <si>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</si>
  <si>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</si>
  <si>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</si>
  <si>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</si>
  <si>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</si>
  <si>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</si>
  <si>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</si>
  <si>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</si>
  <si>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</si>
  <si>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</si>
  <si>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</si>
  <si>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</si>
  <si>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</si>
  <si>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</si>
  <si>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</si>
  <si>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</si>
  <si>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</si>
  <si>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</si>
  <si>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</si>
  <si>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</si>
  <si>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</si>
  <si>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</si>
  <si>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</si>
  <si>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</si>
  <si>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</si>
  <si>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</si>
  <si>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</si>
  <si>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</si>
  <si>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</si>
  <si>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</si>
  <si>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</si>
  <si>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</si>
  <si>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</si>
  <si>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</si>
  <si>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</si>
  <si>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</si>
  <si>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</si>
  <si>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</si>
  <si>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</si>
  <si>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</si>
  <si>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</si>
  <si>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</si>
  <si>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</si>
  <si>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</si>
  <si>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</si>
  <si>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</si>
  <si>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</si>
  <si>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</si>
  <si>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</si>
  <si>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</si>
  <si>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</si>
  <si>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</si>
  <si>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</si>
  <si>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</si>
  <si>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</si>
  <si>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</si>
  <si>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</si>
  <si>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</si>
  <si>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</si>
  <si>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</si>
  <si>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</si>
  <si>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</si>
  <si>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</si>
  <si>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</si>
  <si>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</si>
  <si>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</si>
  <si>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</si>
  <si>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</si>
  <si>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</si>
  <si>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</si>
  <si>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</si>
  <si>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</si>
  <si>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</si>
  <si>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</si>
  <si>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</si>
  <si>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</si>
  <si>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</si>
  <si>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</si>
  <si>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</si>
  <si>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</si>
  <si>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</si>
  <si>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</si>
  <si>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</si>
  <si>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</si>
  <si>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</si>
  <si>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</si>
  <si>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</si>
  <si>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</si>
  <si>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</si>
  <si>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</si>
  <si>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</si>
  <si>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</si>
  <si>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</si>
  <si>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</si>
  <si>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</si>
  <si>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</si>
  <si>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</si>
  <si>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</si>
  <si>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</si>
  <si>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</si>
  <si>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</si>
  <si>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</si>
  <si>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</si>
  <si>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</si>
  <si>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</si>
  <si>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</si>
  <si>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</si>
  <si>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</si>
  <si>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</si>
  <si>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</si>
  <si>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</si>
  <si>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</si>
  <si>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</si>
  <si>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</si>
  <si>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</si>
  <si>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</si>
  <si>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</si>
  <si>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</si>
  <si>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</si>
  <si>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</si>
  <si>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</si>
  <si>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</si>
  <si>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</si>
  <si>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</si>
  <si>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</si>
  <si>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</si>
  <si>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</si>
  <si>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</si>
  <si>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</si>
  <si>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</si>
  <si>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</si>
  <si>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</si>
  <si>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</si>
  <si>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</si>
  <si>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</si>
  <si>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</si>
  <si>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</si>
  <si>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</si>
  <si>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</si>
  <si>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</si>
  <si>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</si>
  <si>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</si>
  <si>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</si>
  <si>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</si>
  <si>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</si>
  <si>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</si>
  <si>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</si>
  <si>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</si>
  <si>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</si>
  <si>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</si>
  <si>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</si>
  <si>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</si>
  <si>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</si>
  <si>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</si>
  <si>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</si>
  <si>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</si>
  <si>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</si>
  <si>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</si>
  <si>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</si>
  <si>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</si>
  <si>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</si>
  <si>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</si>
  <si>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</si>
  <si>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</si>
  <si>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</si>
  <si>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</si>
  <si>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</si>
  <si>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</si>
  <si>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</si>
  <si>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</si>
  <si>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</si>
  <si>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</si>
  <si>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</si>
  <si>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</si>
  <si>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</si>
  <si>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</si>
  <si>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</si>
  <si>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</si>
  <si>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</si>
  <si>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</si>
  <si>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</si>
  <si>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</si>
  <si>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</si>
  <si>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</si>
  <si>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</si>
  <si>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</si>
  <si>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</si>
  <si>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</si>
  <si>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</si>
  <si>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</si>
  <si>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</si>
  <si>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</si>
  <si>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</si>
  <si>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</si>
  <si>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</si>
  <si>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</si>
  <si>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</si>
  <si>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</si>
  <si>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</si>
  <si>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</si>
  <si>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</si>
  <si>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</si>
  <si>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</si>
  <si>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</si>
  <si>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</si>
  <si>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</si>
  <si>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</si>
  <si>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</si>
  <si>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</si>
  <si>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</si>
  <si>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</si>
  <si>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</si>
  <si>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</si>
  <si>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</si>
  <si>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</si>
  <si>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</si>
  <si>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</si>
  <si>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</si>
  <si>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</si>
  <si>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</si>
  <si>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</si>
  <si>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</si>
  <si>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</si>
  <si>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</si>
  <si>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</si>
  <si>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</si>
  <si>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</si>
  <si>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</si>
  <si>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</si>
  <si>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</si>
  <si>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</si>
  <si>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</si>
  <si>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</si>
  <si>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</si>
  <si>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</si>
  <si>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</si>
  <si>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</si>
  <si>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</si>
  <si>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</si>
  <si>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</si>
  <si>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</si>
  <si>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</si>
  <si>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</si>
  <si>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</si>
  <si>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</si>
  <si>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</si>
  <si>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</si>
  <si>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</si>
  <si>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</si>
  <si>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</si>
  <si>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</si>
  <si>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</si>
  <si>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</si>
  <si>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</si>
  <si>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</si>
  <si>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</si>
  <si>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</si>
  <si>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</si>
  <si>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</si>
  <si>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</si>
  <si>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</si>
  <si>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</si>
  <si>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</si>
  <si>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</si>
  <si>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</si>
  <si>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</si>
  <si>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</si>
  <si>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</si>
  <si>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</si>
  <si>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</si>
  <si>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</si>
  <si>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</si>
  <si>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</si>
  <si>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</si>
  <si>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</si>
  <si>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</si>
  <si>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</si>
  <si>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</si>
  <si>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</si>
  <si>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</si>
  <si>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</si>
  <si>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</si>
  <si>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</si>
  <si>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</si>
  <si>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</si>
  <si>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</si>
  <si>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</si>
  <si>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</si>
  <si>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</si>
  <si>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</si>
  <si>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</si>
  <si>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</si>
  <si>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</si>
  <si>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</si>
  <si>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</si>
  <si>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</si>
  <si>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</si>
  <si>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</si>
  <si>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</si>
  <si>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</si>
  <si>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</si>
  <si>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</si>
  <si>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</si>
  <si>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</si>
  <si>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</si>
  <si>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</si>
  <si>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</si>
  <si>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</si>
  <si>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</si>
  <si>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</si>
  <si>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</si>
  <si>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</si>
  <si>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</si>
  <si>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</si>
  <si>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</si>
  <si>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</si>
  <si>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</si>
  <si>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</si>
  <si>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</si>
  <si>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</si>
  <si>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</si>
  <si>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</si>
  <si>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</si>
  <si>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</si>
  <si>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</si>
  <si>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</si>
  <si>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</si>
  <si>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</si>
  <si>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</si>
  <si>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HearingOfficer</t>
  </si>
  <si>
    <t>Carol</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</si>
  <si>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</si>
  <si>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</si>
  <si>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</si>
  <si>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</si>
  <si>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</si>
  <si>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</si>
  <si>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</si>
  <si>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</si>
  <si>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</si>
  <si>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</si>
  <si>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</si>
  <si>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</si>
  <si>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</si>
  <si>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
</t>
  </si>
  <si>
    <t>Portland</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</si>
  <si>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</si>
  <si>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</si>
  <si>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</si>
  <si>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</si>
  <si>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</si>
  <si>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</si>
  <si>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</si>
  <si>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</si>
  <si>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</si>
  <si>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</si>
  <si>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</si>
  <si>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</si>
  <si>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</si>
  <si>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</si>
  <si>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</si>
  <si>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</si>
  <si>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</si>
  <si>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</si>
  <si>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</si>
  <si>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</si>
  <si>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</si>
  <si>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</si>
  <si>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</si>
  <si>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</si>
  <si>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</si>
  <si>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</si>
  <si>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</si>
  <si>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</si>
  <si>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</si>
  <si>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</si>
  <si>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</si>
  <si>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</si>
  <si>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</si>
  <si>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</si>
  <si>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</si>
  <si>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</si>
  <si>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</si>
  <si>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</si>
  <si>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</si>
  <si>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</si>
  <si>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</si>
  <si>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</si>
  <si>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</si>
  <si>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</si>
  <si>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</si>
  <si>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</si>
  <si>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</si>
  <si>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</si>
  <si>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</si>
  <si>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</si>
  <si>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</si>
  <si>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</si>
  <si>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</si>
  <si>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</si>
  <si>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</si>
  <si>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</si>
  <si>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</si>
  <si>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</si>
  <si>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</si>
  <si>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</si>
  <si>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</si>
  <si>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</si>
  <si>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</si>
  <si>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</si>
  <si>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</si>
  <si>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</si>
  <si>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</si>
  <si>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</si>
  <si>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</si>
  <si>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</si>
  <si>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</si>
  <si>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</si>
  <si>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</si>
  <si>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</si>
  <si>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</si>
  <si>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</si>
  <si>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</si>
  <si>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</si>
  <si>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</si>
  <si>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</si>
  <si>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</si>
  <si>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</si>
  <si>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</si>
  <si>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</si>
  <si>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</si>
  <si>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</si>
  <si>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</si>
  <si>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</si>
  <si>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</si>
  <si>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</si>
  <si>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</si>
  <si>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</si>
  <si>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</si>
  <si>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</si>
  <si>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</si>
  <si>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</si>
  <si>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</si>
  <si>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</si>
  <si>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</si>
  <si>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</si>
  <si>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 xml:space="preserve">Preview Period </t>
  </si>
  <si>
    <t xml:space="preserve">allow 7-14 days  </t>
  </si>
  <si>
    <t>* verifies PROPOSED.RULES are still based on current compilation</t>
  </si>
  <si>
    <t>Online public comment form</t>
  </si>
  <si>
    <t>URLs</t>
  </si>
  <si>
    <t>External Web page</t>
  </si>
  <si>
    <t>University Student Comment Account</t>
  </si>
  <si>
    <t>Q-Time number = 43777</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</si>
  <si>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</si>
  <si>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</si>
  <si>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</si>
  <si>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</si>
  <si>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</si>
  <si>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</si>
  <si>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</si>
  <si>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accepting all style guide and format edits</t>
  </si>
  <si>
    <t>* raises unanticipated rulemaking risks to appropriate level</t>
  </si>
  <si>
    <t>* raises unanticipated rule implementation risks to appropriate level</t>
  </si>
  <si>
    <t>Set under Planning</t>
  </si>
  <si>
    <t>* owns pristine draft of proposed rules and maintains it on</t>
  </si>
  <si>
    <t>* emails DAS notification of fees that don't require DAS approval</t>
  </si>
  <si>
    <t>* saves all evidence on Rule_Development | 4-Notice using naming conventions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</si>
  <si>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</si>
  <si>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</si>
  <si>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</si>
  <si>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</si>
  <si>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</si>
  <si>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</si>
  <si>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</si>
  <si>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</si>
  <si>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</si>
  <si>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</si>
  <si>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</si>
  <si>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</si>
  <si>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</si>
  <si>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</si>
  <si>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</si>
  <si>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</si>
  <si>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</si>
  <si>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</si>
  <si>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</si>
  <si>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</si>
  <si>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</si>
  <si>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</si>
  <si>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xml:space="preserve">* sends GovDelivery meeting notice and Web page link </t>
  </si>
  <si>
    <t xml:space="preserve">* submitting newspaper notices to contractor </t>
  </si>
  <si>
    <t>Drop down list &gt;</t>
  </si>
  <si>
    <t>* opening public comment by notifying agency rulemaking list that includes:</t>
  </si>
  <si>
    <t>Approval to publish notice</t>
  </si>
  <si>
    <t xml:space="preserve">* submits of Notice to EPA </t>
  </si>
  <si>
    <t>=IF(S.Notice.Involved="N","-blank-",IF(S.EQC.SubmitStaffRpt-S.Notice.CloseComment&lt;45,"ERROR - Staff report due before Close of public comment.","Close public comment - best practice, 3 days after last hearing"))</t>
  </si>
  <si>
    <t>* adjusts factors as needed</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</si>
  <si>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</si>
  <si>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</si>
  <si>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</si>
  <si>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</si>
  <si>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</si>
  <si>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</si>
  <si>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</si>
  <si>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</si>
  <si>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</si>
  <si>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</si>
  <si>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</si>
  <si>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</si>
  <si>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</si>
  <si>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</si>
  <si>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</si>
  <si>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</si>
  <si>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</si>
  <si>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</si>
  <si>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</si>
  <si>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</si>
  <si>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</si>
  <si>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</si>
  <si>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</si>
  <si>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</si>
  <si>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</si>
  <si>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</si>
  <si>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</si>
  <si>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</si>
  <si>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</si>
  <si>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</si>
  <si>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</si>
  <si>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</si>
  <si>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</si>
  <si>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</si>
  <si>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</si>
  <si>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</si>
  <si>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</si>
  <si>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establish/maintain Web page, URLs, online comment form, University student Outlook account</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</si>
  <si>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</si>
  <si>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</si>
  <si>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</si>
  <si>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</si>
  <si>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</si>
  <si>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</si>
  <si>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</si>
  <si>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engaging rules group lead, core team and RESOURCES appropriately</t>
  </si>
  <si>
    <t xml:space="preserve">- meeting program's rulemaking goals </t>
  </si>
  <si>
    <t xml:space="preserve">- meeting subject expert's tasks identified in this Schedule </t>
  </si>
  <si>
    <t xml:space="preserve">* responsible for: </t>
  </si>
  <si>
    <t>* briefs:</t>
  </si>
  <si>
    <t xml:space="preserve">- core team and management about delays and complications as needed </t>
  </si>
  <si>
    <t>- engages Rule Publications (SIP coordinator, public affairs consultant, EQC assistant)</t>
  </si>
  <si>
    <t>- fiscal and economic impact analysis</t>
  </si>
  <si>
    <t>- quality of public rulemaking documents</t>
  </si>
  <si>
    <t xml:space="preserve">&lt; +/- calendar days adjustment </t>
  </si>
  <si>
    <t xml:space="preserve">&lt;  calendar days added       </t>
  </si>
  <si>
    <t>Meeting &gt;</t>
  </si>
  <si>
    <t>Complete by</t>
  </si>
  <si>
    <t>Adj</t>
  </si>
  <si>
    <t>Best practice</t>
  </si>
  <si>
    <t>completeness and accuracy of technical and program content</t>
  </si>
  <si>
    <t>9.00 a.m.</t>
  </si>
  <si>
    <t xml:space="preserve">         copied text from other locations or turned track changes off</t>
  </si>
  <si>
    <t>PREVIEW PERIOD</t>
  </si>
  <si>
    <t>Cc…to all contributing and affected staff</t>
  </si>
  <si>
    <t>EQC Facilitated Hearing</t>
  </si>
  <si>
    <t xml:space="preserve">* responsible for approving external work product as: </t>
  </si>
  <si>
    <t>- meeting program and section goals</t>
  </si>
  <si>
    <t>- being accurate both technically &amp; programmatically</t>
  </si>
  <si>
    <t xml:space="preserve">- meeting sponsoring manager's task deadlines in this Schedule </t>
  </si>
  <si>
    <t>- research and analysis for rulemaking</t>
  </si>
  <si>
    <t>- drafting work products</t>
  </si>
  <si>
    <t>- core team meetings</t>
  </si>
  <si>
    <t>Review version history to help maintain rulemaking record                 &gt;</t>
  </si>
  <si>
    <t>assistant) as needed for edits, style guide, grammar, plain English, organization, clarity and tone</t>
  </si>
  <si>
    <t>clarity and tone</t>
  </si>
  <si>
    <t>Rule Publication work includes:</t>
  </si>
  <si>
    <t>c. determining fiscal and economic impact analysis sufficiency</t>
  </si>
  <si>
    <t>Notice, Proposed Rules and public Supporting Documents are complete</t>
  </si>
  <si>
    <t>Rule Publication work involves:</t>
  </si>
  <si>
    <t>b. determining whether documents are complete and ready for Rule Publication</t>
  </si>
  <si>
    <r>
      <t>* leads Rule Publication work</t>
    </r>
    <r>
      <rPr>
        <b/>
        <sz val="10"/>
        <color theme="4" tint="-0.499984740745262"/>
        <rFont val="Cambria"/>
        <family val="1"/>
        <scheme val="minor"/>
      </rPr>
      <t xml:space="preserve"> a. </t>
    </r>
  </si>
  <si>
    <t>* addresses input to ensures edits and comments speak with one voice</t>
  </si>
  <si>
    <t>Sponsoring Partner Manager</t>
  </si>
  <si>
    <t>* outstanding work</t>
  </si>
  <si>
    <t>- Rulemaking Activities Web page for proposed rule</t>
  </si>
  <si>
    <t>- Online public comment form</t>
  </si>
  <si>
    <t>a. establishing, but not activating the following:</t>
  </si>
  <si>
    <t xml:space="preserve">* obtains additional Rule Publication edits on changes if needed </t>
  </si>
  <si>
    <t xml:space="preserve">* submits SOS CERTIFICATE and REDLINE.RULES Legislative Counsel </t>
  </si>
  <si>
    <t>Rule_Development|4-Notice using naming conventions</t>
  </si>
  <si>
    <t>* addresses outstanding edits and comments</t>
  </si>
  <si>
    <t>* compares work products to earlier reviews to determine need for additional edits</t>
  </si>
  <si>
    <t>* all references to rules and documents within PROPOSED.RULES are current</t>
  </si>
  <si>
    <t>d. reviewing rules using CHECKLIST.PublicDocumentReview</t>
  </si>
  <si>
    <t>Loop 1 - Restart Rule Publication</t>
  </si>
  <si>
    <t>Loop 2 - Restart Rule Publication</t>
  </si>
  <si>
    <t>Loop 3 - Restart Rule Publication</t>
  </si>
  <si>
    <t>* validates approach with RESOURCES as needed</t>
  </si>
  <si>
    <t>Lydia</t>
  </si>
  <si>
    <t>- addresses input to ensure edits and comments speak with one voice</t>
  </si>
  <si>
    <r>
      <t>- performs reviews</t>
    </r>
    <r>
      <rPr>
        <b/>
        <sz val="10"/>
        <color theme="4" tint="-0.499984740745262"/>
        <rFont val="Cambria"/>
        <family val="1"/>
        <scheme val="minor"/>
      </rPr>
      <t xml:space="preserve"> c.</t>
    </r>
    <r>
      <rPr>
        <sz val="10"/>
        <color theme="4" tint="-0.499984740745262"/>
        <rFont val="Cambria"/>
        <family val="1"/>
        <scheme val="minor"/>
      </rPr>
      <t xml:space="preserve"> and </t>
    </r>
    <r>
      <rPr>
        <b/>
        <sz val="10"/>
        <color theme="4" tint="-0.499984740745262"/>
        <rFont val="Cambria"/>
        <family val="1"/>
        <scheme val="minor"/>
      </rPr>
      <t xml:space="preserve">d. </t>
    </r>
  </si>
  <si>
    <t>e. determining whether work products meet rulemaking goals</t>
  </si>
  <si>
    <t>f. determining accuracy of work product</t>
  </si>
  <si>
    <t>g. resolving comments among Rule Publication reviewers</t>
  </si>
  <si>
    <t>i. approving documents for publication</t>
  </si>
  <si>
    <t xml:space="preserve">IF COMPLETE, </t>
  </si>
  <si>
    <r>
      <t>* performs program review, especially</t>
    </r>
    <r>
      <rPr>
        <b/>
        <sz val="10"/>
        <color theme="4" tint="-0.499984740745262"/>
        <rFont val="Cambria"/>
        <family val="1"/>
        <scheme val="minor"/>
      </rPr>
      <t xml:space="preserve"> e. </t>
    </r>
    <r>
      <rPr>
        <sz val="10"/>
        <color theme="4" tint="-0.499984740745262"/>
        <rFont val="Cambria"/>
        <family val="1"/>
        <scheme val="minor"/>
      </rPr>
      <t xml:space="preserve">and </t>
    </r>
    <r>
      <rPr>
        <b/>
        <sz val="10"/>
        <color theme="4" tint="-0.499984740745262"/>
        <rFont val="Cambria"/>
        <family val="1"/>
        <scheme val="minor"/>
      </rPr>
      <t xml:space="preserve">f. </t>
    </r>
  </si>
  <si>
    <t>h. accepting non substantive edits</t>
  </si>
  <si>
    <t xml:space="preserve">* accepts non substantive edits </t>
  </si>
  <si>
    <t>* saves each public document as a Major version</t>
  </si>
  <si>
    <r>
      <t xml:space="preserve">* accepts </t>
    </r>
    <r>
      <rPr>
        <b/>
        <sz val="10"/>
        <color theme="4" tint="-0.499984740745262"/>
        <rFont val="Cambria"/>
        <family val="1"/>
        <scheme val="minor"/>
      </rPr>
      <t>All</t>
    </r>
    <r>
      <rPr>
        <sz val="10"/>
        <color theme="4" tint="-0.499984740745262"/>
        <rFont val="Cambria"/>
        <family val="1"/>
        <scheme val="minor"/>
      </rPr>
      <t xml:space="preserve"> changes in Notice  </t>
    </r>
  </si>
  <si>
    <r>
      <t xml:space="preserve">* performs initial document readiness work </t>
    </r>
    <r>
      <rPr>
        <b/>
        <sz val="10"/>
        <color theme="4" tint="-0.499984740745262"/>
        <rFont val="Cambria"/>
        <family val="1"/>
        <scheme val="minor"/>
      </rPr>
      <t xml:space="preserve">b. </t>
    </r>
  </si>
  <si>
    <t>RULE PUBLICATION WORK</t>
  </si>
  <si>
    <t>and rule conventions outlined in CHECKLIST.PublicDocumentReview</t>
  </si>
  <si>
    <t>* turns on track changes in each public document</t>
  </si>
  <si>
    <t>* deletes resolved comments in each public document</t>
  </si>
  <si>
    <t>- ensuring technical and programatic accuracy of completed work products</t>
  </si>
  <si>
    <t>- establish SharePoint sub site, Rule_Development drive and archival spaces</t>
  </si>
  <si>
    <t>=IF($AF6=0,TRUE)</t>
  </si>
  <si>
    <t>Place cursor in first cell of range in column E calculation before applying conditional format.</t>
  </si>
  <si>
    <t>Grey on white</t>
  </si>
  <si>
    <t>Teal on white</t>
  </si>
  <si>
    <t>Tiered Approach - Selections made in Column C  of Schedule</t>
  </si>
  <si>
    <t>Format</t>
  </si>
  <si>
    <t>1 = FALSE</t>
  </si>
  <si>
    <t xml:space="preserve">0 = TRUE   </t>
  </si>
  <si>
    <t xml:space="preserve">$B$6:$H$896 </t>
  </si>
  <si>
    <t>On ScheduleOfTasks</t>
  </si>
  <si>
    <r>
      <t xml:space="preserve">Selection turns row is </t>
    </r>
    <r>
      <rPr>
        <b/>
        <sz val="11"/>
        <color theme="1"/>
        <rFont val="Cambria"/>
        <family val="1"/>
        <scheme val="minor"/>
      </rPr>
      <t>ON</t>
    </r>
    <r>
      <rPr>
        <sz val="11"/>
        <color theme="1"/>
        <rFont val="Cambria"/>
        <family val="1"/>
        <scheme val="minor"/>
      </rPr>
      <t xml:space="preserve"> based formula in AF</t>
    </r>
  </si>
  <si>
    <r>
      <t xml:space="preserve">Selection turns row </t>
    </r>
    <r>
      <rPr>
        <b/>
        <sz val="11"/>
        <color theme="1"/>
        <rFont val="Cambria"/>
        <family val="1"/>
        <scheme val="minor"/>
      </rPr>
      <t xml:space="preserve">OFF </t>
    </r>
    <r>
      <rPr>
        <sz val="11"/>
        <color theme="1"/>
        <rFont val="Cambria"/>
        <family val="1"/>
        <scheme val="minor"/>
      </rPr>
      <t>based on formula in AF</t>
    </r>
  </si>
  <si>
    <t xml:space="preserve">S.DDL_DEQClosed  is the "holiday" table in WORKDAY function. </t>
  </si>
  <si>
    <t>=IF(WORKDAY($G6-1,1,S.DDL_DEQClosed)&lt;&gt;$G6,TRUE)</t>
  </si>
  <si>
    <t>$G$6:$G$896 (or last row)</t>
  </si>
  <si>
    <t>=IF(WORKDAY($H12-1,1,S.DDL_DEQClosed)&lt;&gt;$H12,TRUE)</t>
  </si>
  <si>
    <t>$H$12:$H$896 (or last row)</t>
  </si>
  <si>
    <t>9.00 am</t>
  </si>
  <si>
    <t>DO NOT MAIL TO COMMENTERS UNTIL EQC ASSISTANT FINALIZES STAFF REPORT</t>
  </si>
  <si>
    <t>From Meeting 5 title</t>
  </si>
  <si>
    <t>Jill</t>
  </si>
  <si>
    <t>Leah</t>
  </si>
  <si>
    <t>Paul</t>
  </si>
  <si>
    <t>AQ Permitting</t>
  </si>
  <si>
    <t>AQPerm</t>
  </si>
  <si>
    <t>* submits presentation to StephanieC by deadline</t>
  </si>
  <si>
    <t>*Submit to PaulG if needed</t>
  </si>
  <si>
    <t>* facilitates Leah's review</t>
  </si>
  <si>
    <t>- AndreaG for Rules Publications</t>
  </si>
  <si>
    <t>EQC Packet is due to StephanieC:</t>
  </si>
  <si>
    <t>Jill addresses Rules Publication work</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</si>
</sst>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62" x14ac:knownFonts="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11"/>
      <color theme="0" tint="-0.34998626667073579"/>
      <name val="Cambria"/>
      <family val="2"/>
      <scheme val="minor"/>
    </font>
    <font>
      <sz val="20"/>
      <color theme="1"/>
      <name val="Cambria"/>
      <family val="2"/>
      <scheme val="minor"/>
    </font>
    <font>
      <b/>
      <sz val="11"/>
      <color theme="1"/>
      <name val="Cambria"/>
      <family val="1"/>
      <scheme val="minor"/>
    </font>
    <font>
      <b/>
      <i/>
      <sz val="11"/>
      <color rgb="FFFF0000"/>
      <name val="Calibri"/>
      <family val="2"/>
      <scheme val="major"/>
    </font>
    <font>
      <i/>
      <sz val="11"/>
      <color rgb="FFFF0000"/>
      <name val="Calibri"/>
      <family val="2"/>
      <scheme val="major"/>
    </font>
  </fonts>
  <fills count="45">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5" tint="0.59999389629810485"/>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fgColor rgb="FF993300"/>
        <bgColor rgb="FF000000"/>
      </patternFill>
    </fill>
    <fill>
      <patternFill patternType="solid">
        <fgColor rgb="FFFF9900"/>
        <bgColor indexed="64"/>
      </patternFill>
    </fill>
  </fills>
  <borders count="107">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dotted">
        <color theme="4" tint="-0.499984740745262"/>
      </left>
      <right style="thin">
        <color theme="0" tint="-0.34998626667073579"/>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ck">
        <color theme="1" tint="0.499984740745262"/>
      </right>
      <top/>
      <bottom/>
      <diagonal/>
    </border>
    <border>
      <left/>
      <right/>
      <top/>
      <bottom style="thick">
        <color theme="1" tint="0.499984740745262"/>
      </bottom>
      <diagonal/>
    </border>
    <border>
      <left style="thin">
        <color theme="0" tint="-0.249977111117893"/>
      </left>
      <right style="thick">
        <color theme="1" tint="0.499984740745262"/>
      </right>
      <top style="thin">
        <color theme="0" tint="-0.249977111117893"/>
      </top>
      <bottom style="thin">
        <color theme="0" tint="-0.249977111117893"/>
      </bottom>
      <diagonal/>
    </border>
    <border>
      <left style="thin">
        <color theme="0" tint="-0.249977111117893"/>
      </left>
      <right style="thick">
        <color theme="1" tint="0.499984740745262"/>
      </right>
      <top/>
      <bottom style="thin">
        <color theme="0" tint="-0.249977111117893"/>
      </bottom>
      <diagonal/>
    </border>
    <border>
      <left style="thick">
        <color theme="1" tint="0.499984740745262"/>
      </left>
      <right/>
      <top style="thin">
        <color theme="0" tint="-0.249977111117893"/>
      </top>
      <bottom style="thick">
        <color theme="1" tint="0.499984740745262"/>
      </bottom>
      <diagonal/>
    </border>
    <border>
      <left/>
      <right style="thick">
        <color theme="1" tint="0.499984740745262"/>
      </right>
      <top style="thin">
        <color theme="0" tint="-0.249977111117893"/>
      </top>
      <bottom style="thick">
        <color theme="1" tint="0.499984740745262"/>
      </bottom>
      <diagonal/>
    </border>
    <border>
      <left/>
      <right/>
      <top/>
      <bottom style="thin">
        <color indexed="64"/>
      </bottom>
      <diagonal/>
    </border>
    <border>
      <left/>
      <right style="thin">
        <color theme="0" tint="-0.14999847407452621"/>
      </right>
      <top/>
      <bottom/>
      <diagonal/>
    </border>
    <border>
      <left style="thick">
        <color theme="0" tint="-0.34998626667073579"/>
      </left>
      <right style="thin">
        <color theme="0" tint="-0.249977111117893"/>
      </right>
      <top/>
      <bottom style="thick">
        <color theme="0" tint="-0.34998626667073579"/>
      </bottom>
      <diagonal/>
    </border>
    <border>
      <left style="thin">
        <color theme="0" tint="-0.249977111117893"/>
      </left>
      <right style="thick">
        <color theme="0" tint="-0.34998626667073579"/>
      </right>
      <top/>
      <bottom style="thick">
        <color theme="0" tint="-0.34998626667073579"/>
      </bottom>
      <diagonal/>
    </border>
    <border>
      <left style="thick">
        <color theme="0" tint="-0.34998626667073579"/>
      </left>
      <right/>
      <top/>
      <bottom style="thin">
        <color theme="0" tint="-0.34998626667073579"/>
      </bottom>
      <diagonal/>
    </border>
    <border>
      <left/>
      <right style="thick">
        <color theme="0" tint="-0.34998626667073579"/>
      </right>
      <top/>
      <bottom style="thin">
        <color theme="0" tint="-0.34998626667073579"/>
      </bottom>
      <diagonal/>
    </border>
    <border>
      <left style="thick">
        <color theme="0" tint="-0.34998626667073579"/>
      </left>
      <right/>
      <top style="thick">
        <color theme="0" tint="-0.34998626667073579"/>
      </top>
      <bottom style="hair">
        <color theme="0" tint="-0.34998626667073579"/>
      </bottom>
      <diagonal/>
    </border>
    <border>
      <left/>
      <right style="thick">
        <color theme="0" tint="-0.34998626667073579"/>
      </right>
      <top style="thick">
        <color theme="0" tint="-0.34998626667073579"/>
      </top>
      <bottom style="hair">
        <color theme="0" tint="-0.34998626667073579"/>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diagonal/>
    </border>
  </borders>
  <cellStyleXfs count="11">
    <xf numFmtId="164" fontId="0" fillId="0" borderId="0"/>
    <xf numFmtId="0" fontId="96" fillId="34" borderId="24"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0">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24"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6"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7"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5" fillId="2" borderId="0" xfId="0" applyFont="1" applyFill="1" applyBorder="1" applyProtection="1"/>
    <xf numFmtId="164" fontId="35" fillId="2" borderId="0" xfId="0" applyFont="1" applyFill="1" applyBorder="1" applyAlignment="1" applyProtection="1"/>
    <xf numFmtId="164" fontId="35" fillId="2" borderId="0" xfId="0" applyFont="1" applyFill="1" applyBorder="1" applyAlignment="1" applyProtection="1">
      <alignment horizontal="right"/>
    </xf>
    <xf numFmtId="0" fontId="37" fillId="17" borderId="0" xfId="0" applyNumberFormat="1" applyFont="1" applyFill="1" applyBorder="1" applyAlignment="1" applyProtection="1">
      <alignment horizontal="left" wrapText="1"/>
    </xf>
    <xf numFmtId="169" fontId="30" fillId="7" borderId="0" xfId="0" applyNumberFormat="1" applyFont="1" applyFill="1" applyBorder="1" applyAlignment="1" applyProtection="1">
      <alignment horizontal="center"/>
    </xf>
    <xf numFmtId="0" fontId="30" fillId="17" borderId="0" xfId="0" applyNumberFormat="1" applyFont="1" applyFill="1" applyBorder="1" applyAlignment="1" applyProtection="1">
      <alignment horizontal="left" wrapText="1"/>
    </xf>
    <xf numFmtId="164" fontId="42" fillId="0" borderId="0" xfId="0" applyFont="1" applyFill="1" applyBorder="1" applyAlignment="1" applyProtection="1">
      <alignment horizontal="right"/>
    </xf>
    <xf numFmtId="164" fontId="34" fillId="0" borderId="0" xfId="0" applyFont="1" applyFill="1" applyBorder="1" applyAlignment="1" applyProtection="1"/>
    <xf numFmtId="164" fontId="35" fillId="0" borderId="0" xfId="0" applyFont="1" applyFill="1" applyBorder="1" applyAlignment="1" applyProtection="1">
      <alignment horizontal="right"/>
    </xf>
    <xf numFmtId="164" fontId="35" fillId="0" borderId="0" xfId="0" applyFont="1" applyFill="1" applyBorder="1" applyAlignment="1" applyProtection="1"/>
    <xf numFmtId="0" fontId="44" fillId="2" borderId="0" xfId="0" applyNumberFormat="1" applyFont="1" applyFill="1" applyBorder="1" applyAlignment="1" applyProtection="1"/>
    <xf numFmtId="0" fontId="44" fillId="2" borderId="0" xfId="0" applyNumberFormat="1" applyFont="1" applyFill="1" applyBorder="1" applyAlignment="1" applyProtection="1">
      <alignment horizontal="right"/>
    </xf>
    <xf numFmtId="0" fontId="34" fillId="2" borderId="0" xfId="1" applyNumberFormat="1" applyFont="1" applyFill="1" applyBorder="1" applyAlignment="1" applyProtection="1">
      <alignment horizontal="center" vertical="center" wrapText="1"/>
    </xf>
    <xf numFmtId="0" fontId="34" fillId="2" borderId="0" xfId="1" applyNumberFormat="1" applyFont="1" applyFill="1" applyBorder="1" applyAlignment="1" applyProtection="1">
      <alignment wrapText="1"/>
    </xf>
    <xf numFmtId="0" fontId="34" fillId="2" borderId="0" xfId="1" applyNumberFormat="1" applyFont="1" applyFill="1" applyBorder="1" applyAlignment="1" applyProtection="1">
      <alignment horizontal="right" wrapText="1"/>
    </xf>
    <xf numFmtId="0" fontId="34" fillId="0" borderId="0" xfId="0" applyNumberFormat="1" applyFont="1" applyFill="1" applyBorder="1" applyAlignment="1" applyProtection="1">
      <alignment horizontal="left" wrapText="1"/>
    </xf>
    <xf numFmtId="164" fontId="35" fillId="9" borderId="0" xfId="0" applyFont="1" applyFill="1" applyBorder="1" applyAlignment="1" applyProtection="1"/>
    <xf numFmtId="164" fontId="35" fillId="9" borderId="0" xfId="0" applyFont="1" applyFill="1" applyBorder="1" applyAlignment="1" applyProtection="1">
      <alignment horizontal="right"/>
    </xf>
    <xf numFmtId="0" fontId="45" fillId="2" borderId="0" xfId="0" applyNumberFormat="1" applyFont="1" applyFill="1" applyBorder="1" applyAlignment="1" applyProtection="1">
      <alignment horizontal="left" wrapText="1"/>
    </xf>
    <xf numFmtId="0" fontId="46" fillId="0" borderId="0" xfId="0" applyNumberFormat="1" applyFont="1" applyBorder="1" applyAlignment="1" applyProtection="1">
      <alignment horizontal="center" vertical="center" wrapText="1"/>
    </xf>
    <xf numFmtId="0" fontId="46" fillId="0" borderId="0" xfId="0" applyNumberFormat="1" applyFont="1" applyBorder="1" applyAlignment="1" applyProtection="1">
      <alignment horizontal="left" wrapText="1"/>
    </xf>
    <xf numFmtId="1" fontId="47" fillId="0" borderId="0" xfId="0" applyNumberFormat="1" applyFont="1" applyBorder="1" applyAlignment="1" applyProtection="1">
      <alignment horizontal="right" wrapText="1"/>
    </xf>
    <xf numFmtId="0" fontId="31" fillId="7" borderId="0" xfId="0" applyNumberFormat="1" applyFont="1" applyFill="1" applyBorder="1" applyAlignment="1" applyProtection="1">
      <alignment horizontal="left"/>
    </xf>
    <xf numFmtId="0" fontId="49" fillId="17" borderId="0" xfId="0" applyNumberFormat="1" applyFont="1" applyFill="1" applyBorder="1" applyAlignment="1" applyProtection="1">
      <alignment horizontal="left" vertical="center" wrapText="1"/>
    </xf>
    <xf numFmtId="164" fontId="35"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39" fillId="7" borderId="0" xfId="0" applyNumberFormat="1" applyFont="1" applyFill="1" applyBorder="1" applyAlignment="1" applyProtection="1">
      <alignment horizontal="left" vertical="center" wrapText="1" indent="1"/>
    </xf>
    <xf numFmtId="0" fontId="39" fillId="7" borderId="0" xfId="0" applyNumberFormat="1" applyFont="1" applyFill="1" applyBorder="1" applyAlignment="1" applyProtection="1">
      <alignment horizontal="center" vertical="center" wrapText="1"/>
    </xf>
    <xf numFmtId="0" fontId="40" fillId="17" borderId="0" xfId="0" applyNumberFormat="1" applyFont="1" applyFill="1" applyBorder="1" applyAlignment="1" applyProtection="1">
      <alignment horizontal="center"/>
    </xf>
    <xf numFmtId="164" fontId="39" fillId="7" borderId="0" xfId="0" applyNumberFormat="1" applyFont="1" applyFill="1" applyBorder="1" applyAlignment="1" applyProtection="1">
      <alignment horizontal="left" vertical="center" wrapText="1" indent="3"/>
    </xf>
    <xf numFmtId="0" fontId="34" fillId="2" borderId="0" xfId="1" applyNumberFormat="1" applyFont="1" applyFill="1" applyBorder="1" applyAlignment="1" applyProtection="1">
      <alignment vertical="center" wrapText="1"/>
    </xf>
    <xf numFmtId="164" fontId="39" fillId="7" borderId="0" xfId="0" applyNumberFormat="1" applyFont="1" applyFill="1" applyBorder="1" applyAlignment="1" applyProtection="1">
      <alignment horizontal="left" wrapText="1"/>
    </xf>
    <xf numFmtId="164" fontId="39" fillId="7" borderId="0" xfId="0" applyNumberFormat="1" applyFont="1" applyFill="1" applyBorder="1" applyAlignment="1" applyProtection="1">
      <alignment horizontal="right" wrapText="1"/>
    </xf>
    <xf numFmtId="0" fontId="45" fillId="2"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wrapText="1"/>
    </xf>
    <xf numFmtId="166" fontId="45" fillId="2" borderId="0" xfId="0" applyNumberFormat="1" applyFont="1" applyFill="1" applyBorder="1" applyAlignment="1" applyProtection="1"/>
    <xf numFmtId="166" fontId="45" fillId="5" borderId="0" xfId="0" applyNumberFormat="1" applyFont="1" applyFill="1" applyBorder="1" applyAlignment="1" applyProtection="1">
      <alignment horizontal="right"/>
    </xf>
    <xf numFmtId="0" fontId="44" fillId="9" borderId="0" xfId="0" applyNumberFormat="1" applyFont="1" applyFill="1" applyBorder="1" applyAlignment="1" applyProtection="1">
      <alignment wrapText="1"/>
    </xf>
    <xf numFmtId="1" fontId="43" fillId="7" borderId="0" xfId="0" applyNumberFormat="1" applyFont="1" applyFill="1" applyBorder="1" applyAlignment="1" applyProtection="1">
      <alignment horizontal="right" wrapText="1"/>
    </xf>
    <xf numFmtId="166" fontId="39" fillId="17" borderId="0" xfId="0" applyNumberFormat="1" applyFont="1" applyFill="1" applyBorder="1" applyAlignment="1" applyProtection="1">
      <alignment horizontal="right"/>
    </xf>
    <xf numFmtId="166" fontId="47" fillId="0" borderId="0" xfId="0" applyNumberFormat="1" applyFont="1" applyBorder="1" applyAlignment="1" applyProtection="1"/>
    <xf numFmtId="166" fontId="45" fillId="20" borderId="0" xfId="0" applyNumberFormat="1" applyFont="1" applyFill="1" applyBorder="1" applyAlignment="1" applyProtection="1">
      <alignment horizontal="right"/>
    </xf>
    <xf numFmtId="0" fontId="48"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2" fillId="0" borderId="0" xfId="0" applyNumberFormat="1" applyFont="1" applyFill="1" applyBorder="1" applyAlignment="1" applyProtection="1">
      <alignment horizontal="left" wrapText="1"/>
    </xf>
    <xf numFmtId="164" fontId="36" fillId="0" borderId="0" xfId="0" applyFont="1" applyBorder="1" applyAlignment="1"/>
    <xf numFmtId="164" fontId="51" fillId="0" borderId="0" xfId="0" applyFont="1" applyFill="1" applyBorder="1" applyAlignment="1" applyProtection="1">
      <alignment horizontal="right"/>
    </xf>
    <xf numFmtId="164" fontId="52" fillId="0" borderId="0" xfId="0" applyFont="1" applyFill="1" applyBorder="1" applyAlignment="1" applyProtection="1"/>
    <xf numFmtId="164" fontId="36" fillId="0" borderId="0" xfId="0" applyFont="1" applyFill="1" applyBorder="1" applyAlignment="1" applyProtection="1"/>
    <xf numFmtId="0" fontId="32" fillId="0" borderId="0" xfId="0" applyNumberFormat="1" applyFont="1" applyFill="1" applyBorder="1" applyAlignment="1" applyProtection="1">
      <alignment horizontal="center" vertical="center" wrapText="1"/>
    </xf>
    <xf numFmtId="0" fontId="53" fillId="2" borderId="0" xfId="0" applyNumberFormat="1" applyFont="1" applyFill="1" applyBorder="1" applyProtection="1"/>
    <xf numFmtId="168" fontId="50"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0" fillId="2" borderId="0" xfId="0" quotePrefix="1" applyFill="1"/>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55" fillId="24" borderId="7" xfId="0" applyFont="1" applyFill="1" applyBorder="1" applyAlignment="1">
      <alignment horizontal="center"/>
    </xf>
    <xf numFmtId="164" fontId="28"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29"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0" fontId="37" fillId="17" borderId="0" xfId="0" applyNumberFormat="1" applyFont="1" applyFill="1" applyBorder="1" applyAlignment="1" applyProtection="1">
      <alignment horizontal="left" vertical="center" wrapText="1"/>
    </xf>
    <xf numFmtId="0" fontId="44" fillId="2" borderId="0" xfId="0" applyNumberFormat="1" applyFont="1" applyFill="1" applyBorder="1" applyAlignment="1" applyProtection="1">
      <alignment horizontal="center" vertical="center"/>
    </xf>
    <xf numFmtId="0" fontId="30"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1" fillId="7" borderId="0" xfId="0" applyNumberFormat="1" applyFont="1" applyFill="1" applyBorder="1" applyAlignment="1" applyProtection="1">
      <alignment horizontal="left" vertical="center"/>
    </xf>
    <xf numFmtId="166" fontId="39" fillId="7" borderId="0" xfId="0" applyNumberFormat="1" applyFont="1" applyFill="1" applyBorder="1" applyAlignment="1" applyProtection="1"/>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2" fillId="2" borderId="0" xfId="0" applyNumberFormat="1" applyFont="1" applyFill="1" applyBorder="1" applyAlignment="1" applyProtection="1">
      <alignment horizontal="center" vertical="center" wrapText="1"/>
    </xf>
    <xf numFmtId="0" fontId="34" fillId="0" borderId="0" xfId="0" applyNumberFormat="1" applyFont="1" applyBorder="1" applyAlignment="1" applyProtection="1">
      <alignment horizontal="left" wrapText="1"/>
    </xf>
    <xf numFmtId="164" fontId="34" fillId="2" borderId="0" xfId="0" applyFont="1" applyFill="1" applyBorder="1" applyAlignment="1" applyProtection="1"/>
    <xf numFmtId="166" fontId="39" fillId="7" borderId="0" xfId="0" applyNumberFormat="1" applyFont="1" applyFill="1" applyBorder="1" applyAlignment="1" applyProtection="1">
      <protection locked="0"/>
    </xf>
    <xf numFmtId="0" fontId="32" fillId="2" borderId="3" xfId="0" applyNumberFormat="1" applyFont="1" applyFill="1" applyBorder="1" applyAlignment="1" applyProtection="1">
      <alignment horizontal="center" vertical="center" wrapText="1"/>
      <protection locked="0"/>
    </xf>
    <xf numFmtId="0" fontId="59" fillId="2" borderId="3" xfId="0" applyNumberFormat="1" applyFont="1" applyFill="1" applyBorder="1" applyAlignment="1" applyProtection="1">
      <alignment horizontal="center" vertical="center" wrapText="1"/>
      <protection locked="0"/>
    </xf>
    <xf numFmtId="0" fontId="60" fillId="0" borderId="0" xfId="0" applyNumberFormat="1" applyFont="1" applyFill="1" applyBorder="1" applyAlignment="1" applyProtection="1">
      <alignment horizontal="left" wrapText="1"/>
    </xf>
    <xf numFmtId="166" fontId="59" fillId="5" borderId="2" xfId="0" applyNumberFormat="1" applyFont="1" applyFill="1" applyBorder="1" applyAlignment="1" applyProtection="1">
      <alignment horizontal="right"/>
      <protection locked="0"/>
    </xf>
    <xf numFmtId="164" fontId="61" fillId="0" borderId="0" xfId="0" applyFont="1" applyBorder="1"/>
    <xf numFmtId="164" fontId="62" fillId="0" borderId="0" xfId="0" applyFont="1" applyFill="1" applyBorder="1" applyAlignment="1" applyProtection="1"/>
    <xf numFmtId="164" fontId="61" fillId="0" borderId="0" xfId="0" applyFont="1" applyFill="1" applyBorder="1" applyAlignment="1" applyProtection="1"/>
    <xf numFmtId="0" fontId="63" fillId="2" borderId="3" xfId="0" applyNumberFormat="1" applyFont="1" applyFill="1" applyBorder="1" applyAlignment="1" applyProtection="1">
      <alignment horizontal="center" vertical="center" wrapText="1"/>
      <protection locked="0"/>
    </xf>
    <xf numFmtId="0" fontId="63" fillId="0" borderId="0" xfId="0" applyNumberFormat="1" applyFont="1" applyFill="1" applyBorder="1" applyAlignment="1" applyProtection="1">
      <alignment horizontal="left" wrapText="1"/>
    </xf>
    <xf numFmtId="164" fontId="63" fillId="0" borderId="0" xfId="0" applyFont="1" applyFill="1" applyBorder="1" applyAlignment="1" applyProtection="1"/>
    <xf numFmtId="0" fontId="63" fillId="2" borderId="13" xfId="0" applyNumberFormat="1" applyFont="1" applyFill="1" applyBorder="1" applyAlignment="1" applyProtection="1">
      <alignment horizontal="center" vertical="center" wrapText="1"/>
    </xf>
    <xf numFmtId="166" fontId="39" fillId="7" borderId="0" xfId="0" applyNumberFormat="1" applyFont="1" applyFill="1" applyBorder="1" applyAlignment="1" applyProtection="1">
      <alignment horizontal="right" vertical="center"/>
    </xf>
    <xf numFmtId="0" fontId="60" fillId="0" borderId="0" xfId="0" applyNumberFormat="1" applyFont="1" applyBorder="1" applyAlignment="1" applyProtection="1">
      <alignment horizontal="left" wrapText="1"/>
    </xf>
    <xf numFmtId="0" fontId="63" fillId="2" borderId="2" xfId="0" applyNumberFormat="1" applyFont="1" applyFill="1" applyBorder="1" applyAlignment="1" applyProtection="1">
      <alignment horizontal="center" vertical="center" wrapText="1"/>
      <protection locked="0"/>
    </xf>
    <xf numFmtId="166" fontId="39" fillId="17" borderId="0" xfId="0" applyNumberFormat="1" applyFont="1" applyFill="1" applyBorder="1" applyAlignment="1" applyProtection="1">
      <alignment horizontal="right"/>
      <protection locked="0"/>
    </xf>
    <xf numFmtId="164" fontId="21" fillId="12" borderId="0" xfId="0" applyFont="1" applyFill="1" applyBorder="1"/>
    <xf numFmtId="0" fontId="66" fillId="2" borderId="0" xfId="0" applyNumberFormat="1" applyFont="1" applyFill="1" applyBorder="1" applyAlignment="1" applyProtection="1">
      <alignment horizontal="left" vertical="center" wrapText="1" indent="1"/>
    </xf>
    <xf numFmtId="164" fontId="66" fillId="2" borderId="0" xfId="0" applyNumberFormat="1" applyFont="1" applyFill="1" applyBorder="1" applyAlignment="1" applyProtection="1">
      <alignment horizontal="left" vertical="center" wrapText="1" indent="2"/>
    </xf>
    <xf numFmtId="164" fontId="66" fillId="2" borderId="0" xfId="0" applyNumberFormat="1" applyFont="1" applyFill="1" applyBorder="1" applyAlignment="1" applyProtection="1">
      <alignment horizontal="left" vertical="top" wrapText="1"/>
    </xf>
    <xf numFmtId="164" fontId="66" fillId="0" borderId="0" xfId="0" applyNumberFormat="1" applyFont="1" applyBorder="1" applyAlignment="1" applyProtection="1">
      <alignment horizontal="left" vertical="center" wrapText="1" indent="3"/>
    </xf>
    <xf numFmtId="164" fontId="66" fillId="0" borderId="0" xfId="0" applyNumberFormat="1" applyFont="1" applyBorder="1" applyAlignment="1" applyProtection="1">
      <alignment horizontal="left" vertical="center" wrapText="1" indent="4"/>
    </xf>
    <xf numFmtId="164" fontId="66" fillId="2" borderId="0" xfId="0" applyNumberFormat="1" applyFont="1" applyFill="1" applyBorder="1" applyAlignment="1" applyProtection="1">
      <alignment horizontal="left" vertical="center" wrapText="1"/>
    </xf>
    <xf numFmtId="0" fontId="67" fillId="0" borderId="0" xfId="0" applyNumberFormat="1" applyFont="1" applyBorder="1" applyAlignment="1" applyProtection="1">
      <alignment horizontal="left" vertical="center" wrapText="1"/>
    </xf>
    <xf numFmtId="164" fontId="68" fillId="8" borderId="14" xfId="0" applyFont="1" applyFill="1" applyBorder="1" applyProtection="1">
      <protection locked="0"/>
    </xf>
    <xf numFmtId="164" fontId="33" fillId="2" borderId="0" xfId="0" applyFont="1" applyFill="1"/>
    <xf numFmtId="164" fontId="41" fillId="2" borderId="0" xfId="0" applyFont="1" applyFill="1" applyAlignment="1">
      <alignment horizontal="center" vertical="center"/>
    </xf>
    <xf numFmtId="164" fontId="71" fillId="11" borderId="0" xfId="4" applyFont="1" applyFill="1" applyBorder="1" applyAlignment="1" applyProtection="1">
      <alignment horizontal="left" vertical="center"/>
    </xf>
    <xf numFmtId="164" fontId="72" fillId="11" borderId="0" xfId="4" applyFont="1" applyFill="1" applyBorder="1" applyAlignment="1" applyProtection="1">
      <alignment horizontal="left" vertical="center"/>
    </xf>
    <xf numFmtId="0" fontId="70" fillId="9" borderId="0" xfId="0" applyNumberFormat="1" applyFont="1" applyFill="1" applyBorder="1" applyAlignment="1" applyProtection="1">
      <alignment horizontal="left" vertical="center"/>
    </xf>
    <xf numFmtId="0" fontId="66" fillId="0" borderId="0" xfId="0" applyNumberFormat="1" applyFont="1" applyBorder="1" applyAlignment="1" applyProtection="1">
      <alignment horizontal="left" vertical="center" wrapText="1"/>
    </xf>
    <xf numFmtId="167" fontId="71"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66" fillId="0" borderId="0" xfId="0" applyNumberFormat="1" applyFont="1" applyBorder="1" applyAlignment="1" applyProtection="1">
      <alignment horizontal="left" vertical="center" wrapText="1" indent="1"/>
    </xf>
    <xf numFmtId="164" fontId="66" fillId="0" borderId="0" xfId="0" applyNumberFormat="1" applyFont="1" applyBorder="1" applyAlignment="1" applyProtection="1">
      <alignment horizontal="left" vertical="center" wrapText="1" indent="1"/>
    </xf>
    <xf numFmtId="164" fontId="66" fillId="0" borderId="0" xfId="0" applyNumberFormat="1" applyFont="1" applyBorder="1" applyAlignment="1" applyProtection="1">
      <alignment horizontal="left" vertical="center" wrapText="1"/>
    </xf>
    <xf numFmtId="164" fontId="73" fillId="0" borderId="0" xfId="0" applyNumberFormat="1" applyFont="1" applyBorder="1" applyAlignment="1" applyProtection="1">
      <alignment horizontal="center" vertical="center" wrapText="1"/>
    </xf>
    <xf numFmtId="164" fontId="0" fillId="2" borderId="0" xfId="0" applyFill="1" applyBorder="1" applyAlignment="1">
      <alignment horizontal="left" vertical="center" indent="5"/>
    </xf>
    <xf numFmtId="164" fontId="0" fillId="0" borderId="0" xfId="0" applyAlignment="1">
      <alignment horizontal="left" vertical="center" indent="5"/>
    </xf>
    <xf numFmtId="164" fontId="34"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73" fillId="2" borderId="8" xfId="0" applyNumberFormat="1" applyFont="1" applyFill="1" applyBorder="1" applyAlignment="1" applyProtection="1">
      <alignment horizontal="right" vertical="center" wrapText="1"/>
      <protection locked="0"/>
    </xf>
    <xf numFmtId="166" fontId="66" fillId="2" borderId="2"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8" fontId="66" fillId="0" borderId="2" xfId="0" applyNumberFormat="1" applyFont="1" applyFill="1" applyBorder="1" applyAlignment="1" applyProtection="1">
      <alignment horizontal="right" wrapText="1"/>
    </xf>
    <xf numFmtId="166" fontId="66" fillId="5" borderId="2" xfId="0" applyNumberFormat="1" applyFont="1" applyFill="1" applyBorder="1" applyAlignment="1" applyProtection="1">
      <alignment horizontal="right"/>
      <protection locked="0"/>
    </xf>
    <xf numFmtId="168" fontId="66" fillId="0" borderId="0" xfId="0" applyNumberFormat="1" applyFont="1" applyFill="1" applyBorder="1" applyAlignment="1" applyProtection="1">
      <alignment horizontal="right" wrapText="1"/>
    </xf>
    <xf numFmtId="164" fontId="75" fillId="0" borderId="0" xfId="0" applyFont="1" applyFill="1" applyBorder="1" applyAlignment="1" applyProtection="1"/>
    <xf numFmtId="166" fontId="66" fillId="5" borderId="9" xfId="0" applyNumberFormat="1" applyFont="1" applyFill="1" applyBorder="1" applyAlignment="1" applyProtection="1">
      <alignment horizontal="right"/>
      <protection locked="0"/>
    </xf>
    <xf numFmtId="168" fontId="74" fillId="0" borderId="0" xfId="0" applyNumberFormat="1" applyFont="1" applyFill="1" applyBorder="1" applyAlignment="1" applyProtection="1">
      <alignment horizontal="right" wrapText="1"/>
    </xf>
    <xf numFmtId="170" fontId="66" fillId="0" borderId="2" xfId="0" applyNumberFormat="1" applyFont="1" applyFill="1" applyBorder="1" applyAlignment="1" applyProtection="1">
      <alignment horizontal="right" wrapText="1"/>
    </xf>
    <xf numFmtId="164" fontId="75" fillId="0" borderId="0" xfId="0" applyFont="1" applyFill="1" applyBorder="1" applyAlignment="1" applyProtection="1">
      <alignment horizontal="right"/>
    </xf>
    <xf numFmtId="166" fontId="66" fillId="5" borderId="2" xfId="0" applyNumberFormat="1" applyFont="1" applyFill="1" applyBorder="1" applyAlignment="1" applyProtection="1">
      <alignment horizontal="right"/>
    </xf>
    <xf numFmtId="164" fontId="75" fillId="0" borderId="15" xfId="0" applyFont="1" applyFill="1" applyBorder="1" applyAlignment="1" applyProtection="1"/>
    <xf numFmtId="166" fontId="66" fillId="0" borderId="2" xfId="0" applyNumberFormat="1" applyFont="1" applyFill="1" applyBorder="1" applyAlignment="1" applyProtection="1">
      <alignment horizontal="right"/>
      <protection locked="0"/>
    </xf>
    <xf numFmtId="164" fontId="66" fillId="2" borderId="0" xfId="0" applyNumberFormat="1" applyFont="1" applyFill="1" applyBorder="1" applyAlignment="1" applyProtection="1">
      <alignment vertical="center" wrapText="1"/>
    </xf>
    <xf numFmtId="164" fontId="66" fillId="2" borderId="0" xfId="0" applyNumberFormat="1" applyFont="1" applyFill="1" applyBorder="1" applyAlignment="1" applyProtection="1">
      <alignment horizontal="left" vertical="center" wrapText="1"/>
    </xf>
    <xf numFmtId="0" fontId="66" fillId="0" borderId="0" xfId="0" applyNumberFormat="1" applyFont="1" applyFill="1" applyBorder="1" applyAlignment="1" applyProtection="1">
      <alignment horizontal="left" wrapText="1"/>
    </xf>
    <xf numFmtId="164" fontId="66" fillId="2" borderId="0" xfId="0" applyNumberFormat="1" applyFont="1" applyFill="1" applyBorder="1" applyAlignment="1" applyProtection="1">
      <alignment horizontal="left" vertical="center" wrapText="1" indent="1"/>
    </xf>
    <xf numFmtId="0" fontId="66" fillId="2" borderId="0" xfId="0" quotePrefix="1" applyNumberFormat="1" applyFont="1" applyFill="1" applyBorder="1" applyAlignment="1" applyProtection="1">
      <alignment horizontal="left" wrapText="1" indent="2"/>
    </xf>
    <xf numFmtId="0" fontId="77" fillId="0" borderId="0" xfId="0" applyNumberFormat="1" applyFont="1" applyFill="1" applyBorder="1" applyAlignment="1" applyProtection="1">
      <alignment horizontal="center" vertical="center" wrapText="1"/>
    </xf>
    <xf numFmtId="0" fontId="66" fillId="2" borderId="0" xfId="0" quotePrefix="1" applyNumberFormat="1" applyFont="1" applyFill="1" applyBorder="1" applyAlignment="1" applyProtection="1">
      <alignment horizontal="left" vertical="top" wrapText="1" indent="2"/>
    </xf>
    <xf numFmtId="0" fontId="66" fillId="2" borderId="0" xfId="0" applyNumberFormat="1" applyFont="1" applyFill="1" applyBorder="1" applyAlignment="1" applyProtection="1">
      <alignment horizontal="left" vertical="top" wrapText="1" indent="4"/>
    </xf>
    <xf numFmtId="0" fontId="77" fillId="0" borderId="0" xfId="0" applyNumberFormat="1" applyFont="1" applyFill="1" applyBorder="1" applyAlignment="1" applyProtection="1">
      <alignment horizontal="left" vertical="center" wrapText="1" indent="1"/>
    </xf>
    <xf numFmtId="164" fontId="66" fillId="0" borderId="0" xfId="0" applyNumberFormat="1" applyFont="1" applyBorder="1" applyAlignment="1" applyProtection="1">
      <alignment horizontal="left" vertical="center" wrapText="1" indent="2"/>
    </xf>
    <xf numFmtId="164" fontId="66" fillId="0" borderId="0" xfId="0" applyNumberFormat="1" applyFont="1" applyFill="1" applyBorder="1" applyAlignment="1" applyProtection="1">
      <alignment horizontal="left" vertical="center" wrapText="1" indent="2"/>
    </xf>
    <xf numFmtId="164" fontId="66" fillId="2" borderId="0" xfId="0" applyNumberFormat="1" applyFont="1" applyFill="1" applyBorder="1" applyAlignment="1" applyProtection="1">
      <alignment horizontal="right" vertical="center" wrapText="1"/>
    </xf>
    <xf numFmtId="0" fontId="66" fillId="2" borderId="0" xfId="0" applyNumberFormat="1" applyFont="1" applyFill="1" applyBorder="1" applyAlignment="1" applyProtection="1">
      <alignment horizontal="right" vertical="center" wrapText="1"/>
    </xf>
    <xf numFmtId="164" fontId="75" fillId="0" borderId="0" xfId="0" applyFont="1"/>
    <xf numFmtId="164" fontId="75" fillId="0" borderId="0" xfId="0" applyFont="1" applyBorder="1"/>
    <xf numFmtId="0" fontId="79" fillId="0" borderId="2" xfId="0" applyNumberFormat="1"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left" wrapText="1"/>
    </xf>
    <xf numFmtId="0" fontId="66" fillId="2" borderId="2" xfId="0" applyNumberFormat="1" applyFont="1" applyFill="1" applyBorder="1" applyAlignment="1" applyProtection="1">
      <alignment horizontal="center" vertical="center" wrapText="1"/>
      <protection locked="0"/>
    </xf>
    <xf numFmtId="167" fontId="66" fillId="2" borderId="0" xfId="1" applyNumberFormat="1" applyFont="1" applyFill="1" applyBorder="1" applyAlignment="1" applyProtection="1">
      <alignment horizontal="left" vertical="center" wrapText="1"/>
    </xf>
    <xf numFmtId="167" fontId="66" fillId="0" borderId="0" xfId="0" applyNumberFormat="1" applyFont="1" applyBorder="1" applyAlignment="1" applyProtection="1">
      <alignment horizontal="left" vertical="center" wrapText="1"/>
    </xf>
    <xf numFmtId="166" fontId="66" fillId="0" borderId="0" xfId="0" applyNumberFormat="1" applyFont="1" applyFill="1" applyBorder="1" applyAlignment="1" applyProtection="1"/>
    <xf numFmtId="164" fontId="81" fillId="0" borderId="0" xfId="0" applyFont="1" applyFill="1" applyBorder="1" applyAlignment="1" applyProtection="1">
      <alignment horizontal="right"/>
    </xf>
    <xf numFmtId="164" fontId="81" fillId="0" borderId="0" xfId="0" applyFont="1" applyFill="1" applyBorder="1" applyAlignment="1" applyProtection="1"/>
    <xf numFmtId="167" fontId="66" fillId="0" borderId="0" xfId="0" applyNumberFormat="1" applyFont="1" applyBorder="1" applyAlignment="1" applyProtection="1">
      <alignment horizontal="left" vertical="center" wrapText="1" indent="1"/>
    </xf>
    <xf numFmtId="167" fontId="66" fillId="5" borderId="0" xfId="4" applyNumberFormat="1" applyFont="1" applyFill="1" applyBorder="1" applyAlignment="1" applyProtection="1">
      <alignment horizontal="left" vertical="center"/>
    </xf>
    <xf numFmtId="166" fontId="66" fillId="2" borderId="2" xfId="0" applyNumberFormat="1" applyFont="1" applyFill="1" applyBorder="1" applyAlignment="1" applyProtection="1">
      <protection locked="0"/>
    </xf>
    <xf numFmtId="0" fontId="66" fillId="2" borderId="3" xfId="0" applyNumberFormat="1" applyFont="1" applyFill="1" applyBorder="1" applyAlignment="1" applyProtection="1">
      <alignment horizontal="center" vertical="center" wrapText="1"/>
      <protection locked="0"/>
    </xf>
    <xf numFmtId="0" fontId="66" fillId="4" borderId="0" xfId="0" applyNumberFormat="1" applyFont="1" applyFill="1" applyBorder="1" applyAlignment="1" applyProtection="1">
      <alignment vertical="center"/>
    </xf>
    <xf numFmtId="0" fontId="66" fillId="4" borderId="0" xfId="0" applyNumberFormat="1" applyFont="1" applyFill="1" applyBorder="1" applyAlignment="1" applyProtection="1">
      <alignment horizontal="center" vertical="center"/>
    </xf>
    <xf numFmtId="0" fontId="66" fillId="4" borderId="0" xfId="0" applyNumberFormat="1" applyFont="1" applyFill="1" applyBorder="1" applyAlignment="1" applyProtection="1"/>
    <xf numFmtId="1" fontId="66" fillId="4" borderId="0" xfId="0" applyNumberFormat="1" applyFont="1" applyFill="1" applyBorder="1" applyAlignment="1" applyProtection="1">
      <alignment horizontal="right"/>
    </xf>
    <xf numFmtId="166" fontId="66" fillId="5" borderId="0" xfId="0" applyNumberFormat="1" applyFont="1" applyFill="1" applyBorder="1" applyAlignment="1" applyProtection="1"/>
    <xf numFmtId="167" fontId="66" fillId="2" borderId="0" xfId="0" applyNumberFormat="1" applyFont="1" applyFill="1" applyBorder="1" applyAlignment="1" applyProtection="1">
      <alignment horizontal="left" vertical="center" wrapText="1" indent="1"/>
    </xf>
    <xf numFmtId="166" fontId="66" fillId="0" borderId="2" xfId="0" applyNumberFormat="1" applyFont="1" applyBorder="1" applyAlignment="1" applyProtection="1">
      <protection locked="0"/>
    </xf>
    <xf numFmtId="164" fontId="75" fillId="2" borderId="0" xfId="0" applyFont="1" applyFill="1" applyBorder="1" applyAlignment="1" applyProtection="1"/>
    <xf numFmtId="0" fontId="82" fillId="2" borderId="0" xfId="0" applyNumberFormat="1" applyFont="1" applyFill="1" applyBorder="1" applyAlignment="1" applyProtection="1">
      <alignment horizontal="center" vertical="center" wrapText="1"/>
    </xf>
    <xf numFmtId="164" fontId="66" fillId="0" borderId="0" xfId="0" applyNumberFormat="1" applyFont="1" applyFill="1" applyBorder="1" applyAlignment="1" applyProtection="1">
      <alignment horizontal="left" vertical="center" wrapText="1" indent="1"/>
    </xf>
    <xf numFmtId="164" fontId="66" fillId="0" borderId="0" xfId="0" applyNumberFormat="1" applyFont="1" applyFill="1" applyBorder="1" applyAlignment="1" applyProtection="1">
      <alignment horizontal="left" vertical="center" wrapText="1"/>
    </xf>
    <xf numFmtId="0" fontId="66" fillId="2" borderId="0" xfId="0" applyNumberFormat="1" applyFont="1" applyFill="1" applyBorder="1" applyAlignment="1" applyProtection="1">
      <alignment horizontal="left" wrapText="1" indent="1"/>
    </xf>
    <xf numFmtId="0" fontId="73" fillId="2" borderId="0" xfId="0" applyNumberFormat="1" applyFont="1" applyFill="1" applyBorder="1" applyAlignment="1" applyProtection="1">
      <alignment horizontal="right" vertical="center" wrapText="1"/>
    </xf>
    <xf numFmtId="164" fontId="75" fillId="0" borderId="0" xfId="0" applyFont="1" applyBorder="1" applyAlignment="1" applyProtection="1"/>
    <xf numFmtId="0" fontId="66" fillId="0" borderId="0" xfId="0" applyNumberFormat="1" applyFont="1" applyFill="1" applyBorder="1" applyAlignment="1" applyProtection="1">
      <alignment horizontal="center" vertical="center" wrapText="1"/>
    </xf>
    <xf numFmtId="0" fontId="66" fillId="2" borderId="2" xfId="0" applyNumberFormat="1" applyFont="1" applyFill="1" applyBorder="1" applyAlignment="1" applyProtection="1">
      <alignment horizontal="left" vertical="center" wrapText="1"/>
      <protection locked="0"/>
    </xf>
    <xf numFmtId="166" fontId="66" fillId="2" borderId="2" xfId="0" applyNumberFormat="1" applyFont="1" applyFill="1" applyBorder="1" applyAlignment="1" applyProtection="1"/>
    <xf numFmtId="0" fontId="73" fillId="0" borderId="0" xfId="0" applyNumberFormat="1" applyFont="1" applyBorder="1" applyAlignment="1" applyProtection="1">
      <alignment horizontal="right" vertical="center" wrapText="1"/>
    </xf>
    <xf numFmtId="164" fontId="66" fillId="0" borderId="0" xfId="0" quotePrefix="1" applyNumberFormat="1" applyFont="1" applyFill="1" applyBorder="1" applyAlignment="1" applyProtection="1">
      <alignment horizontal="left" vertical="center" wrapText="1"/>
    </xf>
    <xf numFmtId="0" fontId="66" fillId="2" borderId="9" xfId="0" applyNumberFormat="1" applyFont="1" applyFill="1" applyBorder="1" applyAlignment="1" applyProtection="1">
      <alignment horizontal="center" vertical="center" wrapText="1"/>
      <protection locked="0"/>
    </xf>
    <xf numFmtId="168" fontId="66" fillId="0" borderId="12" xfId="0" applyNumberFormat="1" applyFont="1" applyFill="1" applyBorder="1" applyAlignment="1" applyProtection="1">
      <alignment horizontal="right" wrapText="1"/>
    </xf>
    <xf numFmtId="164" fontId="75" fillId="2" borderId="0" xfId="0" applyFont="1" applyFill="1" applyBorder="1" applyProtection="1"/>
    <xf numFmtId="164" fontId="75" fillId="2" borderId="0" xfId="0" applyFont="1" applyFill="1" applyBorder="1" applyAlignment="1" applyProtection="1">
      <alignment horizontal="right"/>
    </xf>
    <xf numFmtId="164" fontId="66" fillId="2" borderId="0" xfId="1" applyNumberFormat="1" applyFont="1" applyFill="1" applyBorder="1" applyAlignment="1" applyProtection="1">
      <alignment horizontal="left" vertical="center" wrapText="1" indent="1"/>
    </xf>
    <xf numFmtId="164" fontId="66" fillId="0" borderId="0" xfId="0" applyFont="1" applyBorder="1" applyAlignment="1" applyProtection="1">
      <alignment horizontal="left" wrapText="1" indent="1"/>
    </xf>
    <xf numFmtId="164" fontId="66" fillId="0" borderId="0" xfId="1" applyNumberFormat="1" applyFont="1" applyFill="1" applyBorder="1" applyAlignment="1" applyProtection="1">
      <alignment horizontal="left" vertical="center" wrapText="1" indent="1"/>
    </xf>
    <xf numFmtId="0" fontId="66" fillId="0" borderId="0" xfId="1" applyNumberFormat="1" applyFont="1" applyFill="1" applyBorder="1" applyAlignment="1" applyProtection="1">
      <alignment horizontal="left" vertical="center" wrapText="1" indent="1"/>
    </xf>
    <xf numFmtId="167" fontId="66" fillId="2" borderId="0" xfId="1" applyNumberFormat="1" applyFont="1" applyFill="1" applyBorder="1" applyAlignment="1" applyProtection="1">
      <alignment horizontal="left" vertical="center" wrapText="1" indent="1"/>
    </xf>
    <xf numFmtId="164" fontId="75" fillId="0" borderId="0" xfId="0" applyFont="1" applyProtection="1"/>
    <xf numFmtId="166" fontId="74" fillId="2" borderId="9" xfId="0" applyNumberFormat="1" applyFont="1" applyFill="1" applyBorder="1" applyAlignment="1" applyProtection="1">
      <protection locked="0"/>
    </xf>
    <xf numFmtId="166" fontId="74" fillId="2" borderId="2" xfId="0" applyNumberFormat="1" applyFont="1" applyFill="1" applyBorder="1" applyAlignment="1" applyProtection="1">
      <protection locked="0"/>
    </xf>
    <xf numFmtId="164" fontId="75" fillId="0" borderId="0" xfId="0" applyFont="1" applyBorder="1" applyProtection="1"/>
    <xf numFmtId="0" fontId="66" fillId="2" borderId="0" xfId="0" applyNumberFormat="1" applyFont="1" applyFill="1" applyBorder="1" applyAlignment="1" applyProtection="1">
      <alignment horizontal="center" vertical="center" wrapText="1"/>
    </xf>
    <xf numFmtId="166" fontId="73" fillId="2" borderId="9" xfId="0" applyNumberFormat="1" applyFont="1" applyFill="1" applyBorder="1" applyAlignment="1" applyProtection="1">
      <alignment horizontal="right" vertical="center" wrapText="1"/>
      <protection locked="0"/>
    </xf>
    <xf numFmtId="0" fontId="66" fillId="0" borderId="0" xfId="0" applyNumberFormat="1" applyFont="1" applyBorder="1" applyAlignment="1" applyProtection="1">
      <alignment horizontal="right" vertical="center" wrapText="1"/>
    </xf>
    <xf numFmtId="164" fontId="78" fillId="2" borderId="0" xfId="0" applyNumberFormat="1" applyFont="1" applyFill="1" applyBorder="1" applyAlignment="1" applyProtection="1">
      <alignment horizontal="left" vertical="center" wrapText="1" indent="3"/>
    </xf>
    <xf numFmtId="164" fontId="73" fillId="2" borderId="0" xfId="0" applyNumberFormat="1" applyFont="1" applyFill="1" applyBorder="1" applyAlignment="1" applyProtection="1">
      <alignment horizontal="left" vertical="center" wrapText="1" indent="3"/>
    </xf>
    <xf numFmtId="164" fontId="73" fillId="2" borderId="0" xfId="0" applyNumberFormat="1" applyFont="1" applyFill="1" applyBorder="1" applyAlignment="1" applyProtection="1">
      <alignment horizontal="left" vertical="center" wrapText="1"/>
    </xf>
    <xf numFmtId="164" fontId="75" fillId="0" borderId="0" xfId="0" applyFont="1" applyAlignment="1"/>
    <xf numFmtId="166" fontId="66" fillId="2" borderId="0" xfId="0" applyNumberFormat="1" applyFont="1" applyFill="1" applyBorder="1" applyAlignment="1" applyProtection="1"/>
    <xf numFmtId="166" fontId="66" fillId="0" borderId="2" xfId="0" applyNumberFormat="1" applyFont="1" applyFill="1" applyBorder="1" applyAlignment="1" applyProtection="1"/>
    <xf numFmtId="166" fontId="86" fillId="2" borderId="0" xfId="0" applyNumberFormat="1" applyFont="1" applyFill="1"/>
    <xf numFmtId="0" fontId="66" fillId="0" borderId="0" xfId="0" applyNumberFormat="1" applyFont="1" applyFill="1" applyBorder="1" applyAlignment="1" applyProtection="1">
      <alignment horizontal="left" wrapText="1" indent="1"/>
    </xf>
    <xf numFmtId="164" fontId="75" fillId="0" borderId="0" xfId="0" applyFont="1" applyFill="1" applyBorder="1"/>
    <xf numFmtId="164" fontId="75" fillId="2" borderId="0" xfId="0" applyFont="1" applyFill="1" applyBorder="1"/>
    <xf numFmtId="164" fontId="75" fillId="0" borderId="0" xfId="0" applyFont="1" applyFill="1" applyBorder="1" applyAlignment="1" applyProtection="1">
      <alignment horizontal="left" indent="1"/>
    </xf>
    <xf numFmtId="164" fontId="66" fillId="2" borderId="0" xfId="0" applyNumberFormat="1" applyFont="1" applyFill="1" applyBorder="1" applyAlignment="1" applyProtection="1">
      <alignment horizontal="left" vertical="center" wrapText="1" indent="5"/>
    </xf>
    <xf numFmtId="164" fontId="84" fillId="2" borderId="0" xfId="0" applyFont="1" applyFill="1" applyBorder="1" applyAlignment="1" applyProtection="1"/>
    <xf numFmtId="164" fontId="73" fillId="2" borderId="0" xfId="0" applyNumberFormat="1" applyFont="1" applyFill="1" applyBorder="1" applyAlignment="1" applyProtection="1">
      <alignment horizontal="center" vertical="center" wrapText="1"/>
    </xf>
    <xf numFmtId="164" fontId="66" fillId="2" borderId="0" xfId="0" applyNumberFormat="1" applyFont="1" applyFill="1" applyBorder="1" applyAlignment="1" applyProtection="1">
      <alignment horizontal="left" vertical="center" wrapText="1" indent="3"/>
    </xf>
    <xf numFmtId="164" fontId="66"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8" fillId="9" borderId="0" xfId="0" applyNumberFormat="1" applyFont="1" applyFill="1" applyAlignment="1" applyProtection="1">
      <alignment horizontal="left"/>
    </xf>
    <xf numFmtId="166" fontId="59" fillId="5" borderId="2" xfId="0" applyNumberFormat="1" applyFont="1" applyFill="1" applyBorder="1" applyAlignment="1" applyProtection="1">
      <alignment horizontal="right"/>
    </xf>
    <xf numFmtId="164" fontId="88" fillId="0" borderId="0" xfId="0" applyFont="1"/>
    <xf numFmtId="164" fontId="89" fillId="0" borderId="0" xfId="0" applyFont="1"/>
    <xf numFmtId="164" fontId="36" fillId="0" borderId="0" xfId="0" applyFont="1" applyBorder="1" applyAlignment="1">
      <alignment horizontal="left" vertical="center" indent="5"/>
    </xf>
    <xf numFmtId="164" fontId="32" fillId="0" borderId="0" xfId="0" applyFont="1" applyBorder="1" applyAlignment="1"/>
    <xf numFmtId="164" fontId="32" fillId="0" borderId="0" xfId="0" applyFont="1" applyFill="1" applyBorder="1" applyAlignment="1" applyProtection="1"/>
    <xf numFmtId="0" fontId="32" fillId="2" borderId="17" xfId="0" applyNumberFormat="1" applyFont="1" applyFill="1" applyBorder="1" applyAlignment="1" applyProtection="1">
      <alignment horizontal="center" vertical="center" wrapText="1"/>
      <protection locked="0"/>
    </xf>
    <xf numFmtId="0" fontId="80" fillId="23" borderId="16" xfId="1" applyFont="1" applyFill="1" applyBorder="1" applyAlignment="1" applyProtection="1">
      <alignment horizontal="center" vertical="center"/>
    </xf>
    <xf numFmtId="0" fontId="66" fillId="2" borderId="12" xfId="0" applyNumberFormat="1" applyFont="1" applyFill="1" applyBorder="1" applyAlignment="1" applyProtection="1">
      <alignment horizontal="center" vertical="center" wrapText="1"/>
      <protection locked="0"/>
    </xf>
    <xf numFmtId="0" fontId="80" fillId="29" borderId="16" xfId="1" applyFont="1" applyFill="1" applyBorder="1" applyAlignment="1" applyProtection="1">
      <alignment horizontal="center" vertical="center"/>
    </xf>
    <xf numFmtId="164" fontId="66" fillId="2" borderId="0" xfId="0" applyNumberFormat="1" applyFont="1" applyFill="1" applyBorder="1" applyAlignment="1" applyProtection="1">
      <alignment horizontal="left" vertical="center" wrapText="1" indent="4"/>
    </xf>
    <xf numFmtId="164" fontId="85"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66" fillId="2" borderId="8" xfId="0" applyNumberFormat="1" applyFont="1" applyFill="1" applyBorder="1" applyAlignment="1" applyProtection="1">
      <alignment horizontal="right" vertical="center" wrapText="1"/>
      <protection locked="0"/>
    </xf>
    <xf numFmtId="166" fontId="66" fillId="2" borderId="9" xfId="0" applyNumberFormat="1" applyFont="1" applyFill="1" applyBorder="1" applyAlignment="1" applyProtection="1">
      <alignment horizontal="right" vertical="center" wrapText="1"/>
      <protection locked="0"/>
    </xf>
    <xf numFmtId="164" fontId="66" fillId="0" borderId="0" xfId="0" applyNumberFormat="1" applyFont="1" applyBorder="1" applyAlignment="1" applyProtection="1">
      <alignment horizontal="left" vertical="center" wrapText="1" indent="5"/>
    </xf>
    <xf numFmtId="0" fontId="73" fillId="2" borderId="0" xfId="1" applyNumberFormat="1" applyFont="1" applyFill="1" applyBorder="1" applyAlignment="1" applyProtection="1">
      <alignment horizontal="right" vertical="center" wrapText="1" indent="2"/>
    </xf>
    <xf numFmtId="166" fontId="76" fillId="2" borderId="0" xfId="0" applyNumberFormat="1" applyFont="1" applyFill="1"/>
    <xf numFmtId="167" fontId="66" fillId="2" borderId="0" xfId="0" applyNumberFormat="1" applyFont="1" applyFill="1" applyBorder="1" applyAlignment="1" applyProtection="1">
      <alignment horizontal="left" wrapText="1" indent="4"/>
    </xf>
    <xf numFmtId="164" fontId="73" fillId="2" borderId="0" xfId="0" applyNumberFormat="1" applyFont="1" applyFill="1" applyBorder="1" applyAlignment="1" applyProtection="1">
      <alignment horizontal="left" wrapText="1"/>
    </xf>
    <xf numFmtId="167" fontId="66"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0" fillId="17" borderId="0" xfId="0" applyNumberFormat="1" applyFont="1" applyFill="1" applyBorder="1" applyAlignment="1" applyProtection="1">
      <alignment horizontal="left" vertical="top" wrapText="1"/>
    </xf>
    <xf numFmtId="169" fontId="30"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6"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0" fillId="17" borderId="0" xfId="0" applyNumberFormat="1" applyFont="1" applyFill="1" applyBorder="1" applyAlignment="1" applyProtection="1">
      <alignment horizontal="center" vertical="top" wrapText="1"/>
    </xf>
    <xf numFmtId="0" fontId="90" fillId="17" borderId="0" xfId="0" applyNumberFormat="1" applyFont="1" applyFill="1" applyBorder="1" applyAlignment="1" applyProtection="1">
      <alignment horizontal="left" indent="2"/>
    </xf>
    <xf numFmtId="164" fontId="90" fillId="7" borderId="0" xfId="0" applyFont="1" applyFill="1" applyAlignment="1">
      <alignment horizontal="left" indent="2"/>
    </xf>
    <xf numFmtId="0" fontId="41" fillId="17" borderId="0" xfId="0" applyNumberFormat="1" applyFont="1" applyFill="1" applyBorder="1" applyAlignment="1" applyProtection="1">
      <alignment horizontal="center"/>
    </xf>
    <xf numFmtId="0" fontId="90"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66"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0" fontId="80" fillId="29" borderId="11" xfId="1" applyFont="1" applyFill="1" applyBorder="1" applyAlignment="1" applyProtection="1">
      <alignment horizontal="center" vertical="center"/>
    </xf>
    <xf numFmtId="164" fontId="73" fillId="2" borderId="11" xfId="0" applyNumberFormat="1" applyFont="1" applyFill="1" applyBorder="1" applyAlignment="1" applyProtection="1">
      <alignment horizontal="center" vertical="center" wrapText="1"/>
    </xf>
    <xf numFmtId="0" fontId="66" fillId="2" borderId="0" xfId="1" applyNumberFormat="1" applyFont="1" applyFill="1" applyBorder="1" applyAlignment="1" applyProtection="1">
      <alignment horizontal="left" vertical="center" wrapText="1"/>
    </xf>
    <xf numFmtId="164" fontId="66" fillId="0" borderId="0" xfId="0" applyFont="1" applyBorder="1" applyAlignment="1" applyProtection="1">
      <alignment horizontal="left" wrapText="1"/>
    </xf>
    <xf numFmtId="0" fontId="66" fillId="2" borderId="0" xfId="1" applyNumberFormat="1" applyFont="1" applyFill="1" applyBorder="1" applyAlignment="1" applyProtection="1">
      <alignment horizontal="left" vertical="center" wrapText="1"/>
      <protection locked="0"/>
    </xf>
    <xf numFmtId="0" fontId="66" fillId="0" borderId="0" xfId="1" applyNumberFormat="1" applyFont="1" applyFill="1" applyBorder="1" applyAlignment="1" applyProtection="1">
      <alignment horizontal="left" vertical="center" wrapText="1"/>
    </xf>
    <xf numFmtId="164" fontId="66" fillId="0" borderId="0" xfId="0" applyFont="1" applyFill="1" applyBorder="1" applyAlignment="1" applyProtection="1">
      <alignment horizontal="left" indent="1"/>
    </xf>
    <xf numFmtId="164" fontId="66" fillId="0" borderId="0" xfId="0" quotePrefix="1" applyFont="1" applyFill="1" applyBorder="1" applyAlignment="1" applyProtection="1">
      <alignment horizontal="left" indent="2"/>
    </xf>
    <xf numFmtId="164" fontId="66" fillId="0" borderId="0" xfId="0" quotePrefix="1" applyFont="1" applyFill="1" applyBorder="1" applyAlignment="1" applyProtection="1">
      <alignment horizontal="left" vertical="center" indent="2"/>
    </xf>
    <xf numFmtId="0" fontId="66" fillId="0" borderId="0" xfId="0" quotePrefix="1" applyNumberFormat="1" applyFont="1" applyBorder="1" applyAlignment="1" applyProtection="1">
      <alignment horizontal="left" vertical="center" wrapText="1" indent="2"/>
    </xf>
    <xf numFmtId="164" fontId="66" fillId="2" borderId="0" xfId="0" applyNumberFormat="1" applyFont="1" applyFill="1" applyBorder="1" applyAlignment="1" applyProtection="1">
      <alignment horizontal="left" wrapText="1" indent="1"/>
    </xf>
    <xf numFmtId="164" fontId="66" fillId="2" borderId="0" xfId="0" applyNumberFormat="1" applyFont="1" applyFill="1" applyBorder="1" applyAlignment="1" applyProtection="1">
      <alignment horizontal="left" vertical="top" wrapText="1" indent="1"/>
    </xf>
    <xf numFmtId="164" fontId="66" fillId="2" borderId="0" xfId="0" quotePrefix="1" applyNumberFormat="1" applyFont="1" applyFill="1" applyBorder="1" applyAlignment="1" applyProtection="1">
      <alignment horizontal="left" wrapText="1" indent="2"/>
    </xf>
    <xf numFmtId="164" fontId="66" fillId="2" borderId="0" xfId="0" quotePrefix="1" applyNumberFormat="1" applyFont="1" applyFill="1" applyBorder="1" applyAlignment="1" applyProtection="1">
      <alignment horizontal="left" vertical="center" wrapText="1" indent="2"/>
    </xf>
    <xf numFmtId="164" fontId="66" fillId="2" borderId="0" xfId="0" quotePrefix="1" applyNumberFormat="1" applyFont="1" applyFill="1" applyBorder="1" applyAlignment="1" applyProtection="1">
      <alignment horizontal="left" vertical="top" wrapText="1" indent="2"/>
    </xf>
    <xf numFmtId="164" fontId="66" fillId="0" borderId="0" xfId="0" quotePrefix="1" applyNumberFormat="1" applyFont="1" applyBorder="1" applyAlignment="1" applyProtection="1">
      <alignment horizontal="left" vertical="center" wrapText="1" indent="2"/>
    </xf>
    <xf numFmtId="164" fontId="66" fillId="0" borderId="0" xfId="1" applyNumberFormat="1" applyFont="1" applyFill="1" applyBorder="1" applyAlignment="1" applyProtection="1">
      <alignment horizontal="left" vertical="center" wrapText="1" indent="3"/>
    </xf>
    <xf numFmtId="167" fontId="66" fillId="0" borderId="0" xfId="0" applyNumberFormat="1" applyFont="1" applyFill="1" applyBorder="1" applyAlignment="1" applyProtection="1">
      <alignment horizontal="left" vertical="center" wrapText="1" indent="4"/>
    </xf>
    <xf numFmtId="0" fontId="66" fillId="0" borderId="0" xfId="1" applyNumberFormat="1" applyFont="1" applyFill="1" applyBorder="1" applyAlignment="1" applyProtection="1">
      <alignment horizontal="left" vertical="center" wrapText="1" indent="2"/>
    </xf>
    <xf numFmtId="164" fontId="66" fillId="0" borderId="0" xfId="0" applyFont="1" applyBorder="1" applyAlignment="1" applyProtection="1">
      <alignment horizontal="left" wrapText="1" indent="2"/>
    </xf>
    <xf numFmtId="164" fontId="66" fillId="2" borderId="0" xfId="1" applyNumberFormat="1" applyFont="1" applyFill="1" applyBorder="1" applyAlignment="1" applyProtection="1">
      <alignment horizontal="left" vertical="center" wrapText="1" indent="2"/>
    </xf>
    <xf numFmtId="167" fontId="66" fillId="5" borderId="0" xfId="4" quotePrefix="1" applyNumberFormat="1" applyFont="1" applyFill="1" applyBorder="1" applyAlignment="1" applyProtection="1">
      <alignment horizontal="left" vertical="center"/>
    </xf>
    <xf numFmtId="166" fontId="66" fillId="5" borderId="2" xfId="0" applyNumberFormat="1" applyFont="1" applyFill="1" applyBorder="1" applyAlignment="1" applyProtection="1">
      <alignment horizontal="center" vertical="center"/>
      <protection locked="0"/>
    </xf>
    <xf numFmtId="164" fontId="76" fillId="0" borderId="0" xfId="0" applyFont="1" applyBorder="1" applyAlignment="1">
      <alignment horizontal="right" vertical="center"/>
    </xf>
    <xf numFmtId="166" fontId="73" fillId="6" borderId="2" xfId="0" applyNumberFormat="1" applyFont="1" applyFill="1" applyBorder="1" applyAlignment="1" applyProtection="1">
      <alignment horizontal="right" vertical="center"/>
    </xf>
    <xf numFmtId="164" fontId="66" fillId="2" borderId="0" xfId="0" applyNumberFormat="1" applyFont="1" applyFill="1" applyBorder="1" applyAlignment="1" applyProtection="1">
      <alignment horizontal="left" vertical="center" wrapText="1" indent="6"/>
    </xf>
    <xf numFmtId="164" fontId="66" fillId="2" borderId="0" xfId="0" applyNumberFormat="1" applyFont="1" applyFill="1" applyBorder="1" applyAlignment="1" applyProtection="1">
      <alignment horizontal="left" vertical="center" wrapText="1" indent="7"/>
    </xf>
    <xf numFmtId="164" fontId="66" fillId="0" borderId="0" xfId="1" applyNumberFormat="1" applyFont="1" applyFill="1" applyBorder="1" applyAlignment="1" applyProtection="1">
      <alignment horizontal="left" vertical="center" wrapText="1" indent="2"/>
    </xf>
    <xf numFmtId="0" fontId="66" fillId="29" borderId="0" xfId="1" applyNumberFormat="1" applyFont="1" applyFill="1" applyBorder="1" applyAlignment="1" applyProtection="1">
      <alignment horizontal="left" vertical="center" wrapText="1" indent="2"/>
    </xf>
    <xf numFmtId="0" fontId="66" fillId="32" borderId="0" xfId="1" applyNumberFormat="1" applyFont="1" applyFill="1" applyBorder="1" applyAlignment="1" applyProtection="1">
      <alignment horizontal="left" vertical="center" wrapText="1" indent="3"/>
    </xf>
    <xf numFmtId="0" fontId="66" fillId="33" borderId="0" xfId="1" applyNumberFormat="1" applyFont="1" applyFill="1" applyBorder="1" applyAlignment="1" applyProtection="1">
      <alignment horizontal="left" vertical="center" wrapText="1" indent="4"/>
      <protection locked="0"/>
    </xf>
    <xf numFmtId="164" fontId="66" fillId="33" borderId="0" xfId="1" applyNumberFormat="1" applyFont="1" applyFill="1" applyBorder="1" applyAlignment="1" applyProtection="1">
      <alignment horizontal="left" vertical="center" wrapText="1" indent="5"/>
    </xf>
    <xf numFmtId="0" fontId="66" fillId="33" borderId="0" xfId="1" applyNumberFormat="1" applyFont="1" applyFill="1" applyBorder="1" applyAlignment="1" applyProtection="1">
      <alignment horizontal="left" vertical="center" wrapText="1" indent="5"/>
    </xf>
    <xf numFmtId="0" fontId="66" fillId="33" borderId="0" xfId="1" applyNumberFormat="1" applyFont="1" applyFill="1" applyBorder="1" applyAlignment="1" applyProtection="1">
      <alignment horizontal="left" vertical="center" wrapText="1" indent="4"/>
    </xf>
    <xf numFmtId="164" fontId="66" fillId="33" borderId="0" xfId="1" applyNumberFormat="1" applyFont="1" applyFill="1" applyBorder="1" applyAlignment="1" applyProtection="1">
      <alignment horizontal="left" vertical="center" wrapText="1" indent="4"/>
    </xf>
    <xf numFmtId="167" fontId="66"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92" fillId="2" borderId="21" xfId="0" applyFont="1" applyFill="1" applyBorder="1" applyAlignment="1">
      <alignment horizontal="center"/>
    </xf>
    <xf numFmtId="164" fontId="23" fillId="2" borderId="0" xfId="0" applyFont="1" applyFill="1" applyAlignment="1">
      <alignment horizontal="left" vertical="center" wrapText="1"/>
    </xf>
    <xf numFmtId="0" fontId="90" fillId="17" borderId="0" xfId="0" applyNumberFormat="1" applyFont="1" applyFill="1" applyBorder="1" applyAlignment="1" applyProtection="1">
      <alignment horizontal="left" vertical="top"/>
    </xf>
    <xf numFmtId="164" fontId="0" fillId="2" borderId="0" xfId="0" applyFill="1" applyBorder="1" applyAlignment="1">
      <alignment horizontal="left" vertical="center" indent="1"/>
    </xf>
    <xf numFmtId="0" fontId="66"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66" fillId="0" borderId="0" xfId="0" quotePrefix="1" applyFont="1" applyAlignment="1">
      <alignment horizontal="left" vertical="center" indent="2"/>
    </xf>
    <xf numFmtId="0" fontId="66" fillId="2" borderId="0" xfId="0" applyNumberFormat="1" applyFont="1" applyFill="1" applyBorder="1" applyAlignment="1" applyProtection="1">
      <alignment horizontal="left" vertical="center" wrapText="1"/>
      <protection locked="0"/>
    </xf>
    <xf numFmtId="164" fontId="66" fillId="0" borderId="0" xfId="0" quotePrefix="1" applyFont="1" applyAlignment="1" applyProtection="1">
      <alignment horizontal="left" vertical="center" indent="1"/>
      <protection locked="0"/>
    </xf>
    <xf numFmtId="164" fontId="66" fillId="0" borderId="0" xfId="0" applyFont="1" applyAlignment="1" applyProtection="1">
      <alignment horizontal="left" vertical="center" indent="1"/>
      <protection locked="0"/>
    </xf>
    <xf numFmtId="0" fontId="66" fillId="2" borderId="0" xfId="0" applyNumberFormat="1" applyFont="1" applyFill="1" applyBorder="1" applyAlignment="1" applyProtection="1">
      <alignment horizontal="left" vertical="center" wrapText="1" indent="3"/>
      <protection locked="0"/>
    </xf>
    <xf numFmtId="164" fontId="66" fillId="0" borderId="0" xfId="0" applyFont="1" applyAlignment="1" applyProtection="1">
      <alignment horizontal="left" vertical="center" indent="4"/>
      <protection locked="0"/>
    </xf>
    <xf numFmtId="0" fontId="66" fillId="2" borderId="0" xfId="0" applyNumberFormat="1" applyFont="1" applyFill="1" applyBorder="1" applyAlignment="1" applyProtection="1">
      <alignment horizontal="left" vertical="center" wrapText="1" indent="6"/>
      <protection locked="0"/>
    </xf>
    <xf numFmtId="164" fontId="66" fillId="0" borderId="0" xfId="0" applyFont="1" applyAlignment="1" applyProtection="1">
      <alignment horizontal="left" vertical="center" indent="7"/>
      <protection locked="0"/>
    </xf>
    <xf numFmtId="164" fontId="66" fillId="0" borderId="0" xfId="0" applyFont="1" applyAlignment="1" applyProtection="1">
      <alignment horizontal="left" vertical="center" indent="3"/>
    </xf>
    <xf numFmtId="0" fontId="66" fillId="2" borderId="0" xfId="0" quotePrefix="1" applyNumberFormat="1" applyFont="1" applyFill="1" applyBorder="1" applyAlignment="1" applyProtection="1">
      <alignment horizontal="left" wrapText="1" indent="3"/>
    </xf>
    <xf numFmtId="164" fontId="66" fillId="0" borderId="0" xfId="1" applyNumberFormat="1" applyFont="1" applyFill="1" applyBorder="1" applyAlignment="1" applyProtection="1">
      <alignment horizontal="left" vertical="top" wrapText="1" indent="1"/>
    </xf>
    <xf numFmtId="164" fontId="75" fillId="0" borderId="20" xfId="0" applyFont="1" applyFill="1" applyBorder="1" applyAlignment="1" applyProtection="1"/>
    <xf numFmtId="164" fontId="66" fillId="2" borderId="0" xfId="0" quotePrefix="1" applyNumberFormat="1" applyFont="1" applyFill="1" applyBorder="1" applyAlignment="1" applyProtection="1">
      <alignment horizontal="left" vertical="center" wrapText="1" indent="4"/>
    </xf>
    <xf numFmtId="167" fontId="91" fillId="0" borderId="0" xfId="0" applyNumberFormat="1" applyFont="1" applyBorder="1" applyAlignment="1" applyProtection="1">
      <alignment vertical="center" wrapText="1"/>
    </xf>
    <xf numFmtId="1" fontId="0" fillId="12" borderId="0" xfId="0" applyNumberFormat="1" applyFill="1" applyBorder="1"/>
    <xf numFmtId="1" fontId="73" fillId="2" borderId="11" xfId="0" applyNumberFormat="1" applyFont="1" applyFill="1" applyBorder="1" applyAlignment="1" applyProtection="1">
      <alignment horizontal="center" vertical="center" wrapText="1"/>
      <protection locked="0"/>
    </xf>
    <xf numFmtId="164" fontId="73" fillId="2" borderId="11" xfId="0" applyNumberFormat="1" applyFont="1" applyFill="1" applyBorder="1" applyAlignment="1" applyProtection="1">
      <alignment horizontal="center" vertical="center" wrapText="1"/>
      <protection locked="0"/>
    </xf>
    <xf numFmtId="164" fontId="73" fillId="2" borderId="18" xfId="0" applyNumberFormat="1" applyFont="1" applyFill="1" applyBorder="1" applyAlignment="1" applyProtection="1">
      <alignment horizontal="center" vertical="center" wrapText="1"/>
      <protection locked="0"/>
    </xf>
    <xf numFmtId="164" fontId="73" fillId="2" borderId="19" xfId="0" applyNumberFormat="1" applyFont="1" applyFill="1" applyBorder="1" applyAlignment="1" applyProtection="1">
      <alignment horizontal="center" vertical="center" wrapText="1"/>
      <protection locked="0"/>
    </xf>
    <xf numFmtId="164" fontId="66" fillId="0" borderId="0" xfId="1" applyNumberFormat="1" applyFont="1" applyFill="1" applyBorder="1" applyAlignment="1" applyProtection="1">
      <alignment horizontal="left" vertical="center" wrapText="1" indent="5"/>
    </xf>
    <xf numFmtId="164" fontId="66" fillId="2" borderId="0" xfId="1" applyNumberFormat="1" applyFont="1" applyFill="1" applyBorder="1" applyAlignment="1" applyProtection="1">
      <alignment horizontal="left" vertical="center" wrapText="1" indent="5"/>
    </xf>
    <xf numFmtId="164" fontId="66" fillId="2" borderId="0" xfId="1" applyNumberFormat="1" applyFont="1" applyFill="1" applyBorder="1" applyAlignment="1" applyProtection="1">
      <alignment horizontal="left" vertical="center" wrapText="1" indent="6"/>
    </xf>
    <xf numFmtId="164" fontId="66" fillId="2" borderId="0" xfId="1" applyNumberFormat="1" applyFont="1" applyFill="1" applyBorder="1" applyAlignment="1" applyProtection="1">
      <alignment horizontal="left" vertical="center" wrapText="1" indent="7"/>
    </xf>
    <xf numFmtId="164" fontId="66" fillId="2" borderId="0" xfId="1" applyNumberFormat="1" applyFont="1" applyFill="1" applyBorder="1" applyAlignment="1" applyProtection="1">
      <alignment horizontal="left" vertical="center" wrapText="1" indent="4"/>
    </xf>
    <xf numFmtId="166" fontId="66" fillId="0" borderId="2" xfId="0" applyNumberFormat="1" applyFont="1" applyBorder="1" applyAlignment="1" applyProtection="1">
      <alignment vertical="center"/>
      <protection locked="0"/>
    </xf>
    <xf numFmtId="0" fontId="66" fillId="0" borderId="0" xfId="0" quotePrefix="1" applyNumberFormat="1" applyFont="1" applyBorder="1" applyAlignment="1" applyProtection="1">
      <alignment horizontal="left" vertical="center" wrapText="1" indent="4"/>
    </xf>
    <xf numFmtId="0" fontId="73" fillId="2" borderId="0" xfId="0" applyNumberFormat="1" applyFont="1" applyFill="1" applyBorder="1" applyAlignment="1" applyProtection="1">
      <alignment horizontal="center" wrapText="1"/>
    </xf>
    <xf numFmtId="164" fontId="66"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1"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96" fillId="29" borderId="16" xfId="1" applyFill="1" applyBorder="1" applyAlignment="1" applyProtection="1">
      <alignment horizontal="center" vertical="center"/>
    </xf>
    <xf numFmtId="164" fontId="0" fillId="0" borderId="0" xfId="0" applyAlignment="1">
      <alignment horizontal="right" vertical="center"/>
    </xf>
    <xf numFmtId="164" fontId="66" fillId="0" borderId="0" xfId="0" applyNumberFormat="1" applyFont="1" applyFill="1" applyBorder="1" applyAlignment="1" applyProtection="1">
      <alignment horizontal="left" vertical="center" wrapText="1" indent="3"/>
    </xf>
    <xf numFmtId="0" fontId="66" fillId="0" borderId="0" xfId="0" quotePrefix="1" applyNumberFormat="1" applyFont="1" applyFill="1" applyBorder="1" applyAlignment="1" applyProtection="1">
      <alignment horizontal="left" vertical="center" wrapText="1" indent="3"/>
    </xf>
    <xf numFmtId="0" fontId="66" fillId="2" borderId="0" xfId="0" quotePrefix="1" applyNumberFormat="1" applyFont="1" applyFill="1" applyBorder="1" applyAlignment="1" applyProtection="1">
      <alignment horizontal="left" vertical="center" wrapText="1" indent="3"/>
    </xf>
    <xf numFmtId="0" fontId="66" fillId="2" borderId="0" xfId="0" quotePrefix="1" applyNumberFormat="1" applyFont="1" applyFill="1" applyBorder="1" applyAlignment="1" applyProtection="1">
      <alignment horizontal="left" wrapText="1" indent="3"/>
      <protection locked="0"/>
    </xf>
    <xf numFmtId="0" fontId="97" fillId="35" borderId="24" xfId="1" applyFont="1" applyFill="1" applyAlignment="1" applyProtection="1">
      <alignment horizontal="center"/>
    </xf>
    <xf numFmtId="0" fontId="97" fillId="34" borderId="24" xfId="1" applyFont="1" applyAlignment="1" applyProtection="1">
      <alignment horizontal="center"/>
    </xf>
    <xf numFmtId="0" fontId="97" fillId="35" borderId="24" xfId="1" applyNumberFormat="1" applyFont="1" applyFill="1" applyAlignment="1" applyProtection="1">
      <alignment horizontal="center" wrapText="1"/>
    </xf>
    <xf numFmtId="164" fontId="97" fillId="35" borderId="24" xfId="1" applyNumberFormat="1" applyFont="1" applyFill="1" applyAlignment="1" applyProtection="1">
      <alignment horizontal="center" vertical="center"/>
    </xf>
    <xf numFmtId="0" fontId="97" fillId="35" borderId="24" xfId="1" applyFont="1" applyFill="1" applyAlignment="1" applyProtection="1">
      <alignment horizontal="center" vertical="center"/>
    </xf>
    <xf numFmtId="164" fontId="97" fillId="35" borderId="24" xfId="1" applyNumberFormat="1" applyFont="1" applyFill="1" applyAlignment="1" applyProtection="1">
      <alignment horizontal="center"/>
    </xf>
    <xf numFmtId="0" fontId="97" fillId="35" borderId="24" xfId="1" applyNumberFormat="1" applyFont="1" applyFill="1" applyAlignment="1" applyProtection="1">
      <alignment horizontal="center" vertical="center" wrapText="1"/>
    </xf>
    <xf numFmtId="0" fontId="93" fillId="29" borderId="14" xfId="1" applyFont="1" applyFill="1" applyBorder="1" applyAlignment="1" applyProtection="1">
      <alignment horizontal="center" vertical="center"/>
    </xf>
    <xf numFmtId="164" fontId="66" fillId="0" borderId="0" xfId="0" applyFont="1" applyAlignment="1">
      <alignment horizontal="left" vertical="center" indent="4"/>
    </xf>
    <xf numFmtId="0" fontId="31" fillId="7" borderId="0" xfId="0" applyNumberFormat="1" applyFont="1" applyFill="1" applyBorder="1" applyAlignment="1" applyProtection="1">
      <alignment horizontal="left"/>
    </xf>
    <xf numFmtId="164" fontId="66" fillId="0" borderId="0" xfId="0" applyFont="1" applyFill="1" applyBorder="1" applyAlignment="1" applyProtection="1">
      <alignment horizontal="left" vertical="center" wrapText="1" indent="2"/>
    </xf>
    <xf numFmtId="0" fontId="73" fillId="32" borderId="0" xfId="1" applyNumberFormat="1" applyFont="1" applyFill="1" applyBorder="1" applyAlignment="1" applyProtection="1">
      <alignment horizontal="left" vertical="center" wrapText="1" indent="3"/>
    </xf>
    <xf numFmtId="164" fontId="66" fillId="33" borderId="0" xfId="0" applyNumberFormat="1" applyFont="1" applyFill="1" applyBorder="1" applyAlignment="1" applyProtection="1">
      <alignment horizontal="left" vertical="center" wrapText="1"/>
    </xf>
    <xf numFmtId="164" fontId="66" fillId="33" borderId="0" xfId="1" applyNumberFormat="1" applyFont="1" applyFill="1" applyBorder="1" applyAlignment="1" applyProtection="1">
      <alignment horizontal="left" vertical="center" wrapText="1" indent="1"/>
    </xf>
    <xf numFmtId="164" fontId="66" fillId="33" borderId="0" xfId="0" applyNumberFormat="1" applyFont="1" applyFill="1" applyBorder="1" applyAlignment="1" applyProtection="1">
      <alignment horizontal="left" vertical="center" wrapText="1" indent="1"/>
    </xf>
    <xf numFmtId="164" fontId="66" fillId="33" borderId="0" xfId="1" applyNumberFormat="1" applyFont="1" applyFill="1" applyBorder="1" applyAlignment="1" applyProtection="1">
      <alignment horizontal="left" vertical="center" wrapText="1" indent="3"/>
    </xf>
    <xf numFmtId="164" fontId="66" fillId="33" borderId="0" xfId="1"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center" wrapText="1"/>
    </xf>
    <xf numFmtId="164" fontId="97" fillId="36" borderId="24" xfId="1" applyNumberFormat="1" applyFont="1" applyFill="1" applyAlignment="1" applyProtection="1">
      <alignment horizontal="center" vertical="center"/>
    </xf>
    <xf numFmtId="0" fontId="28" fillId="0" borderId="0" xfId="0" applyNumberFormat="1" applyFont="1" applyBorder="1" applyAlignment="1" applyProtection="1">
      <alignment horizontal="right" vertical="center" wrapText="1" indent="3"/>
    </xf>
    <xf numFmtId="166" fontId="66"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02" fillId="2" borderId="0" xfId="0" applyNumberFormat="1" applyFont="1" applyFill="1" applyBorder="1" applyAlignment="1" applyProtection="1">
      <alignment horizontal="left" wrapText="1"/>
    </xf>
    <xf numFmtId="0" fontId="101" fillId="2" borderId="3" xfId="0" applyNumberFormat="1" applyFont="1" applyFill="1" applyBorder="1" applyAlignment="1" applyProtection="1">
      <alignment horizontal="center" vertical="center" wrapText="1"/>
      <protection locked="0"/>
    </xf>
    <xf numFmtId="167" fontId="66" fillId="2" borderId="0" xfId="0" applyNumberFormat="1" applyFont="1" applyFill="1" applyBorder="1" applyAlignment="1" applyProtection="1">
      <alignment horizontal="left" vertical="center" wrapText="1"/>
    </xf>
    <xf numFmtId="167" fontId="66" fillId="2" borderId="0" xfId="0" applyNumberFormat="1" applyFont="1" applyFill="1" applyBorder="1" applyAlignment="1" applyProtection="1">
      <alignment horizontal="left" vertical="center" wrapText="1" indent="3"/>
    </xf>
    <xf numFmtId="167" fontId="66" fillId="2" borderId="0" xfId="0" quotePrefix="1" applyNumberFormat="1" applyFont="1" applyFill="1" applyBorder="1" applyAlignment="1" applyProtection="1">
      <alignment horizontal="left" vertical="center" wrapText="1" indent="1"/>
    </xf>
    <xf numFmtId="0" fontId="31" fillId="7" borderId="0" xfId="0" applyNumberFormat="1" applyFont="1" applyFill="1" applyBorder="1" applyAlignment="1" applyProtection="1">
      <alignment horizontal="left"/>
    </xf>
    <xf numFmtId="167" fontId="66" fillId="2" borderId="0" xfId="0" applyNumberFormat="1" applyFont="1" applyFill="1" applyBorder="1" applyAlignment="1" applyProtection="1">
      <alignment horizontal="left" vertical="center" wrapText="1" indent="2"/>
    </xf>
    <xf numFmtId="0" fontId="94" fillId="0" borderId="0" xfId="0" applyNumberFormat="1" applyFont="1" applyBorder="1" applyAlignment="1" applyProtection="1">
      <alignment horizontal="left" vertical="center" wrapText="1"/>
    </xf>
    <xf numFmtId="164" fontId="23" fillId="0" borderId="0" xfId="0" applyFont="1" applyFill="1"/>
    <xf numFmtId="166" fontId="59" fillId="0" borderId="2" xfId="0" applyNumberFormat="1" applyFont="1" applyFill="1" applyBorder="1" applyAlignment="1" applyProtection="1">
      <alignment horizontal="right"/>
      <protection locked="0"/>
    </xf>
    <xf numFmtId="0" fontId="103" fillId="0" borderId="0" xfId="0" applyNumberFormat="1" applyFont="1" applyFill="1" applyBorder="1" applyAlignment="1" applyProtection="1">
      <alignment horizontal="left" wrapText="1"/>
    </xf>
    <xf numFmtId="0" fontId="94" fillId="0" borderId="0" xfId="0" applyNumberFormat="1" applyFont="1" applyBorder="1" applyAlignment="1" applyProtection="1">
      <alignment vertical="center" wrapText="1"/>
    </xf>
    <xf numFmtId="0" fontId="73" fillId="0" borderId="11" xfId="0" applyNumberFormat="1" applyFont="1" applyFill="1" applyBorder="1" applyAlignment="1" applyProtection="1">
      <alignment horizontal="center" vertical="center" wrapText="1"/>
      <protection locked="0"/>
    </xf>
    <xf numFmtId="0" fontId="64" fillId="0" borderId="11" xfId="0" applyNumberFormat="1" applyFont="1" applyFill="1" applyBorder="1" applyAlignment="1" applyProtection="1">
      <alignment horizontal="center" vertical="center" wrapText="1"/>
      <protection locked="0"/>
    </xf>
    <xf numFmtId="164" fontId="66" fillId="2" borderId="0" xfId="0" applyFont="1" applyFill="1" applyBorder="1" applyAlignment="1" applyProtection="1">
      <alignment wrapText="1"/>
    </xf>
    <xf numFmtId="164" fontId="0" fillId="0" borderId="0" xfId="0" applyProtection="1"/>
    <xf numFmtId="0" fontId="100" fillId="2" borderId="0" xfId="0" quotePrefix="1" applyNumberFormat="1" applyFont="1" applyFill="1" applyBorder="1" applyAlignment="1" applyProtection="1">
      <alignment horizontal="left" wrapText="1"/>
    </xf>
    <xf numFmtId="0" fontId="66" fillId="0" borderId="0" xfId="0" quotePrefix="1" applyNumberFormat="1" applyFont="1" applyFill="1" applyBorder="1" applyAlignment="1" applyProtection="1">
      <alignment horizontal="left" wrapText="1"/>
    </xf>
    <xf numFmtId="0" fontId="66" fillId="0" borderId="0" xfId="0" applyNumberFormat="1" applyFont="1" applyBorder="1" applyAlignment="1" applyProtection="1">
      <alignment horizontal="left" wrapText="1"/>
    </xf>
    <xf numFmtId="0" fontId="66" fillId="2" borderId="0" xfId="0" applyNumberFormat="1" applyFont="1" applyFill="1" applyBorder="1" applyAlignment="1" applyProtection="1">
      <alignment wrapText="1"/>
    </xf>
    <xf numFmtId="164" fontId="66" fillId="2" borderId="0" xfId="0" applyFont="1" applyFill="1" applyBorder="1" applyAlignment="1" applyProtection="1">
      <alignment horizontal="left" wrapText="1"/>
    </xf>
    <xf numFmtId="164" fontId="0" fillId="0" borderId="0" xfId="0" applyAlignment="1" applyProtection="1"/>
    <xf numFmtId="164" fontId="78" fillId="0" borderId="0" xfId="0" applyFont="1" applyBorder="1" applyAlignment="1" applyProtection="1">
      <alignment vertical="center"/>
    </xf>
    <xf numFmtId="0" fontId="66" fillId="0" borderId="10" xfId="0" applyNumberFormat="1" applyFont="1" applyBorder="1" applyAlignment="1" applyProtection="1">
      <alignment horizontal="left" wrapText="1"/>
    </xf>
    <xf numFmtId="0" fontId="83" fillId="2" borderId="2" xfId="1" applyNumberFormat="1" applyFont="1" applyFill="1" applyBorder="1" applyAlignment="1" applyProtection="1">
      <alignment horizontal="center" vertical="center" wrapText="1"/>
      <protection locked="0"/>
    </xf>
    <xf numFmtId="0" fontId="83" fillId="2" borderId="12" xfId="1" applyNumberFormat="1" applyFont="1" applyFill="1" applyBorder="1" applyAlignment="1" applyProtection="1">
      <alignment horizontal="center" vertical="center" wrapText="1"/>
      <protection locked="0"/>
    </xf>
    <xf numFmtId="0" fontId="66" fillId="0" borderId="2" xfId="0" applyNumberFormat="1" applyFont="1" applyBorder="1" applyAlignment="1" applyProtection="1">
      <alignment horizontal="left" vertical="center" wrapText="1"/>
      <protection locked="0"/>
    </xf>
    <xf numFmtId="164" fontId="66" fillId="0" borderId="0" xfId="0" applyNumberFormat="1" applyFont="1" applyBorder="1" applyAlignment="1" applyProtection="1">
      <alignment horizontal="left" vertical="center" wrapText="1" indent="21"/>
    </xf>
    <xf numFmtId="164" fontId="66"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76" fillId="5" borderId="25" xfId="0" applyNumberFormat="1" applyFont="1" applyFill="1" applyBorder="1" applyAlignment="1" applyProtection="1">
      <alignment horizontal="right"/>
    </xf>
    <xf numFmtId="0" fontId="66" fillId="33" borderId="0" xfId="1" applyNumberFormat="1" applyFont="1" applyFill="1" applyBorder="1" applyAlignment="1" applyProtection="1">
      <alignment horizontal="left" vertical="center" wrapText="1" indent="6"/>
    </xf>
    <xf numFmtId="0" fontId="66" fillId="33" borderId="0" xfId="1" applyNumberFormat="1" applyFont="1" applyFill="1" applyBorder="1" applyAlignment="1" applyProtection="1">
      <alignment horizontal="left" vertical="center" wrapText="1" indent="7"/>
    </xf>
    <xf numFmtId="0" fontId="66" fillId="33" borderId="0" xfId="1" applyNumberFormat="1" applyFont="1" applyFill="1" applyBorder="1" applyAlignment="1" applyProtection="1">
      <alignment horizontal="left" vertical="center" wrapText="1" indent="8"/>
    </xf>
    <xf numFmtId="0" fontId="66" fillId="33" borderId="0" xfId="1" applyNumberFormat="1" applyFont="1" applyFill="1" applyBorder="1" applyAlignment="1" applyProtection="1">
      <alignment horizontal="left" vertical="center" wrapText="1" indent="9"/>
    </xf>
    <xf numFmtId="0" fontId="60" fillId="2" borderId="0" xfId="0" applyNumberFormat="1" applyFont="1" applyFill="1" applyBorder="1" applyAlignment="1" applyProtection="1">
      <alignment horizontal="left" wrapText="1"/>
    </xf>
    <xf numFmtId="167" fontId="66"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04"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66" fillId="2" borderId="0" xfId="1" applyNumberFormat="1" applyFont="1" applyFill="1" applyBorder="1" applyAlignment="1" applyProtection="1">
      <alignment horizontal="left" wrapText="1" indent="5"/>
    </xf>
    <xf numFmtId="164" fontId="68" fillId="10" borderId="14" xfId="0" applyFont="1" applyFill="1" applyBorder="1" applyProtection="1">
      <protection locked="0"/>
    </xf>
    <xf numFmtId="0" fontId="63" fillId="0" borderId="3" xfId="0" applyNumberFormat="1" applyFont="1" applyFill="1" applyBorder="1" applyAlignment="1" applyProtection="1">
      <alignment horizontal="center" vertical="center" wrapText="1"/>
      <protection locked="0"/>
    </xf>
    <xf numFmtId="166" fontId="66"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66" fillId="0" borderId="0" xfId="0" applyNumberFormat="1" applyFont="1" applyFill="1" applyBorder="1" applyAlignment="1" applyProtection="1">
      <alignment horizontal="left" vertical="center" wrapText="1" indent="3"/>
    </xf>
    <xf numFmtId="170" fontId="66" fillId="0" borderId="2" xfId="0" applyNumberFormat="1" applyFont="1" applyFill="1" applyBorder="1" applyAlignment="1" applyProtection="1">
      <alignment horizontal="right" vertical="center" wrapText="1"/>
    </xf>
    <xf numFmtId="164" fontId="61" fillId="0" borderId="0" xfId="0" applyFont="1" applyBorder="1" applyAlignment="1">
      <alignment horizontal="right" vertical="center"/>
    </xf>
    <xf numFmtId="164" fontId="61" fillId="0" borderId="0" xfId="0" applyFont="1" applyFill="1" applyBorder="1" applyAlignment="1" applyProtection="1">
      <alignment horizontal="right" vertical="center"/>
    </xf>
    <xf numFmtId="164" fontId="62"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5" xfId="0" applyBorder="1"/>
    <xf numFmtId="167" fontId="106" fillId="0" borderId="0" xfId="0" applyNumberFormat="1" applyFont="1" applyAlignment="1">
      <alignment horizontal="center" vertical="center"/>
    </xf>
    <xf numFmtId="164" fontId="0" fillId="10" borderId="0" xfId="0" applyFill="1"/>
    <xf numFmtId="167" fontId="108" fillId="10" borderId="0" xfId="0" applyNumberFormat="1" applyFont="1" applyFill="1" applyAlignment="1">
      <alignment horizontal="center" vertical="center"/>
    </xf>
    <xf numFmtId="164" fontId="1" fillId="10" borderId="0" xfId="0" applyFont="1" applyFill="1"/>
    <xf numFmtId="167" fontId="107" fillId="10" borderId="0" xfId="0" applyNumberFormat="1" applyFont="1" applyFill="1" applyAlignment="1">
      <alignment horizontal="center" vertical="center"/>
    </xf>
    <xf numFmtId="1" fontId="0" fillId="8" borderId="27" xfId="0" applyNumberFormat="1" applyFill="1" applyBorder="1" applyAlignment="1">
      <alignment horizontal="center" vertical="center"/>
    </xf>
    <xf numFmtId="171" fontId="110" fillId="0" borderId="29" xfId="0" applyNumberFormat="1" applyFont="1" applyBorder="1" applyAlignment="1">
      <alignment horizontal="center" vertical="center"/>
    </xf>
    <xf numFmtId="171" fontId="110" fillId="10" borderId="29" xfId="0" applyNumberFormat="1" applyFont="1" applyFill="1" applyBorder="1" applyAlignment="1">
      <alignment horizontal="center" vertical="center"/>
    </xf>
    <xf numFmtId="171" fontId="110" fillId="0" borderId="29" xfId="0" applyNumberFormat="1" applyFont="1" applyBorder="1"/>
    <xf numFmtId="171" fontId="110" fillId="10" borderId="29" xfId="0" applyNumberFormat="1" applyFont="1" applyFill="1" applyBorder="1"/>
    <xf numFmtId="164" fontId="112" fillId="0" borderId="0" xfId="0" applyFont="1"/>
    <xf numFmtId="164" fontId="0" fillId="0" borderId="30" xfId="0" applyBorder="1"/>
    <xf numFmtId="164" fontId="1" fillId="2" borderId="0" xfId="0" applyFont="1" applyFill="1"/>
    <xf numFmtId="164" fontId="109" fillId="2" borderId="0" xfId="0" applyFont="1" applyFill="1"/>
    <xf numFmtId="164" fontId="1" fillId="10" borderId="0" xfId="0" applyFont="1" applyFill="1" applyBorder="1"/>
    <xf numFmtId="164" fontId="109" fillId="10" borderId="0" xfId="0" applyFont="1" applyFill="1" applyBorder="1"/>
    <xf numFmtId="164" fontId="0" fillId="0" borderId="0" xfId="0" applyFill="1" applyBorder="1"/>
    <xf numFmtId="1" fontId="22" fillId="2" borderId="0" xfId="0" applyNumberFormat="1" applyFont="1" applyFill="1"/>
    <xf numFmtId="164" fontId="112" fillId="2" borderId="0" xfId="0" applyFont="1" applyFill="1"/>
    <xf numFmtId="164" fontId="114" fillId="0" borderId="0" xfId="0" applyFont="1"/>
    <xf numFmtId="164" fontId="115" fillId="0" borderId="0" xfId="0" applyFont="1" applyFill="1" applyAlignment="1">
      <alignment horizontal="right"/>
    </xf>
    <xf numFmtId="164" fontId="115" fillId="0" borderId="0" xfId="0" applyFont="1" applyAlignment="1">
      <alignment horizontal="left"/>
    </xf>
    <xf numFmtId="166" fontId="114" fillId="0" borderId="0" xfId="0" applyNumberFormat="1" applyFont="1" applyFill="1" applyAlignment="1">
      <alignment horizontal="right"/>
    </xf>
    <xf numFmtId="166" fontId="114" fillId="0" borderId="0" xfId="0" applyNumberFormat="1" applyFont="1" applyFill="1"/>
    <xf numFmtId="1" fontId="115" fillId="0" borderId="0" xfId="0" applyNumberFormat="1" applyFont="1" applyAlignment="1">
      <alignment horizontal="left"/>
    </xf>
    <xf numFmtId="164" fontId="116" fillId="2" borderId="0" xfId="0" applyFont="1" applyFill="1" applyAlignment="1">
      <alignment wrapText="1"/>
    </xf>
    <xf numFmtId="164" fontId="120" fillId="2" borderId="0" xfId="0" applyFont="1" applyFill="1" applyAlignment="1"/>
    <xf numFmtId="164" fontId="117" fillId="2" borderId="0" xfId="0" applyFont="1" applyFill="1" applyAlignment="1"/>
    <xf numFmtId="164" fontId="121"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29" xfId="0" applyFill="1" applyBorder="1"/>
    <xf numFmtId="164" fontId="35" fillId="2" borderId="0" xfId="0" applyFont="1" applyFill="1"/>
    <xf numFmtId="164" fontId="118" fillId="2" borderId="0" xfId="0" applyFont="1" applyFill="1" applyAlignment="1"/>
    <xf numFmtId="164" fontId="0" fillId="2" borderId="0" xfId="0" applyFont="1" applyFill="1" applyAlignment="1">
      <alignment horizontal="left" indent="3"/>
    </xf>
    <xf numFmtId="164" fontId="122" fillId="31" borderId="6" xfId="0" applyFont="1" applyFill="1" applyBorder="1" applyAlignment="1">
      <alignment horizontal="center" vertical="center"/>
    </xf>
    <xf numFmtId="164" fontId="122" fillId="31" borderId="6" xfId="0" applyFont="1" applyFill="1" applyBorder="1" applyAlignment="1">
      <alignment horizontal="center" vertical="center" wrapText="1"/>
    </xf>
    <xf numFmtId="164" fontId="123" fillId="31" borderId="6" xfId="0" applyFont="1" applyFill="1" applyBorder="1" applyAlignment="1">
      <alignment horizontal="center" vertical="center"/>
    </xf>
    <xf numFmtId="164" fontId="0" fillId="2" borderId="32" xfId="0" applyFont="1" applyFill="1" applyBorder="1" applyAlignment="1">
      <alignment horizontal="left" vertical="top" indent="1"/>
    </xf>
    <xf numFmtId="164" fontId="0" fillId="2" borderId="32" xfId="0" applyFill="1" applyBorder="1" applyAlignment="1">
      <alignment vertical="top" wrapText="1"/>
    </xf>
    <xf numFmtId="164" fontId="0" fillId="2" borderId="32" xfId="0" applyFill="1" applyBorder="1" applyAlignment="1">
      <alignment vertical="top"/>
    </xf>
    <xf numFmtId="164" fontId="0" fillId="2" borderId="32" xfId="0" applyFill="1" applyBorder="1" applyAlignment="1">
      <alignment horizontal="center" vertical="top"/>
    </xf>
    <xf numFmtId="166" fontId="0" fillId="2" borderId="32" xfId="0" applyNumberFormat="1" applyFill="1" applyBorder="1" applyAlignment="1">
      <alignment vertical="top"/>
    </xf>
    <xf numFmtId="164" fontId="0" fillId="2" borderId="32" xfId="0" applyFill="1" applyBorder="1" applyAlignment="1">
      <alignment horizontal="left" vertical="top" indent="1"/>
    </xf>
    <xf numFmtId="164" fontId="118" fillId="0" borderId="0" xfId="0" applyFont="1"/>
    <xf numFmtId="164" fontId="120" fillId="0" borderId="0" xfId="0" applyFont="1"/>
    <xf numFmtId="164" fontId="36" fillId="0" borderId="0" xfId="0" applyFont="1"/>
    <xf numFmtId="164" fontId="0" fillId="0" borderId="0" xfId="0" applyFill="1"/>
    <xf numFmtId="164" fontId="124" fillId="0" borderId="0" xfId="0" applyFont="1" applyFill="1"/>
    <xf numFmtId="164" fontId="35" fillId="0" borderId="0" xfId="0" applyFont="1" applyFill="1"/>
    <xf numFmtId="164" fontId="125" fillId="0" borderId="0" xfId="0" applyFont="1" applyFill="1"/>
    <xf numFmtId="164" fontId="105" fillId="2" borderId="28" xfId="0" applyFont="1" applyFill="1" applyBorder="1" applyAlignment="1">
      <alignment horizontal="right"/>
    </xf>
    <xf numFmtId="164" fontId="92" fillId="2" borderId="0" xfId="0" applyFont="1" applyFill="1" applyBorder="1" applyAlignment="1">
      <alignment horizontal="center"/>
    </xf>
    <xf numFmtId="164" fontId="113" fillId="2" borderId="0" xfId="0" applyFont="1" applyFill="1" applyBorder="1" applyAlignment="1">
      <alignment horizontal="center" vertical="center"/>
    </xf>
    <xf numFmtId="167" fontId="92" fillId="2" borderId="0" xfId="0" applyNumberFormat="1" applyFont="1" applyFill="1" applyBorder="1" applyAlignment="1">
      <alignment horizontal="center" vertical="top"/>
    </xf>
    <xf numFmtId="164" fontId="0" fillId="2" borderId="0" xfId="0" applyFill="1" applyAlignment="1">
      <alignment vertical="top" wrapText="1"/>
    </xf>
    <xf numFmtId="164" fontId="116" fillId="2" borderId="0" xfId="0" applyFont="1" applyFill="1" applyAlignment="1">
      <alignment horizontal="right" wrapText="1"/>
    </xf>
    <xf numFmtId="164" fontId="0" fillId="0" borderId="0" xfId="0" applyFill="1" applyAlignment="1">
      <alignment wrapText="1"/>
    </xf>
    <xf numFmtId="166" fontId="0" fillId="2" borderId="32" xfId="0" applyNumberFormat="1" applyFill="1" applyBorder="1" applyAlignment="1">
      <alignment horizontal="left" vertical="top" wrapText="1"/>
    </xf>
    <xf numFmtId="164" fontId="0" fillId="2" borderId="32"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18" fillId="2" borderId="0" xfId="0" applyFont="1" applyFill="1" applyAlignment="1">
      <alignment horizontal="left"/>
    </xf>
    <xf numFmtId="164" fontId="127" fillId="0" borderId="0" xfId="0" applyFont="1"/>
    <xf numFmtId="1" fontId="114" fillId="0" borderId="0" xfId="0" applyNumberFormat="1" applyFont="1" applyAlignment="1">
      <alignment horizontal="left" indent="1"/>
    </xf>
    <xf numFmtId="1" fontId="114" fillId="0" borderId="0" xfId="0" applyNumberFormat="1" applyFont="1" applyAlignment="1">
      <alignment horizontal="left" indent="2"/>
    </xf>
    <xf numFmtId="164" fontId="114" fillId="0" borderId="0" xfId="0" applyFont="1" applyAlignment="1">
      <alignment horizontal="left" indent="1"/>
    </xf>
    <xf numFmtId="1" fontId="114" fillId="0" borderId="0" xfId="0" applyNumberFormat="1" applyFont="1" applyFill="1"/>
    <xf numFmtId="164" fontId="66" fillId="2" borderId="0" xfId="0" quotePrefix="1" applyNumberFormat="1" applyFont="1" applyFill="1" applyBorder="1" applyAlignment="1" applyProtection="1">
      <alignment horizontal="left" vertical="center" wrapText="1" indent="3"/>
    </xf>
    <xf numFmtId="164" fontId="121"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22" fillId="31" borderId="6" xfId="0" applyFont="1" applyFill="1" applyBorder="1" applyAlignment="1">
      <alignment horizontal="center"/>
    </xf>
    <xf numFmtId="164" fontId="122" fillId="31" borderId="6" xfId="0" applyFont="1" applyFill="1" applyBorder="1" applyAlignment="1">
      <alignment horizontal="center" wrapText="1"/>
    </xf>
    <xf numFmtId="164" fontId="0" fillId="2" borderId="0" xfId="0" applyFill="1" applyAlignment="1"/>
    <xf numFmtId="164" fontId="41" fillId="2" borderId="0" xfId="0" applyFont="1" applyFill="1" applyAlignment="1">
      <alignment horizontal="center" vertical="center" wrapText="1"/>
    </xf>
    <xf numFmtId="166" fontId="0" fillId="10" borderId="32" xfId="0" applyNumberFormat="1" applyFill="1" applyBorder="1" applyAlignment="1">
      <alignment horizontal="left" vertical="top" wrapText="1"/>
    </xf>
    <xf numFmtId="166" fontId="0" fillId="9" borderId="32" xfId="0" applyNumberFormat="1" applyFill="1" applyBorder="1" applyAlignment="1">
      <alignment horizontal="left" vertical="top" wrapText="1"/>
    </xf>
    <xf numFmtId="164" fontId="0" fillId="9" borderId="0" xfId="0" applyFill="1" applyAlignment="1">
      <alignment vertical="top" wrapText="1"/>
    </xf>
    <xf numFmtId="166" fontId="0" fillId="10" borderId="32" xfId="0" applyNumberFormat="1" applyFill="1" applyBorder="1" applyAlignment="1">
      <alignment horizontal="right" vertical="top" wrapText="1"/>
    </xf>
    <xf numFmtId="166" fontId="0" fillId="9" borderId="32" xfId="0" applyNumberFormat="1" applyFill="1" applyBorder="1" applyAlignment="1">
      <alignment horizontal="right" vertical="top" wrapText="1"/>
    </xf>
    <xf numFmtId="164" fontId="121" fillId="2" borderId="0" xfId="0" applyFont="1" applyFill="1" applyAlignment="1">
      <alignment horizontal="left" vertical="center"/>
    </xf>
    <xf numFmtId="164" fontId="0" fillId="2" borderId="0" xfId="0" applyFill="1" applyAlignment="1">
      <alignment horizontal="left" vertical="center"/>
    </xf>
    <xf numFmtId="164" fontId="118" fillId="2" borderId="0" xfId="0" applyFont="1" applyFill="1" applyAlignment="1">
      <alignment horizontal="left" vertical="center"/>
    </xf>
    <xf numFmtId="164" fontId="0" fillId="0" borderId="0" xfId="0" applyAlignment="1">
      <alignment horizontal="left" vertical="center"/>
    </xf>
    <xf numFmtId="164" fontId="0" fillId="10" borderId="32" xfId="0" applyFill="1" applyBorder="1" applyAlignment="1">
      <alignment vertical="top" wrapText="1"/>
    </xf>
    <xf numFmtId="164" fontId="0" fillId="9" borderId="32" xfId="0" applyFill="1" applyBorder="1" applyAlignment="1">
      <alignment vertical="top" wrapText="1"/>
    </xf>
    <xf numFmtId="166" fontId="0" fillId="9" borderId="32" xfId="0" applyNumberFormat="1" applyFill="1" applyBorder="1" applyAlignment="1">
      <alignment vertical="top" wrapText="1"/>
    </xf>
    <xf numFmtId="166" fontId="0" fillId="9" borderId="32"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26" fillId="0" borderId="0" xfId="0" applyFont="1" applyAlignment="1">
      <alignment vertical="top"/>
    </xf>
    <xf numFmtId="164" fontId="0" fillId="2" borderId="0" xfId="0" applyFill="1" applyAlignment="1">
      <alignment vertical="top"/>
    </xf>
    <xf numFmtId="164" fontId="35" fillId="2" borderId="0" xfId="0" applyFont="1" applyFill="1" applyAlignment="1">
      <alignment horizontal="left" indent="15"/>
    </xf>
    <xf numFmtId="164" fontId="0" fillId="9" borderId="32" xfId="0" applyFill="1" applyBorder="1" applyAlignment="1">
      <alignment horizontal="center" vertical="top"/>
    </xf>
    <xf numFmtId="164" fontId="0" fillId="10" borderId="32" xfId="0" applyFill="1" applyBorder="1" applyAlignment="1">
      <alignment horizontal="center" vertical="top"/>
    </xf>
    <xf numFmtId="164" fontId="0" fillId="10" borderId="32" xfId="0" applyFill="1" applyBorder="1" applyAlignment="1">
      <alignment horizontal="left" vertical="top"/>
    </xf>
    <xf numFmtId="164" fontId="0" fillId="10" borderId="32" xfId="0" applyFill="1" applyBorder="1" applyAlignment="1">
      <alignment horizontal="left" vertical="top" wrapText="1"/>
    </xf>
    <xf numFmtId="166" fontId="0" fillId="9" borderId="32" xfId="0" applyNumberFormat="1" applyFill="1" applyBorder="1" applyAlignment="1">
      <alignment horizontal="right" vertical="top"/>
    </xf>
    <xf numFmtId="164" fontId="0" fillId="9" borderId="32" xfId="0" applyFill="1" applyBorder="1" applyAlignment="1">
      <alignment vertical="top"/>
    </xf>
    <xf numFmtId="164" fontId="0" fillId="9" borderId="32" xfId="0" applyFill="1" applyBorder="1" applyAlignment="1">
      <alignment horizontal="left" vertical="top" wrapText="1"/>
    </xf>
    <xf numFmtId="166" fontId="0" fillId="2" borderId="32" xfId="0" applyNumberFormat="1" applyFill="1" applyBorder="1" applyAlignment="1">
      <alignment horizontal="right" vertical="top" wrapText="1"/>
    </xf>
    <xf numFmtId="166" fontId="0" fillId="10" borderId="32" xfId="0" applyNumberFormat="1" applyFill="1" applyBorder="1" applyAlignment="1">
      <alignment vertical="top"/>
    </xf>
    <xf numFmtId="166" fontId="0" fillId="0" borderId="32" xfId="0" applyNumberFormat="1" applyFill="1" applyBorder="1" applyAlignment="1">
      <alignment horizontal="left" vertical="top" wrapText="1"/>
    </xf>
    <xf numFmtId="164" fontId="0" fillId="0" borderId="32" xfId="0" applyFill="1" applyBorder="1" applyAlignment="1">
      <alignment vertical="top" wrapText="1"/>
    </xf>
    <xf numFmtId="0" fontId="31" fillId="7" borderId="0" xfId="0" applyNumberFormat="1" applyFont="1" applyFill="1" applyBorder="1" applyAlignment="1" applyProtection="1">
      <alignment horizontal="left"/>
    </xf>
    <xf numFmtId="0" fontId="50" fillId="7" borderId="0" xfId="0" applyNumberFormat="1" applyFont="1" applyFill="1" applyBorder="1" applyAlignment="1" applyProtection="1">
      <alignment horizontal="right" vertical="center" wrapText="1"/>
    </xf>
    <xf numFmtId="0" fontId="35" fillId="9" borderId="0" xfId="0" applyNumberFormat="1" applyFont="1" applyFill="1" applyBorder="1" applyAlignment="1" applyProtection="1">
      <alignment horizontal="center" vertical="center"/>
    </xf>
    <xf numFmtId="0" fontId="35" fillId="2" borderId="0" xfId="0" applyNumberFormat="1" applyFont="1" applyFill="1" applyBorder="1" applyAlignment="1" applyProtection="1">
      <alignment horizontal="center" vertical="center"/>
    </xf>
    <xf numFmtId="0" fontId="98" fillId="0" borderId="0" xfId="0" applyNumberFormat="1" applyFont="1" applyBorder="1" applyAlignment="1" applyProtection="1">
      <alignment horizontal="right" vertical="center" wrapText="1" indent="3"/>
    </xf>
    <xf numFmtId="0" fontId="97" fillId="35" borderId="24" xfId="1" applyNumberFormat="1" applyFont="1" applyFill="1" applyAlignment="1" applyProtection="1">
      <alignment horizontal="center" vertical="center"/>
    </xf>
    <xf numFmtId="0" fontId="28" fillId="2" borderId="0" xfId="0" applyNumberFormat="1" applyFont="1" applyFill="1" applyBorder="1" applyAlignment="1" applyProtection="1">
      <alignment horizontal="right" vertical="center" wrapText="1" indent="5"/>
    </xf>
    <xf numFmtId="0" fontId="28"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75" fillId="0" borderId="0" xfId="0" applyNumberFormat="1" applyFont="1" applyFill="1" applyBorder="1" applyAlignment="1" applyProtection="1">
      <alignment horizontal="left" vertical="center"/>
    </xf>
    <xf numFmtId="0" fontId="73" fillId="2" borderId="0" xfId="0" applyNumberFormat="1" applyFont="1" applyFill="1" applyBorder="1" applyAlignment="1" applyProtection="1">
      <alignment horizontal="left" wrapText="1" indent="5"/>
    </xf>
    <xf numFmtId="0" fontId="85" fillId="0" borderId="0" xfId="0" applyNumberFormat="1" applyFont="1" applyBorder="1" applyAlignment="1"/>
    <xf numFmtId="0" fontId="0" fillId="0" borderId="0" xfId="0" applyNumberFormat="1" applyBorder="1"/>
    <xf numFmtId="0" fontId="66" fillId="2" borderId="0" xfId="0" applyNumberFormat="1" applyFont="1" applyFill="1" applyBorder="1" applyAlignment="1" applyProtection="1">
      <alignment horizontal="left" vertical="center" wrapText="1" indent="5"/>
    </xf>
    <xf numFmtId="0" fontId="66" fillId="2" borderId="0" xfId="0" applyNumberFormat="1" applyFont="1" applyFill="1" applyBorder="1" applyAlignment="1" applyProtection="1">
      <alignment horizontal="left" vertical="center" wrapText="1"/>
    </xf>
    <xf numFmtId="0" fontId="75" fillId="2" borderId="0" xfId="0" applyNumberFormat="1" applyFont="1" applyFill="1" applyBorder="1" applyAlignment="1" applyProtection="1">
      <alignment horizontal="center" vertical="center"/>
    </xf>
    <xf numFmtId="0" fontId="0" fillId="0" borderId="0" xfId="0" applyNumberFormat="1"/>
    <xf numFmtId="0" fontId="61" fillId="0" borderId="0" xfId="0" applyNumberFormat="1" applyFont="1"/>
    <xf numFmtId="0" fontId="39" fillId="7" borderId="0" xfId="0" applyNumberFormat="1" applyFont="1" applyFill="1" applyBorder="1" applyAlignment="1" applyProtection="1">
      <alignment horizontal="left" vertical="center" wrapText="1"/>
    </xf>
    <xf numFmtId="0" fontId="75" fillId="0" borderId="0" xfId="0" applyNumberFormat="1" applyFont="1"/>
    <xf numFmtId="0" fontId="75" fillId="0" borderId="12" xfId="0" applyNumberFormat="1" applyFont="1" applyBorder="1" applyAlignment="1" applyProtection="1">
      <alignment horizontal="center" vertical="center"/>
      <protection locked="0"/>
    </xf>
    <xf numFmtId="0" fontId="75" fillId="2" borderId="0" xfId="0" applyNumberFormat="1" applyFont="1" applyFill="1" applyBorder="1" applyAlignment="1" applyProtection="1">
      <alignment vertical="center"/>
    </xf>
    <xf numFmtId="0" fontId="75" fillId="0" borderId="0" xfId="0" applyNumberFormat="1" applyFont="1" applyBorder="1" applyAlignment="1" applyProtection="1"/>
    <xf numFmtId="0" fontId="75" fillId="0" borderId="0" xfId="0" applyNumberFormat="1" applyFont="1" applyProtection="1"/>
    <xf numFmtId="0" fontId="66" fillId="2" borderId="2" xfId="1" applyNumberFormat="1" applyFont="1" applyFill="1" applyBorder="1" applyAlignment="1" applyProtection="1">
      <alignment horizontal="center" vertical="center" wrapText="1"/>
      <protection locked="0"/>
    </xf>
    <xf numFmtId="0" fontId="66" fillId="2" borderId="2" xfId="1" applyNumberFormat="1" applyFont="1" applyFill="1" applyBorder="1" applyAlignment="1" applyProtection="1">
      <alignment vertical="center" wrapText="1"/>
      <protection locked="0"/>
    </xf>
    <xf numFmtId="0" fontId="66" fillId="2" borderId="2" xfId="1" applyNumberFormat="1" applyFont="1" applyFill="1" applyBorder="1" applyAlignment="1" applyProtection="1">
      <alignment horizontal="center" vertical="center"/>
    </xf>
    <xf numFmtId="0" fontId="75" fillId="0" borderId="0" xfId="0" applyNumberFormat="1" applyFont="1" applyAlignment="1">
      <alignment horizontal="center" vertical="center"/>
    </xf>
    <xf numFmtId="0" fontId="0" fillId="0" borderId="0" xfId="0" applyNumberFormat="1" applyProtection="1"/>
    <xf numFmtId="0" fontId="75" fillId="0" borderId="0" xfId="0" applyNumberFormat="1" applyFont="1" applyBorder="1" applyAlignment="1" applyProtection="1">
      <alignment horizontal="center" vertical="center"/>
    </xf>
    <xf numFmtId="0" fontId="0" fillId="0" borderId="4" xfId="0" applyNumberFormat="1" applyBorder="1"/>
    <xf numFmtId="0" fontId="66" fillId="2" borderId="2" xfId="1" applyNumberFormat="1" applyFont="1" applyFill="1" applyBorder="1" applyAlignment="1" applyProtection="1">
      <alignment horizontal="center" vertical="center"/>
      <protection locked="0"/>
    </xf>
    <xf numFmtId="0" fontId="66" fillId="0" borderId="12" xfId="0" applyNumberFormat="1" applyFont="1" applyBorder="1" applyAlignment="1" applyProtection="1">
      <alignment horizontal="center" vertical="center" wrapText="1"/>
      <protection locked="0"/>
    </xf>
    <xf numFmtId="0" fontId="66" fillId="0" borderId="0" xfId="0" applyNumberFormat="1" applyFont="1" applyBorder="1" applyAlignment="1" applyProtection="1">
      <alignment horizontal="center" vertical="center" wrapText="1"/>
    </xf>
    <xf numFmtId="0" fontId="66"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6" fillId="12" borderId="0" xfId="0" applyFont="1" applyFill="1"/>
    <xf numFmtId="164" fontId="88" fillId="0" borderId="0" xfId="0" applyFont="1" applyAlignment="1">
      <alignment horizontal="center" vertical="center"/>
    </xf>
    <xf numFmtId="164" fontId="66" fillId="0" borderId="0" xfId="0" quotePrefix="1" applyFont="1" applyFill="1" applyBorder="1" applyAlignment="1" applyProtection="1">
      <alignment horizontal="left" indent="3"/>
    </xf>
    <xf numFmtId="164" fontId="66" fillId="0" borderId="0" xfId="0" quotePrefix="1" applyNumberFormat="1" applyFont="1" applyFill="1" applyBorder="1" applyAlignment="1" applyProtection="1">
      <alignment horizontal="left" vertical="center" wrapText="1" indent="5"/>
    </xf>
    <xf numFmtId="164" fontId="0" fillId="0" borderId="4" xfId="0" applyBorder="1"/>
    <xf numFmtId="0" fontId="66" fillId="2" borderId="33" xfId="0" applyNumberFormat="1" applyFont="1" applyFill="1" applyBorder="1" applyAlignment="1" applyProtection="1">
      <alignment horizontal="left" wrapText="1"/>
    </xf>
    <xf numFmtId="0" fontId="79" fillId="0" borderId="34" xfId="0" applyNumberFormat="1" applyFont="1" applyFill="1" applyBorder="1" applyAlignment="1" applyProtection="1">
      <alignment horizontal="center" vertical="center" wrapText="1"/>
      <protection locked="0"/>
    </xf>
    <xf numFmtId="164" fontId="89" fillId="0" borderId="0" xfId="0" applyFont="1" applyAlignment="1">
      <alignment horizontal="right"/>
    </xf>
    <xf numFmtId="166" fontId="129" fillId="40" borderId="2" xfId="0" applyNumberFormat="1" applyFont="1" applyFill="1" applyBorder="1" applyAlignment="1" applyProtection="1">
      <alignment horizontal="right" vertical="center"/>
      <protection locked="0"/>
    </xf>
    <xf numFmtId="0" fontId="66" fillId="0" borderId="0" xfId="0" quotePrefix="1" applyNumberFormat="1" applyFont="1" applyFill="1" applyBorder="1" applyAlignment="1" applyProtection="1">
      <alignment horizontal="left" vertical="center" wrapText="1" indent="5"/>
    </xf>
    <xf numFmtId="164" fontId="66" fillId="0" borderId="0" xfId="1" applyNumberFormat="1" applyFont="1" applyFill="1" applyBorder="1" applyAlignment="1" applyProtection="1">
      <alignment horizontal="left" vertical="center" wrapText="1" indent="4"/>
    </xf>
    <xf numFmtId="164" fontId="66" fillId="2" borderId="0" xfId="0" applyNumberFormat="1" applyFont="1" applyFill="1" applyBorder="1" applyAlignment="1" applyProtection="1">
      <alignment horizontal="right" vertical="center" wrapText="1" indent="1"/>
    </xf>
    <xf numFmtId="164" fontId="75" fillId="0" borderId="4" xfId="0" applyFont="1" applyFill="1" applyBorder="1" applyAlignment="1" applyProtection="1"/>
    <xf numFmtId="0" fontId="59" fillId="2" borderId="0" xfId="1" applyNumberFormat="1" applyFont="1" applyFill="1" applyBorder="1" applyAlignment="1" applyProtection="1">
      <alignment horizontal="left" vertical="center" wrapText="1" indent="6"/>
    </xf>
    <xf numFmtId="0" fontId="59" fillId="2" borderId="0" xfId="1" applyNumberFormat="1" applyFont="1" applyFill="1" applyBorder="1" applyAlignment="1" applyProtection="1">
      <alignment horizontal="left" wrapText="1" indent="6"/>
    </xf>
    <xf numFmtId="164" fontId="66" fillId="0" borderId="0" xfId="0" quotePrefix="1" applyNumberFormat="1" applyFont="1" applyFill="1" applyBorder="1" applyAlignment="1" applyProtection="1">
      <alignment horizontal="left" vertical="center" wrapText="1" indent="1"/>
    </xf>
    <xf numFmtId="167" fontId="66" fillId="2" borderId="0" xfId="1" quotePrefix="1" applyNumberFormat="1" applyFont="1" applyFill="1" applyBorder="1" applyAlignment="1" applyProtection="1">
      <alignment horizontal="left" vertical="center" wrapText="1" indent="1"/>
    </xf>
    <xf numFmtId="167" fontId="66"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66" fillId="2" borderId="4" xfId="0" applyNumberFormat="1" applyFont="1" applyFill="1" applyBorder="1" applyAlignment="1" applyProtection="1">
      <alignment horizontal="right" vertical="center" wrapText="1"/>
    </xf>
    <xf numFmtId="164" fontId="131" fillId="10" borderId="0" xfId="0" applyFont="1" applyFill="1" applyBorder="1" applyAlignment="1">
      <alignment horizontal="center" vertical="center"/>
    </xf>
    <xf numFmtId="0" fontId="66" fillId="2" borderId="0" xfId="0" applyNumberFormat="1" applyFont="1" applyFill="1" applyBorder="1" applyAlignment="1" applyProtection="1">
      <alignment horizontal="center" vertical="center" wrapText="1"/>
      <protection locked="0"/>
    </xf>
    <xf numFmtId="164" fontId="66" fillId="2" borderId="0" xfId="0" applyNumberFormat="1" applyFont="1" applyFill="1" applyBorder="1" applyAlignment="1" applyProtection="1">
      <alignment horizontal="left" wrapText="1"/>
    </xf>
    <xf numFmtId="164" fontId="97" fillId="34" borderId="24" xfId="1" applyNumberFormat="1" applyFont="1" applyAlignment="1" applyProtection="1">
      <alignment horizontal="center" vertical="center"/>
    </xf>
    <xf numFmtId="164" fontId="66" fillId="0" borderId="0" xfId="0" quotePrefix="1" applyNumberFormat="1" applyFont="1" applyBorder="1" applyAlignment="1" applyProtection="1">
      <alignment horizontal="left" vertical="center" wrapText="1"/>
    </xf>
    <xf numFmtId="164" fontId="66" fillId="0" borderId="0" xfId="0" applyNumberFormat="1" applyFont="1" applyBorder="1" applyAlignment="1" applyProtection="1">
      <alignment horizontal="left" vertical="center" wrapText="1" indent="4"/>
      <protection locked="0"/>
    </xf>
    <xf numFmtId="164" fontId="125" fillId="0" borderId="0" xfId="0" applyFont="1"/>
    <xf numFmtId="164" fontId="125" fillId="0" borderId="0" xfId="0" applyFont="1" applyAlignment="1">
      <alignment horizontal="justify"/>
    </xf>
    <xf numFmtId="164" fontId="0" fillId="0" borderId="0" xfId="0" applyBorder="1" applyProtection="1"/>
    <xf numFmtId="164" fontId="66" fillId="0" borderId="35" xfId="0" applyFont="1" applyBorder="1" applyAlignment="1">
      <alignment horizontal="left" indent="1"/>
    </xf>
    <xf numFmtId="0" fontId="66" fillId="0" borderId="37" xfId="0" applyNumberFormat="1" applyFont="1" applyFill="1" applyBorder="1" applyAlignment="1" applyProtection="1">
      <alignment horizontal="left" wrapText="1"/>
    </xf>
    <xf numFmtId="166" fontId="66" fillId="2" borderId="38" xfId="0" applyNumberFormat="1" applyFont="1" applyFill="1" applyBorder="1" applyAlignment="1" applyProtection="1">
      <alignment horizontal="right" vertical="center" wrapText="1"/>
      <protection locked="0"/>
    </xf>
    <xf numFmtId="164" fontId="75" fillId="0" borderId="39" xfId="0" applyFont="1" applyFill="1" applyBorder="1" applyAlignment="1" applyProtection="1"/>
    <xf numFmtId="164" fontId="78" fillId="0" borderId="40" xfId="0" applyFont="1" applyBorder="1" applyAlignment="1" applyProtection="1">
      <alignment vertical="center"/>
    </xf>
    <xf numFmtId="164" fontId="131" fillId="10" borderId="41" xfId="0" applyFont="1" applyFill="1" applyBorder="1" applyAlignment="1">
      <alignment horizontal="center"/>
    </xf>
    <xf numFmtId="166" fontId="66" fillId="2" borderId="43" xfId="0" applyNumberFormat="1" applyFont="1" applyFill="1" applyBorder="1" applyAlignment="1" applyProtection="1">
      <alignment horizontal="right" vertical="center" wrapText="1"/>
    </xf>
    <xf numFmtId="0" fontId="66" fillId="0" borderId="44" xfId="0" applyNumberFormat="1" applyFont="1" applyFill="1" applyBorder="1" applyAlignment="1" applyProtection="1">
      <alignment horizontal="left" wrapText="1"/>
    </xf>
    <xf numFmtId="166" fontId="66" fillId="5" borderId="38" xfId="0" applyNumberFormat="1" applyFont="1" applyFill="1" applyBorder="1" applyAlignment="1" applyProtection="1">
      <alignment horizontal="right"/>
      <protection locked="0"/>
    </xf>
    <xf numFmtId="166" fontId="66" fillId="5" borderId="50" xfId="0" applyNumberFormat="1" applyFont="1" applyFill="1" applyBorder="1" applyAlignment="1" applyProtection="1">
      <alignment horizontal="right"/>
      <protection locked="0"/>
    </xf>
    <xf numFmtId="164" fontId="131" fillId="10" borderId="45" xfId="0" applyFont="1" applyFill="1" applyBorder="1" applyAlignment="1">
      <alignment horizontal="center" vertical="center"/>
    </xf>
    <xf numFmtId="164" fontId="131" fillId="10" borderId="46" xfId="0" applyFont="1" applyFill="1" applyBorder="1" applyAlignment="1">
      <alignment horizontal="left" vertical="center" indent="1"/>
    </xf>
    <xf numFmtId="164" fontId="131" fillId="10" borderId="47" xfId="0" applyFont="1" applyFill="1" applyBorder="1" applyAlignment="1">
      <alignment horizontal="center"/>
    </xf>
    <xf numFmtId="164" fontId="66" fillId="0" borderId="0" xfId="0" quotePrefix="1" applyNumberFormat="1" applyFont="1" applyBorder="1" applyAlignment="1" applyProtection="1">
      <alignment horizontal="left" vertical="center" wrapText="1" indent="3"/>
    </xf>
    <xf numFmtId="164" fontId="66" fillId="0" borderId="0" xfId="0" quotePrefix="1" applyNumberFormat="1" applyFont="1" applyFill="1" applyBorder="1" applyAlignment="1" applyProtection="1">
      <alignment horizontal="left" vertical="center" wrapText="1" indent="3"/>
    </xf>
    <xf numFmtId="0" fontId="66"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11" fillId="2" borderId="0" xfId="0" applyFont="1" applyFill="1" applyBorder="1" applyAlignment="1">
      <alignment horizontal="left"/>
    </xf>
    <xf numFmtId="164" fontId="92" fillId="2" borderId="0" xfId="0" applyFont="1" applyFill="1" applyBorder="1" applyAlignment="1">
      <alignment horizontal="center"/>
    </xf>
    <xf numFmtId="164" fontId="66" fillId="2" borderId="0" xfId="0" applyNumberFormat="1" applyFont="1" applyFill="1" applyBorder="1" applyAlignment="1" applyProtection="1">
      <alignment wrapText="1"/>
    </xf>
    <xf numFmtId="164" fontId="0" fillId="0" borderId="54" xfId="0" applyBorder="1"/>
    <xf numFmtId="164" fontId="0" fillId="0" borderId="55" xfId="0" applyBorder="1"/>
    <xf numFmtId="164" fontId="0" fillId="0" borderId="40" xfId="0" applyBorder="1"/>
    <xf numFmtId="167" fontId="66" fillId="0" borderId="0" xfId="0" applyNumberFormat="1" applyFont="1" applyBorder="1" applyAlignment="1" applyProtection="1">
      <alignment horizontal="left" vertical="center" wrapText="1" indent="2"/>
    </xf>
    <xf numFmtId="167" fontId="134" fillId="0" borderId="0" xfId="0" applyNumberFormat="1" applyFont="1" applyBorder="1" applyAlignment="1" applyProtection="1">
      <alignment horizontal="left" vertical="center" wrapText="1" indent="4"/>
    </xf>
    <xf numFmtId="164" fontId="135"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92" fillId="2" borderId="0" xfId="0" applyFont="1" applyFill="1" applyBorder="1" applyAlignment="1"/>
    <xf numFmtId="164" fontId="111" fillId="2" borderId="56" xfId="0" applyFont="1" applyFill="1" applyBorder="1" applyAlignment="1">
      <alignment horizontal="left"/>
    </xf>
    <xf numFmtId="0" fontId="73" fillId="0" borderId="0" xfId="0" applyNumberFormat="1" applyFont="1" applyFill="1" applyBorder="1" applyAlignment="1" applyProtection="1">
      <alignment horizontal="center" wrapText="1"/>
    </xf>
    <xf numFmtId="0" fontId="73" fillId="32" borderId="0" xfId="0" applyNumberFormat="1" applyFont="1" applyFill="1" applyBorder="1" applyAlignment="1" applyProtection="1">
      <alignment horizontal="center" wrapText="1"/>
    </xf>
    <xf numFmtId="164" fontId="137" fillId="0" borderId="0" xfId="0" applyFont="1"/>
    <xf numFmtId="164" fontId="138" fillId="0" borderId="0" xfId="0" applyFont="1" applyAlignment="1">
      <alignment horizontal="right"/>
    </xf>
    <xf numFmtId="0" fontId="30" fillId="17" borderId="0" xfId="0" applyNumberFormat="1" applyFont="1" applyFill="1" applyBorder="1" applyAlignment="1" applyProtection="1">
      <alignment horizontal="left" indent="1"/>
    </xf>
    <xf numFmtId="14" fontId="139" fillId="7" borderId="0" xfId="0" applyNumberFormat="1" applyFont="1" applyFill="1" applyBorder="1" applyAlignment="1" applyProtection="1">
      <alignment horizontal="left" vertical="center" wrapText="1" indent="2"/>
    </xf>
    <xf numFmtId="166" fontId="140" fillId="7" borderId="0" xfId="0" applyNumberFormat="1" applyFont="1" applyFill="1" applyBorder="1" applyAlignment="1" applyProtection="1">
      <alignment horizontal="center" vertical="center"/>
      <protection locked="0"/>
    </xf>
    <xf numFmtId="166" fontId="139" fillId="7" borderId="0" xfId="0" applyNumberFormat="1" applyFont="1" applyFill="1" applyBorder="1" applyAlignment="1" applyProtection="1">
      <alignment horizontal="center" vertical="center"/>
    </xf>
    <xf numFmtId="1" fontId="73"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29"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32" fillId="2" borderId="0" xfId="1" applyNumberFormat="1" applyFont="1" applyFill="1" applyBorder="1" applyAlignment="1" applyProtection="1">
      <alignment horizontal="left" vertical="center" wrapText="1" indent="1"/>
    </xf>
    <xf numFmtId="164" fontId="75" fillId="0" borderId="4" xfId="0" applyFont="1" applyBorder="1"/>
    <xf numFmtId="164" fontId="142" fillId="12" borderId="23" xfId="0" applyFont="1" applyFill="1" applyBorder="1" applyAlignment="1" applyProtection="1">
      <alignment horizontal="center" vertical="center" wrapText="1"/>
    </xf>
    <xf numFmtId="166" fontId="65" fillId="39" borderId="57"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66" fillId="2" borderId="2" xfId="0" applyNumberFormat="1" applyFont="1" applyFill="1" applyBorder="1" applyAlignment="1" applyProtection="1">
      <alignment horizontal="right"/>
      <protection locked="0"/>
    </xf>
    <xf numFmtId="164" fontId="0" fillId="0" borderId="22" xfId="0" applyBorder="1"/>
    <xf numFmtId="167" fontId="66" fillId="2" borderId="0" xfId="1" applyNumberFormat="1" applyFont="1" applyFill="1" applyBorder="1" applyAlignment="1" applyProtection="1">
      <alignment horizontal="left" vertical="center" wrapText="1" indent="3"/>
    </xf>
    <xf numFmtId="0" fontId="31" fillId="7" borderId="0" xfId="0" applyNumberFormat="1" applyFont="1" applyFill="1" applyBorder="1" applyAlignment="1" applyProtection="1">
      <alignment horizontal="left"/>
    </xf>
    <xf numFmtId="164" fontId="29"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26" xfId="0" applyFill="1" applyBorder="1" applyAlignment="1">
      <alignment vertical="top" wrapText="1"/>
    </xf>
    <xf numFmtId="164" fontId="0" fillId="2" borderId="0" xfId="0" applyFill="1" applyAlignment="1">
      <alignment vertical="top" wrapText="1"/>
    </xf>
    <xf numFmtId="168" fontId="54" fillId="7" borderId="0" xfId="0" applyNumberFormat="1" applyFont="1" applyFill="1" applyBorder="1" applyAlignment="1" applyProtection="1">
      <alignment horizontal="center" wrapText="1"/>
    </xf>
    <xf numFmtId="0" fontId="38" fillId="17" borderId="0" xfId="0" applyNumberFormat="1" applyFont="1" applyFill="1" applyBorder="1" applyAlignment="1" applyProtection="1">
      <alignment horizontal="left" vertical="center" wrapText="1" indent="3"/>
    </xf>
    <xf numFmtId="0" fontId="73" fillId="2" borderId="42" xfId="1" applyNumberFormat="1" applyFont="1" applyFill="1" applyBorder="1" applyAlignment="1" applyProtection="1">
      <alignment horizontal="right" vertical="center" wrapText="1"/>
    </xf>
    <xf numFmtId="164" fontId="68" fillId="2" borderId="0" xfId="0" applyFont="1" applyFill="1"/>
    <xf numFmtId="164" fontId="68" fillId="9" borderId="58" xfId="0" applyFont="1" applyFill="1" applyBorder="1"/>
    <xf numFmtId="164" fontId="68" fillId="9" borderId="59" xfId="0" applyFont="1" applyFill="1" applyBorder="1" applyAlignment="1">
      <alignment horizontal="left" indent="1"/>
    </xf>
    <xf numFmtId="164" fontId="68" fillId="9" borderId="59" xfId="0" applyFont="1" applyFill="1" applyBorder="1"/>
    <xf numFmtId="164" fontId="68" fillId="9" borderId="59" xfId="0" applyFont="1" applyFill="1" applyBorder="1" applyAlignment="1">
      <alignment horizontal="left" vertical="top" wrapText="1" indent="1"/>
    </xf>
    <xf numFmtId="164" fontId="145" fillId="9" borderId="59" xfId="0" applyFont="1" applyFill="1" applyBorder="1" applyAlignment="1">
      <alignment horizontal="left" indent="1"/>
    </xf>
    <xf numFmtId="164" fontId="68" fillId="9" borderId="59" xfId="0" applyFont="1" applyFill="1" applyBorder="1" applyAlignment="1">
      <alignment horizontal="left" vertical="top" wrapText="1" indent="3"/>
    </xf>
    <xf numFmtId="164" fontId="68" fillId="9" borderId="59" xfId="0" applyFont="1" applyFill="1" applyBorder="1" applyAlignment="1">
      <alignment horizontal="left" indent="3"/>
    </xf>
    <xf numFmtId="164" fontId="68" fillId="9" borderId="60" xfId="0" applyFont="1" applyFill="1" applyBorder="1"/>
    <xf numFmtId="164" fontId="105" fillId="10" borderId="63" xfId="0" applyFont="1" applyFill="1" applyBorder="1" applyAlignment="1">
      <alignment horizontal="left" indent="1"/>
    </xf>
    <xf numFmtId="164" fontId="55" fillId="38" borderId="28" xfId="0" applyFont="1" applyFill="1" applyBorder="1" applyAlignment="1">
      <alignment horizontal="center"/>
    </xf>
    <xf numFmtId="164" fontId="105" fillId="10" borderId="64" xfId="0" applyFont="1" applyFill="1" applyBorder="1" applyAlignment="1">
      <alignment horizontal="left" indent="1"/>
    </xf>
    <xf numFmtId="164" fontId="55" fillId="38" borderId="65" xfId="0" applyFont="1" applyFill="1" applyBorder="1" applyAlignment="1">
      <alignment horizontal="center"/>
    </xf>
    <xf numFmtId="164" fontId="55" fillId="38" borderId="61" xfId="0" applyFont="1" applyFill="1" applyBorder="1" applyAlignment="1">
      <alignment horizontal="center" vertical="center"/>
    </xf>
    <xf numFmtId="164" fontId="0" fillId="38" borderId="62" xfId="0" applyFill="1" applyBorder="1"/>
    <xf numFmtId="166" fontId="74" fillId="2" borderId="8" xfId="0" applyNumberFormat="1" applyFont="1" applyFill="1" applyBorder="1" applyAlignment="1" applyProtection="1">
      <protection locked="0"/>
    </xf>
    <xf numFmtId="166" fontId="73" fillId="2" borderId="66" xfId="0" applyNumberFormat="1" applyFont="1" applyFill="1" applyBorder="1" applyAlignment="1" applyProtection="1">
      <alignment horizontal="right"/>
      <protection locked="0"/>
    </xf>
    <xf numFmtId="164" fontId="141" fillId="0" borderId="0" xfId="0" applyFont="1" applyAlignment="1">
      <alignment vertical="top" wrapText="1"/>
    </xf>
    <xf numFmtId="166" fontId="66" fillId="2" borderId="8" xfId="0" applyNumberFormat="1" applyFont="1" applyFill="1" applyBorder="1" applyAlignment="1" applyProtection="1"/>
    <xf numFmtId="1" fontId="136" fillId="2" borderId="0" xfId="0" applyNumberFormat="1" applyFont="1" applyFill="1" applyBorder="1" applyAlignment="1" applyProtection="1">
      <alignment horizontal="center" vertical="center" wrapText="1"/>
    </xf>
    <xf numFmtId="1" fontId="138" fillId="0" borderId="10" xfId="0" applyNumberFormat="1" applyFont="1" applyBorder="1" applyAlignment="1">
      <alignment horizontal="right" vertical="center"/>
    </xf>
    <xf numFmtId="1" fontId="136" fillId="2" borderId="68" xfId="0" applyNumberFormat="1" applyFont="1" applyFill="1" applyBorder="1" applyAlignment="1" applyProtection="1">
      <alignment horizontal="right" vertical="center" wrapText="1"/>
    </xf>
    <xf numFmtId="0" fontId="75" fillId="2" borderId="0" xfId="0" applyNumberFormat="1" applyFont="1" applyFill="1" applyBorder="1" applyAlignment="1" applyProtection="1">
      <alignment horizontal="left" vertical="center"/>
    </xf>
    <xf numFmtId="166" fontId="73" fillId="2" borderId="66" xfId="0" applyNumberFormat="1" applyFont="1" applyFill="1" applyBorder="1" applyAlignment="1" applyProtection="1">
      <alignment horizontal="right" vertical="center"/>
      <protection locked="0"/>
    </xf>
    <xf numFmtId="1" fontId="73" fillId="2" borderId="0" xfId="0" applyNumberFormat="1" applyFont="1" applyFill="1" applyBorder="1" applyAlignment="1" applyProtection="1">
      <alignment horizontal="left" vertical="center" wrapText="1"/>
    </xf>
    <xf numFmtId="1" fontId="73" fillId="2" borderId="0" xfId="0" applyNumberFormat="1" applyFont="1" applyFill="1" applyBorder="1" applyAlignment="1" applyProtection="1">
      <alignment horizontal="left" vertical="center" wrapText="1" indent="3"/>
    </xf>
    <xf numFmtId="0" fontId="66" fillId="2" borderId="0" xfId="0" applyNumberFormat="1" applyFont="1" applyFill="1" applyBorder="1" applyAlignment="1" applyProtection="1">
      <alignment horizontal="left" vertical="center" wrapText="1" indent="2"/>
    </xf>
    <xf numFmtId="1" fontId="66" fillId="2" borderId="0" xfId="0" applyNumberFormat="1" applyFont="1" applyFill="1" applyBorder="1" applyAlignment="1" applyProtection="1">
      <alignment horizontal="left" vertical="center" wrapText="1" indent="3"/>
    </xf>
    <xf numFmtId="0" fontId="98"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98" fillId="2" borderId="0" xfId="0" applyNumberFormat="1" applyFont="1" applyFill="1" applyBorder="1" applyAlignment="1" applyProtection="1">
      <alignment horizontal="left" vertical="center" wrapText="1" indent="1"/>
    </xf>
    <xf numFmtId="164" fontId="138" fillId="2" borderId="0" xfId="0" applyFont="1" applyFill="1" applyAlignment="1">
      <alignment horizontal="center"/>
    </xf>
    <xf numFmtId="164" fontId="75" fillId="2" borderId="0" xfId="0" applyFont="1" applyFill="1" applyAlignment="1"/>
    <xf numFmtId="0" fontId="99"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6" fontId="66" fillId="5" borderId="53" xfId="0" applyNumberFormat="1" applyFont="1" applyFill="1" applyBorder="1" applyAlignment="1" applyProtection="1">
      <alignment horizontal="right"/>
      <protection locked="0"/>
    </xf>
    <xf numFmtId="0" fontId="133" fillId="6" borderId="75" xfId="0" applyNumberFormat="1" applyFont="1" applyFill="1" applyBorder="1" applyAlignment="1" applyProtection="1">
      <alignment horizontal="center" wrapText="1"/>
    </xf>
    <xf numFmtId="0" fontId="133" fillId="6" borderId="76" xfId="0" applyNumberFormat="1" applyFont="1" applyFill="1" applyBorder="1" applyAlignment="1" applyProtection="1">
      <alignment horizontal="center" wrapText="1"/>
    </xf>
    <xf numFmtId="166" fontId="66" fillId="30" borderId="73" xfId="0" applyNumberFormat="1" applyFont="1" applyFill="1" applyBorder="1" applyAlignment="1" applyProtection="1">
      <alignment horizontal="right"/>
      <protection locked="0"/>
    </xf>
    <xf numFmtId="166" fontId="66" fillId="30" borderId="74" xfId="0" applyNumberFormat="1" applyFont="1" applyFill="1" applyBorder="1" applyAlignment="1" applyProtection="1">
      <alignment horizontal="right"/>
      <protection locked="0"/>
    </xf>
    <xf numFmtId="166" fontId="66" fillId="30" borderId="69" xfId="0" applyNumberFormat="1" applyFont="1" applyFill="1" applyBorder="1" applyAlignment="1" applyProtection="1">
      <alignment horizontal="right"/>
      <protection locked="0"/>
    </xf>
    <xf numFmtId="166" fontId="66" fillId="30" borderId="70" xfId="0" applyNumberFormat="1" applyFont="1" applyFill="1" applyBorder="1" applyAlignment="1" applyProtection="1">
      <alignment horizontal="right"/>
      <protection locked="0"/>
    </xf>
    <xf numFmtId="166" fontId="66" fillId="30" borderId="71" xfId="0" applyNumberFormat="1" applyFont="1" applyFill="1" applyBorder="1" applyAlignment="1" applyProtection="1">
      <alignment horizontal="right"/>
      <protection locked="0"/>
    </xf>
    <xf numFmtId="166" fontId="66" fillId="30" borderId="72" xfId="0" applyNumberFormat="1" applyFont="1" applyFill="1" applyBorder="1" applyAlignment="1" applyProtection="1">
      <alignment horizontal="right"/>
      <protection locked="0"/>
    </xf>
    <xf numFmtId="0" fontId="31"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66" fillId="0" borderId="0" xfId="1" quotePrefix="1" applyNumberFormat="1" applyFont="1" applyFill="1" applyBorder="1" applyAlignment="1" applyProtection="1">
      <alignment horizontal="left" vertical="center" wrapText="1" indent="4"/>
    </xf>
    <xf numFmtId="0" fontId="66" fillId="2" borderId="0" xfId="1" quotePrefix="1" applyNumberFormat="1" applyFont="1" applyFill="1" applyBorder="1" applyAlignment="1" applyProtection="1">
      <alignment horizontal="left" vertical="center" wrapText="1" indent="4"/>
    </xf>
    <xf numFmtId="0" fontId="73" fillId="0" borderId="0" xfId="0" applyNumberFormat="1" applyFont="1" applyFill="1" applyBorder="1" applyAlignment="1" applyProtection="1">
      <alignment vertical="center" wrapText="1"/>
    </xf>
    <xf numFmtId="167" fontId="85" fillId="2" borderId="0" xfId="1" applyNumberFormat="1" applyFont="1" applyFill="1" applyBorder="1" applyAlignment="1" applyProtection="1">
      <alignment vertical="center" wrapText="1"/>
    </xf>
    <xf numFmtId="164" fontId="91" fillId="0" borderId="22" xfId="0" applyFont="1" applyBorder="1" applyAlignment="1"/>
    <xf numFmtId="164" fontId="91" fillId="0" borderId="10" xfId="0" applyFont="1" applyBorder="1" applyAlignment="1"/>
    <xf numFmtId="0" fontId="63" fillId="2" borderId="0" xfId="0" applyNumberFormat="1" applyFont="1" applyFill="1" applyBorder="1" applyAlignment="1" applyProtection="1">
      <alignment horizontal="center" vertical="center" wrapText="1"/>
      <protection locked="0"/>
    </xf>
    <xf numFmtId="0" fontId="63" fillId="0" borderId="0" xfId="0" applyNumberFormat="1"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xf>
    <xf numFmtId="0" fontId="59" fillId="2" borderId="0" xfId="0" applyNumberFormat="1" applyFont="1" applyFill="1" applyBorder="1" applyAlignment="1" applyProtection="1">
      <alignment horizontal="center" vertical="center" wrapText="1"/>
      <protection locked="0"/>
    </xf>
    <xf numFmtId="0" fontId="101" fillId="2" borderId="0" xfId="0" applyNumberFormat="1" applyFont="1" applyFill="1" applyBorder="1" applyAlignment="1" applyProtection="1">
      <alignment horizontal="center" vertical="center" wrapText="1"/>
      <protection locked="0"/>
    </xf>
    <xf numFmtId="0" fontId="79" fillId="0" borderId="0" xfId="0" applyNumberFormat="1" applyFont="1" applyFill="1" applyBorder="1" applyAlignment="1" applyProtection="1">
      <alignment horizontal="center" vertical="center" wrapText="1"/>
      <protection locked="0"/>
    </xf>
    <xf numFmtId="0" fontId="66" fillId="0" borderId="42" xfId="0" applyNumberFormat="1" applyFont="1" applyFill="1" applyBorder="1" applyAlignment="1" applyProtection="1">
      <alignment horizontal="left" wrapText="1"/>
    </xf>
    <xf numFmtId="1" fontId="66" fillId="2" borderId="0" xfId="0" applyNumberFormat="1" applyFont="1" applyFill="1" applyBorder="1" applyAlignment="1" applyProtection="1">
      <alignment horizontal="center" vertical="center" wrapText="1"/>
      <protection locked="0"/>
    </xf>
    <xf numFmtId="0" fontId="32" fillId="2" borderId="0" xfId="0" applyNumberFormat="1" applyFont="1" applyFill="1" applyBorder="1" applyAlignment="1" applyProtection="1">
      <alignment horizontal="center" vertical="center" wrapText="1"/>
      <protection locked="0"/>
    </xf>
    <xf numFmtId="0" fontId="75" fillId="0" borderId="0" xfId="0" applyNumberFormat="1" applyFont="1" applyBorder="1" applyAlignment="1" applyProtection="1">
      <alignment horizontal="center" vertical="center"/>
      <protection locked="0"/>
    </xf>
    <xf numFmtId="0" fontId="66" fillId="2" borderId="0" xfId="1" applyNumberFormat="1" applyFont="1" applyFill="1" applyBorder="1" applyAlignment="1" applyProtection="1">
      <alignment vertical="center" wrapText="1"/>
      <protection locked="0"/>
    </xf>
    <xf numFmtId="0" fontId="66" fillId="2" borderId="0" xfId="1" applyNumberFormat="1" applyFont="1" applyFill="1" applyBorder="1" applyAlignment="1" applyProtection="1">
      <alignment horizontal="center" vertical="center" wrapText="1"/>
      <protection locked="0"/>
    </xf>
    <xf numFmtId="0" fontId="66" fillId="2" borderId="0" xfId="1" applyNumberFormat="1" applyFont="1" applyFill="1" applyBorder="1" applyAlignment="1" applyProtection="1">
      <alignment horizontal="center" vertical="center"/>
    </xf>
    <xf numFmtId="0" fontId="66" fillId="0" borderId="0" xfId="0" applyNumberFormat="1" applyFont="1" applyFill="1" applyBorder="1" applyAlignment="1" applyProtection="1">
      <alignment horizontal="center" vertical="center" wrapText="1"/>
      <protection locked="0"/>
    </xf>
    <xf numFmtId="166" fontId="66" fillId="0" borderId="0" xfId="0" applyNumberFormat="1" applyFont="1" applyFill="1" applyBorder="1" applyAlignment="1" applyProtection="1">
      <alignment horizontal="right"/>
      <protection locked="0"/>
    </xf>
    <xf numFmtId="0" fontId="66" fillId="2" borderId="22" xfId="0" applyNumberFormat="1"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left" vertical="center" wrapText="1" indent="1"/>
      <protection locked="0"/>
    </xf>
    <xf numFmtId="0" fontId="66" fillId="0" borderId="0" xfId="0" applyNumberFormat="1" applyFont="1" applyBorder="1" applyAlignment="1" applyProtection="1">
      <alignment horizontal="left" vertical="center" wrapText="1"/>
      <protection locked="0"/>
    </xf>
    <xf numFmtId="0" fontId="66" fillId="0" borderId="0" xfId="0" applyNumberFormat="1" applyFont="1" applyBorder="1" applyAlignment="1" applyProtection="1">
      <alignment horizontal="center" vertical="center" wrapText="1"/>
      <protection locked="0"/>
    </xf>
    <xf numFmtId="164" fontId="149" fillId="0" borderId="0" xfId="0" applyFont="1"/>
    <xf numFmtId="164" fontId="66" fillId="0" borderId="0" xfId="0" applyFont="1" applyAlignment="1" applyProtection="1">
      <alignment horizontal="right" vertical="center" indent="1"/>
      <protection locked="0"/>
    </xf>
    <xf numFmtId="164" fontId="66" fillId="0" borderId="0" xfId="0" quotePrefix="1" applyNumberFormat="1" applyFont="1" applyFill="1" applyBorder="1" applyAlignment="1" applyProtection="1">
      <alignment horizontal="left" vertical="center" wrapText="1" indent="6"/>
    </xf>
    <xf numFmtId="164" fontId="66" fillId="0" borderId="0" xfId="0" applyNumberFormat="1" applyFont="1" applyFill="1" applyBorder="1" applyAlignment="1" applyProtection="1">
      <alignment horizontal="left" vertical="center" wrapText="1" indent="4"/>
    </xf>
    <xf numFmtId="164" fontId="151" fillId="0" borderId="0" xfId="0" applyFont="1"/>
    <xf numFmtId="164" fontId="152" fillId="0" borderId="0" xfId="0" applyFont="1"/>
    <xf numFmtId="1" fontId="152" fillId="2" borderId="0" xfId="0" applyNumberFormat="1" applyFont="1" applyFill="1" applyBorder="1" applyAlignment="1" applyProtection="1">
      <alignment horizontal="center" wrapText="1"/>
    </xf>
    <xf numFmtId="1" fontId="152" fillId="2" borderId="0" xfId="0" applyNumberFormat="1" applyFont="1" applyFill="1" applyBorder="1" applyAlignment="1" applyProtection="1">
      <alignment horizontal="center" vertical="center" wrapText="1"/>
    </xf>
    <xf numFmtId="164" fontId="152" fillId="2" borderId="0" xfId="0" applyFont="1" applyFill="1"/>
    <xf numFmtId="164" fontId="154" fillId="2" borderId="0" xfId="0" applyFont="1" applyFill="1"/>
    <xf numFmtId="164" fontId="154" fillId="2" borderId="0" xfId="0" applyFont="1" applyFill="1" applyAlignment="1">
      <alignment horizontal="right"/>
    </xf>
    <xf numFmtId="164" fontId="155" fillId="2" borderId="0" xfId="0" applyNumberFormat="1" applyFont="1" applyFill="1" applyBorder="1" applyAlignment="1" applyProtection="1">
      <alignment horizontal="left" vertical="center" wrapText="1" indent="3"/>
    </xf>
    <xf numFmtId="164" fontId="154" fillId="0" borderId="0" xfId="0" applyFont="1"/>
    <xf numFmtId="0" fontId="0" fillId="9" borderId="0" xfId="0" applyNumberFormat="1" applyFill="1" applyBorder="1" applyAlignment="1">
      <alignment horizontal="center"/>
    </xf>
    <xf numFmtId="0" fontId="66"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indent="2"/>
    </xf>
    <xf numFmtId="164" fontId="66" fillId="2" borderId="0" xfId="0" applyNumberFormat="1" applyFont="1" applyFill="1" applyBorder="1" applyAlignment="1" applyProtection="1">
      <alignment horizontal="left" vertical="top" wrapText="1" indent="2"/>
    </xf>
    <xf numFmtId="166" fontId="66" fillId="2" borderId="9" xfId="0" applyNumberFormat="1" applyFont="1" applyFill="1" applyBorder="1" applyAlignment="1" applyProtection="1">
      <protection locked="0"/>
    </xf>
    <xf numFmtId="166" fontId="66" fillId="2" borderId="9" xfId="0" applyNumberFormat="1" applyFont="1" applyFill="1" applyBorder="1" applyAlignment="1" applyProtection="1"/>
    <xf numFmtId="166" fontId="66" fillId="8" borderId="78" xfId="0" applyNumberFormat="1" applyFont="1" applyFill="1" applyBorder="1" applyAlignment="1" applyProtection="1">
      <protection locked="0"/>
    </xf>
    <xf numFmtId="166" fontId="66" fillId="8" borderId="78" xfId="0" applyNumberFormat="1" applyFont="1" applyFill="1" applyBorder="1" applyAlignment="1" applyProtection="1"/>
    <xf numFmtId="166" fontId="66" fillId="8" borderId="79"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91"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51" fillId="0" borderId="0" xfId="0" applyFont="1" applyAlignment="1"/>
    <xf numFmtId="164" fontId="152" fillId="0" borderId="0" xfId="0" applyFont="1" applyAlignment="1"/>
    <xf numFmtId="1" fontId="152" fillId="2" borderId="0" xfId="0" applyNumberFormat="1" applyFont="1" applyFill="1" applyBorder="1" applyAlignment="1" applyProtection="1">
      <alignment wrapText="1"/>
    </xf>
    <xf numFmtId="1" fontId="152" fillId="2" borderId="0" xfId="0" applyNumberFormat="1" applyFont="1" applyFill="1" applyBorder="1" applyAlignment="1" applyProtection="1">
      <alignment vertical="center" wrapText="1"/>
    </xf>
    <xf numFmtId="164" fontId="152" fillId="2" borderId="0" xfId="0" applyFont="1" applyFill="1" applyAlignment="1"/>
    <xf numFmtId="1" fontId="153" fillId="2" borderId="0" xfId="0" applyNumberFormat="1" applyFont="1" applyFill="1" applyBorder="1" applyAlignment="1" applyProtection="1">
      <alignment vertical="center" wrapText="1"/>
    </xf>
    <xf numFmtId="164" fontId="154" fillId="2" borderId="0" xfId="0" applyFont="1" applyFill="1" applyAlignment="1"/>
    <xf numFmtId="164" fontId="155" fillId="2" borderId="0" xfId="0" applyNumberFormat="1" applyFont="1" applyFill="1" applyBorder="1" applyAlignment="1" applyProtection="1">
      <alignment vertical="center" wrapText="1"/>
    </xf>
    <xf numFmtId="164" fontId="154" fillId="0" borderId="0" xfId="0" applyFont="1" applyAlignment="1"/>
    <xf numFmtId="1" fontId="153" fillId="2" borderId="68"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49" fillId="0" borderId="0" xfId="0" applyFont="1" applyBorder="1" applyAlignment="1"/>
    <xf numFmtId="166" fontId="66" fillId="5" borderId="80" xfId="0" applyNumberFormat="1" applyFont="1" applyFill="1" applyBorder="1" applyAlignment="1" applyProtection="1">
      <protection locked="0"/>
    </xf>
    <xf numFmtId="166" fontId="66" fillId="5" borderId="81" xfId="0" applyNumberFormat="1" applyFont="1" applyFill="1" applyBorder="1" applyAlignment="1" applyProtection="1">
      <protection locked="0"/>
    </xf>
    <xf numFmtId="166" fontId="66" fillId="42" borderId="84" xfId="0" applyNumberFormat="1" applyFont="1" applyFill="1" applyBorder="1" applyAlignment="1" applyProtection="1">
      <protection locked="0"/>
    </xf>
    <xf numFmtId="166" fontId="66" fillId="42" borderId="85" xfId="0" applyNumberFormat="1" applyFont="1" applyFill="1" applyBorder="1" applyAlignment="1" applyProtection="1">
      <protection locked="0"/>
    </xf>
    <xf numFmtId="164" fontId="3" fillId="9" borderId="82" xfId="0" applyFont="1" applyFill="1" applyBorder="1"/>
    <xf numFmtId="164" fontId="3" fillId="9" borderId="83" xfId="0" applyFont="1" applyFill="1" applyBorder="1"/>
    <xf numFmtId="166" fontId="66" fillId="11" borderId="84" xfId="0" applyNumberFormat="1" applyFont="1" applyFill="1" applyBorder="1" applyAlignment="1" applyProtection="1">
      <protection locked="0"/>
    </xf>
    <xf numFmtId="166" fontId="66" fillId="11" borderId="85" xfId="0" applyNumberFormat="1" applyFont="1" applyFill="1" applyBorder="1" applyAlignment="1" applyProtection="1">
      <protection locked="0"/>
    </xf>
    <xf numFmtId="166" fontId="66" fillId="11" borderId="86" xfId="0" applyNumberFormat="1" applyFont="1" applyFill="1" applyBorder="1" applyAlignment="1" applyProtection="1">
      <protection locked="0"/>
    </xf>
    <xf numFmtId="166" fontId="66" fillId="11" borderId="87" xfId="0" applyNumberFormat="1" applyFont="1" applyFill="1" applyBorder="1" applyAlignment="1" applyProtection="1">
      <protection locked="0"/>
    </xf>
    <xf numFmtId="1" fontId="21" fillId="12" borderId="0" xfId="0" applyNumberFormat="1" applyFont="1" applyFill="1" applyBorder="1"/>
    <xf numFmtId="164" fontId="143" fillId="9" borderId="0" xfId="0" applyFont="1" applyFill="1" applyBorder="1" applyAlignment="1">
      <alignment horizontal="center" wrapText="1"/>
    </xf>
    <xf numFmtId="166" fontId="66" fillId="2" borderId="10" xfId="0" applyNumberFormat="1" applyFont="1" applyFill="1" applyBorder="1" applyAlignment="1" applyProtection="1"/>
    <xf numFmtId="0" fontId="130" fillId="0" borderId="36" xfId="0" applyNumberFormat="1" applyFont="1" applyBorder="1" applyAlignment="1" applyProtection="1">
      <alignment horizontal="center"/>
      <protection locked="0"/>
    </xf>
    <xf numFmtId="0" fontId="130" fillId="0" borderId="12" xfId="0" applyNumberFormat="1" applyFont="1" applyBorder="1" applyAlignment="1" applyProtection="1">
      <alignment horizontal="center"/>
      <protection locked="0"/>
    </xf>
    <xf numFmtId="0" fontId="130" fillId="0" borderId="12" xfId="0" applyNumberFormat="1" applyFont="1" applyFill="1" applyBorder="1" applyAlignment="1" applyProtection="1">
      <alignment horizontal="center"/>
      <protection locked="0"/>
    </xf>
    <xf numFmtId="0" fontId="130" fillId="0" borderId="25" xfId="0" applyNumberFormat="1" applyFont="1" applyFill="1" applyBorder="1" applyAlignment="1" applyProtection="1">
      <alignment horizontal="center"/>
      <protection locked="0"/>
    </xf>
    <xf numFmtId="166" fontId="66" fillId="5" borderId="0" xfId="0" applyNumberFormat="1" applyFont="1" applyFill="1" applyBorder="1" applyAlignment="1" applyProtection="1">
      <alignment horizontal="right"/>
    </xf>
    <xf numFmtId="0" fontId="130" fillId="0" borderId="48" xfId="0" applyNumberFormat="1" applyFont="1" applyBorder="1" applyAlignment="1" applyProtection="1">
      <alignment horizontal="center"/>
    </xf>
    <xf numFmtId="0" fontId="130" fillId="0" borderId="51" xfId="0" applyNumberFormat="1" applyFont="1" applyBorder="1" applyAlignment="1" applyProtection="1">
      <alignment horizontal="center"/>
    </xf>
    <xf numFmtId="164" fontId="60" fillId="0" borderId="0" xfId="0" applyFont="1" applyBorder="1" applyAlignment="1" applyProtection="1">
      <alignment horizontal="right" vertical="center"/>
    </xf>
    <xf numFmtId="164" fontId="75" fillId="0" borderId="0" xfId="0" applyFont="1" applyFill="1" applyBorder="1" applyAlignment="1" applyProtection="1">
      <protection locked="0"/>
    </xf>
    <xf numFmtId="0" fontId="97" fillId="35" borderId="24" xfId="1" applyFont="1" applyFill="1" applyAlignment="1" applyProtection="1">
      <alignment horizontal="center" vertical="center"/>
      <protection locked="0"/>
    </xf>
    <xf numFmtId="0" fontId="66" fillId="0" borderId="0" xfId="0" applyNumberFormat="1" applyFont="1" applyFill="1" applyBorder="1" applyAlignment="1" applyProtection="1">
      <alignment horizontal="left" wrapText="1"/>
      <protection locked="0"/>
    </xf>
    <xf numFmtId="0" fontId="97" fillId="35" borderId="24" xfId="1" applyNumberFormat="1" applyFont="1" applyFill="1" applyAlignment="1" applyProtection="1">
      <alignment horizontal="center" vertical="center" wrapText="1"/>
      <protection locked="0"/>
    </xf>
    <xf numFmtId="166" fontId="66" fillId="12" borderId="2" xfId="0" applyNumberFormat="1" applyFont="1" applyFill="1" applyBorder="1" applyAlignment="1" applyProtection="1">
      <alignment horizontal="right"/>
    </xf>
    <xf numFmtId="0" fontId="30" fillId="17" borderId="0" xfId="0" applyNumberFormat="1" applyFont="1" applyFill="1" applyBorder="1" applyAlignment="1" applyProtection="1">
      <alignment horizontal="left"/>
    </xf>
    <xf numFmtId="164" fontId="0" fillId="0" borderId="0" xfId="0"/>
    <xf numFmtId="164" fontId="66" fillId="2" borderId="0" xfId="0" quotePrefix="1" applyNumberFormat="1" applyFont="1" applyFill="1" applyBorder="1" applyAlignment="1" applyProtection="1">
      <alignment horizontal="left" vertical="center" wrapText="1" indent="4"/>
    </xf>
    <xf numFmtId="164" fontId="0" fillId="0" borderId="0" xfId="0"/>
    <xf numFmtId="0" fontId="96" fillId="34" borderId="24" xfId="1" applyAlignment="1" applyProtection="1">
      <alignment horizontal="center" vertical="center"/>
    </xf>
    <xf numFmtId="167" fontId="96" fillId="34" borderId="24" xfId="1" applyNumberFormat="1" applyAlignment="1" applyProtection="1">
      <alignment horizontal="left" vertical="center" wrapText="1"/>
    </xf>
    <xf numFmtId="164" fontId="0" fillId="0" borderId="0" xfId="0"/>
    <xf numFmtId="164" fontId="0" fillId="0" borderId="0" xfId="0"/>
    <xf numFmtId="164" fontId="0" fillId="0" borderId="0" xfId="0" applyFont="1"/>
    <xf numFmtId="164" fontId="0" fillId="0" borderId="0" xfId="0" applyFont="1" applyBorder="1"/>
    <xf numFmtId="164" fontId="66" fillId="2" borderId="0" xfId="0" applyFont="1" applyFill="1" applyBorder="1" applyAlignment="1" applyProtection="1">
      <alignment wrapText="1"/>
    </xf>
    <xf numFmtId="164" fontId="0" fillId="0" borderId="0" xfId="0"/>
    <xf numFmtId="164" fontId="66" fillId="2" borderId="0" xfId="0" applyNumberFormat="1" applyFont="1" applyFill="1" applyBorder="1" applyAlignment="1" applyProtection="1">
      <alignment horizontal="left" wrapText="1" indent="6"/>
    </xf>
    <xf numFmtId="164" fontId="66" fillId="2" borderId="0" xfId="0" applyNumberFormat="1" applyFont="1" applyFill="1" applyBorder="1" applyAlignment="1" applyProtection="1">
      <alignment horizontal="left" vertical="center" wrapText="1" indent="4"/>
    </xf>
    <xf numFmtId="164" fontId="0" fillId="0" borderId="0" xfId="0"/>
    <xf numFmtId="164" fontId="66" fillId="2" borderId="0" xfId="0" applyNumberFormat="1" applyFont="1" applyFill="1" applyBorder="1" applyAlignment="1" applyProtection="1">
      <alignment horizontal="left" wrapText="1" indent="2"/>
    </xf>
    <xf numFmtId="164" fontId="66" fillId="2" borderId="0" xfId="0" applyNumberFormat="1" applyFont="1" applyFill="1" applyBorder="1" applyAlignment="1" applyProtection="1">
      <alignment horizontal="left" wrapText="1" indent="4"/>
    </xf>
    <xf numFmtId="164" fontId="66" fillId="2" borderId="0" xfId="0" quotePrefix="1" applyNumberFormat="1" applyFont="1" applyFill="1" applyBorder="1" applyAlignment="1" applyProtection="1">
      <alignment horizontal="left" wrapText="1" indent="6"/>
    </xf>
    <xf numFmtId="164" fontId="0" fillId="0" borderId="0" xfId="0" applyFont="1" applyAlignment="1">
      <alignment horizontal="left"/>
    </xf>
    <xf numFmtId="164" fontId="0" fillId="0" borderId="0" xfId="0" applyBorder="1" applyAlignment="1">
      <alignment horizontal="left"/>
    </xf>
    <xf numFmtId="164" fontId="66" fillId="2" borderId="0" xfId="0" quotePrefix="1" applyNumberFormat="1" applyFont="1" applyFill="1" applyBorder="1" applyAlignment="1" applyProtection="1">
      <alignment horizontal="left" wrapText="1" indent="1"/>
    </xf>
    <xf numFmtId="164" fontId="73" fillId="2" borderId="0" xfId="0" applyNumberFormat="1" applyFont="1" applyFill="1" applyBorder="1" applyAlignment="1" applyProtection="1">
      <alignment wrapText="1"/>
    </xf>
    <xf numFmtId="166" fontId="66" fillId="0" borderId="12" xfId="0" applyNumberFormat="1" applyFont="1" applyFill="1" applyBorder="1" applyAlignment="1" applyProtection="1">
      <alignment horizontal="right"/>
      <protection locked="0"/>
    </xf>
    <xf numFmtId="164" fontId="66" fillId="0" borderId="0" xfId="0" applyNumberFormat="1" applyFont="1" applyFill="1" applyBorder="1" applyAlignment="1" applyProtection="1">
      <alignment horizontal="left" wrapText="1" indent="1"/>
    </xf>
    <xf numFmtId="167" fontId="66" fillId="0" borderId="0" xfId="1" applyNumberFormat="1" applyFont="1" applyFill="1" applyBorder="1" applyAlignment="1" applyProtection="1">
      <alignment horizontal="left" vertical="center" wrapText="1"/>
    </xf>
    <xf numFmtId="164" fontId="0" fillId="0" borderId="88" xfId="0" applyBorder="1"/>
    <xf numFmtId="164" fontId="0" fillId="0" borderId="89" xfId="0" applyBorder="1"/>
    <xf numFmtId="164" fontId="143" fillId="9" borderId="88" xfId="0" applyFont="1" applyFill="1" applyBorder="1" applyAlignment="1">
      <alignment horizontal="center" wrapText="1"/>
    </xf>
    <xf numFmtId="166" fontId="66" fillId="9" borderId="90" xfId="0" applyNumberFormat="1" applyFont="1" applyFill="1" applyBorder="1" applyAlignment="1" applyProtection="1">
      <alignment horizontal="right"/>
    </xf>
    <xf numFmtId="166" fontId="66" fillId="5" borderId="91" xfId="0" applyNumberFormat="1" applyFont="1" applyFill="1" applyBorder="1" applyAlignment="1" applyProtection="1">
      <alignment horizontal="right"/>
      <protection locked="0"/>
    </xf>
    <xf numFmtId="166" fontId="66" fillId="11" borderId="12" xfId="0" applyNumberFormat="1" applyFont="1" applyFill="1" applyBorder="1" applyAlignment="1" applyProtection="1">
      <alignment horizontal="right"/>
    </xf>
    <xf numFmtId="167" fontId="66" fillId="0" borderId="0" xfId="0" applyNumberFormat="1" applyFont="1" applyFill="1" applyBorder="1" applyAlignment="1" applyProtection="1">
      <alignment horizontal="left" vertical="center" wrapText="1" indent="1"/>
    </xf>
    <xf numFmtId="164" fontId="0" fillId="0" borderId="0" xfId="0"/>
    <xf numFmtId="164" fontId="133" fillId="0" borderId="0" xfId="0" applyFont="1"/>
    <xf numFmtId="164" fontId="133" fillId="0" borderId="10" xfId="0" applyFont="1" applyBorder="1"/>
    <xf numFmtId="164" fontId="66" fillId="2" borderId="0" xfId="0" applyFont="1" applyFill="1" applyBorder="1" applyAlignment="1" applyProtection="1">
      <alignment wrapText="1"/>
    </xf>
    <xf numFmtId="0" fontId="66" fillId="2" borderId="2" xfId="1" applyNumberFormat="1" applyFont="1" applyFill="1" applyBorder="1" applyAlignment="1" applyProtection="1">
      <alignment horizontal="left" vertical="center" wrapText="1"/>
      <protection locked="0"/>
    </xf>
    <xf numFmtId="164" fontId="66" fillId="2" borderId="0" xfId="0" applyNumberFormat="1" applyFont="1" applyFill="1" applyBorder="1" applyAlignment="1" applyProtection="1">
      <alignment horizontal="left" vertical="top" wrapText="1" indent="6"/>
    </xf>
    <xf numFmtId="164" fontId="66" fillId="2" borderId="0" xfId="0" quotePrefix="1" applyNumberFormat="1" applyFont="1" applyFill="1" applyBorder="1" applyAlignment="1" applyProtection="1">
      <alignment horizontal="left" vertical="top" wrapText="1" indent="6"/>
    </xf>
    <xf numFmtId="167" fontId="66" fillId="0" borderId="0" xfId="0" applyNumberFormat="1" applyFont="1" applyBorder="1" applyAlignment="1" applyProtection="1">
      <alignment horizontal="left" vertical="center" wrapText="1" indent="4"/>
    </xf>
    <xf numFmtId="167" fontId="66" fillId="0" borderId="0" xfId="0" quotePrefix="1" applyNumberFormat="1" applyFont="1" applyBorder="1" applyAlignment="1" applyProtection="1">
      <alignment horizontal="left" vertical="center" wrapText="1" indent="4"/>
    </xf>
    <xf numFmtId="164" fontId="66" fillId="2" borderId="10" xfId="0" applyFont="1" applyFill="1" applyBorder="1" applyAlignment="1" applyProtection="1">
      <alignment wrapText="1"/>
    </xf>
    <xf numFmtId="0" fontId="75" fillId="0" borderId="0" xfId="0" applyNumberFormat="1" applyFont="1" applyBorder="1" applyAlignment="1">
      <alignment vertical="center"/>
    </xf>
    <xf numFmtId="164" fontId="66" fillId="2" borderId="0" xfId="0" quotePrefix="1" applyNumberFormat="1" applyFont="1" applyFill="1" applyBorder="1" applyAlignment="1" applyProtection="1">
      <alignment horizontal="left" vertical="center" wrapText="1" indent="4"/>
    </xf>
    <xf numFmtId="164" fontId="66" fillId="2" borderId="0" xfId="0" quotePrefix="1" applyNumberFormat="1" applyFont="1" applyFill="1" applyBorder="1" applyAlignment="1" applyProtection="1">
      <alignment horizontal="left" vertical="center" wrapText="1" indent="4"/>
    </xf>
    <xf numFmtId="164" fontId="0" fillId="0" borderId="0" xfId="0"/>
    <xf numFmtId="164" fontId="0" fillId="2" borderId="0" xfId="0" applyFill="1" applyAlignment="1">
      <alignment horizontal="center"/>
    </xf>
    <xf numFmtId="164" fontId="0" fillId="0" borderId="0" xfId="0"/>
    <xf numFmtId="166" fontId="6" fillId="43" borderId="0" xfId="4" applyNumberFormat="1" applyFont="1" applyFill="1" applyBorder="1" applyAlignment="1" applyProtection="1">
      <alignment horizontal="center" vertical="center"/>
    </xf>
    <xf numFmtId="164" fontId="25" fillId="0" borderId="0" xfId="0" applyFont="1" applyBorder="1"/>
    <xf numFmtId="164" fontId="157" fillId="2" borderId="7" xfId="0" applyFont="1" applyFill="1" applyBorder="1" applyAlignment="1">
      <alignment horizontal="center"/>
    </xf>
    <xf numFmtId="164" fontId="0" fillId="0" borderId="0" xfId="0" quotePrefix="1"/>
    <xf numFmtId="164" fontId="0" fillId="2" borderId="0" xfId="0" applyFill="1" applyBorder="1" applyAlignment="1">
      <alignment horizontal="left" indent="4"/>
    </xf>
    <xf numFmtId="164" fontId="0" fillId="2" borderId="0" xfId="0" applyFill="1" applyAlignment="1">
      <alignment horizontal="left" indent="4"/>
    </xf>
    <xf numFmtId="164" fontId="128" fillId="44" borderId="0" xfId="0" applyFont="1" applyFill="1" applyBorder="1" applyAlignment="1">
      <alignment horizontal="left" vertical="top" wrapText="1"/>
    </xf>
    <xf numFmtId="164" fontId="0" fillId="2" borderId="0" xfId="0" applyFill="1" applyAlignment="1">
      <alignment horizontal="center" vertical="top"/>
    </xf>
    <xf numFmtId="164" fontId="0" fillId="2" borderId="0" xfId="0" applyFill="1" applyBorder="1" applyAlignment="1">
      <alignment horizontal="center" vertical="top"/>
    </xf>
    <xf numFmtId="0" fontId="161" fillId="35" borderId="24" xfId="1" applyFont="1" applyFill="1" applyAlignment="1" applyProtection="1">
      <alignment horizontal="center" vertical="center"/>
    </xf>
    <xf numFmtId="164" fontId="160" fillId="35" borderId="24" xfId="1" applyNumberFormat="1" applyFont="1" applyFill="1" applyAlignment="1" applyProtection="1">
      <alignment horizontal="center" vertical="center"/>
    </xf>
    <xf numFmtId="164" fontId="160" fillId="35" borderId="24" xfId="1" applyNumberFormat="1" applyFont="1" applyFill="1" applyAlignment="1" applyProtection="1">
      <alignment horizontal="center"/>
    </xf>
    <xf numFmtId="166" fontId="66" fillId="11" borderId="96" xfId="0" applyNumberFormat="1" applyFont="1" applyFill="1" applyBorder="1" applyAlignment="1" applyProtection="1">
      <alignment horizontal="right"/>
    </xf>
    <xf numFmtId="166" fontId="66" fillId="11" borderId="97" xfId="0" applyNumberFormat="1" applyFont="1" applyFill="1" applyBorder="1" applyAlignment="1" applyProtection="1">
      <alignment horizontal="right"/>
    </xf>
    <xf numFmtId="164" fontId="147" fillId="9" borderId="98" xfId="0" applyFont="1" applyFill="1" applyBorder="1" applyAlignment="1">
      <alignment horizontal="center" vertical="center"/>
    </xf>
    <xf numFmtId="164" fontId="147" fillId="9" borderId="99" xfId="0" applyFont="1" applyFill="1" applyBorder="1" applyAlignment="1">
      <alignment horizontal="center" vertical="center"/>
    </xf>
    <xf numFmtId="0" fontId="87" fillId="2" borderId="0" xfId="1" applyNumberFormat="1" applyFont="1" applyFill="1" applyBorder="1" applyAlignment="1" applyProtection="1">
      <alignment wrapText="1"/>
    </xf>
    <xf numFmtId="164" fontId="0" fillId="0" borderId="0" xfId="0"/>
    <xf numFmtId="164" fontId="87" fillId="0" borderId="20" xfId="0" applyFont="1" applyBorder="1" applyAlignment="1">
      <alignment horizontal="right"/>
    </xf>
    <xf numFmtId="164" fontId="87" fillId="0" borderId="12" xfId="0" applyFont="1" applyBorder="1" applyAlignment="1">
      <alignment horizontal="right"/>
    </xf>
    <xf numFmtId="164" fontId="0" fillId="0" borderId="20" xfId="0" applyBorder="1"/>
    <xf numFmtId="164" fontId="0" fillId="0" borderId="12" xfId="0" applyBorder="1"/>
    <xf numFmtId="164" fontId="146" fillId="0" borderId="0" xfId="0" applyFont="1" applyFill="1" applyBorder="1" applyAlignment="1">
      <alignment horizontal="left" wrapText="1" indent="1"/>
    </xf>
    <xf numFmtId="0" fontId="78" fillId="0" borderId="0" xfId="0" applyNumberFormat="1" applyFont="1" applyBorder="1" applyAlignment="1">
      <alignment horizontal="center" vertical="center"/>
    </xf>
    <xf numFmtId="164" fontId="60" fillId="0" borderId="1" xfId="0" applyFont="1" applyBorder="1" applyAlignment="1">
      <alignment horizontal="right" vertical="center"/>
    </xf>
    <xf numFmtId="164" fontId="60" fillId="0" borderId="20" xfId="0" applyFont="1" applyBorder="1" applyAlignment="1">
      <alignment horizontal="right" vertical="center"/>
    </xf>
    <xf numFmtId="164" fontId="60" fillId="0" borderId="12" xfId="0" applyFont="1" applyBorder="1" applyAlignment="1">
      <alignment horizontal="right" vertical="center"/>
    </xf>
    <xf numFmtId="164" fontId="156" fillId="0" borderId="0" xfId="0" applyFont="1" applyAlignment="1">
      <alignment horizontal="center" vertical="center" wrapText="1"/>
    </xf>
    <xf numFmtId="164" fontId="156" fillId="0" borderId="10" xfId="0" applyFont="1" applyBorder="1" applyAlignment="1">
      <alignment horizontal="center" vertical="center" wrapText="1"/>
    </xf>
    <xf numFmtId="164" fontId="0" fillId="0" borderId="0" xfId="0" applyAlignment="1">
      <alignment horizontal="center"/>
    </xf>
    <xf numFmtId="164" fontId="131" fillId="10" borderId="45" xfId="0" applyFont="1" applyFill="1" applyBorder="1" applyAlignment="1">
      <alignment horizontal="center" vertical="center"/>
    </xf>
    <xf numFmtId="164" fontId="131" fillId="10" borderId="46" xfId="0" applyFont="1" applyFill="1" applyBorder="1" applyAlignment="1">
      <alignment horizontal="center" vertical="center"/>
    </xf>
    <xf numFmtId="0" fontId="130" fillId="0" borderId="1" xfId="0" applyNumberFormat="1" applyFont="1" applyBorder="1" applyAlignment="1">
      <alignment horizontal="center"/>
    </xf>
    <xf numFmtId="0" fontId="130" fillId="0" borderId="20" xfId="0" applyNumberFormat="1" applyFont="1" applyBorder="1" applyAlignment="1">
      <alignment horizontal="center"/>
    </xf>
    <xf numFmtId="164" fontId="141" fillId="0" borderId="0" xfId="0" applyFont="1" applyAlignment="1">
      <alignment horizontal="left" vertical="top" wrapText="1" indent="4"/>
    </xf>
    <xf numFmtId="164" fontId="150" fillId="12" borderId="0" xfId="0" applyFont="1" applyFill="1" applyAlignment="1">
      <alignment horizontal="center" wrapText="1"/>
    </xf>
    <xf numFmtId="164" fontId="134" fillId="9" borderId="0" xfId="0" applyNumberFormat="1" applyFont="1" applyFill="1" applyBorder="1" applyAlignment="1" applyProtection="1">
      <alignment vertical="center" wrapText="1"/>
    </xf>
    <xf numFmtId="0" fontId="139" fillId="7" borderId="0" xfId="0" applyNumberFormat="1" applyFont="1" applyFill="1" applyBorder="1" applyAlignment="1" applyProtection="1">
      <alignment horizontal="left" vertical="center" wrapText="1"/>
    </xf>
    <xf numFmtId="166" fontId="133" fillId="2" borderId="0" xfId="0" applyNumberFormat="1" applyFont="1" applyFill="1" applyBorder="1" applyAlignment="1">
      <alignment horizontal="right"/>
    </xf>
    <xf numFmtId="166" fontId="133" fillId="2" borderId="67" xfId="0" applyNumberFormat="1" applyFont="1" applyFill="1" applyBorder="1" applyAlignment="1">
      <alignment horizontal="right"/>
    </xf>
    <xf numFmtId="164" fontId="66" fillId="2" borderId="0" xfId="0" applyNumberFormat="1" applyFont="1" applyFill="1" applyBorder="1" applyAlignment="1" applyProtection="1">
      <alignment horizontal="left" vertical="center" wrapText="1" indent="4"/>
    </xf>
    <xf numFmtId="164" fontId="66" fillId="2" borderId="0" xfId="0" quotePrefix="1" applyNumberFormat="1" applyFont="1" applyFill="1" applyBorder="1" applyAlignment="1" applyProtection="1">
      <alignment horizontal="left" vertical="center" wrapText="1" indent="4"/>
    </xf>
    <xf numFmtId="164" fontId="57" fillId="2" borderId="0" xfId="0" applyFont="1" applyFill="1" applyAlignment="1" applyProtection="1">
      <alignment vertical="center"/>
    </xf>
    <xf numFmtId="0" fontId="90" fillId="7" borderId="0" xfId="1" applyFont="1" applyFill="1" applyBorder="1" applyAlignment="1" applyProtection="1">
      <alignment horizontal="left" vertical="center" indent="1"/>
    </xf>
    <xf numFmtId="169" fontId="30" fillId="17" borderId="0" xfId="0" applyNumberFormat="1" applyFont="1" applyFill="1" applyBorder="1" applyAlignment="1" applyProtection="1">
      <alignment horizontal="center" wrapText="1"/>
    </xf>
    <xf numFmtId="0" fontId="78" fillId="0" borderId="23" xfId="0" applyNumberFormat="1" applyFont="1" applyBorder="1" applyAlignment="1">
      <alignment horizontal="center" vertical="center"/>
    </xf>
    <xf numFmtId="164" fontId="60" fillId="0" borderId="23" xfId="0" applyFont="1" applyBorder="1" applyAlignment="1">
      <alignment horizontal="right" vertical="center"/>
    </xf>
    <xf numFmtId="164" fontId="60" fillId="0" borderId="49" xfId="0" applyFont="1" applyBorder="1" applyAlignment="1">
      <alignment horizontal="right" vertical="center"/>
    </xf>
    <xf numFmtId="164" fontId="31" fillId="7" borderId="0" xfId="0" applyNumberFormat="1" applyFont="1" applyFill="1" applyBorder="1" applyAlignment="1" applyProtection="1">
      <alignment horizontal="left"/>
    </xf>
    <xf numFmtId="0" fontId="31" fillId="7" borderId="0" xfId="0" applyNumberFormat="1" applyFont="1" applyFill="1" applyBorder="1" applyAlignment="1" applyProtection="1">
      <alignment horizontal="left"/>
    </xf>
    <xf numFmtId="167" fontId="31" fillId="7" borderId="0" xfId="0" applyNumberFormat="1" applyFont="1" applyFill="1" applyBorder="1" applyAlignment="1" applyProtection="1">
      <alignment horizontal="left"/>
    </xf>
    <xf numFmtId="164" fontId="131" fillId="9" borderId="100" xfId="0" applyFont="1" applyFill="1" applyBorder="1" applyAlignment="1">
      <alignment horizontal="center" wrapText="1"/>
    </xf>
    <xf numFmtId="164" fontId="131" fillId="9" borderId="101" xfId="0" applyFont="1" applyFill="1" applyBorder="1" applyAlignment="1">
      <alignment horizontal="center" wrapText="1"/>
    </xf>
    <xf numFmtId="164" fontId="31" fillId="7" borderId="0" xfId="0" applyNumberFormat="1" applyFont="1" applyFill="1" applyBorder="1" applyAlignment="1" applyProtection="1"/>
    <xf numFmtId="1" fontId="31" fillId="7" borderId="0" xfId="0" applyNumberFormat="1" applyFont="1" applyFill="1" applyBorder="1" applyAlignment="1" applyProtection="1">
      <alignment horizontal="left" wrapText="1"/>
    </xf>
    <xf numFmtId="167" fontId="91" fillId="0" borderId="4" xfId="0" applyNumberFormat="1" applyFont="1" applyBorder="1" applyAlignment="1" applyProtection="1">
      <alignment horizontal="right" vertical="center" wrapText="1"/>
    </xf>
    <xf numFmtId="167" fontId="91" fillId="0" borderId="0" xfId="0" applyNumberFormat="1" applyFont="1" applyBorder="1" applyAlignment="1" applyProtection="1">
      <alignment horizontal="right" vertical="center" wrapText="1"/>
    </xf>
    <xf numFmtId="167" fontId="91" fillId="0" borderId="10" xfId="0" applyNumberFormat="1" applyFont="1" applyBorder="1" applyAlignment="1" applyProtection="1">
      <alignment horizontal="right" vertical="center" wrapText="1"/>
    </xf>
    <xf numFmtId="164" fontId="133" fillId="0" borderId="0" xfId="0" applyFont="1" applyBorder="1" applyAlignment="1">
      <alignment horizontal="right" vertical="center"/>
    </xf>
    <xf numFmtId="164" fontId="133" fillId="0" borderId="10" xfId="0" applyFont="1" applyBorder="1" applyAlignment="1">
      <alignment horizontal="right" vertical="center"/>
    </xf>
    <xf numFmtId="0" fontId="133" fillId="2" borderId="0" xfId="0" applyNumberFormat="1" applyFont="1" applyFill="1" applyBorder="1" applyAlignment="1" applyProtection="1">
      <alignment horizontal="right" vertical="center" wrapText="1"/>
    </xf>
    <xf numFmtId="0" fontId="133" fillId="2" borderId="10" xfId="0" applyNumberFormat="1" applyFont="1" applyFill="1" applyBorder="1" applyAlignment="1" applyProtection="1">
      <alignment horizontal="right" vertical="center" wrapText="1"/>
    </xf>
    <xf numFmtId="164" fontId="0" fillId="0" borderId="0" xfId="0"/>
    <xf numFmtId="164" fontId="0" fillId="0" borderId="10" xfId="0" applyBorder="1"/>
    <xf numFmtId="164" fontId="131" fillId="9" borderId="0" xfId="0" applyFont="1" applyFill="1" applyBorder="1" applyAlignment="1">
      <alignment horizontal="center" wrapText="1"/>
    </xf>
    <xf numFmtId="164" fontId="131" fillId="9" borderId="88" xfId="0" applyFont="1" applyFill="1" applyBorder="1" applyAlignment="1">
      <alignment horizontal="center" wrapText="1"/>
    </xf>
    <xf numFmtId="164" fontId="143" fillId="9" borderId="92" xfId="0" applyFont="1" applyFill="1" applyBorder="1" applyAlignment="1">
      <alignment horizontal="center" vertical="center" wrapText="1"/>
    </xf>
    <xf numFmtId="164" fontId="143" fillId="9" borderId="93" xfId="0" applyFont="1" applyFill="1" applyBorder="1" applyAlignment="1">
      <alignment horizontal="center" vertical="center" wrapText="1"/>
    </xf>
    <xf numFmtId="0" fontId="87" fillId="2" borderId="0" xfId="1" applyNumberFormat="1" applyFont="1" applyFill="1" applyBorder="1" applyAlignment="1" applyProtection="1">
      <alignment wrapText="1"/>
    </xf>
    <xf numFmtId="0" fontId="148" fillId="0" borderId="4" xfId="0" applyNumberFormat="1" applyFont="1" applyFill="1" applyBorder="1" applyAlignment="1" applyProtection="1">
      <alignment horizontal="right" vertical="center" wrapText="1"/>
    </xf>
    <xf numFmtId="0" fontId="148" fillId="0" borderId="77" xfId="0" applyNumberFormat="1" applyFont="1" applyFill="1" applyBorder="1" applyAlignment="1" applyProtection="1">
      <alignment horizontal="right" vertical="center" wrapText="1"/>
    </xf>
    <xf numFmtId="164" fontId="131" fillId="0" borderId="52" xfId="0" applyFont="1" applyBorder="1" applyAlignment="1">
      <alignment horizontal="center" wrapText="1"/>
    </xf>
    <xf numFmtId="164" fontId="131" fillId="0" borderId="47" xfId="0" applyFont="1" applyBorder="1" applyAlignment="1">
      <alignment horizontal="center" wrapText="1"/>
    </xf>
    <xf numFmtId="164" fontId="158" fillId="2" borderId="94" xfId="0" applyFont="1" applyFill="1" applyBorder="1" applyAlignment="1">
      <alignment horizontal="left"/>
    </xf>
    <xf numFmtId="164" fontId="25" fillId="2" borderId="0" xfId="0" applyFont="1" applyFill="1" applyAlignment="1">
      <alignment horizontal="left"/>
    </xf>
    <xf numFmtId="164" fontId="25" fillId="2" borderId="0" xfId="0" applyFont="1" applyFill="1" applyAlignment="1">
      <alignment horizontal="left" wrapText="1"/>
    </xf>
    <xf numFmtId="164" fontId="128" fillId="2" borderId="0" xfId="0" applyFont="1" applyFill="1" applyAlignment="1">
      <alignment horizontal="left" wrapText="1" indent="2"/>
    </xf>
    <xf numFmtId="164" fontId="0" fillId="2" borderId="0" xfId="0" applyFill="1" applyAlignment="1">
      <alignment horizontal="center" vertical="top"/>
    </xf>
    <xf numFmtId="164" fontId="0" fillId="2" borderId="95" xfId="0" applyFill="1" applyBorder="1" applyAlignment="1">
      <alignment horizontal="center" vertical="top"/>
    </xf>
    <xf numFmtId="172" fontId="110" fillId="0" borderId="0" xfId="0" applyNumberFormat="1" applyFont="1" applyBorder="1" applyAlignment="1">
      <alignment horizontal="left"/>
    </xf>
    <xf numFmtId="164" fontId="111" fillId="2" borderId="0" xfId="0" applyFont="1" applyFill="1" applyBorder="1" applyAlignment="1">
      <alignment horizontal="left"/>
    </xf>
    <xf numFmtId="164" fontId="105" fillId="2" borderId="0" xfId="0" applyFont="1" applyFill="1" applyAlignment="1">
      <alignment horizontal="right"/>
    </xf>
    <xf numFmtId="164" fontId="105" fillId="2" borderId="28" xfId="0" applyFont="1" applyFill="1" applyBorder="1" applyAlignment="1">
      <alignment horizontal="right"/>
    </xf>
    <xf numFmtId="164" fontId="92" fillId="2" borderId="0" xfId="0" applyFont="1" applyFill="1" applyBorder="1" applyAlignment="1">
      <alignment horizontal="center"/>
    </xf>
    <xf numFmtId="164" fontId="113" fillId="2" borderId="0" xfId="0" applyFont="1" applyFill="1" applyBorder="1" applyAlignment="1">
      <alignment horizontal="center" vertical="center"/>
    </xf>
    <xf numFmtId="167" fontId="92" fillId="2" borderId="0" xfId="0" applyNumberFormat="1" applyFont="1" applyFill="1" applyBorder="1" applyAlignment="1">
      <alignment horizontal="center" vertical="top"/>
    </xf>
    <xf numFmtId="164" fontId="0" fillId="2" borderId="0" xfId="0" applyFill="1" applyAlignment="1">
      <alignment horizontal="center"/>
    </xf>
    <xf numFmtId="164" fontId="55" fillId="38" borderId="61" xfId="0" applyFont="1" applyFill="1" applyBorder="1" applyAlignment="1">
      <alignment horizontal="center" vertical="center"/>
    </xf>
    <xf numFmtId="164" fontId="55" fillId="38" borderId="62" xfId="0" applyFont="1" applyFill="1" applyBorder="1" applyAlignment="1">
      <alignment horizontal="center" vertical="center"/>
    </xf>
    <xf numFmtId="164" fontId="69" fillId="25" borderId="0" xfId="0" applyFont="1" applyFill="1" applyAlignment="1">
      <alignment horizontal="left" vertical="center" wrapText="1" indent="1"/>
    </xf>
    <xf numFmtId="164" fontId="111" fillId="2" borderId="0" xfId="0" applyFont="1" applyFill="1" applyBorder="1" applyAlignment="1">
      <alignment horizontal="left" wrapText="1"/>
    </xf>
    <xf numFmtId="164" fontId="111" fillId="2" borderId="56" xfId="0" applyFont="1" applyFill="1" applyBorder="1" applyAlignment="1">
      <alignment horizontal="left" wrapText="1"/>
    </xf>
    <xf numFmtId="164" fontId="92" fillId="2" borderId="21" xfId="0" applyFont="1" applyFill="1" applyBorder="1" applyAlignment="1">
      <alignment horizontal="center"/>
    </xf>
    <xf numFmtId="164" fontId="135" fillId="2" borderId="0" xfId="0" applyFont="1" applyFill="1" applyAlignment="1">
      <alignment horizontal="left" vertical="top"/>
    </xf>
    <xf numFmtId="0" fontId="7" fillId="9" borderId="0" xfId="0" applyNumberFormat="1" applyFont="1" applyFill="1" applyAlignment="1">
      <alignment horizontal="left" vertical="top" wrapText="1"/>
    </xf>
    <xf numFmtId="164" fontId="58" fillId="9" borderId="0" xfId="0" applyFont="1" applyFill="1" applyAlignment="1">
      <alignment horizontal="left" vertical="top" wrapText="1" indent="1"/>
    </xf>
    <xf numFmtId="0" fontId="0" fillId="0" borderId="0" xfId="0" applyNumberFormat="1" applyAlignment="1">
      <alignment horizontal="left" vertical="top" wrapText="1" indent="5"/>
    </xf>
    <xf numFmtId="164" fontId="0" fillId="2" borderId="0" xfId="0" applyFill="1" applyAlignment="1">
      <alignment horizontal="right" indent="1"/>
    </xf>
    <xf numFmtId="164" fontId="119" fillId="2" borderId="31" xfId="0" applyFont="1" applyFill="1" applyBorder="1" applyAlignment="1">
      <alignment horizontal="left" indent="1"/>
    </xf>
    <xf numFmtId="164" fontId="119" fillId="2" borderId="31" xfId="0" applyFont="1" applyFill="1" applyBorder="1" applyAlignment="1">
      <alignment horizontal="left" vertical="top" indent="1"/>
    </xf>
    <xf numFmtId="164" fontId="116" fillId="2" borderId="0" xfId="0" applyFont="1" applyFill="1" applyAlignment="1">
      <alignment horizontal="right" wrapText="1"/>
    </xf>
    <xf numFmtId="164" fontId="128" fillId="0" borderId="0" xfId="0" applyFont="1" applyAlignment="1">
      <alignment horizontal="left" wrapText="1"/>
    </xf>
    <xf numFmtId="164" fontId="128" fillId="0" borderId="0" xfId="0" applyFont="1" applyAlignment="1">
      <alignment horizontal="left" vertical="top" wrapText="1"/>
    </xf>
    <xf numFmtId="0" fontId="66" fillId="2" borderId="0" xfId="0" applyNumberFormat="1" applyFont="1" applyFill="1" applyBorder="1" applyAlignment="1" applyProtection="1">
      <alignment horizontal="left" vertical="center" wrapText="1" indent="4"/>
    </xf>
    <xf numFmtId="0" fontId="66" fillId="2" borderId="0" xfId="1" applyNumberFormat="1" applyFont="1" applyFill="1" applyBorder="1" applyAlignment="1" applyProtection="1">
      <alignment horizontal="left" vertical="center" wrapText="1" indent="4"/>
    </xf>
    <xf numFmtId="0" fontId="73" fillId="2" borderId="0" xfId="0" applyNumberFormat="1" applyFont="1" applyFill="1" applyBorder="1" applyAlignment="1" applyProtection="1">
      <alignment horizontal="left" wrapText="1" indent="1"/>
    </xf>
    <xf numFmtId="167" fontId="73" fillId="0" borderId="0" xfId="0" applyNumberFormat="1" applyFont="1" applyBorder="1" applyAlignment="1" applyProtection="1">
      <alignment horizontal="left" vertical="center" wrapText="1" indent="1"/>
    </xf>
    <xf numFmtId="0" fontId="73" fillId="2" borderId="0" xfId="0" applyNumberFormat="1" applyFont="1" applyFill="1" applyBorder="1" applyAlignment="1" applyProtection="1">
      <alignment horizontal="left" vertical="center" wrapText="1" indent="1"/>
    </xf>
    <xf numFmtId="164" fontId="73" fillId="0" borderId="0" xfId="0" applyFont="1" applyAlignment="1" applyProtection="1">
      <alignment horizontal="left" vertical="center" indent="1"/>
    </xf>
    <xf numFmtId="166" fontId="66" fillId="2" borderId="0" xfId="0" applyNumberFormat="1" applyFont="1" applyFill="1" applyBorder="1" applyAlignment="1" applyProtection="1">
      <protection locked="0"/>
    </xf>
    <xf numFmtId="0" fontId="66" fillId="2" borderId="0" xfId="1" applyNumberFormat="1" applyFont="1" applyFill="1" applyBorder="1" applyAlignment="1" applyProtection="1">
      <alignment horizontal="center" vertical="center"/>
      <protection locked="0"/>
    </xf>
    <xf numFmtId="166" fontId="66" fillId="2" borderId="102" xfId="0" applyNumberFormat="1" applyFont="1" applyFill="1" applyBorder="1" applyAlignment="1" applyProtection="1">
      <protection locked="0"/>
    </xf>
    <xf numFmtId="164" fontId="0" fillId="0" borderId="103" xfId="0" applyBorder="1"/>
    <xf numFmtId="0" fontId="94" fillId="0" borderId="103" xfId="0" applyNumberFormat="1" applyFont="1" applyBorder="1" applyAlignment="1" applyProtection="1">
      <alignment horizontal="left" vertical="center" wrapText="1"/>
    </xf>
    <xf numFmtId="164" fontId="75" fillId="0" borderId="103" xfId="0" applyFont="1" applyBorder="1" applyAlignment="1" applyProtection="1"/>
    <xf numFmtId="0" fontId="0" fillId="0" borderId="103" xfId="0" applyNumberFormat="1" applyBorder="1"/>
    <xf numFmtId="0" fontId="0" fillId="0" borderId="104" xfId="0" applyNumberFormat="1" applyBorder="1"/>
    <xf numFmtId="164" fontId="66" fillId="0" borderId="0" xfId="0" quotePrefix="1" applyFont="1" applyAlignment="1" applyProtection="1">
      <alignment horizontal="left" vertical="center" indent="3"/>
    </xf>
    <xf numFmtId="167" fontId="73" fillId="0" borderId="0" xfId="0" applyNumberFormat="1" applyFont="1" applyBorder="1" applyAlignment="1" applyProtection="1">
      <alignment horizontal="left" vertical="center" wrapText="1"/>
    </xf>
    <xf numFmtId="164" fontId="73" fillId="0" borderId="0" xfId="0" applyFont="1" applyAlignment="1" applyProtection="1">
      <alignment horizontal="left" vertical="center" indent="14"/>
    </xf>
    <xf numFmtId="166" fontId="73" fillId="2" borderId="2" xfId="0" applyNumberFormat="1" applyFont="1" applyFill="1" applyBorder="1" applyAlignment="1" applyProtection="1">
      <protection locked="0"/>
    </xf>
    <xf numFmtId="164" fontId="73" fillId="0" borderId="0" xfId="0" quotePrefix="1" applyFont="1" applyAlignment="1">
      <alignment horizontal="left" vertical="center" indent="1"/>
    </xf>
    <xf numFmtId="166" fontId="66" fillId="5" borderId="105" xfId="0" applyNumberFormat="1" applyFont="1" applyFill="1" applyBorder="1" applyAlignment="1" applyProtection="1">
      <alignment horizontal="right"/>
      <protection locked="0"/>
    </xf>
    <xf numFmtId="166" fontId="66" fillId="5" borderId="54" xfId="0" applyNumberFormat="1" applyFont="1" applyFill="1" applyBorder="1" applyAlignment="1" applyProtection="1">
      <alignment horizontal="right"/>
      <protection locked="0"/>
    </xf>
    <xf numFmtId="166" fontId="66" fillId="5" borderId="106" xfId="0" applyNumberFormat="1" applyFont="1" applyFill="1" applyBorder="1" applyAlignment="1" applyProtection="1">
      <alignment horizontal="right"/>
      <protection locked="0"/>
    </xf>
    <xf numFmtId="166" fontId="66" fillId="5" borderId="35" xfId="0" applyNumberFormat="1" applyFont="1" applyFill="1" applyBorder="1" applyAlignment="1" applyProtection="1">
      <alignment horizontal="right"/>
      <protection locked="0"/>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213">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font>
      <fill>
        <patternFill patternType="lightDown">
          <fgColor theme="2" tint="-0.499984740745262"/>
          <bgColor theme="0" tint="-4.9989318521683403E-2"/>
        </patternFill>
      </fill>
    </dxf>
    <dxf>
      <font>
        <strike val="0"/>
        <color theme="0" tint="-0.24994659260841701"/>
      </font>
    </dxf>
    <dxf>
      <font>
        <b/>
        <i val="0"/>
      </font>
      <fill>
        <patternFill patternType="lightDown">
          <fgColor theme="2" tint="-0.499984740745262"/>
          <bgColor theme="0" tint="-4.9989318521683403E-2"/>
        </patternFill>
      </fill>
    </dxf>
    <dxf>
      <font>
        <b/>
        <i val="0"/>
      </font>
      <fill>
        <patternFill patternType="lightDown">
          <fgColor theme="2" tint="-0.499984740745262"/>
          <bgColor theme="0" tint="-4.9989318521683403E-2"/>
        </patternFill>
      </fill>
    </dxf>
    <dxf>
      <font>
        <strike val="0"/>
        <color theme="0" tint="-0.24994659260841701"/>
      </font>
    </dxf>
    <dxf>
      <font>
        <b/>
        <i val="0"/>
      </font>
      <fill>
        <patternFill patternType="lightDown">
          <fgColor theme="2" tint="-0.499984740745262"/>
          <bgColor theme="0" tint="-4.9989318521683403E-2"/>
        </patternFill>
      </fill>
    </dxf>
    <dxf>
      <font>
        <b/>
        <i val="0"/>
      </font>
      <fill>
        <patternFill patternType="lightDown">
          <fgColor theme="2" tint="-0.499984740745262"/>
          <bgColor theme="0" tint="-4.9989318521683403E-2"/>
        </patternFill>
      </fill>
    </dxf>
    <dxf>
      <font>
        <strike val="0"/>
        <color theme="0" tint="-0.24994659260841701"/>
      </font>
    </dxf>
    <dxf>
      <font>
        <b/>
        <i val="0"/>
      </font>
      <fill>
        <patternFill patternType="lightDown">
          <fgColor theme="2" tint="-0.499984740745262"/>
          <bgColor theme="0" tint="-4.9989318521683403E-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b/>
        <i val="0"/>
        <strike val="0"/>
        <color rgb="FFC00000"/>
      </font>
    </dxf>
    <dxf>
      <font>
        <b/>
        <i val="0"/>
      </font>
      <fill>
        <patternFill patternType="lightDown">
          <fgColor theme="2" tint="-0.499984740745262"/>
          <bgColor theme="0" tint="-4.9989318521683403E-2"/>
        </patternFill>
      </fill>
    </dxf>
    <dxf>
      <font>
        <b/>
        <i val="0"/>
        <strike val="0"/>
        <color rgb="FFC00000"/>
      </font>
    </dxf>
    <dxf>
      <font>
        <b/>
        <i val="0"/>
        <strike val="0"/>
        <color theme="0"/>
      </font>
      <fill>
        <patternFill>
          <bgColor rgb="FFCC0000"/>
        </patternFill>
      </fill>
    </dxf>
    <dxf>
      <font>
        <b/>
        <i val="0"/>
      </font>
      <fill>
        <patternFill patternType="lightDown">
          <fgColor theme="2" tint="-0.499984740745262"/>
          <bgColor theme="0" tint="-4.9989318521683403E-2"/>
        </patternFill>
      </fill>
    </dxf>
    <dxf>
      <font>
        <b/>
        <i val="0"/>
      </font>
      <fill>
        <patternFill patternType="lightDown">
          <fgColor theme="2" tint="-0.499984740745262"/>
          <bgColor theme="0" tint="-4.9989318521683403E-2"/>
        </patternFill>
      </fill>
    </dxf>
    <dxf>
      <font>
        <color rgb="FFC00000"/>
      </font>
    </dxf>
    <dxf>
      <font>
        <b/>
        <i val="0"/>
        <color rgb="FFC00000"/>
      </font>
    </dxf>
    <dxf>
      <font>
        <strike val="0"/>
        <color theme="0" tint="-0.24994659260841701"/>
      </font>
    </dxf>
    <dxf>
      <font>
        <b/>
        <i val="0"/>
      </font>
      <fill>
        <patternFill patternType="lightDown">
          <fgColor theme="2" tint="-0.499984740745262"/>
          <bgColor theme="0" tint="-4.9989318521683403E-2"/>
        </patternFill>
      </fill>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ont>
        <b/>
        <i val="0"/>
      </font>
      <fill>
        <patternFill patternType="lightDown">
          <fgColor theme="2" tint="-0.499984740745262"/>
          <bgColor theme="0" tint="-4.9989318521683403E-2"/>
        </patternFill>
      </fill>
    </dxf>
    <dxf>
      <font>
        <b/>
        <i val="0"/>
        <strike val="0"/>
        <color theme="0"/>
      </font>
      <fill>
        <patternFill>
          <bgColor rgb="FFCC0000"/>
        </patternFill>
      </fill>
    </dxf>
    <dxf>
      <font>
        <strike val="0"/>
        <color theme="0" tint="-0.24994659260841701"/>
      </font>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12"/>
    </tableStyle>
    <tableStyle name="Table Style 2" pivot="0" count="1">
      <tableStyleElement type="wholeTable" dxfId="211"/>
    </tableStyle>
    <tableStyle name="TableStyleMedium9 2" pivot="0" count="7">
      <tableStyleElement type="wholeTable" dxfId="210"/>
      <tableStyleElement type="headerRow" dxfId="209"/>
      <tableStyleElement type="totalRow" dxfId="208"/>
      <tableStyleElement type="firstColumn" dxfId="207"/>
      <tableStyleElement type="lastColumn" dxfId="206"/>
      <tableStyleElement type="firstRowStripe" dxfId="205"/>
      <tableStyleElement type="firstColumnStripe" dxfId="204"/>
    </tableStyle>
    <tableStyle name="TableStyleMedium9 3" pivot="0" count="7">
      <tableStyleElement type="wholeTable" dxfId="203"/>
      <tableStyleElement type="headerRow" dxfId="202"/>
      <tableStyleElement type="totalRow" dxfId="201"/>
      <tableStyleElement type="firstColumn" dxfId="200"/>
      <tableStyleElement type="lastColumn" dxfId="199"/>
      <tableStyleElement type="firstRowStripe" dxfId="198"/>
      <tableStyleElement type="firstColumnStripe" dxfId="197"/>
    </tableStyle>
    <tableStyle name="TimeTable" pivot="0" count="1">
      <tableStyleElement type="wholeTable" dxfId="196"/>
    </tableStyle>
  </tableStyles>
  <colors>
    <mruColors>
      <color rgb="FFFF9900"/>
      <color rgb="FF993300"/>
      <color rgb="FF09FF78"/>
      <color rgb="FF3BABFF"/>
      <color rgb="FF008272"/>
      <color rgb="FFCC6600"/>
      <color rgb="FFFF9933"/>
      <color rgb="FFF3D6AF"/>
      <color rgb="FFFFFFCC"/>
      <color rgb="FF253C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2864595</xdr:colOff>
      <xdr:row>1</xdr:row>
      <xdr:rowOff>48770</xdr:rowOff>
    </xdr:from>
    <xdr:to>
      <xdr:col>1</xdr:col>
      <xdr:colOff>3638552</xdr:colOff>
      <xdr:row>2</xdr:row>
      <xdr:rowOff>128428</xdr:rowOff>
    </xdr:to>
    <xdr:sp macro="" textlink="" fLocksText="0">
      <xdr:nvSpPr>
        <xdr:cNvPr id="2" name="Line Callout 1 1"/>
        <xdr:cNvSpPr/>
      </xdr:nvSpPr>
      <xdr:spPr>
        <a:xfrm>
          <a:off x="2978895" y="334520"/>
          <a:ext cx="774263" cy="251108"/>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ntentmanagement/login.asp" TargetMode="External"/><Relationship Id="rId18" Type="http://schemas.openxmlformats.org/officeDocument/2006/relationships/hyperlink" Target="file:///\\DEQHQ1\Rule_Resources\i\AD.LEGAL.docx" TargetMode="External"/><Relationship Id="rId26" Type="http://schemas.openxmlformats.org/officeDocument/2006/relationships/hyperlink" Target="http://deq05/intranet/contentmanagement/login.asp" TargetMode="External"/><Relationship Id="rId39" Type="http://schemas.openxmlformats.org/officeDocument/2006/relationships/hyperlink" Target="http://arcweb.sos.state.or.us/pages/rules/oars_300/oar_340/340_tofc.html" TargetMode="External"/><Relationship Id="rId21" Type="http://schemas.openxmlformats.org/officeDocument/2006/relationships/hyperlink" Target="file:///\\deqhq1\Rule_Development\Currrent%20Plan"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MorganRider@gmail.com" TargetMode="External"/><Relationship Id="rId47" Type="http://schemas.openxmlformats.org/officeDocument/2006/relationships/hyperlink" Target="mailto:MorganRider@gmail.com" TargetMode="External"/><Relationship Id="rId50" Type="http://schemas.openxmlformats.org/officeDocument/2006/relationships/hyperlink" Target="mailto:Comment-CodeName@deq.state.or.us" TargetMode="External"/><Relationship Id="rId55" Type="http://schemas.openxmlformats.org/officeDocument/2006/relationships/hyperlink" Target="http://deq05/intranet/contentmanagement/login.asp" TargetMode="External"/><Relationship Id="rId63" Type="http://schemas.openxmlformats.org/officeDocument/2006/relationships/hyperlink" Target="mailto:cjohnson@eou.edu" TargetMode="External"/><Relationship Id="rId68" Type="http://schemas.openxmlformats.org/officeDocument/2006/relationships/printerSettings" Target="../printerSettings/printerSettings1.bin"/><Relationship Id="rId7" Type="http://schemas.openxmlformats.org/officeDocument/2006/relationships/hyperlink" Target="http://arcweb.sos.state.or.us/pages/rules/oars_300/oar_340/340_tofc.html" TargetMode="External"/><Relationship Id="rId2" Type="http://schemas.openxmlformats.org/officeDocument/2006/relationships/hyperlink" Target="http://deq05/intranet/communication/index.htm" TargetMode="External"/><Relationship Id="rId16" Type="http://schemas.openxmlformats.org/officeDocument/2006/relationships/hyperlink" Target="http://cms.oregon.gov/DEQ/EQC/pages/index.aspx" TargetMode="External"/><Relationship Id="rId29" Type="http://schemas.openxmlformats.org/officeDocument/2006/relationships/hyperlink" Target="http://deq05/intranet/communication/docs/DEQAgencyTemplate1.potx" TargetMode="External"/><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 Id="rId11" Type="http://schemas.openxmlformats.org/officeDocument/2006/relationships/hyperlink" Target="http://deq05/intranet/communication/WebRequests.htm"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WebRequests.htm"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mailto:JoKRanch@hotmail.com" TargetMode="External"/><Relationship Id="rId45" Type="http://schemas.openxmlformats.org/officeDocument/2006/relationships/hyperlink" Target="mailto:JoKRanch@hotmail.com"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mailto:MEden@neea.org" TargetMode="External"/><Relationship Id="rId66" Type="http://schemas.openxmlformats.org/officeDocument/2006/relationships/hyperlink" Target="http://www.oregon.gov/deq/RulesandRegulations/Pages/proposedrule.aspx"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mmunication/publicinvolvement/index.htm" TargetMode="External"/><Relationship Id="rId23" Type="http://schemas.openxmlformats.org/officeDocument/2006/relationships/hyperlink" Target="file:///\\deq000\templates\General\Agenda%20Template.dotx"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file:///\\deq000\templates\General\Minutes%20Template.dotx" TargetMode="External"/><Relationship Id="rId49" Type="http://schemas.openxmlformats.org/officeDocument/2006/relationships/hyperlink" Target="mailto:Comment-CodeName@deq.state,or,us" TargetMode="External"/><Relationship Id="rId57" Type="http://schemas.openxmlformats.org/officeDocument/2006/relationships/hyperlink" Target="http://arcweb.sos.state.or.us/pages/rules/oars_300/oar_340/340_018.html" TargetMode="External"/><Relationship Id="rId61" Type="http://schemas.openxmlformats.org/officeDocument/2006/relationships/hyperlink" Target="mailto:EdArmstrong2@gmail.com" TargetMode="External"/><Relationship Id="rId10" Type="http://schemas.openxmlformats.org/officeDocument/2006/relationships/hyperlink" Target="http://deq05/intranet/communication/publicinvolvement/signs.htm" TargetMode="External"/><Relationship Id="rId19" Type="http://schemas.openxmlformats.org/officeDocument/2006/relationships/hyperlink" Target="mailto:RulePublicatons@deq.state.or.us"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http://deq05/intranet/communication/publicinvolvement/index.htm" TargetMode="External"/><Relationship Id="rId52" Type="http://schemas.openxmlformats.org/officeDocument/2006/relationships/hyperlink" Target="file:///\\deq000\templates\General\Minutes%20Template.dotx" TargetMode="External"/><Relationship Id="rId60" Type="http://schemas.openxmlformats.org/officeDocument/2006/relationships/hyperlink" Target="mailto:JoKRanch@hotmail.com" TargetMode="External"/><Relationship Id="rId65" Type="http://schemas.openxmlformats.org/officeDocument/2006/relationships/hyperlink" Target="mailto:RulePublication@deq.state.or.us" TargetMode="Externa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www.lc.state.or.us/arrs.htm" TargetMode="External"/><Relationship Id="rId14" Type="http://schemas.openxmlformats.org/officeDocument/2006/relationships/hyperlink" Target="file:///\\DEQHQ1\Rule_Resources\i\AUTO.REPLY.CommentBox.docx" TargetMode="External"/><Relationship Id="rId22" Type="http://schemas.openxmlformats.org/officeDocument/2006/relationships/hyperlink" Target="file:///\\deq000\templates\General\Agenda%20Template.dotx" TargetMode="External"/><Relationship Id="rId27" Type="http://schemas.openxmlformats.org/officeDocument/2006/relationships/hyperlink" Target="http://deq05/intranet/contentmanagement/login.asp" TargetMode="External"/><Relationship Id="rId30" Type="http://schemas.openxmlformats.org/officeDocument/2006/relationships/hyperlink" Target="http://deq05/intranet/communication/docs/DEQAgencyTemplate1.potx" TargetMode="External"/><Relationship Id="rId35" Type="http://schemas.openxmlformats.org/officeDocument/2006/relationships/hyperlink" Target="file:///\\deq000\templates\General\Minutes%20Template.dotx" TargetMode="External"/><Relationship Id="rId43" Type="http://schemas.openxmlformats.org/officeDocument/2006/relationships/hyperlink" Target="mailto:cjohnson@eou.edu" TargetMode="External"/><Relationship Id="rId48" Type="http://schemas.openxmlformats.org/officeDocument/2006/relationships/hyperlink" Target="mailto:cjohnson@eou.edu" TargetMode="External"/><Relationship Id="rId56" Type="http://schemas.openxmlformats.org/officeDocument/2006/relationships/hyperlink" Target="file:///\\deq000\templates\General\Agenda%20Template.dotx" TargetMode="External"/><Relationship Id="rId64" Type="http://schemas.openxmlformats.org/officeDocument/2006/relationships/hyperlink" Target="mailto:MEden@neea.org" TargetMode="External"/><Relationship Id="rId69" Type="http://schemas.openxmlformats.org/officeDocument/2006/relationships/drawing" Target="../drawings/drawing1.xml"/><Relationship Id="rId8" Type="http://schemas.openxmlformats.org/officeDocument/2006/relationships/hyperlink" Target="http://arcweb.sos.state.or.us/pages/rules/resources/fileonline.html" TargetMode="External"/><Relationship Id="rId51" Type="http://schemas.openxmlformats.org/officeDocument/2006/relationships/hyperlink" Target="mailto:MEden@neea.org" TargetMode="Externa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WebRequests.htm" TargetMode="External"/><Relationship Id="rId17" Type="http://schemas.openxmlformats.org/officeDocument/2006/relationships/hyperlink" Target="file:///\\DEQHQ1\Rule_Resources\0.IndividualRulemaking\1-Planning\Microsoft\Windows\Temporary%20Internet%20Files\AppData\Local\Microsoft\Windows\groups\eqc\docs\EQCDeadlines.docx"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WebRequests.htm" TargetMode="External"/><Relationship Id="rId38" Type="http://schemas.openxmlformats.org/officeDocument/2006/relationships/hyperlink" Target="http://arcweb.sos.state.or.us/pages/rules/oars_300/oar_340/340_tofc.html" TargetMode="External"/><Relationship Id="rId46" Type="http://schemas.openxmlformats.org/officeDocument/2006/relationships/hyperlink" Target="mailto:EdArmstrong2@gmail.com" TargetMode="External"/><Relationship Id="rId59" Type="http://schemas.openxmlformats.org/officeDocument/2006/relationships/hyperlink" Target="mailto:Comment-CodeName@deq.state,or,us" TargetMode="External"/><Relationship Id="rId67" Type="http://schemas.openxmlformats.org/officeDocument/2006/relationships/hyperlink" Target="../../../i/Q-Cards/PDF/4-SetOutlookAutoReply.pdf" TargetMode="External"/><Relationship Id="rId20" Type="http://schemas.openxmlformats.org/officeDocument/2006/relationships/hyperlink" Target="https://www.oregonlegislature.gov/bills_laws/lawsstatutes/2011ors192.html" TargetMode="External"/><Relationship Id="rId41" Type="http://schemas.openxmlformats.org/officeDocument/2006/relationships/hyperlink" Target="mailto:EdArmstrong2@gmail.com" TargetMode="External"/><Relationship Id="rId54" Type="http://schemas.openxmlformats.org/officeDocument/2006/relationships/hyperlink" Target="http://deq05/intranet/communication/docs/DEQAgencyTemplate1.potx" TargetMode="External"/><Relationship Id="rId62" Type="http://schemas.openxmlformats.org/officeDocument/2006/relationships/hyperlink" Target="mailto:MorganRider@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sheetPr>
  <dimension ref="A1:AY2385"/>
  <sheetViews>
    <sheetView showGridLines="0" tabSelected="1" view="pageLayout" topLeftCell="A831" zoomScaleNormal="120" workbookViewId="0">
      <selection activeCell="B832" sqref="B832"/>
    </sheetView>
  </sheetViews>
  <sheetFormatPr defaultColWidth="9" defaultRowHeight="14.25" outlineLevelRow="3" outlineLevelCol="2" x14ac:dyDescent="0.2"/>
  <cols>
    <col min="1" max="1" width="1.5" customWidth="1"/>
    <col min="2" max="2" width="63.125" customWidth="1"/>
    <col min="3" max="3" width="2.375" style="39" customWidth="1"/>
    <col min="4" max="4" width="2.375" style="664" customWidth="1"/>
    <col min="5" max="5" width="2.375" style="664"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29"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x14ac:dyDescent="0.25">
      <c r="A1" s="144" t="s">
        <v>0</v>
      </c>
      <c r="B1" s="104" t="s">
        <v>28</v>
      </c>
      <c r="C1" s="140"/>
      <c r="D1" s="629" t="s">
        <v>0</v>
      </c>
      <c r="E1" s="629"/>
      <c r="F1" s="755" t="s">
        <v>0</v>
      </c>
      <c r="G1" s="988" t="s">
        <v>0</v>
      </c>
      <c r="H1" s="988"/>
      <c r="I1" s="684"/>
      <c r="AF1" s="326" t="s">
        <v>0</v>
      </c>
      <c r="AG1" s="59"/>
      <c r="AH1" s="76"/>
      <c r="AI1" s="751"/>
      <c r="AJ1" s="986"/>
      <c r="AK1" s="986"/>
      <c r="AL1" s="986"/>
      <c r="AM1" s="986"/>
      <c r="AN1" s="986"/>
      <c r="AO1" s="986"/>
    </row>
    <row r="2" spans="1:51" s="23" customFormat="1" ht="14.1" customHeight="1" x14ac:dyDescent="0.2">
      <c r="A2" s="144"/>
      <c r="B2" s="733" t="str">
        <f>S.General.CodeName</f>
        <v>AQPerm</v>
      </c>
      <c r="C2" s="86" t="s">
        <v>0</v>
      </c>
      <c r="D2" s="163"/>
      <c r="E2" s="163"/>
      <c r="F2" s="347" t="s">
        <v>0</v>
      </c>
      <c r="G2" s="340" t="s">
        <v>210</v>
      </c>
      <c r="H2" s="340" t="s">
        <v>100</v>
      </c>
      <c r="I2" s="684"/>
      <c r="J2"/>
      <c r="K2"/>
      <c r="L2"/>
      <c r="M2"/>
      <c r="N2"/>
      <c r="O2"/>
      <c r="P2"/>
      <c r="Q2"/>
      <c r="R2"/>
      <c r="S2"/>
      <c r="T2"/>
      <c r="U2"/>
      <c r="X2"/>
      <c r="AB2"/>
      <c r="AC2"/>
      <c r="AF2" s="326" t="s">
        <v>0</v>
      </c>
      <c r="AG2" s="76"/>
      <c r="AH2" s="76"/>
      <c r="AI2" s="59"/>
      <c r="AJ2" s="68"/>
      <c r="AK2" s="58"/>
      <c r="AL2" s="76"/>
    </row>
    <row r="3" spans="1:51" s="23" customFormat="1" ht="14.1" customHeight="1" x14ac:dyDescent="0.2">
      <c r="A3" s="144"/>
      <c r="B3" s="734" t="s">
        <v>0</v>
      </c>
      <c r="C3" s="981" t="s">
        <v>0</v>
      </c>
      <c r="D3" s="981"/>
      <c r="E3" s="981"/>
      <c r="F3" s="981"/>
      <c r="G3" s="735">
        <v>41641</v>
      </c>
      <c r="H3" s="736">
        <f>AH3</f>
        <v>42164</v>
      </c>
      <c r="I3" s="684"/>
      <c r="J3"/>
      <c r="K3"/>
      <c r="L3"/>
      <c r="M3"/>
      <c r="N3"/>
      <c r="O3"/>
      <c r="P3"/>
      <c r="Q3"/>
      <c r="R3"/>
      <c r="S3"/>
      <c r="T3"/>
      <c r="U3"/>
      <c r="X3"/>
      <c r="AB3"/>
      <c r="AC3"/>
      <c r="AF3" s="326" t="s">
        <v>0</v>
      </c>
      <c r="AG3" s="60">
        <f ca="1">TODAY()</f>
        <v>41914</v>
      </c>
      <c r="AH3" s="60">
        <f>S.EndOfRulemaking</f>
        <v>42164</v>
      </c>
      <c r="AI3" s="418" t="s">
        <v>0</v>
      </c>
      <c r="AJ3" s="345"/>
      <c r="AK3" s="313" t="str">
        <f>"Last row = "&amp;ROW(S.General.LastCellSchedule)</f>
        <v>Last row = 910</v>
      </c>
      <c r="AL3" s="76"/>
      <c r="AS3" s="973"/>
      <c r="AT3" s="973"/>
      <c r="AU3" s="973"/>
      <c r="AV3" s="973"/>
      <c r="AW3" s="973"/>
      <c r="AX3" s="973"/>
      <c r="AY3" s="973"/>
    </row>
    <row r="4" spans="1:51" ht="6" customHeight="1" x14ac:dyDescent="0.2">
      <c r="A4" s="156"/>
      <c r="B4" s="105"/>
      <c r="C4" s="97"/>
      <c r="D4" s="630"/>
      <c r="E4" s="630"/>
      <c r="F4" s="98"/>
      <c r="G4" s="97"/>
      <c r="H4" s="97"/>
      <c r="I4" s="684"/>
      <c r="AF4" s="326" t="s">
        <v>0</v>
      </c>
      <c r="AG4" s="58"/>
      <c r="AH4" s="58"/>
      <c r="AI4" s="58"/>
      <c r="AJ4" s="153"/>
      <c r="AK4" s="58"/>
      <c r="AL4" s="76"/>
      <c r="AM4"/>
    </row>
    <row r="5" spans="1:51" s="23" customFormat="1" ht="39.75" customHeight="1" thickBot="1" x14ac:dyDescent="0.25">
      <c r="A5" s="156"/>
      <c r="B5" s="978" t="s">
        <v>546</v>
      </c>
      <c r="C5" s="978"/>
      <c r="D5" s="978"/>
      <c r="E5" s="978"/>
      <c r="F5" s="978"/>
      <c r="G5" s="775"/>
      <c r="H5" s="775"/>
      <c r="I5" s="856"/>
      <c r="J5"/>
      <c r="K5"/>
      <c r="L5"/>
      <c r="M5"/>
      <c r="N5"/>
      <c r="O5"/>
      <c r="P5"/>
      <c r="Q5"/>
      <c r="R5"/>
      <c r="S5"/>
      <c r="T5"/>
      <c r="U5"/>
      <c r="X5"/>
      <c r="AB5"/>
      <c r="AC5"/>
      <c r="AF5" s="326">
        <v>0</v>
      </c>
      <c r="AG5" s="58"/>
      <c r="AH5" s="744" t="s">
        <v>548</v>
      </c>
      <c r="AI5" s="58" t="s">
        <v>0</v>
      </c>
      <c r="AJ5" s="153"/>
      <c r="AK5" s="435" t="s">
        <v>0</v>
      </c>
      <c r="AL5" s="76"/>
    </row>
    <row r="6" spans="1:51" s="23" customFormat="1" ht="14.1" customHeight="1" thickTop="1" thickBot="1" x14ac:dyDescent="0.25">
      <c r="A6" s="156"/>
      <c r="B6" s="295" t="s">
        <v>547</v>
      </c>
      <c r="C6" s="419" t="s">
        <v>16</v>
      </c>
      <c r="F6" s="836"/>
      <c r="G6" s="298">
        <f>S.Overview.BANNER.Start</f>
        <v>41641</v>
      </c>
      <c r="I6" s="857"/>
      <c r="AF6" s="327">
        <f>IF(C6="N",0,1)</f>
        <v>1</v>
      </c>
      <c r="AG6" s="58"/>
      <c r="AH6" s="745">
        <f>G6</f>
        <v>41641</v>
      </c>
      <c r="AI6" s="34"/>
      <c r="AJ6" s="309"/>
      <c r="AK6" s="58"/>
      <c r="AL6" s="76"/>
    </row>
    <row r="7" spans="1:51" s="23" customFormat="1" ht="6.75" customHeight="1" thickBot="1" x14ac:dyDescent="0.25">
      <c r="A7" s="156"/>
      <c r="B7" s="293"/>
      <c r="C7" s="292"/>
      <c r="D7" s="463"/>
      <c r="E7" s="463"/>
      <c r="F7" s="837"/>
      <c r="G7" s="244"/>
      <c r="H7" s="244" t="s">
        <v>0</v>
      </c>
      <c r="I7" s="858"/>
      <c r="AF7" s="326" t="s">
        <v>0</v>
      </c>
      <c r="AG7" s="76"/>
      <c r="AH7" s="59"/>
      <c r="AI7" s="59"/>
      <c r="AJ7" s="309"/>
      <c r="AK7" s="34"/>
      <c r="AL7" s="76"/>
    </row>
    <row r="8" spans="1:51" s="39" customFormat="1" ht="13.5" customHeight="1" thickBot="1" x14ac:dyDescent="0.25">
      <c r="A8" s="156"/>
      <c r="B8" s="336" t="str">
        <f>AK8</f>
        <v xml:space="preserve">PERMANENT Rulemaking </v>
      </c>
      <c r="C8" s="737" t="s">
        <v>285</v>
      </c>
      <c r="F8" s="838" t="s">
        <v>0</v>
      </c>
      <c r="I8" s="859">
        <f>IF(S.General.RuleType="P",60,30)</f>
        <v>60</v>
      </c>
      <c r="AF8" s="327">
        <v>1</v>
      </c>
      <c r="AG8" s="739"/>
      <c r="AH8" s="739"/>
      <c r="AI8" s="34"/>
      <c r="AJ8" s="740"/>
      <c r="AK8" s="741" t="str">
        <f>IF(S.General.RuleType="P","PERMANENT Rulemaking ","TEMPORARY Rulemaking")</f>
        <v xml:space="preserve">PERMANENT Rulemaking </v>
      </c>
      <c r="AL8" s="738"/>
    </row>
    <row r="9" spans="1:51" s="23" customFormat="1" ht="6.75" customHeight="1" thickBot="1" x14ac:dyDescent="0.25">
      <c r="A9" s="156"/>
      <c r="B9" s="293"/>
      <c r="C9" s="292"/>
      <c r="D9" s="463"/>
      <c r="E9" s="463"/>
      <c r="F9" s="837"/>
      <c r="G9" s="244"/>
      <c r="H9" s="244"/>
      <c r="I9" s="858"/>
      <c r="J9"/>
      <c r="K9"/>
      <c r="L9"/>
      <c r="M9"/>
      <c r="N9"/>
      <c r="O9"/>
      <c r="P9"/>
      <c r="Q9"/>
      <c r="R9"/>
      <c r="S9"/>
      <c r="T9"/>
      <c r="U9"/>
      <c r="X9"/>
      <c r="AB9"/>
      <c r="AC9"/>
      <c r="AF9" s="326" t="s">
        <v>0</v>
      </c>
      <c r="AG9" s="76"/>
      <c r="AH9" s="59"/>
      <c r="AI9" s="59"/>
      <c r="AJ9" s="309"/>
      <c r="AK9" s="34"/>
      <c r="AL9" s="76"/>
    </row>
    <row r="10" spans="1:51" s="23" customFormat="1" ht="14.1" customHeight="1" thickBot="1" x14ac:dyDescent="0.25">
      <c r="A10" s="156"/>
      <c r="B10" s="232" t="s">
        <v>233</v>
      </c>
      <c r="C10" s="419">
        <v>3</v>
      </c>
      <c r="F10" s="839" t="s">
        <v>0</v>
      </c>
      <c r="G10"/>
      <c r="H10"/>
      <c r="I10" s="860">
        <f>IF(S.General.Complexity=1,0,IF(S.General.Complexity=2,30,60))</f>
        <v>60</v>
      </c>
      <c r="J10"/>
      <c r="K10"/>
      <c r="L10"/>
      <c r="M10"/>
      <c r="N10"/>
      <c r="O10"/>
      <c r="P10"/>
      <c r="Q10"/>
      <c r="R10"/>
      <c r="S10"/>
      <c r="T10"/>
      <c r="U10"/>
      <c r="X10"/>
      <c r="AB10"/>
      <c r="AC10"/>
      <c r="AF10" s="327">
        <v>1</v>
      </c>
      <c r="AG10" s="34"/>
      <c r="AH10" s="34"/>
      <c r="AI10" s="34"/>
      <c r="AJ10" s="309"/>
      <c r="AK10" s="58"/>
      <c r="AL10" s="76"/>
    </row>
    <row r="11" spans="1:51" s="23" customFormat="1" ht="6.75" customHeight="1" thickBot="1" x14ac:dyDescent="0.25">
      <c r="A11" s="156"/>
      <c r="B11" s="293"/>
      <c r="C11" s="292"/>
      <c r="D11" s="463"/>
      <c r="E11" s="463"/>
      <c r="F11" s="837"/>
      <c r="G11" s="743"/>
      <c r="H11" s="244"/>
      <c r="I11" s="858"/>
      <c r="J11"/>
      <c r="K11"/>
      <c r="L11"/>
      <c r="M11"/>
      <c r="N11"/>
      <c r="O11"/>
      <c r="P11"/>
      <c r="Q11"/>
      <c r="R11"/>
      <c r="S11"/>
      <c r="T11"/>
      <c r="U11"/>
      <c r="X11"/>
      <c r="AB11"/>
      <c r="AC11"/>
      <c r="AF11" s="326" t="s">
        <v>0</v>
      </c>
      <c r="AG11" s="76"/>
      <c r="AH11" s="59"/>
      <c r="AI11" s="59"/>
      <c r="AJ11" s="309"/>
      <c r="AK11" s="34"/>
      <c r="AL11" s="76"/>
    </row>
    <row r="12" spans="1:51" s="23" customFormat="1" ht="14.1" customHeight="1" thickBot="1" x14ac:dyDescent="0.25">
      <c r="A12" s="144"/>
      <c r="B12" s="782" t="str">
        <f>AK12</f>
        <v>Advisory Committee</v>
      </c>
      <c r="C12" s="420" t="s">
        <v>16</v>
      </c>
      <c r="D12" s="447" t="str">
        <f>HYPERLINK("\\deqhq1\Rule_Resources\i\2-AdvisoryCommittee.pdf","i")</f>
        <v>i</v>
      </c>
      <c r="E12" s="75"/>
      <c r="F12" s="839" t="s">
        <v>0</v>
      </c>
      <c r="G12" s="851">
        <f>AG12</f>
        <v>41641</v>
      </c>
      <c r="H12" s="853">
        <f>AH12</f>
        <v>42033</v>
      </c>
      <c r="I12" s="860">
        <f>IF(S.AC.CommitteeInvolved="N",0,21)</f>
        <v>21</v>
      </c>
      <c r="J12"/>
      <c r="K12"/>
      <c r="L12"/>
      <c r="M12"/>
      <c r="N12"/>
      <c r="O12"/>
      <c r="P12"/>
      <c r="Q12"/>
      <c r="R12"/>
      <c r="S12"/>
      <c r="T12"/>
      <c r="U12"/>
      <c r="X12"/>
      <c r="AB12"/>
      <c r="AC12"/>
      <c r="AF12" s="327">
        <f>IF(S.AC.CommitteeInvolved="N",0,1)</f>
        <v>1</v>
      </c>
      <c r="AG12" s="60">
        <f>IF(S.AC.CommitteeInvolved="N",,S.DIRECTOR.Approves.ForDEQRulemakingPlan)</f>
        <v>41641</v>
      </c>
      <c r="AH12" s="60">
        <f>IF(S.AC.CommitteeInvolved="N",,S.EQC.SubmitStaffRpt)</f>
        <v>42033</v>
      </c>
      <c r="AI12" s="48" t="s">
        <v>0</v>
      </c>
      <c r="AJ12" s="153"/>
      <c r="AK12" s="65" t="str">
        <f>IF(S.AC.CommitteeInvolved="Y","Advisory Committee","Advisory Committee - not involved")</f>
        <v>Advisory Committee</v>
      </c>
      <c r="AL12" s="76"/>
    </row>
    <row r="13" spans="1:51" s="23" customFormat="1" ht="6" customHeight="1" thickBot="1" x14ac:dyDescent="0.25">
      <c r="A13" s="144"/>
      <c r="B13" s="783"/>
      <c r="C13" s="785"/>
      <c r="D13" s="786"/>
      <c r="E13" s="786"/>
      <c r="F13" s="840"/>
      <c r="G13" s="297"/>
      <c r="H13" s="297"/>
      <c r="I13" s="861"/>
      <c r="J13"/>
      <c r="K13"/>
      <c r="L13"/>
      <c r="M13"/>
      <c r="N13"/>
      <c r="O13"/>
      <c r="P13"/>
      <c r="Q13"/>
      <c r="R13"/>
      <c r="S13"/>
      <c r="T13"/>
      <c r="U13"/>
      <c r="X13"/>
      <c r="AB13"/>
      <c r="AC13"/>
      <c r="AF13" s="326" t="s">
        <v>0</v>
      </c>
      <c r="AG13" s="64"/>
      <c r="AH13" s="59"/>
      <c r="AI13" s="107"/>
      <c r="AJ13" s="155"/>
      <c r="AK13" s="65"/>
      <c r="AL13" s="76"/>
    </row>
    <row r="14" spans="1:51" ht="13.5" customHeight="1" outlineLevel="1" thickBot="1" x14ac:dyDescent="0.25">
      <c r="A14" s="144"/>
      <c r="B14" s="295" t="str">
        <f>AK14</f>
        <v>Fees - not involved</v>
      </c>
      <c r="C14" s="420" t="s">
        <v>134</v>
      </c>
      <c r="D14" s="787"/>
      <c r="E14" s="787"/>
      <c r="F14" s="839">
        <f>IF(S.Fee.Involved="N",0,14)</f>
        <v>0</v>
      </c>
      <c r="G14" s="256">
        <f>AG14</f>
        <v>0</v>
      </c>
      <c r="H14" s="274">
        <f>AH14</f>
        <v>0</v>
      </c>
      <c r="I14" s="860">
        <f>IF(S.Fee.Involved="N",0,14)</f>
        <v>0</v>
      </c>
      <c r="AF14" s="327">
        <f>IF(S.Fee.Involved="N",0,1)</f>
        <v>0</v>
      </c>
      <c r="AG14" s="60">
        <f>IF(S.Fee.Involved="N",,S.DIRECTOR.Approves.ForDEQRulemakingPlan)</f>
        <v>0</v>
      </c>
      <c r="AH14" s="60">
        <f>IF(S.Fee.Involved="N",,WORKDAY(S.EQC.Meeting+4,1,S.DDL_DEQClosed))</f>
        <v>0</v>
      </c>
      <c r="AI14" s="64"/>
      <c r="AJ14" s="309"/>
      <c r="AK14" s="63" t="str">
        <f>IF(AND(S.Fee.Involved="Y",S.General.RuleType="T"),"Fees Involved - no action required for TEMPORARY rules",IF(S.Fee.Involved="Y","Fee Approval","Fees - not involved"))</f>
        <v>Fees - not involved</v>
      </c>
      <c r="AL14" s="76"/>
      <c r="AM14"/>
    </row>
    <row r="15" spans="1:51" s="23" customFormat="1" ht="14.1" customHeight="1" outlineLevel="1" thickBot="1" x14ac:dyDescent="0.25">
      <c r="A15" s="144"/>
      <c r="B15" s="191" t="str">
        <f>AK15</f>
        <v>-blank-</v>
      </c>
      <c r="C15" s="420" t="s">
        <v>16</v>
      </c>
      <c r="D15" s="633" t="str">
        <f>HYPERLINK("\\deqhq1\Rule_Resources\i\3-FeeApproval.pdf","i")</f>
        <v>i</v>
      </c>
      <c r="E15" s="633"/>
      <c r="F15" s="839">
        <f>IF(S.Fee.Involved="N",0,IF(S.Fee.DASApprovalRequired="N",0,21))</f>
        <v>0</v>
      </c>
      <c r="G15" s="325"/>
      <c r="H15" s="325"/>
      <c r="I15" s="860">
        <f>IF(S.Fee.Involved="N",0,IF(S.Fee.DASApprovalRequired="N",0,21))</f>
        <v>0</v>
      </c>
      <c r="J15"/>
      <c r="K15"/>
      <c r="L15"/>
      <c r="M15"/>
      <c r="N15"/>
      <c r="O15"/>
      <c r="P15"/>
      <c r="Q15"/>
      <c r="R15"/>
      <c r="S15"/>
      <c r="T15"/>
      <c r="U15"/>
      <c r="X15"/>
      <c r="AB15"/>
      <c r="AC15"/>
      <c r="AF15" s="326">
        <f>IF(S.Fee.Involved="Y",1,0)</f>
        <v>0</v>
      </c>
      <c r="AG15" s="64"/>
      <c r="AH15" s="64" t="s">
        <v>0</v>
      </c>
      <c r="AI15" s="64"/>
      <c r="AJ15" s="309"/>
      <c r="AK15" s="63" t="str">
        <f>IF(S.Fee.Involved="N","-blank-",IF(AND(C15="Y",S.Fee.Involved="Y"),"DAS - Fee approval required","DAS - Fee approval NOT required"))</f>
        <v>-blank-</v>
      </c>
      <c r="AL15" s="76"/>
    </row>
    <row r="16" spans="1:51" s="23" customFormat="1" ht="14.1" customHeight="1" outlineLevel="1" x14ac:dyDescent="0.2">
      <c r="A16" s="144"/>
      <c r="B16" s="191" t="str">
        <f>AK16</f>
        <v>-blank-</v>
      </c>
      <c r="C16" s="231"/>
      <c r="D16" s="635"/>
      <c r="E16" s="635"/>
      <c r="F16" s="839">
        <f>IF(F20=45,0,30)</f>
        <v>0</v>
      </c>
      <c r="G16" s="334" t="s">
        <v>0</v>
      </c>
      <c r="H16" s="747">
        <f>AH16</f>
        <v>0</v>
      </c>
      <c r="I16" s="860">
        <f>IF(I20=45,0,30)</f>
        <v>0</v>
      </c>
      <c r="J16"/>
      <c r="K16"/>
      <c r="L16"/>
      <c r="M16"/>
      <c r="N16"/>
      <c r="O16"/>
      <c r="P16"/>
      <c r="Q16"/>
      <c r="R16"/>
      <c r="S16"/>
      <c r="T16"/>
      <c r="U16"/>
      <c r="X16"/>
      <c r="AB16"/>
      <c r="AC16"/>
      <c r="AF16" s="326">
        <f>IF(AND(S.Fee.Involved="Y",S.Notice.Involved="Y"),1,0)</f>
        <v>0</v>
      </c>
      <c r="AG16" s="48"/>
      <c r="AH16" s="60">
        <f>IF(S.Fee.Involved="N",,IF(S.Notice.Involved="N",,IF(S.Fee.DASApprovalRequired="Y",WORKDAY(S.Notice.OpenComment-29,-1,S.DDL_DEQClosed),S.Notice.SubmitToSOS)))</f>
        <v>0</v>
      </c>
      <c r="AI16" s="979"/>
      <c r="AJ16" s="311"/>
      <c r="AK16" s="63" t="str">
        <f>IF(S.Fee.Involved="N","-blank-",IF(S.Fee.DASApprovalRequired="Y","DAS - submit Part 1, about 30 days BEFORE SOS submittal","DAS - email notification BEFORE Oregon Bulletin publication"))</f>
        <v>-blank-</v>
      </c>
      <c r="AL16" s="76"/>
      <c r="AN16" s="130"/>
      <c r="AO16" s="130"/>
    </row>
    <row r="17" spans="1:41" s="23" customFormat="1" ht="6" customHeight="1" outlineLevel="1" thickBot="1" x14ac:dyDescent="0.25">
      <c r="A17" s="144"/>
      <c r="B17" s="783"/>
      <c r="C17" s="785"/>
      <c r="D17" s="786"/>
      <c r="E17" s="786"/>
      <c r="F17" s="840"/>
      <c r="G17" s="297"/>
      <c r="H17" s="297"/>
      <c r="I17" s="861"/>
      <c r="J17"/>
      <c r="K17"/>
      <c r="L17"/>
      <c r="M17"/>
      <c r="N17"/>
      <c r="O17"/>
      <c r="P17"/>
      <c r="Q17"/>
      <c r="R17"/>
      <c r="S17"/>
      <c r="T17"/>
      <c r="U17"/>
      <c r="X17"/>
      <c r="AB17"/>
      <c r="AC17"/>
      <c r="AF17" s="326">
        <v>0</v>
      </c>
      <c r="AG17" s="64"/>
      <c r="AH17" s="59"/>
      <c r="AI17" s="979"/>
      <c r="AJ17" s="309"/>
      <c r="AK17" s="65"/>
      <c r="AL17" s="76"/>
    </row>
    <row r="18" spans="1:41" s="23" customFormat="1" ht="13.5" customHeight="1" outlineLevel="1" thickBot="1" x14ac:dyDescent="0.25">
      <c r="A18" s="156"/>
      <c r="B18" s="295" t="str">
        <f>AK18</f>
        <v>State Implementation Plan (AQ rules)</v>
      </c>
      <c r="C18" s="420" t="s">
        <v>16</v>
      </c>
      <c r="D18" s="788"/>
      <c r="E18" s="788"/>
      <c r="F18" s="839">
        <f>IF(S.SIP.Involved="N",0,IF(S.General.Complexity=1,0,112))</f>
        <v>112</v>
      </c>
      <c r="G18" s="777" t="s">
        <v>0</v>
      </c>
      <c r="H18" s="75"/>
      <c r="I18" s="860">
        <f>IF(S.SIP.Involved="N",0,IF(S.General.Complexity=1,0,112))</f>
        <v>112</v>
      </c>
      <c r="J18"/>
      <c r="K18"/>
      <c r="L18"/>
      <c r="M18"/>
      <c r="N18"/>
      <c r="O18"/>
      <c r="P18"/>
      <c r="Q18"/>
      <c r="R18"/>
      <c r="S18"/>
      <c r="T18"/>
      <c r="U18"/>
      <c r="X18"/>
      <c r="AB18"/>
      <c r="AC18"/>
      <c r="AF18" s="327">
        <f>IF(OR(AK18="ERROR: EPA requires SIP rules have public notice",AK18="ERROR: EPA requires SIP rules have public hearings."),2,IF(S.SIP.Involved="N",0,1))</f>
        <v>1</v>
      </c>
      <c r="AG18" s="48"/>
      <c r="AH18" s="48"/>
      <c r="AI18" s="979"/>
      <c r="AJ18" s="309"/>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outlineLevel="1" x14ac:dyDescent="0.2">
      <c r="A19" s="144"/>
      <c r="B19" s="191" t="str">
        <f>AK19</f>
        <v xml:space="preserve">EPA - submit SIP Development Plan 6 months before comment period opens </v>
      </c>
      <c r="C19" s="75"/>
      <c r="D19" s="789" t="s">
        <v>0</v>
      </c>
      <c r="E19" s="789"/>
      <c r="F19" s="840"/>
      <c r="G19" s="790" t="s">
        <v>0</v>
      </c>
      <c r="H19" s="747">
        <f>AH19</f>
        <v>41624</v>
      </c>
      <c r="I19" s="861"/>
      <c r="J19"/>
      <c r="K19"/>
      <c r="L19"/>
      <c r="M19"/>
      <c r="N19"/>
      <c r="O19"/>
      <c r="P19"/>
      <c r="Q19"/>
      <c r="R19"/>
      <c r="S19"/>
      <c r="T19"/>
      <c r="U19"/>
      <c r="X19"/>
      <c r="AB19"/>
      <c r="AC19"/>
      <c r="AF19" s="327">
        <f>IF(AK19="ERROR - Must enter 'Y' to involve public notice and hearing below",2,IF(AND(S.General.Complexity&gt;1,S.SIP.Involved="Y"),1,0))</f>
        <v>1</v>
      </c>
      <c r="AG19" s="48"/>
      <c r="AH19" s="60">
        <f>IF(S.SIP.Involved="N",,IF(S.General.Complexity=1,,IF(S.Notice.Involved="N","ERROR",WORKDAY(DATE(YEAR(S.Notice.OpenComment),MONTH(S.Notice.OpenComment)-6,DAY(S.Notice.OpenComment+1)),-1,S.DDL_DEQClosed))))</f>
        <v>41624</v>
      </c>
      <c r="AI19" s="59"/>
      <c r="AJ19" s="309"/>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outlineLevel="1" x14ac:dyDescent="0.2">
      <c r="A20" s="156"/>
      <c r="B20" s="191" t="str">
        <f>AK20</f>
        <v>EPA - submit at least 45 days before submittig notice to SOS</v>
      </c>
      <c r="D20" s="632"/>
      <c r="E20" s="632"/>
      <c r="F20" s="839">
        <f>IF(S.SIP.Involved="N",,IF(S.General.Complexity=1,0,45))</f>
        <v>45</v>
      </c>
      <c r="G20" s="778" t="s">
        <v>0</v>
      </c>
      <c r="H20" s="230">
        <f>AH20</f>
        <v>41740</v>
      </c>
      <c r="I20" s="860">
        <f>IF(S.SIP.Involved="N",,IF(S.General.Complexity=1,0,45))</f>
        <v>45</v>
      </c>
      <c r="AF20" s="327">
        <f>IF(AK20="ERROR - Must enter 'Y' to involve public notice and hearing below",2,IF(S.SIP.Involved="Y",1,0))</f>
        <v>1</v>
      </c>
      <c r="AG20" s="48"/>
      <c r="AH20" s="854">
        <f>IF(S.SIP.Involved="N",,IF(S.Notice.Involved="N","ERROR",WORKDAY(S.Notice.SubmitToSOS-60,-1,S.DDL_DEQClosed)))</f>
        <v>41740</v>
      </c>
      <c r="AI20" s="805" t="s">
        <v>0</v>
      </c>
      <c r="AJ20" s="309"/>
      <c r="AK20" s="63" t="str">
        <f>IF(S.SIP.Involved="N","-blank-",IF(ISERROR(H20)=TRUE,"ERROR - Must enter 'Y' to involve public notice and hearing below","EPA - submit at least 45 days before submittig notice to SOS"))</f>
        <v>EPA - submit at least 45 days before submittig notice to SOS</v>
      </c>
      <c r="AL20" s="76"/>
    </row>
    <row r="21" spans="1:41" s="23" customFormat="1" ht="6" customHeight="1" outlineLevel="1" thickBot="1" x14ac:dyDescent="0.25">
      <c r="A21" s="144"/>
      <c r="B21" s="294"/>
      <c r="C21" s="294"/>
      <c r="D21" s="786"/>
      <c r="E21" s="786"/>
      <c r="F21" s="840"/>
      <c r="G21" s="297"/>
      <c r="H21" s="791"/>
      <c r="I21" s="861"/>
      <c r="J21"/>
      <c r="K21"/>
      <c r="L21"/>
      <c r="M21"/>
      <c r="N21"/>
      <c r="O21"/>
      <c r="P21"/>
      <c r="Q21"/>
      <c r="R21"/>
      <c r="S21"/>
      <c r="T21"/>
      <c r="U21"/>
      <c r="X21"/>
      <c r="AB21"/>
      <c r="AC21"/>
      <c r="AF21" s="326">
        <v>0</v>
      </c>
      <c r="AG21" s="76"/>
      <c r="AH21" s="76"/>
      <c r="AI21" s="107" t="s">
        <v>157</v>
      </c>
      <c r="AJ21" s="309"/>
      <c r="AK21" s="77"/>
      <c r="AL21" s="76"/>
    </row>
    <row r="22" spans="1:41" s="23" customFormat="1" ht="15" customHeight="1" thickBot="1" x14ac:dyDescent="0.25">
      <c r="A22" s="144"/>
      <c r="B22" s="336" t="str">
        <f t="shared" ref="B22:B32" si="0">AK22</f>
        <v>Public Notice</v>
      </c>
      <c r="C22" s="420" t="s">
        <v>16</v>
      </c>
      <c r="D22" s="788"/>
      <c r="E22" s="788"/>
      <c r="F22" s="839" t="s">
        <v>644</v>
      </c>
      <c r="G22" s="851">
        <f>AG22</f>
        <v>41641</v>
      </c>
      <c r="H22" s="852">
        <f>AH22</f>
        <v>41897</v>
      </c>
      <c r="I22" s="860" t="s">
        <v>0</v>
      </c>
      <c r="J22"/>
      <c r="K22"/>
      <c r="L22"/>
      <c r="M22"/>
      <c r="N22"/>
      <c r="O22"/>
      <c r="P22"/>
      <c r="Q22"/>
      <c r="R22"/>
      <c r="S22"/>
      <c r="T22"/>
      <c r="U22"/>
      <c r="X22"/>
      <c r="AB22"/>
      <c r="AC22"/>
      <c r="AF22" s="326">
        <f>IF(OR(AK22="ERROR: APA requies all hearings be noticed                            change to 'Y' &gt;",AK22="ERROR: must notice all public hearings"),2, IF(S.Notice.Involved="N",0,1))</f>
        <v>1</v>
      </c>
      <c r="AG22" s="60">
        <f>IF(S.Notice.Involved="N",,S.DIRECTOR.Approves.ForDEQRulemakingPlan)</f>
        <v>41641</v>
      </c>
      <c r="AH22" s="60">
        <f>IF(S.Notice.Involved="N",,S.Notice.CloseComment)</f>
        <v>41897</v>
      </c>
      <c r="AI22" s="59" t="s">
        <v>645</v>
      </c>
      <c r="AJ22" s="309"/>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0"/>
      <c r="AO22" s="130"/>
    </row>
    <row r="23" spans="1:41" s="23" customFormat="1" ht="14.1" customHeight="1" x14ac:dyDescent="0.2">
      <c r="A23" s="144" t="s">
        <v>0</v>
      </c>
      <c r="B23" s="191" t="str">
        <f t="shared" si="0"/>
        <v>Due to Leah - approval to submit Notice Packet to Rule Publication</v>
      </c>
      <c r="F23" s="839">
        <v>10</v>
      </c>
      <c r="G23" s="850">
        <f>AG23</f>
        <v>41733</v>
      </c>
      <c r="H23" s="850">
        <f>AH23</f>
        <v>41744</v>
      </c>
      <c r="I23" s="860">
        <f>IF(S.Notice.Involved="N",0,10)</f>
        <v>10</v>
      </c>
      <c r="AF23" s="326">
        <f>IF(S.Notice.Involved="Y",1,0)</f>
        <v>1</v>
      </c>
      <c r="AG23" s="60">
        <f>IF(S.Notice.Involved="N",,WORKDAY(H23-F23+1,-1,S.DDL_DEQClosed))</f>
        <v>41733</v>
      </c>
      <c r="AH23" s="60">
        <f>IF(S.Notice.Involved="N",,WORKDAY(G24-9,-1,S.DDL_DEQClosed))</f>
        <v>41744</v>
      </c>
      <c r="AI23" s="880">
        <v>7</v>
      </c>
      <c r="AJ23" s="310"/>
      <c r="AK23" s="63" t="str">
        <f>IF(S.Notice.Involved="Y","Due to "&amp;S.Staff.Program.Mgr.FirstName&amp;" - approval to submit Notice Packet to Rule Publication","-blank-")</f>
        <v>Due to Leah - approval to submit Notice Packet to Rule Publication</v>
      </c>
      <c r="AL23" s="76"/>
    </row>
    <row r="24" spans="1:41" s="23" customFormat="1" ht="14.1" customHeight="1" x14ac:dyDescent="0.2">
      <c r="A24" s="144" t="s">
        <v>0</v>
      </c>
      <c r="B24" s="191" t="str">
        <f t="shared" si="0"/>
        <v>Due to Rule Publication (AndreaG) - final edits and validations</v>
      </c>
      <c r="F24" s="839">
        <v>14</v>
      </c>
      <c r="G24" s="850">
        <f>AG24</f>
        <v>41754</v>
      </c>
      <c r="H24" s="274">
        <f t="shared" ref="H24" si="1">AH24</f>
        <v>41768</v>
      </c>
      <c r="I24" s="860">
        <f>IF(S.Notice.Involved="N",0,IF(S.General.Complexity=1,7,IF(S.General.Complexity=2,14,21)))</f>
        <v>21</v>
      </c>
      <c r="AF24" s="326">
        <f>IF(S.Notice.Involved="Y",1,0)</f>
        <v>1</v>
      </c>
      <c r="AG24" s="60">
        <f>IF(S.Notice.Involved="N",,WORKDAY(H24-F24+1,-1,S.DDL_DEQClosed))</f>
        <v>41754</v>
      </c>
      <c r="AH24" s="60">
        <f>IF(S.Notice.Involved="N",,WORKDAY(S.Notice.Submit.ToADA-13,-1,S.DDL_DEQClosed))</f>
        <v>41768</v>
      </c>
      <c r="AI24" s="418">
        <v>14</v>
      </c>
      <c r="AJ24" s="310"/>
      <c r="AK24" s="63" t="str">
        <f>IF(S.Notice.Involved="Y","Due to Rule Publication ("&amp;S.Staff.RG.Lead.FirstName&amp;") - final edits and validations","-blank-")</f>
        <v>Due to Rule Publication (AndreaG) - final edits and validations</v>
      </c>
      <c r="AL24" s="76"/>
    </row>
    <row r="25" spans="1:41" s="23" customFormat="1" ht="14.1" customHeight="1" x14ac:dyDescent="0.2">
      <c r="A25" s="144" t="s">
        <v>0</v>
      </c>
      <c r="B25" s="848" t="str">
        <f>AK25</f>
        <v>Due to Lydia for input and approval to publish Notice Packet</v>
      </c>
      <c r="F25" s="839">
        <v>5</v>
      </c>
      <c r="G25" s="850">
        <f>AG25</f>
        <v>41782</v>
      </c>
      <c r="H25" s="274">
        <f>AH25</f>
        <v>41789</v>
      </c>
      <c r="I25" s="860">
        <v>7</v>
      </c>
      <c r="J25"/>
      <c r="K25"/>
      <c r="L25"/>
      <c r="M25"/>
      <c r="N25"/>
      <c r="O25"/>
      <c r="P25"/>
      <c r="Q25"/>
      <c r="R25"/>
      <c r="S25"/>
      <c r="T25"/>
      <c r="U25"/>
      <c r="X25"/>
      <c r="AB25"/>
      <c r="AC25"/>
      <c r="AF25" s="326">
        <f>IF(S.Notice.Involved="Y",1,0)</f>
        <v>1</v>
      </c>
      <c r="AG25" s="60">
        <f>IF(S.Notice.Involved="N",,WORKDAY(H25-F25+1,-1,S.DDL_DEQClosed))</f>
        <v>41782</v>
      </c>
      <c r="AH25" s="60">
        <f>IF(S.Notice.Involved="N",,WORKDAY(S.Notice.SubmitToSOS-13,-1,S.DDL_DEQClosed))</f>
        <v>41789</v>
      </c>
      <c r="AI25" s="418">
        <v>5</v>
      </c>
      <c r="AJ25" s="310"/>
      <c r="AK25" s="63" t="str">
        <f>IF(S.Notice.Involved="Y","Due to "&amp;S.Staff.Assistant.DA.ShortName&amp;" for input and approval to publish Notice Packet","-blank-")</f>
        <v>Due to Lydia for input and approval to publish Notice Packet</v>
      </c>
      <c r="AL25" s="76"/>
    </row>
    <row r="26" spans="1:41" s="23" customFormat="1" ht="14.1" customHeight="1" thickBot="1" x14ac:dyDescent="0.25">
      <c r="A26" s="144" t="s">
        <v>0</v>
      </c>
      <c r="B26" s="191" t="str">
        <f t="shared" si="0"/>
        <v>SOS - submit on workday no later than 15th of month BEFORE Bulletin</v>
      </c>
      <c r="C26" s="191"/>
      <c r="D26" s="634"/>
      <c r="E26" s="634"/>
      <c r="G26" s="778"/>
      <c r="H26" s="776">
        <f>AH26</f>
        <v>41803</v>
      </c>
      <c r="I26" s="684"/>
      <c r="AF26" s="326">
        <f>IF(S.Notice.Involved="Y",1,0)</f>
        <v>1</v>
      </c>
      <c r="AG26" s="48"/>
      <c r="AH26" s="60">
        <f>IF(S.Notice.Involved="N",,VLOOKUP(S.Notice.InOregonBulletin,VL_Bulletin,2,FALSE))</f>
        <v>41803</v>
      </c>
      <c r="AI26" s="805" t="s">
        <v>0</v>
      </c>
      <c r="AJ26" s="310"/>
      <c r="AK26" s="63" t="str">
        <f>IF(S.Notice.Involved="Y","SOS - submit on workday no later than 15th of month BEFORE Bulletin","-blank")</f>
        <v>SOS - submit on workday no later than 15th of month BEFORE Bulletin</v>
      </c>
      <c r="AL26" s="76"/>
    </row>
    <row r="27" spans="1:41" s="23" customFormat="1" ht="14.1" customHeight="1" thickBot="1" x14ac:dyDescent="0.25">
      <c r="A27" s="144" t="s">
        <v>0</v>
      </c>
      <c r="B27" s="191" t="str">
        <f t="shared" si="0"/>
        <v xml:space="preserve">SOS - Oregon Bulletin always publishes on the 1st of month </v>
      </c>
      <c r="C27" s="982" t="s">
        <v>580</v>
      </c>
      <c r="D27" s="982"/>
      <c r="E27" s="982"/>
      <c r="F27" s="982"/>
      <c r="G27" s="983"/>
      <c r="H27" s="774">
        <v>41821</v>
      </c>
      <c r="I27" s="684"/>
      <c r="J27"/>
      <c r="K27"/>
      <c r="L27"/>
      <c r="M27"/>
      <c r="N27"/>
      <c r="O27"/>
      <c r="P27"/>
      <c r="Q27"/>
      <c r="R27"/>
      <c r="S27"/>
      <c r="T27"/>
      <c r="U27"/>
      <c r="X27"/>
      <c r="AB27"/>
      <c r="AC27"/>
      <c r="AF27" s="326">
        <f>IF(S.Notice.Involved="Y",1,0)</f>
        <v>1</v>
      </c>
      <c r="AG27" s="48"/>
      <c r="AH27" s="60">
        <f>IF(S.Notice.Involved="N",,IF(OR(S.General.Complexity&gt;1,S.SIP.Involved="Y"),VLOOKUP(S.EQC.Meeting-90,S.DDL_Bulletin,TRUE,VLOOKUP(S.EQC.Meeting-60,S.DDL_Bulletin,TRUE))))</f>
        <v>41974</v>
      </c>
      <c r="AI27" s="805" t="s">
        <v>0</v>
      </c>
      <c r="AJ27" s="311"/>
      <c r="AK27" s="63" t="str">
        <f>IF(S.Notice.Involved="Y","SOS - Oregon Bulletin always publishes on the 1st of month ","-blank-")</f>
        <v xml:space="preserve">SOS - Oregon Bulletin always publishes on the 1st of month </v>
      </c>
      <c r="AL27" s="76"/>
    </row>
    <row r="28" spans="1:41" s="23" customFormat="1" ht="6" customHeight="1" thickBot="1" x14ac:dyDescent="0.25">
      <c r="A28" s="144"/>
      <c r="B28" s="294"/>
      <c r="C28" s="294"/>
      <c r="D28" s="294"/>
      <c r="E28" s="294"/>
      <c r="F28" s="294"/>
      <c r="G28" s="294"/>
      <c r="H28" s="294"/>
      <c r="I28" s="684"/>
      <c r="AE28" s="40"/>
      <c r="AF28" s="326" t="s">
        <v>0</v>
      </c>
      <c r="AG28" s="48"/>
      <c r="AH28" s="60"/>
      <c r="AI28" s="59"/>
      <c r="AJ28" s="155"/>
      <c r="AK28" s="78"/>
      <c r="AL28" s="76"/>
    </row>
    <row r="29" spans="1:41" s="23" customFormat="1" ht="13.5" customHeight="1" thickBot="1" x14ac:dyDescent="0.25">
      <c r="A29" s="144"/>
      <c r="B29" s="295" t="str">
        <f t="shared" si="0"/>
        <v>Public Comment and Testimony</v>
      </c>
      <c r="C29" s="420" t="s">
        <v>134</v>
      </c>
      <c r="D29" s="792"/>
      <c r="E29" s="792"/>
      <c r="F29" s="839" t="s">
        <v>0</v>
      </c>
      <c r="G29" s="851">
        <f>AG29</f>
        <v>41803</v>
      </c>
      <c r="H29" s="851">
        <f>AH29</f>
        <v>42033</v>
      </c>
      <c r="I29" s="862">
        <f>IF(S.Notice.Involved="N",,IF(S.Hearing.1stInvolve="N",,IF(S.General.Complexity=1,0,IF(S.General.Complexity=2,7,14))))</f>
        <v>14</v>
      </c>
      <c r="J29"/>
      <c r="K29"/>
      <c r="L29"/>
      <c r="M29"/>
      <c r="N29"/>
      <c r="O29"/>
      <c r="P29"/>
      <c r="Q29"/>
      <c r="R29"/>
      <c r="S29"/>
      <c r="T29"/>
      <c r="U29"/>
      <c r="X29"/>
      <c r="AB29"/>
      <c r="AC29"/>
      <c r="AF29" s="326">
        <f>IF(AK29="ERROR: APA requires agencies to notice public comment period",2,IF(S.Hearing.1stInvolve="N",0,1))</f>
        <v>1</v>
      </c>
      <c r="AG29" s="60">
        <f>IF(S.Hearing.1stInvolve="N",,S.Notice.SubmitToSOS)</f>
        <v>41803</v>
      </c>
      <c r="AH29" s="60">
        <f>IF(S.Notice.Involved="N",, S.EQC.SubmitStaffRpt)</f>
        <v>42033</v>
      </c>
      <c r="AI29" s="48"/>
      <c r="AJ29" s="310"/>
      <c r="AK29" s="63" t="str">
        <f>IF(AND(S.Hearing.1stInvolve="Y",S.Notice.Involved="N"),"ERROR: APA requires agencies to notice public comment period",IF(S.Notice.Involved="N","Public Comment and Testimony - not involved","Public Comment and Testimony"))</f>
        <v>Public Comment and Testimony</v>
      </c>
      <c r="AL29" s="76"/>
      <c r="AM29" s="151" t="s">
        <v>0</v>
      </c>
    </row>
    <row r="30" spans="1:41" s="23" customFormat="1" ht="14.1" customHeight="1" thickBot="1" x14ac:dyDescent="0.25">
      <c r="A30" s="144"/>
      <c r="B30" s="191" t="str">
        <f t="shared" si="0"/>
        <v xml:space="preserve">Open public comment </v>
      </c>
      <c r="C30" s="300"/>
      <c r="D30" s="793"/>
      <c r="E30" s="793"/>
      <c r="F30" s="841"/>
      <c r="G30" s="334" t="s">
        <v>0</v>
      </c>
      <c r="H30" s="849">
        <f>AH30</f>
        <v>41806</v>
      </c>
      <c r="I30" s="863"/>
      <c r="J30"/>
      <c r="K30"/>
      <c r="L30"/>
      <c r="M30"/>
      <c r="N30"/>
      <c r="O30"/>
      <c r="P30"/>
      <c r="Q30"/>
      <c r="R30"/>
      <c r="S30"/>
      <c r="T30"/>
      <c r="U30"/>
      <c r="X30"/>
      <c r="AB30"/>
      <c r="AC30"/>
      <c r="AF30" s="326">
        <f>IF(AND(S.General.RuleType="P",S.Notice.HearingInvolved="Y",S.Notice.Involved="N"),2,IF(S.Hearing.1stInvolve="N",0,1))</f>
        <v>1</v>
      </c>
      <c r="AG30" s="48"/>
      <c r="AH30" s="60">
        <f>IF(S.Hearing.1stInvolve="N",,WORKDAY(S.Notice.SubmitToSOS,1,S.DDL_DEQClosed))</f>
        <v>41806</v>
      </c>
      <c r="AI30" s="48"/>
      <c r="AJ30" s="155"/>
      <c r="AK30" s="78" t="str">
        <f>IF(S.Notice.Involved="N","-blank-","Open public comment ")</f>
        <v xml:space="preserve">Open public comment </v>
      </c>
      <c r="AL30" s="76"/>
    </row>
    <row r="31" spans="1:41" ht="14.1" customHeight="1" thickBot="1" x14ac:dyDescent="0.25">
      <c r="A31" s="144"/>
      <c r="B31" s="307" t="str">
        <f t="shared" si="0"/>
        <v>Hold 1st hearing at least 30 days AFTER open comment - EPA SIP requirement</v>
      </c>
      <c r="C31" s="420" t="s">
        <v>16</v>
      </c>
      <c r="D31" s="787"/>
      <c r="E31" s="787"/>
      <c r="F31" s="842"/>
      <c r="G31" s="334" t="s">
        <v>0</v>
      </c>
      <c r="H31" s="256">
        <f>AH31</f>
        <v>41836</v>
      </c>
      <c r="I31" s="863"/>
      <c r="AF31" s="326">
        <f>IF(AND(S.SIP.Involved,S.SIP.Involved="Y",S.Hearing.1stInvolve="N"),2, IF(AND(S.Notice.Involved="N",S.Hearing.1stInvolve="Y"),2,IF(S.Hearing.1stInvolve="Y",1,0)))</f>
        <v>1</v>
      </c>
      <c r="AG31" s="48"/>
      <c r="AH31" s="60">
        <f>IF(S.Notice.Involved="N",,IF(S.Hearing.1stInvolve="N",,IF(S.SIP.Involved="N",WORKDAY(S.Notice.InOregonBulletin+13,1,S.DDL_DEQClosed),MAX(WORKDAY(S.Notice.OpenComment+29,1,S.DDL_DEQClosed),WORKDAY(S.Notice.InOregonBulletin+13,1,S.DDL_DEQClosed)))))</f>
        <v>41836</v>
      </c>
      <c r="AI31" s="59" t="s">
        <v>0</v>
      </c>
      <c r="AJ31" s="155"/>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x14ac:dyDescent="0.2">
      <c r="A32" s="144"/>
      <c r="B32" s="191" t="str">
        <f t="shared" si="0"/>
        <v>Close public comment - DEQ best practice, 3 days after last hearing</v>
      </c>
      <c r="C32" s="269"/>
      <c r="D32" s="794"/>
      <c r="E32" s="794"/>
      <c r="F32" s="842"/>
      <c r="G32" s="334" t="s">
        <v>0</v>
      </c>
      <c r="H32" s="256">
        <v>41897</v>
      </c>
      <c r="I32" s="863"/>
      <c r="AF32" s="326">
        <f>IF(S.Hearing.1stInvolve="N",0,1)</f>
        <v>1</v>
      </c>
      <c r="AG32" s="48"/>
      <c r="AH32" s="60">
        <f>IF(AF32=0,,IF(S.Notice.Involved="N",S.DIRECTOR.Approves.ForDEQRulemakingPlan,WORKDAY(S.Notice.LastHearingDate+2,1,S.DDL_DEQClosed)))</f>
        <v>41841</v>
      </c>
      <c r="AI32" s="59"/>
      <c r="AJ32" s="154"/>
      <c r="AK32" s="78" t="str">
        <f>IF(S.Notice.Involved="N","-blank-","Close public comment - DEQ best practice, 3 days after last hearing")</f>
        <v>Close public comment - DEQ best practice, 3 days after last hearing</v>
      </c>
      <c r="AL32" s="76"/>
      <c r="AM32"/>
    </row>
    <row r="33" spans="1:39" s="23" customFormat="1" ht="6" customHeight="1" x14ac:dyDescent="0.2">
      <c r="A33" s="144"/>
      <c r="B33" s="294"/>
      <c r="C33" s="294"/>
      <c r="D33" s="294"/>
      <c r="E33" s="294"/>
      <c r="F33" s="843"/>
      <c r="G33" s="294"/>
      <c r="H33" s="294"/>
      <c r="I33" s="864"/>
      <c r="AE33" s="40"/>
      <c r="AF33" s="326" t="s">
        <v>0</v>
      </c>
      <c r="AG33" s="48"/>
      <c r="AH33" s="60"/>
      <c r="AI33" s="59"/>
      <c r="AJ33" s="155"/>
      <c r="AK33" s="78"/>
      <c r="AL33" s="76"/>
    </row>
    <row r="34" spans="1:39" s="23" customFormat="1" ht="13.5" customHeight="1" x14ac:dyDescent="0.2">
      <c r="A34" s="144"/>
      <c r="B34" s="295" t="s">
        <v>99</v>
      </c>
      <c r="C34" s="269"/>
      <c r="D34" s="780"/>
      <c r="E34" s="780"/>
      <c r="F34" s="841"/>
      <c r="G34" s="852">
        <f>AG34</f>
        <v>41803</v>
      </c>
      <c r="H34" s="852">
        <f>AH34</f>
        <v>42033</v>
      </c>
      <c r="I34" s="863"/>
      <c r="J34"/>
      <c r="K34"/>
      <c r="L34"/>
      <c r="M34"/>
      <c r="N34"/>
      <c r="O34"/>
      <c r="P34"/>
      <c r="Q34"/>
      <c r="R34"/>
      <c r="S34"/>
      <c r="T34"/>
      <c r="U34"/>
      <c r="X34"/>
      <c r="AB34"/>
      <c r="AC34"/>
      <c r="AF34" s="326">
        <v>1</v>
      </c>
      <c r="AG34" s="60">
        <f>S.Notice.SubmitToSOS</f>
        <v>41803</v>
      </c>
      <c r="AH34" s="60">
        <f>S.EQC.SubmitStaffRpt</f>
        <v>42033</v>
      </c>
      <c r="AI34" s="59"/>
      <c r="AJ34" s="154"/>
      <c r="AK34" s="806" t="s">
        <v>584</v>
      </c>
      <c r="AL34" s="76"/>
    </row>
    <row r="35" spans="1:39" s="23" customFormat="1" ht="6" customHeight="1" x14ac:dyDescent="0.2">
      <c r="A35" s="144"/>
      <c r="B35" s="191"/>
      <c r="C35" s="300"/>
      <c r="D35" s="636"/>
      <c r="E35" s="636"/>
      <c r="F35" s="842"/>
      <c r="G35" s="334"/>
      <c r="H35" s="882"/>
      <c r="I35" s="863"/>
      <c r="AE35" s="40"/>
      <c r="AF35" s="326" t="s">
        <v>0</v>
      </c>
      <c r="AG35" s="48"/>
      <c r="AH35" s="48"/>
      <c r="AI35" s="59"/>
      <c r="AJ35" s="155"/>
      <c r="AK35" s="78"/>
      <c r="AL35" s="76"/>
    </row>
    <row r="36" spans="1:39" s="23" customFormat="1" ht="14.1" customHeight="1" thickBot="1" x14ac:dyDescent="0.25">
      <c r="A36" s="156"/>
      <c r="B36" s="337" t="str">
        <f>AK36</f>
        <v>Involvement before Rulemaking Action Item</v>
      </c>
      <c r="C36" s="335"/>
      <c r="D36" s="638"/>
      <c r="E36" s="638"/>
      <c r="F36" s="844"/>
      <c r="G36" s="796" t="s">
        <v>56</v>
      </c>
      <c r="H36" s="797" t="s">
        <v>55</v>
      </c>
      <c r="I36" s="865"/>
      <c r="J36"/>
      <c r="K36"/>
      <c r="L36"/>
      <c r="M36"/>
      <c r="N36"/>
      <c r="O36"/>
      <c r="P36"/>
      <c r="Q36"/>
      <c r="R36"/>
      <c r="S36"/>
      <c r="T36"/>
      <c r="U36"/>
      <c r="X36"/>
      <c r="AB36"/>
      <c r="AC36"/>
      <c r="AF36" s="327">
        <v>1</v>
      </c>
      <c r="AG36" s="48"/>
      <c r="AH36" s="48"/>
      <c r="AI36" s="59"/>
      <c r="AJ36" s="155"/>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thickBot="1" x14ac:dyDescent="0.25">
      <c r="A37" s="156"/>
      <c r="B37" s="324" t="str">
        <f>AK37</f>
        <v>Director's Report - some material comes from monthly status report</v>
      </c>
      <c r="C37" s="421" t="s">
        <v>16</v>
      </c>
      <c r="D37" s="633" t="str">
        <f>HYPERLINK("http://deqsps/groups/eqc/docs/EQCDeadlines.docx","i")</f>
        <v>i</v>
      </c>
      <c r="E37" s="633"/>
      <c r="F37" s="844"/>
      <c r="G37" s="798">
        <f t="shared" ref="G37:H37" si="2">AG37</f>
        <v>41641</v>
      </c>
      <c r="H37" s="799">
        <f t="shared" si="2"/>
        <v>41641</v>
      </c>
      <c r="I37" s="865"/>
      <c r="J37"/>
      <c r="K37"/>
      <c r="L37"/>
      <c r="M37"/>
      <c r="N37"/>
      <c r="O37"/>
      <c r="P37"/>
      <c r="Q37"/>
      <c r="R37"/>
      <c r="S37"/>
      <c r="T37"/>
      <c r="U37"/>
      <c r="X37"/>
      <c r="AB37"/>
      <c r="AC37"/>
      <c r="AF37" s="327">
        <f>IF(S.EQC.DirReport="Y",1,0)</f>
        <v>1</v>
      </c>
      <c r="AG37" s="60">
        <f>IF(S.EQC.DirReport="Y",S.DIRECTOR.Approves.ForDEQRulemakingPlan,)</f>
        <v>41641</v>
      </c>
      <c r="AH37" s="60">
        <f>IF(S.EQC.DirReport="Y",S.DIRECTOR.Approves.ForDEQRulemakingPlan,)</f>
        <v>41641</v>
      </c>
      <c r="AI37" s="150" t="str">
        <f>IF(OR(G37&gt;=S.EQC.Meeting,H37&gt;=S.EQC.Meeting),"Must be less than H13","")</f>
        <v/>
      </c>
      <c r="AJ37" s="155"/>
      <c r="AK37" s="67" t="str">
        <f>IF(S.EQC.DirReport="N","No Director's report requested","Director's Report - some material comes from monthly status report")</f>
        <v>Director's Report - some material comes from monthly status report</v>
      </c>
      <c r="AL37" s="76"/>
    </row>
    <row r="38" spans="1:39" s="23" customFormat="1" ht="14.1" customHeight="1" thickBot="1" x14ac:dyDescent="0.25">
      <c r="A38" s="156"/>
      <c r="B38" s="324" t="str">
        <f>AK38</f>
        <v>Information Item - a presentation to update the EQC</v>
      </c>
      <c r="C38" s="420" t="s">
        <v>16</v>
      </c>
      <c r="D38" s="633" t="str">
        <f>HYPERLINK("http://deqsps/groups/eqc/docs/EQCDeadlines.docx","i")</f>
        <v>i</v>
      </c>
      <c r="E38" s="633"/>
      <c r="F38" s="839" t="s">
        <v>0</v>
      </c>
      <c r="G38" s="800">
        <f>AG38</f>
        <v>42011</v>
      </c>
      <c r="H38" s="801">
        <f>AH38</f>
        <v>42011</v>
      </c>
      <c r="I38" s="862">
        <f>IF(S.EQC.InfoItem="Y",21,0)</f>
        <v>21</v>
      </c>
      <c r="J38"/>
      <c r="K38"/>
      <c r="L38"/>
      <c r="M38"/>
      <c r="N38"/>
      <c r="O38"/>
      <c r="P38"/>
      <c r="Q38"/>
      <c r="R38"/>
      <c r="S38"/>
      <c r="T38"/>
      <c r="U38"/>
      <c r="X38"/>
      <c r="AB38"/>
      <c r="AC38"/>
      <c r="AF38" s="327">
        <f>IF(S.EQC.InfoItem="Y",1,0)</f>
        <v>1</v>
      </c>
      <c r="AG38" s="60">
        <f>IF(S.EQC.InfoItem="Y",VLOOKUP(S.EQC.Meeting,VL_EQCActivities,6,FALSE),)</f>
        <v>42011</v>
      </c>
      <c r="AH38" s="60">
        <f>IF(S.EQC.InfoItem="Y",G38,)</f>
        <v>42011</v>
      </c>
      <c r="AI38" s="150" t="str">
        <f>IF(OR(G38&gt;=S.EQC.Meeting,H38&gt;=S.EQC.Meeting),"Must be less than H13","")</f>
        <v/>
      </c>
      <c r="AJ38" s="155"/>
      <c r="AK38" s="67" t="str">
        <f>IF(S.EQC.InfoItem="N","No information item requested","Information Item - a presentation to update the EQC")</f>
        <v>Information Item - a presentation to update the EQC</v>
      </c>
      <c r="AL38" s="76"/>
    </row>
    <row r="39" spans="1:39" s="23" customFormat="1" ht="14.1" customHeight="1" thickBot="1" x14ac:dyDescent="0.25">
      <c r="A39" s="156"/>
      <c r="B39" s="324" t="str">
        <f>AK39</f>
        <v>Facilitated Hearing</v>
      </c>
      <c r="C39" s="422" t="s">
        <v>16</v>
      </c>
      <c r="D39" s="639"/>
      <c r="E39" s="639"/>
      <c r="F39" s="844"/>
      <c r="G39" s="802">
        <f>AG39</f>
        <v>42011</v>
      </c>
      <c r="H39" s="803">
        <f>AH39</f>
        <v>42011</v>
      </c>
      <c r="I39" s="865"/>
      <c r="J39"/>
      <c r="K39"/>
      <c r="L39"/>
      <c r="M39"/>
      <c r="N39"/>
      <c r="O39"/>
      <c r="P39"/>
      <c r="Q39"/>
      <c r="R39"/>
      <c r="S39"/>
      <c r="T39"/>
      <c r="U39"/>
      <c r="X39"/>
      <c r="AB39"/>
      <c r="AC39"/>
      <c r="AF39" s="327">
        <f>IF(AND(S.Hearing.1stInvolve,S.EQC.FacHearing="Y"),1,0)</f>
        <v>1</v>
      </c>
      <c r="AG39" s="60">
        <f>IF(S.EQC.FacHearing="Y",VLOOKUP(S.EQC.Meeting,VL_EQCActivities,6,FALSE),)</f>
        <v>42011</v>
      </c>
      <c r="AH39" s="60">
        <f>IF(S.EQC.FacHearing="Y",G39,)</f>
        <v>42011</v>
      </c>
      <c r="AI39" s="150" t="str">
        <f>IF(OR(G39&gt;=S.EQC.Meeting,H39&gt;=S.EQC.Meeting),"Must be less than H13","")</f>
        <v/>
      </c>
      <c r="AJ39" s="155"/>
      <c r="AK39" s="67" t="str">
        <f>IF(S.EQC.FacHearing="N","No facilitated hearing requested",IF(AND(S.EQC.FacHearing="Y",S.Hearing.1stInvolve="N"),"ERROR: No hearings selected above","Facilitated Hearing"))</f>
        <v>Facilitated Hearing</v>
      </c>
      <c r="AL39" s="76"/>
    </row>
    <row r="40" spans="1:39" s="23" customFormat="1" ht="6" customHeight="1" x14ac:dyDescent="0.2">
      <c r="A40" s="144"/>
      <c r="B40" s="295" t="s">
        <v>0</v>
      </c>
      <c r="C40" s="300"/>
      <c r="D40" s="637"/>
      <c r="E40" s="637"/>
      <c r="F40" s="844"/>
      <c r="G40" s="301"/>
      <c r="H40" s="302"/>
      <c r="I40" s="865"/>
      <c r="J40"/>
      <c r="K40"/>
      <c r="L40"/>
      <c r="M40"/>
      <c r="N40"/>
      <c r="O40"/>
      <c r="P40"/>
      <c r="Q40"/>
      <c r="R40"/>
      <c r="S40"/>
      <c r="T40"/>
      <c r="U40"/>
      <c r="X40"/>
      <c r="AB40"/>
      <c r="AC40"/>
      <c r="AF40" s="326" t="s">
        <v>0</v>
      </c>
      <c r="AG40" s="64"/>
      <c r="AH40" s="64"/>
      <c r="AI40" s="59"/>
      <c r="AJ40" s="154"/>
      <c r="AK40" s="79"/>
      <c r="AL40" s="76"/>
    </row>
    <row r="41" spans="1:39" s="23" customFormat="1" ht="14.1" customHeight="1" thickBot="1" x14ac:dyDescent="0.25">
      <c r="A41" s="144"/>
      <c r="B41" s="472" t="str">
        <f>AK41</f>
        <v>Rule Publication - submit PERMANENT staff report</v>
      </c>
      <c r="C41" s="303"/>
      <c r="D41" s="640"/>
      <c r="E41" s="640"/>
      <c r="F41" s="839" t="s">
        <v>0</v>
      </c>
      <c r="G41" s="334" t="s">
        <v>0</v>
      </c>
      <c r="H41" s="773">
        <f>AH41</f>
        <v>42033</v>
      </c>
      <c r="I41" s="862">
        <f>S.EQC.Meeting-S.EQC.SubmitStaffRpt</f>
        <v>41</v>
      </c>
      <c r="J41"/>
      <c r="K41"/>
      <c r="L41"/>
      <c r="M41"/>
      <c r="N41"/>
      <c r="O41"/>
      <c r="P41"/>
      <c r="Q41"/>
      <c r="R41"/>
      <c r="S41"/>
      <c r="T41"/>
      <c r="U41"/>
      <c r="X41"/>
      <c r="AB41"/>
      <c r="AC41"/>
      <c r="AF41" s="326">
        <v>1</v>
      </c>
      <c r="AG41" s="48"/>
      <c r="AH41" s="60">
        <f>VLOOKUP(S.EQC.Meeting,VL_EQCActivities,2,FALSE)</f>
        <v>42033</v>
      </c>
      <c r="AI41" s="59" t="s">
        <v>0</v>
      </c>
      <c r="AJ41" s="155"/>
      <c r="AK41" s="67" t="str">
        <f>IF(S.General.RuleType="P","Rule Publication - submit PERMANENT staff report","Rule publication - submit TEMPORARY staff report")</f>
        <v>Rule Publication - submit PERMANENT staff report</v>
      </c>
      <c r="AL41" s="76"/>
    </row>
    <row r="42" spans="1:39" s="165" customFormat="1" ht="14.1" customHeight="1" thickBot="1" x14ac:dyDescent="0.25">
      <c r="A42" s="168"/>
      <c r="B42" s="472" t="str">
        <f>AK42</f>
        <v>EQC meeting - PERMANENT Rulemaking Action Item</v>
      </c>
      <c r="C42" s="982" t="s">
        <v>580</v>
      </c>
      <c r="D42" s="982"/>
      <c r="E42" s="982"/>
      <c r="F42" s="982"/>
      <c r="G42" s="983"/>
      <c r="H42" s="781">
        <v>42074</v>
      </c>
      <c r="I42" s="684"/>
      <c r="J42"/>
      <c r="K42"/>
      <c r="L42"/>
      <c r="M42"/>
      <c r="N42"/>
      <c r="O42"/>
      <c r="P42"/>
      <c r="Q42"/>
      <c r="R42"/>
      <c r="S42"/>
      <c r="T42"/>
      <c r="U42"/>
      <c r="V42" s="23"/>
      <c r="W42" s="23"/>
      <c r="X42"/>
      <c r="Y42" s="23"/>
      <c r="Z42" s="23"/>
      <c r="AA42" s="23"/>
      <c r="AB42"/>
      <c r="AC42"/>
      <c r="AD42" s="23"/>
      <c r="AE42" s="23"/>
      <c r="AF42" s="326">
        <v>1</v>
      </c>
      <c r="AG42" s="48"/>
      <c r="AH42" s="944">
        <f>VLOOKUP(WORKDAY(S.Notice.CloseComment+59,1,S.DDL_DEQClosed),VL_EQCActivities,5,TRUE)</f>
        <v>42011</v>
      </c>
      <c r="AI42" s="434" t="s">
        <v>0</v>
      </c>
      <c r="AJ42" s="312"/>
      <c r="AK42" s="67" t="str">
        <f>IF(S.General.RuleType="P","EQC meeting - PERMANENT Rulemaking Action Item","EQC meeting - TEMPORARY Rulemaking Action Item")</f>
        <v>EQC meeting - PERMANENT Rulemaking Action Item</v>
      </c>
      <c r="AL42" s="76"/>
    </row>
    <row r="43" spans="1:39" s="23" customFormat="1" ht="14.1" hidden="1" customHeight="1" thickBot="1" x14ac:dyDescent="0.25">
      <c r="A43" s="144"/>
      <c r="C43" s="300"/>
      <c r="D43"/>
      <c r="E43" s="779"/>
      <c r="G43" s="966" t="s">
        <v>0</v>
      </c>
      <c r="H43" s="966"/>
      <c r="I43" s="866">
        <v>-55</v>
      </c>
      <c r="J43"/>
      <c r="K43"/>
      <c r="L43"/>
      <c r="M43"/>
      <c r="N43"/>
      <c r="O43"/>
      <c r="P43"/>
      <c r="Q43"/>
      <c r="R43"/>
      <c r="S43"/>
      <c r="T43"/>
      <c r="U43"/>
      <c r="X43"/>
      <c r="AB43"/>
      <c r="AC43"/>
      <c r="AF43" s="326">
        <v>1</v>
      </c>
      <c r="AG43" s="980" t="s">
        <v>640</v>
      </c>
      <c r="AH43" s="980"/>
      <c r="AI43" s="980"/>
      <c r="AJ43" s="980"/>
      <c r="AK43" s="980"/>
      <c r="AL43" s="76"/>
    </row>
    <row r="44" spans="1:39" s="23" customFormat="1" ht="14.1" hidden="1" customHeight="1" thickTop="1" x14ac:dyDescent="0.2">
      <c r="A44" s="144"/>
      <c r="C44" s="300"/>
      <c r="D44"/>
      <c r="G44" s="966"/>
      <c r="H44" s="966"/>
      <c r="I44" s="862">
        <f>SUM(I8:I42)</f>
        <v>412</v>
      </c>
      <c r="J44"/>
      <c r="K44"/>
      <c r="L44"/>
      <c r="M44"/>
      <c r="N44"/>
      <c r="O44"/>
      <c r="P44"/>
      <c r="Q44"/>
      <c r="R44"/>
      <c r="S44"/>
      <c r="T44"/>
      <c r="U44"/>
      <c r="X44"/>
      <c r="AB44"/>
      <c r="AC44"/>
      <c r="AF44" s="326">
        <v>1</v>
      </c>
      <c r="AG44" s="980" t="s">
        <v>641</v>
      </c>
      <c r="AH44" s="980"/>
      <c r="AI44" s="980"/>
      <c r="AJ44" s="980"/>
      <c r="AK44" s="980"/>
      <c r="AL44" s="76"/>
    </row>
    <row r="45" spans="1:39" s="23" customFormat="1" ht="6" customHeight="1" x14ac:dyDescent="0.2">
      <c r="A45" s="144"/>
      <c r="B45" s="294"/>
      <c r="C45" s="294"/>
      <c r="D45" s="294"/>
      <c r="E45" s="294"/>
      <c r="F45" s="294"/>
      <c r="G45" s="294"/>
      <c r="H45" s="294"/>
      <c r="I45" s="684"/>
      <c r="AE45" s="40"/>
      <c r="AF45" s="326" t="s">
        <v>0</v>
      </c>
      <c r="AG45" s="48"/>
      <c r="AH45" s="60"/>
      <c r="AI45" s="59"/>
      <c r="AJ45" s="155"/>
      <c r="AK45" s="79"/>
      <c r="AL45" s="76"/>
    </row>
    <row r="46" spans="1:39" s="23" customFormat="1" ht="15" customHeight="1" x14ac:dyDescent="0.2">
      <c r="A46" s="144"/>
      <c r="B46" s="295" t="s">
        <v>107</v>
      </c>
      <c r="C46" s="269"/>
      <c r="D46" s="780"/>
      <c r="E46" s="780"/>
      <c r="F46" s="302" t="s">
        <v>0</v>
      </c>
      <c r="G46" s="851">
        <f>AG46</f>
        <v>42074</v>
      </c>
      <c r="H46" s="851">
        <f>AH46</f>
        <v>42164</v>
      </c>
      <c r="I46" s="684"/>
      <c r="J46"/>
      <c r="K46"/>
      <c r="L46"/>
      <c r="M46"/>
      <c r="N46"/>
      <c r="O46"/>
      <c r="P46"/>
      <c r="Q46"/>
      <c r="R46"/>
      <c r="S46"/>
      <c r="T46"/>
      <c r="U46"/>
      <c r="X46"/>
      <c r="AB46"/>
      <c r="AC46"/>
      <c r="AF46" s="326">
        <v>1</v>
      </c>
      <c r="AG46" s="60">
        <f>S.EQC.Meeting</f>
        <v>42074</v>
      </c>
      <c r="AH46" s="60">
        <f>WORKDAY(S.PostEQC.BANNER.Begin+89,1,S.DDL_DEQClosed)</f>
        <v>42164</v>
      </c>
      <c r="AI46" s="48"/>
      <c r="AJ46" s="310"/>
      <c r="AK46" s="512" t="s">
        <v>0</v>
      </c>
      <c r="AL46" s="76"/>
    </row>
    <row r="47" spans="1:39" s="23" customFormat="1" ht="15" customHeight="1" thickBot="1" x14ac:dyDescent="0.25">
      <c r="A47" s="144"/>
      <c r="B47" s="191" t="s">
        <v>46</v>
      </c>
      <c r="C47" s="231"/>
      <c r="D47" s="641"/>
      <c r="E47" s="641"/>
      <c r="F47" s="225"/>
      <c r="G47" s="334" t="s">
        <v>0</v>
      </c>
      <c r="H47" s="849">
        <f>AH47</f>
        <v>42076</v>
      </c>
      <c r="I47" s="684"/>
      <c r="J47"/>
      <c r="K47"/>
      <c r="L47"/>
      <c r="M47"/>
      <c r="N47"/>
      <c r="O47"/>
      <c r="P47"/>
      <c r="Q47"/>
      <c r="R47"/>
      <c r="S47"/>
      <c r="T47"/>
      <c r="U47"/>
      <c r="X47"/>
      <c r="AB47"/>
      <c r="AC47"/>
      <c r="AF47" s="326">
        <v>1</v>
      </c>
      <c r="AG47" s="48"/>
      <c r="AH47" s="60">
        <f>WORKDAY(S.EQC.Meeting+1,1,S.DDL_DEQClosed)</f>
        <v>42076</v>
      </c>
      <c r="AI47" s="48"/>
      <c r="AJ47" s="310"/>
      <c r="AK47" s="513" t="s">
        <v>0</v>
      </c>
      <c r="AL47" s="76"/>
    </row>
    <row r="48" spans="1:39" s="23" customFormat="1" ht="15" hidden="1" customHeight="1" thickBot="1" x14ac:dyDescent="0.25">
      <c r="A48" s="144" t="s">
        <v>0</v>
      </c>
      <c r="B48" s="191" t="str">
        <f>AK48</f>
        <v>DAS - fees not involved</v>
      </c>
      <c r="C48" s="231"/>
      <c r="D48" s="641"/>
      <c r="E48" s="641"/>
      <c r="F48" s="225"/>
      <c r="G48" s="334" t="s">
        <v>0</v>
      </c>
      <c r="H48" s="256">
        <f>AH48</f>
        <v>42079</v>
      </c>
      <c r="I48" s="684"/>
      <c r="J48"/>
      <c r="K48"/>
      <c r="L48"/>
      <c r="M48"/>
      <c r="N48"/>
      <c r="O48"/>
      <c r="P48"/>
      <c r="Q48"/>
      <c r="R48"/>
      <c r="S48"/>
      <c r="T48"/>
      <c r="U48"/>
      <c r="X48"/>
      <c r="AB48"/>
      <c r="AC48"/>
      <c r="AF48" s="326">
        <f>IF(S.Fee.Involved="Y",1,0)</f>
        <v>0</v>
      </c>
      <c r="AG48" s="76" t="s">
        <v>0</v>
      </c>
      <c r="AH48" s="60">
        <f>WORKDAY(S.EQC.Meeting+5,0,S.DDL_DEQClosed)</f>
        <v>42079</v>
      </c>
      <c r="AI48" s="48"/>
      <c r="AJ48" s="310"/>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x14ac:dyDescent="0.25">
      <c r="A49" s="144"/>
      <c r="B49" s="784" t="s">
        <v>215</v>
      </c>
      <c r="C49" s="420" t="s">
        <v>16</v>
      </c>
      <c r="D49" s="300"/>
      <c r="E49" s="300"/>
      <c r="F49" s="225"/>
      <c r="G49" s="334" t="s">
        <v>0</v>
      </c>
      <c r="H49" s="256">
        <f>AH49</f>
        <v>42076</v>
      </c>
      <c r="I49" s="684"/>
      <c r="AF49" s="326">
        <v>1</v>
      </c>
      <c r="AG49" s="76" t="s">
        <v>0</v>
      </c>
      <c r="AH49" s="60">
        <f>S.PostEQC.FileRuleWithSOS</f>
        <v>42076</v>
      </c>
      <c r="AI49" s="48"/>
      <c r="AJ49" s="42"/>
      <c r="AK49" s="34" t="s">
        <v>0</v>
      </c>
      <c r="AL49" s="76"/>
      <c r="AM49"/>
    </row>
    <row r="50" spans="1:39" s="23" customFormat="1" ht="15" hidden="1" customHeight="1" x14ac:dyDescent="0.2">
      <c r="A50" s="144"/>
      <c r="B50" s="191" t="str">
        <f>AK50</f>
        <v>EPA - goal to submit SIP within 60 days of adoption</v>
      </c>
      <c r="C50" s="304"/>
      <c r="D50" s="642"/>
      <c r="E50" s="642"/>
      <c r="F50" s="225"/>
      <c r="G50" s="299" t="s">
        <v>0</v>
      </c>
      <c r="H50" s="256">
        <f>AH50</f>
        <v>42135</v>
      </c>
      <c r="I50" s="684"/>
      <c r="J50"/>
      <c r="K50"/>
      <c r="L50"/>
      <c r="M50"/>
      <c r="N50"/>
      <c r="O50"/>
      <c r="P50"/>
      <c r="Q50"/>
      <c r="R50"/>
      <c r="S50"/>
      <c r="T50"/>
      <c r="U50"/>
      <c r="X50"/>
      <c r="AB50"/>
      <c r="AC50"/>
      <c r="AF50" s="327">
        <f>IF(S.SIP.Involved="Y",1,0)</f>
        <v>1</v>
      </c>
      <c r="AG50" s="48"/>
      <c r="AH50" s="60">
        <f>IF(S.SIP.Involved="N",,WORKDAY(S.EQC.Meeting+59,1,S.DDL_DEQClosed))</f>
        <v>42135</v>
      </c>
      <c r="AI50" s="48"/>
      <c r="AJ50" s="310"/>
      <c r="AK50" s="63" t="str">
        <f>IF(S.SIP.Involved="Y","EPA - goal to submit SIP within 60 days of adoption","EPA - SIP not involved")</f>
        <v>EPA - goal to submit SIP within 60 days of adoption</v>
      </c>
      <c r="AL50" s="76"/>
    </row>
    <row r="51" spans="1:39" ht="6.75" customHeight="1" x14ac:dyDescent="0.2">
      <c r="A51" s="144"/>
      <c r="B51" s="279"/>
      <c r="C51" s="265"/>
      <c r="D51" s="643"/>
      <c r="E51" s="643"/>
      <c r="F51" s="280"/>
      <c r="G51" s="305"/>
      <c r="H51" s="265"/>
      <c r="I51" s="684"/>
      <c r="AF51" s="326" t="s">
        <v>0</v>
      </c>
      <c r="AG51" s="58"/>
      <c r="AH51" s="58"/>
      <c r="AI51" s="48"/>
      <c r="AJ51" s="42"/>
      <c r="AK51" s="34"/>
      <c r="AL51" s="76"/>
      <c r="AM51"/>
    </row>
    <row r="52" spans="1:39" s="23" customFormat="1" ht="20.25" customHeight="1" x14ac:dyDescent="0.3">
      <c r="A52" s="144"/>
      <c r="B52" s="103" t="s">
        <v>114</v>
      </c>
      <c r="C52" s="84"/>
      <c r="D52" s="161" t="s">
        <v>47</v>
      </c>
      <c r="E52" s="161"/>
      <c r="F52" s="756"/>
      <c r="G52" s="85" t="s">
        <v>0</v>
      </c>
      <c r="H52" s="85" t="s">
        <v>0</v>
      </c>
      <c r="I52" s="684"/>
      <c r="J52"/>
      <c r="K52"/>
      <c r="L52"/>
      <c r="M52"/>
      <c r="N52"/>
      <c r="O52"/>
      <c r="P52"/>
      <c r="Q52"/>
      <c r="R52"/>
      <c r="S52"/>
      <c r="T52"/>
      <c r="U52"/>
      <c r="X52"/>
      <c r="AB52"/>
      <c r="AC52"/>
      <c r="AF52" s="326" t="s">
        <v>0</v>
      </c>
      <c r="AG52" s="76"/>
      <c r="AH52" s="76"/>
      <c r="AI52" s="59"/>
      <c r="AJ52" s="68"/>
      <c r="AK52" s="58" t="s">
        <v>0</v>
      </c>
      <c r="AL52" s="76"/>
    </row>
    <row r="53" spans="1:39" s="341" customFormat="1" ht="14.1" hidden="1" customHeight="1" outlineLevel="1" x14ac:dyDescent="0.2">
      <c r="A53" s="338"/>
      <c r="B53" s="397" t="str">
        <f>S.General.CodeName</f>
        <v>AQPerm</v>
      </c>
      <c r="C53" s="339" t="s">
        <v>0</v>
      </c>
      <c r="D53" s="339"/>
      <c r="E53" s="339"/>
      <c r="F53" s="347" t="s">
        <v>0</v>
      </c>
      <c r="G53" s="340" t="s">
        <v>45</v>
      </c>
      <c r="H53" s="340" t="s">
        <v>100</v>
      </c>
      <c r="I53" s="684"/>
      <c r="J53"/>
      <c r="K53"/>
      <c r="L53"/>
      <c r="M53"/>
      <c r="N53"/>
      <c r="O53"/>
      <c r="P53"/>
      <c r="Q53"/>
      <c r="R53"/>
      <c r="S53"/>
      <c r="T53"/>
      <c r="U53"/>
      <c r="V53" s="23"/>
      <c r="W53" s="23"/>
      <c r="X53"/>
      <c r="Y53" s="23"/>
      <c r="Z53" s="23"/>
      <c r="AA53" s="23"/>
      <c r="AB53"/>
      <c r="AC53"/>
      <c r="AD53" s="23"/>
      <c r="AE53" s="23"/>
      <c r="AF53" s="343" t="s">
        <v>0</v>
      </c>
      <c r="AG53" s="342"/>
      <c r="AH53" s="342"/>
      <c r="AI53" s="344"/>
      <c r="AJ53" s="345"/>
      <c r="AK53" s="346"/>
      <c r="AL53" s="342"/>
    </row>
    <row r="54" spans="1:39" ht="14.1" hidden="1" customHeight="1" outlineLevel="1" x14ac:dyDescent="0.25">
      <c r="A54" s="144"/>
      <c r="B54" s="348"/>
      <c r="C54" s="350"/>
      <c r="D54" s="113"/>
      <c r="E54" s="113"/>
      <c r="F54" s="351"/>
      <c r="G54" s="188">
        <f>S.DIRECTOR.Approves.ForDEQRulemakingPlan</f>
        <v>41641</v>
      </c>
      <c r="H54" s="188">
        <f>AH54</f>
        <v>41681</v>
      </c>
      <c r="I54" s="684"/>
      <c r="AF54" s="326" t="s">
        <v>0</v>
      </c>
      <c r="AG54" s="60">
        <f>S.DIRECTOR.Approves.ForDEQRulemakingPlan</f>
        <v>41641</v>
      </c>
      <c r="AH54" s="60">
        <f>IF(S.General.RuleType="P",WORKDAY(S.Notice.BANNER.Begin+39,1),S.EQC.BANNER.Begin)</f>
        <v>41681</v>
      </c>
      <c r="AI54" s="60">
        <f>MAX(H120:H214)</f>
        <v>41641</v>
      </c>
      <c r="AJ54" s="68"/>
      <c r="AK54" s="58"/>
      <c r="AL54" s="76"/>
      <c r="AM54"/>
    </row>
    <row r="55" spans="1:39" ht="6" hidden="1" customHeight="1" outlineLevel="1" x14ac:dyDescent="0.2">
      <c r="A55" s="144"/>
      <c r="B55" s="105"/>
      <c r="C55" s="97"/>
      <c r="D55" s="630"/>
      <c r="E55" s="630"/>
      <c r="F55" s="98"/>
      <c r="G55" s="97"/>
      <c r="H55" s="97"/>
      <c r="I55" s="684"/>
      <c r="AF55" s="327" t="s">
        <v>0</v>
      </c>
      <c r="AG55" s="47"/>
      <c r="AH55" s="47"/>
      <c r="AI55" s="69"/>
      <c r="AJ55" s="69"/>
      <c r="AK55" s="35"/>
      <c r="AL55" s="76"/>
      <c r="AM55"/>
    </row>
    <row r="56" spans="1:39" s="23" customFormat="1" ht="12.75" hidden="1" customHeight="1" outlineLevel="1" x14ac:dyDescent="0.2">
      <c r="A56" s="144"/>
      <c r="B56" s="477" t="s">
        <v>659</v>
      </c>
      <c r="C56" s="633" t="str">
        <f>HYPERLINK("\\deqhq1\Rule_Resources\i\Q-Cards\PDF\0-VersionHistory.pdf","i")</f>
        <v>i</v>
      </c>
      <c r="D56" s="631"/>
      <c r="E56" s="631"/>
      <c r="F56"/>
      <c r="G56" s="82"/>
      <c r="H56" s="82"/>
      <c r="I56" s="684"/>
      <c r="J56"/>
      <c r="K56"/>
      <c r="L56"/>
      <c r="M56"/>
      <c r="N56"/>
      <c r="O56"/>
      <c r="P56"/>
      <c r="Q56"/>
      <c r="R56"/>
      <c r="S56"/>
      <c r="T56"/>
      <c r="U56"/>
      <c r="X56"/>
      <c r="AB56"/>
      <c r="AC56"/>
      <c r="AF56" s="327" t="s">
        <v>0</v>
      </c>
      <c r="AG56" s="47"/>
      <c r="AH56" s="47"/>
      <c r="AI56" s="69"/>
      <c r="AJ56" s="69"/>
      <c r="AK56" s="35"/>
      <c r="AL56" s="76"/>
    </row>
    <row r="57" spans="1:39" s="23" customFormat="1" ht="20.25" hidden="1" customHeight="1" outlineLevel="1" x14ac:dyDescent="0.2">
      <c r="A57" s="144"/>
      <c r="B57" s="306" t="s">
        <v>436</v>
      </c>
      <c r="D57" s="170"/>
      <c r="E57" s="170"/>
      <c r="F57"/>
      <c r="G57" s="315"/>
      <c r="H57" s="315"/>
      <c r="I57" s="684"/>
      <c r="J57"/>
      <c r="K57"/>
      <c r="L57"/>
      <c r="M57"/>
      <c r="N57"/>
      <c r="O57"/>
      <c r="P57"/>
      <c r="Q57"/>
      <c r="R57"/>
      <c r="S57"/>
      <c r="T57"/>
      <c r="U57"/>
      <c r="X57"/>
      <c r="AB57"/>
      <c r="AC57"/>
      <c r="AF57" s="326">
        <v>1</v>
      </c>
      <c r="AG57" s="47"/>
      <c r="AH57" s="47"/>
      <c r="AI57" s="59" t="s">
        <v>0</v>
      </c>
      <c r="AJ57" s="43"/>
      <c r="AK57" s="58"/>
      <c r="AL57" s="76"/>
    </row>
    <row r="58" spans="1:39" s="23" customFormat="1" ht="14.1" hidden="1" customHeight="1" outlineLevel="2" x14ac:dyDescent="0.2">
      <c r="A58" s="144"/>
      <c r="B58" s="847" t="str">
        <f t="shared" ref="B58:B98" si="3">AK58</f>
        <v>Subject expert, core team member - Jill</v>
      </c>
      <c r="C58" s="96" t="s">
        <v>0</v>
      </c>
      <c r="D58" s="170"/>
      <c r="E58" s="170"/>
      <c r="F58"/>
      <c r="G58" s="315"/>
      <c r="H58" s="315"/>
      <c r="I58" s="684"/>
      <c r="J58"/>
      <c r="K58"/>
      <c r="L58"/>
      <c r="M58"/>
      <c r="N58"/>
      <c r="O58"/>
      <c r="P58"/>
      <c r="Q58"/>
      <c r="R58"/>
      <c r="S58"/>
      <c r="T58"/>
      <c r="U58"/>
      <c r="X58"/>
      <c r="AB58"/>
      <c r="AC58"/>
      <c r="AF58" s="326">
        <v>1</v>
      </c>
      <c r="AG58" s="47"/>
      <c r="AH58" s="47"/>
      <c r="AI58" s="59"/>
      <c r="AJ58" s="43"/>
      <c r="AK58" s="63" t="str">
        <f>"Subject expert, core team member - "&amp;S.Staff.Subject.Expert.FirstName</f>
        <v>Subject expert, core team member - Jill</v>
      </c>
      <c r="AL58" s="76"/>
    </row>
    <row r="59" spans="1:39" s="23" customFormat="1" ht="14.1" hidden="1" customHeight="1" outlineLevel="2" x14ac:dyDescent="0.2">
      <c r="A59" s="144"/>
      <c r="B59" s="307" t="s">
        <v>625</v>
      </c>
      <c r="C59" s="96"/>
      <c r="D59" s="170"/>
      <c r="E59" s="170"/>
      <c r="G59" s="315"/>
      <c r="H59" s="315"/>
      <c r="I59" s="684"/>
      <c r="AF59" s="326">
        <v>1</v>
      </c>
      <c r="AG59" s="47"/>
      <c r="AH59" s="47"/>
      <c r="AI59" s="59"/>
      <c r="AJ59" s="43"/>
      <c r="AK59" s="35"/>
      <c r="AL59" s="76"/>
    </row>
    <row r="60" spans="1:39" s="23" customFormat="1" ht="14.1" hidden="1" customHeight="1" outlineLevel="2" x14ac:dyDescent="0.2">
      <c r="A60" s="144"/>
      <c r="B60" s="307" t="s">
        <v>634</v>
      </c>
      <c r="C60" s="96"/>
      <c r="D60" s="170"/>
      <c r="E60" s="170"/>
      <c r="G60" s="315"/>
      <c r="H60" s="315"/>
      <c r="I60" s="684"/>
      <c r="AF60" s="326">
        <v>1</v>
      </c>
      <c r="AG60" s="47"/>
      <c r="AH60" s="47"/>
      <c r="AI60" s="59"/>
      <c r="AJ60" s="43"/>
      <c r="AK60" s="35"/>
      <c r="AL60" s="76"/>
    </row>
    <row r="61" spans="1:39" s="23" customFormat="1" ht="14.1" hidden="1" customHeight="1" outlineLevel="2" x14ac:dyDescent="0.2">
      <c r="A61" s="144"/>
      <c r="B61" s="416" t="s">
        <v>632</v>
      </c>
      <c r="C61" s="96"/>
      <c r="D61" s="170"/>
      <c r="E61" s="170"/>
      <c r="G61" s="315"/>
      <c r="H61" s="315"/>
      <c r="I61" s="684"/>
      <c r="AF61" s="326">
        <v>1</v>
      </c>
      <c r="AG61" s="47"/>
      <c r="AH61" s="47"/>
      <c r="AI61" s="59"/>
      <c r="AJ61" s="43"/>
      <c r="AK61" s="35"/>
      <c r="AL61" s="76"/>
    </row>
    <row r="62" spans="1:39" s="23" customFormat="1" ht="14.1" hidden="1" customHeight="1" outlineLevel="2" x14ac:dyDescent="0.2">
      <c r="A62" s="144"/>
      <c r="B62" s="416" t="s">
        <v>633</v>
      </c>
      <c r="C62" s="96"/>
      <c r="D62" s="170"/>
      <c r="E62" s="170"/>
      <c r="G62" s="315"/>
      <c r="H62" s="315"/>
      <c r="I62" s="684"/>
      <c r="AF62" s="326">
        <v>1</v>
      </c>
      <c r="AG62" s="47"/>
      <c r="AH62" s="47"/>
      <c r="AI62" s="59"/>
      <c r="AJ62" s="43"/>
      <c r="AK62" s="35"/>
      <c r="AL62" s="76"/>
    </row>
    <row r="63" spans="1:39" s="23" customFormat="1" ht="14.1" hidden="1" customHeight="1" outlineLevel="2" x14ac:dyDescent="0.2">
      <c r="A63" s="144"/>
      <c r="B63" s="416" t="s">
        <v>631</v>
      </c>
      <c r="C63" s="96"/>
      <c r="D63" s="170"/>
      <c r="E63" s="170"/>
      <c r="G63" s="315"/>
      <c r="H63" s="315"/>
      <c r="I63" s="684"/>
      <c r="AF63" s="326">
        <v>1</v>
      </c>
      <c r="AG63" s="47"/>
      <c r="AH63" s="47"/>
      <c r="AI63" s="59"/>
      <c r="AJ63" s="43"/>
      <c r="AK63" s="35"/>
      <c r="AL63" s="76"/>
    </row>
    <row r="64" spans="1:39" s="23" customFormat="1" ht="14.1" hidden="1" customHeight="1" outlineLevel="2" x14ac:dyDescent="0.2">
      <c r="A64" s="144"/>
      <c r="B64" s="939" t="s">
        <v>703</v>
      </c>
      <c r="C64" s="96"/>
      <c r="D64" s="170"/>
      <c r="E64" s="170"/>
      <c r="G64" s="315"/>
      <c r="H64" s="315"/>
      <c r="I64" s="684"/>
      <c r="AF64" s="326">
        <v>1</v>
      </c>
      <c r="AG64" s="47"/>
      <c r="AH64" s="47"/>
      <c r="AI64" s="59"/>
      <c r="AJ64" s="43"/>
      <c r="AK64" s="35"/>
      <c r="AL64" s="76"/>
    </row>
    <row r="65" spans="1:38" s="23" customFormat="1" ht="14.1" hidden="1" customHeight="1" outlineLevel="2" x14ac:dyDescent="0.2">
      <c r="A65" s="144"/>
      <c r="B65" s="307" t="s">
        <v>630</v>
      </c>
      <c r="C65" s="96"/>
      <c r="D65" s="170"/>
      <c r="E65" s="170"/>
      <c r="G65" s="315"/>
      <c r="H65" s="315"/>
      <c r="I65" s="684"/>
      <c r="AF65" s="326">
        <v>1</v>
      </c>
      <c r="AG65" s="47"/>
      <c r="AH65" s="47"/>
      <c r="AI65" s="59"/>
      <c r="AJ65" s="43"/>
      <c r="AK65" s="35"/>
      <c r="AL65" s="76"/>
    </row>
    <row r="66" spans="1:38" s="23" customFormat="1" ht="14.1" hidden="1" customHeight="1" outlineLevel="2" x14ac:dyDescent="0.2">
      <c r="A66" s="144"/>
      <c r="B66" s="898" t="s">
        <v>656</v>
      </c>
      <c r="C66" s="96"/>
      <c r="D66" s="170"/>
      <c r="E66" s="170"/>
      <c r="G66" s="315"/>
      <c r="H66" s="315"/>
      <c r="I66" s="684"/>
      <c r="AF66" s="326">
        <v>1</v>
      </c>
      <c r="AG66" s="47"/>
      <c r="AH66" s="47"/>
      <c r="AI66" s="59"/>
      <c r="AJ66" s="43"/>
      <c r="AK66" s="35"/>
      <c r="AL66" s="76"/>
    </row>
    <row r="67" spans="1:38" s="897" customFormat="1" ht="14.1" hidden="1" customHeight="1" outlineLevel="2" x14ac:dyDescent="0.2">
      <c r="A67" s="144"/>
      <c r="B67" s="898" t="s">
        <v>657</v>
      </c>
      <c r="C67" s="96"/>
      <c r="D67" s="170"/>
      <c r="E67" s="170"/>
      <c r="G67" s="315"/>
      <c r="H67" s="315"/>
      <c r="I67" s="684"/>
      <c r="AF67" s="326">
        <v>1</v>
      </c>
      <c r="AG67" s="47"/>
      <c r="AH67" s="47"/>
      <c r="AI67" s="59"/>
      <c r="AJ67" s="43"/>
      <c r="AK67" s="35"/>
      <c r="AL67" s="76"/>
    </row>
    <row r="68" spans="1:38" s="23" customFormat="1" ht="14.1" hidden="1" customHeight="1" outlineLevel="2" x14ac:dyDescent="0.2">
      <c r="A68" s="144"/>
      <c r="B68" s="898" t="s">
        <v>658</v>
      </c>
      <c r="C68" s="96"/>
      <c r="D68" s="170"/>
      <c r="E68" s="170"/>
      <c r="G68" s="315"/>
      <c r="H68" s="315"/>
      <c r="I68" s="684"/>
      <c r="AF68" s="326">
        <v>1</v>
      </c>
      <c r="AG68" s="47"/>
      <c r="AH68" s="47"/>
      <c r="AI68" s="59"/>
      <c r="AJ68" s="43"/>
      <c r="AK68" s="35"/>
      <c r="AL68" s="76"/>
    </row>
    <row r="69" spans="1:38" s="23" customFormat="1" ht="14.1" hidden="1" customHeight="1" outlineLevel="2" x14ac:dyDescent="0.2">
      <c r="A69" s="144"/>
      <c r="B69" s="307" t="s">
        <v>635</v>
      </c>
      <c r="C69" s="96"/>
      <c r="D69" s="170"/>
      <c r="E69" s="170"/>
      <c r="G69" s="315"/>
      <c r="H69" s="315"/>
      <c r="I69" s="684"/>
      <c r="AF69" s="326">
        <v>1</v>
      </c>
      <c r="AG69" s="47"/>
      <c r="AH69" s="47"/>
      <c r="AI69" s="59"/>
      <c r="AJ69" s="43"/>
      <c r="AK69" s="35"/>
      <c r="AL69" s="76"/>
    </row>
    <row r="70" spans="1:38" s="23" customFormat="1" ht="14.1" hidden="1" customHeight="1" outlineLevel="2" x14ac:dyDescent="0.2">
      <c r="A70" s="144"/>
      <c r="B70" s="416" t="s">
        <v>636</v>
      </c>
      <c r="F70" s="837"/>
      <c r="G70" s="732"/>
      <c r="I70" s="39"/>
      <c r="AF70" s="326">
        <f>IF(S.Notice.Involved="Y",1,0)</f>
        <v>1</v>
      </c>
      <c r="AG70" s="48"/>
      <c r="AH70" s="47"/>
      <c r="AI70" s="59"/>
      <c r="AJ70" s="310"/>
      <c r="AK70" s="35"/>
      <c r="AL70" s="76"/>
    </row>
    <row r="71" spans="1:38" s="23" customFormat="1" ht="14.1" hidden="1" customHeight="1" outlineLevel="2" x14ac:dyDescent="0.2">
      <c r="A71" s="144"/>
      <c r="B71" s="324" t="str">
        <f>AK71</f>
        <v>- Lydia &amp; Lydia as needed</v>
      </c>
      <c r="F71" s="837"/>
      <c r="G71" s="732"/>
      <c r="I71" s="39"/>
      <c r="AF71" s="326">
        <f>IF(S.Notice.Involved="Y",1,0)</f>
        <v>1</v>
      </c>
      <c r="AG71" s="48"/>
      <c r="AH71" s="47"/>
      <c r="AI71" s="59"/>
      <c r="AJ71" s="310"/>
      <c r="AK71" s="63" t="str">
        <f>"- "&amp;S.Staff.Assistant.DA.ShortName&amp;" &amp; "&amp;S.Staff.DA.ForProgram.FirstName&amp;" as needed"</f>
        <v>- Lydia &amp; Lydia as needed</v>
      </c>
      <c r="AL71" s="76"/>
    </row>
    <row r="72" spans="1:38" s="23" customFormat="1" ht="14.1" hidden="1" customHeight="1" outlineLevel="2" x14ac:dyDescent="0.2">
      <c r="A72" s="144"/>
      <c r="B72" s="847" t="str">
        <f t="shared" si="3"/>
        <v>Sponsoring manager, core team member - Leah</v>
      </c>
      <c r="C72" s="96" t="s">
        <v>0</v>
      </c>
      <c r="D72" s="170"/>
      <c r="E72" s="170"/>
      <c r="F72"/>
      <c r="G72" s="315"/>
      <c r="H72" s="315"/>
      <c r="I72" s="684"/>
      <c r="AF72" s="326">
        <v>1</v>
      </c>
      <c r="AG72" s="47"/>
      <c r="AH72" s="47"/>
      <c r="AI72" s="59"/>
      <c r="AJ72" s="43"/>
      <c r="AK72" s="63" t="str">
        <f>"Sponsoring manager, core team member - "&amp;S.Staff.Program.Mgr.FirstName</f>
        <v>Sponsoring manager, core team member - Leah</v>
      </c>
      <c r="AL72" s="76"/>
    </row>
    <row r="73" spans="1:38" s="23" customFormat="1" ht="14.1" hidden="1" customHeight="1" outlineLevel="2" x14ac:dyDescent="0.2">
      <c r="A73" s="144"/>
      <c r="B73" s="307" t="s">
        <v>626</v>
      </c>
      <c r="C73" s="96"/>
      <c r="D73" s="170"/>
      <c r="E73" s="170"/>
      <c r="G73" s="315"/>
      <c r="H73" s="315"/>
      <c r="I73" s="684"/>
      <c r="AF73" s="326">
        <v>1</v>
      </c>
      <c r="AG73" s="47"/>
      <c r="AH73" s="47"/>
      <c r="AI73" s="59"/>
      <c r="AJ73" s="43"/>
      <c r="AK73" s="63"/>
      <c r="AL73" s="76"/>
    </row>
    <row r="74" spans="1:38" s="23" customFormat="1" ht="14.1" hidden="1" customHeight="1" outlineLevel="2" x14ac:dyDescent="0.2">
      <c r="A74" s="144"/>
      <c r="B74" s="307" t="s">
        <v>652</v>
      </c>
      <c r="C74" s="96"/>
      <c r="D74" s="170"/>
      <c r="E74" s="170"/>
      <c r="G74" s="315"/>
      <c r="H74" s="315"/>
      <c r="I74" s="684"/>
      <c r="AF74" s="326">
        <v>1</v>
      </c>
      <c r="AG74" s="47"/>
      <c r="AH74" s="47"/>
      <c r="AI74" s="59"/>
      <c r="AJ74" s="43"/>
      <c r="AK74" s="35"/>
      <c r="AL74" s="76"/>
    </row>
    <row r="75" spans="1:38" s="23" customFormat="1" ht="14.1" hidden="1" customHeight="1" outlineLevel="2" x14ac:dyDescent="0.2">
      <c r="A75" s="144"/>
      <c r="B75" s="898" t="s">
        <v>653</v>
      </c>
      <c r="C75" s="96"/>
      <c r="D75" s="170"/>
      <c r="E75" s="170"/>
      <c r="G75" s="315"/>
      <c r="H75" s="315"/>
      <c r="I75" s="684"/>
      <c r="AF75" s="326">
        <v>1</v>
      </c>
      <c r="AG75" s="47"/>
      <c r="AH75" s="47"/>
      <c r="AI75" s="59"/>
      <c r="AJ75" s="43"/>
      <c r="AK75" s="35"/>
      <c r="AL75" s="76"/>
    </row>
    <row r="76" spans="1:38" s="23" customFormat="1" ht="14.1" hidden="1" customHeight="1" outlineLevel="2" x14ac:dyDescent="0.2">
      <c r="A76" s="144"/>
      <c r="B76" s="898" t="s">
        <v>654</v>
      </c>
      <c r="C76" s="96"/>
      <c r="D76" s="170"/>
      <c r="E76" s="170"/>
      <c r="G76" s="315"/>
      <c r="H76" s="315"/>
      <c r="I76" s="684"/>
      <c r="AF76" s="326">
        <v>1</v>
      </c>
      <c r="AG76" s="47"/>
      <c r="AH76" s="47"/>
      <c r="AI76" s="59"/>
      <c r="AJ76" s="43"/>
      <c r="AK76" s="35"/>
      <c r="AL76" s="76"/>
    </row>
    <row r="77" spans="1:38" s="23" customFormat="1" ht="14.1" hidden="1" customHeight="1" outlineLevel="2" x14ac:dyDescent="0.2">
      <c r="A77" s="144"/>
      <c r="B77" s="898" t="s">
        <v>655</v>
      </c>
      <c r="C77" s="96"/>
      <c r="D77" s="170"/>
      <c r="E77" s="170"/>
      <c r="G77" s="315"/>
      <c r="H77" s="315"/>
      <c r="I77" s="684"/>
      <c r="AF77" s="326">
        <v>1</v>
      </c>
      <c r="AG77" s="47"/>
      <c r="AH77" s="47"/>
      <c r="AI77" s="59"/>
      <c r="AJ77" s="43"/>
      <c r="AK77" s="35"/>
      <c r="AL77" s="76"/>
    </row>
    <row r="78" spans="1:38" s="23" customFormat="1" ht="14.1" hidden="1" customHeight="1" outlineLevel="2" x14ac:dyDescent="0.2">
      <c r="A78" s="144"/>
      <c r="B78" s="307" t="str">
        <f>AK78</f>
        <v>* leads extra review cycles for Lydia as needed</v>
      </c>
      <c r="F78" s="837"/>
      <c r="G78" s="732"/>
      <c r="I78" s="39"/>
      <c r="AF78" s="326">
        <f>IF(S.Notice.Involved="Y",1,0)</f>
        <v>1</v>
      </c>
      <c r="AG78" s="48"/>
      <c r="AH78" s="47"/>
      <c r="AI78" s="59"/>
      <c r="AJ78" s="310"/>
      <c r="AK78" s="63" t="str">
        <f>"* leads extra review cycles for "&amp;S.Staff.Assistant.DA.ShortName&amp;" as needed"</f>
        <v>* leads extra review cycles for Lydia as needed</v>
      </c>
      <c r="AL78" s="76"/>
    </row>
    <row r="79" spans="1:38" s="23" customFormat="1" ht="14.1" hidden="1" customHeight="1" outlineLevel="2" x14ac:dyDescent="0.2">
      <c r="A79" s="144"/>
      <c r="B79" s="307" t="s">
        <v>635</v>
      </c>
      <c r="C79" s="96"/>
      <c r="D79" s="170"/>
      <c r="E79" s="170"/>
      <c r="G79" s="315"/>
      <c r="H79" s="315"/>
      <c r="I79" s="684"/>
      <c r="AF79" s="326">
        <v>1</v>
      </c>
      <c r="AG79" s="47"/>
      <c r="AH79" s="47"/>
      <c r="AI79" s="59"/>
      <c r="AJ79" s="43"/>
      <c r="AK79" s="35"/>
      <c r="AL79" s="76"/>
    </row>
    <row r="80" spans="1:38" s="23" customFormat="1" ht="14.1" hidden="1" customHeight="1" outlineLevel="2" x14ac:dyDescent="0.2">
      <c r="A80" s="144"/>
      <c r="B80" s="416" t="s">
        <v>636</v>
      </c>
      <c r="F80" s="837"/>
      <c r="G80" s="732"/>
      <c r="I80" s="39"/>
      <c r="AF80" s="326">
        <f>IF(S.Notice.Involved="Y",1,0)</f>
        <v>1</v>
      </c>
      <c r="AG80" s="48"/>
      <c r="AH80" s="47"/>
      <c r="AI80" s="59"/>
      <c r="AJ80" s="310"/>
      <c r="AK80" s="63" t="str">
        <f>"* briefs core team, "&amp;S.Staff.Assistant.DA.ShortName&amp;" &amp; "&amp;S.Staff.DA.ForProgram.FirstName&amp;" as needed"</f>
        <v>* briefs core team, Lydia &amp; Lydia as needed</v>
      </c>
      <c r="AL80" s="76"/>
    </row>
    <row r="81" spans="1:38" s="23" customFormat="1" ht="14.1" hidden="1" customHeight="1" outlineLevel="2" x14ac:dyDescent="0.2">
      <c r="A81" s="144"/>
      <c r="B81" s="324" t="str">
        <f>AK81</f>
        <v>- Lydia &amp; Lydia as needed</v>
      </c>
      <c r="F81" s="837"/>
      <c r="G81" s="732"/>
      <c r="I81" s="39"/>
      <c r="AF81" s="326">
        <f>IF(S.Notice.Involved="Y",1,0)</f>
        <v>1</v>
      </c>
      <c r="AG81" s="48"/>
      <c r="AH81" s="47"/>
      <c r="AI81" s="59"/>
      <c r="AJ81" s="310"/>
      <c r="AK81" s="63" t="str">
        <f>"- "&amp;S.Staff.Assistant.DA.ShortName&amp;" &amp; "&amp;S.Staff.DA.ForProgram.FirstName&amp;" as needed"</f>
        <v>- Lydia &amp; Lydia as needed</v>
      </c>
      <c r="AL81" s="76"/>
    </row>
    <row r="82" spans="1:38" s="23" customFormat="1" ht="14.1" hidden="1" customHeight="1" outlineLevel="2" x14ac:dyDescent="0.2">
      <c r="A82" s="144"/>
      <c r="B82" s="847" t="str">
        <f t="shared" si="3"/>
        <v>Rules group lead, core team member - AndreaG</v>
      </c>
      <c r="C82" s="96" t="s">
        <v>0</v>
      </c>
      <c r="D82" s="170"/>
      <c r="E82" s="170"/>
      <c r="F82"/>
      <c r="G82" s="315"/>
      <c r="H82" s="315"/>
      <c r="I82" s="684"/>
      <c r="J82"/>
      <c r="K82"/>
      <c r="L82"/>
      <c r="M82"/>
      <c r="N82"/>
      <c r="O82"/>
      <c r="P82"/>
      <c r="Q82"/>
      <c r="R82"/>
      <c r="S82"/>
      <c r="T82"/>
      <c r="U82"/>
      <c r="X82"/>
      <c r="AB82"/>
      <c r="AC82"/>
      <c r="AF82" s="326">
        <v>1</v>
      </c>
      <c r="AG82" s="47"/>
      <c r="AH82" s="47"/>
      <c r="AI82" s="59"/>
      <c r="AJ82" s="43"/>
      <c r="AK82" s="63" t="str">
        <f>"Rules group lead, core team member - "&amp;S.Staff.RG.Lead.FirstName</f>
        <v>Rules group lead, core team member - AndreaG</v>
      </c>
      <c r="AL82" s="76"/>
    </row>
    <row r="83" spans="1:38" s="23" customFormat="1" ht="14.1" hidden="1" customHeight="1" outlineLevel="2" x14ac:dyDescent="0.2">
      <c r="A83" s="144"/>
      <c r="B83" s="307" t="s">
        <v>627</v>
      </c>
      <c r="C83" s="96"/>
      <c r="D83" s="170"/>
      <c r="E83" s="170"/>
      <c r="G83" s="315"/>
      <c r="H83" s="315"/>
      <c r="I83" s="684"/>
      <c r="AF83" s="326">
        <v>1</v>
      </c>
      <c r="AG83" s="47"/>
      <c r="AH83" s="47"/>
      <c r="AI83" s="59"/>
      <c r="AJ83" s="43"/>
      <c r="AK83" s="63"/>
      <c r="AL83" s="76"/>
    </row>
    <row r="84" spans="1:38" s="23" customFormat="1" ht="14.1" hidden="1" customHeight="1" outlineLevel="2" x14ac:dyDescent="0.2">
      <c r="A84" s="144"/>
      <c r="B84" s="307" t="s">
        <v>634</v>
      </c>
      <c r="C84" s="96"/>
      <c r="D84" s="170"/>
      <c r="E84" s="170"/>
      <c r="G84" s="315"/>
      <c r="H84" s="315"/>
      <c r="I84" s="684"/>
      <c r="AF84" s="326">
        <v>1</v>
      </c>
      <c r="AG84" s="47"/>
      <c r="AH84" s="47"/>
      <c r="AI84" s="59"/>
      <c r="AJ84" s="43"/>
      <c r="AK84" s="35"/>
      <c r="AL84" s="76"/>
    </row>
    <row r="85" spans="1:38" s="23" customFormat="1" ht="14.1" hidden="1" customHeight="1" outlineLevel="2" x14ac:dyDescent="0.2">
      <c r="A85" s="144"/>
      <c r="B85" s="416" t="s">
        <v>639</v>
      </c>
      <c r="C85" s="96"/>
      <c r="D85" s="170"/>
      <c r="E85" s="170"/>
      <c r="G85" s="315"/>
      <c r="H85" s="315"/>
      <c r="I85" s="684"/>
      <c r="AF85" s="326">
        <v>1</v>
      </c>
      <c r="AG85" s="47"/>
      <c r="AH85" s="47"/>
      <c r="AI85" s="59"/>
      <c r="AJ85" s="43"/>
      <c r="AK85" s="63"/>
      <c r="AL85" s="76"/>
    </row>
    <row r="86" spans="1:38" s="23" customFormat="1" ht="14.1" hidden="1" customHeight="1" outlineLevel="2" x14ac:dyDescent="0.2">
      <c r="A86" s="144"/>
      <c r="B86" s="416" t="s">
        <v>638</v>
      </c>
      <c r="F86" s="837"/>
      <c r="G86" s="732"/>
      <c r="H86" s="297"/>
      <c r="I86" s="39"/>
      <c r="AF86" s="326">
        <f>IF(S.Notice.Involved="Y",1,0)</f>
        <v>1</v>
      </c>
      <c r="AG86" s="48"/>
      <c r="AH86" s="47"/>
      <c r="AI86" s="59"/>
      <c r="AJ86" s="310"/>
      <c r="AK86" s="63" t="str">
        <f>"* keeps "&amp;S.Staff.Assistant.DA.ShortName&amp; " informed about risks, progress &amp; potential delays"</f>
        <v>* keeps Lydia informed about risks, progress &amp; potential delays</v>
      </c>
      <c r="AL86" s="76"/>
    </row>
    <row r="87" spans="1:38" s="23" customFormat="1" ht="14.1" hidden="1" customHeight="1" outlineLevel="2" x14ac:dyDescent="0.2">
      <c r="A87" s="144"/>
      <c r="B87" s="307" t="s">
        <v>628</v>
      </c>
      <c r="C87" s="96"/>
      <c r="D87" s="170"/>
      <c r="E87" s="170"/>
      <c r="G87" s="315"/>
      <c r="H87" s="315"/>
      <c r="I87" s="684"/>
      <c r="AF87" s="326">
        <v>1</v>
      </c>
      <c r="AG87" s="47"/>
      <c r="AH87" s="47"/>
      <c r="AI87" s="59"/>
      <c r="AJ87" s="43"/>
      <c r="AK87" s="63"/>
      <c r="AL87" s="76"/>
    </row>
    <row r="88" spans="1:38" s="23" customFormat="1" ht="14.1" hidden="1" customHeight="1" outlineLevel="2" x14ac:dyDescent="0.2">
      <c r="A88" s="144"/>
      <c r="B88" s="940" t="s">
        <v>704</v>
      </c>
      <c r="C88" s="96"/>
      <c r="D88" s="170"/>
      <c r="E88" s="170"/>
      <c r="G88" s="315"/>
      <c r="H88" s="315"/>
      <c r="I88" s="684"/>
      <c r="AF88" s="326">
        <v>1</v>
      </c>
      <c r="AG88" s="47"/>
      <c r="AH88" s="47"/>
      <c r="AI88" s="59"/>
      <c r="AJ88" s="43"/>
      <c r="AK88" s="63"/>
      <c r="AL88" s="76"/>
    </row>
    <row r="89" spans="1:38" s="23" customFormat="1" ht="14.1" hidden="1" customHeight="1" outlineLevel="2" x14ac:dyDescent="0.2">
      <c r="A89" s="144"/>
      <c r="B89" s="416" t="s">
        <v>623</v>
      </c>
      <c r="C89" s="96"/>
      <c r="D89" s="170"/>
      <c r="E89" s="170"/>
      <c r="G89" s="315"/>
      <c r="H89" s="315"/>
      <c r="I89" s="684"/>
      <c r="AF89" s="326">
        <v>1</v>
      </c>
      <c r="AG89" s="47"/>
      <c r="AH89" s="47"/>
      <c r="AI89" s="59"/>
      <c r="AJ89" s="43"/>
      <c r="AK89" s="63"/>
      <c r="AL89" s="76"/>
    </row>
    <row r="90" spans="1:38" s="23" customFormat="1" ht="14.1" hidden="1" customHeight="1" outlineLevel="2" x14ac:dyDescent="0.2">
      <c r="A90" s="144"/>
      <c r="B90" s="984" t="s">
        <v>637</v>
      </c>
      <c r="C90" s="985"/>
      <c r="D90" s="170"/>
      <c r="E90" s="170"/>
      <c r="G90" s="315"/>
      <c r="H90" s="315"/>
      <c r="I90" s="684"/>
      <c r="AF90" s="326">
        <v>1</v>
      </c>
      <c r="AG90" s="47"/>
      <c r="AH90" s="47"/>
      <c r="AI90" s="59"/>
      <c r="AJ90" s="43"/>
      <c r="AK90" s="63"/>
      <c r="AL90" s="76"/>
    </row>
    <row r="91" spans="1:38" s="899" customFormat="1" ht="14.1" hidden="1" customHeight="1" outlineLevel="2" x14ac:dyDescent="0.2">
      <c r="A91" s="144"/>
      <c r="B91" s="984" t="s">
        <v>660</v>
      </c>
      <c r="C91" s="985"/>
      <c r="D91" s="170"/>
      <c r="E91" s="170"/>
      <c r="G91" s="315"/>
      <c r="H91" s="315"/>
      <c r="I91" s="684"/>
      <c r="AF91" s="326">
        <v>1</v>
      </c>
      <c r="AG91" s="47"/>
      <c r="AH91" s="47"/>
      <c r="AI91" s="59"/>
      <c r="AJ91" s="43"/>
      <c r="AK91" s="63"/>
      <c r="AL91" s="76"/>
    </row>
    <row r="92" spans="1:38" s="23" customFormat="1" ht="14.1" hidden="1" customHeight="1" outlineLevel="2" x14ac:dyDescent="0.2">
      <c r="A92" s="144"/>
      <c r="B92" s="382" t="s">
        <v>661</v>
      </c>
      <c r="C92" s="96"/>
      <c r="D92" s="170"/>
      <c r="E92" s="170"/>
      <c r="G92" s="315"/>
      <c r="H92" s="315"/>
      <c r="I92" s="684"/>
      <c r="AF92" s="326">
        <v>1</v>
      </c>
      <c r="AG92" s="47"/>
      <c r="AH92" s="47"/>
      <c r="AI92" s="59"/>
      <c r="AJ92" s="43"/>
      <c r="AK92" s="63"/>
      <c r="AL92" s="76"/>
    </row>
    <row r="93" spans="1:38" s="23" customFormat="1" ht="14.1" hidden="1" customHeight="1" outlineLevel="2" x14ac:dyDescent="0.2">
      <c r="A93" s="144"/>
      <c r="B93" s="416" t="s">
        <v>629</v>
      </c>
      <c r="C93" s="96"/>
      <c r="D93" s="170"/>
      <c r="E93" s="170"/>
      <c r="G93" s="315"/>
      <c r="H93" s="315"/>
      <c r="I93" s="684"/>
      <c r="AF93" s="326">
        <v>1</v>
      </c>
      <c r="AG93" s="47"/>
      <c r="AH93" s="47"/>
      <c r="AI93" s="59"/>
      <c r="AJ93" s="43"/>
      <c r="AK93" s="63"/>
      <c r="AL93" s="76"/>
    </row>
    <row r="94" spans="1:38" s="23" customFormat="1" ht="14.1" hidden="1" customHeight="1" outlineLevel="2" x14ac:dyDescent="0.2">
      <c r="A94" s="144"/>
      <c r="B94" s="307" t="s">
        <v>624</v>
      </c>
      <c r="F94" s="837"/>
      <c r="G94" s="732"/>
      <c r="H94" s="297"/>
      <c r="I94" s="39"/>
      <c r="AF94" s="326">
        <f>IF(S.Notice.Involved="Y",1,0)</f>
        <v>1</v>
      </c>
      <c r="AG94" s="48"/>
      <c r="AH94" s="47"/>
      <c r="AI94" s="59"/>
      <c r="AJ94" s="310"/>
      <c r="AK94" s="63" t="str">
        <f>"* keeps "&amp;S.Staff.Assistant.DA.ShortName&amp; " informed about risks, progress &amp; potential delays"</f>
        <v>* keeps Lydia informed about risks, progress &amp; potential delays</v>
      </c>
      <c r="AL94" s="76"/>
    </row>
    <row r="95" spans="1:38" s="23" customFormat="1" ht="14.1" hidden="1" customHeight="1" outlineLevel="2" x14ac:dyDescent="0.2">
      <c r="A95" s="144"/>
      <c r="B95" s="307" t="s">
        <v>635</v>
      </c>
      <c r="C95" s="96"/>
      <c r="D95" s="170"/>
      <c r="E95" s="170"/>
      <c r="G95" s="315"/>
      <c r="H95" s="315"/>
      <c r="I95" s="684"/>
      <c r="AF95" s="326">
        <v>1</v>
      </c>
      <c r="AG95" s="47"/>
      <c r="AH95" s="47"/>
      <c r="AI95" s="59"/>
      <c r="AJ95" s="43"/>
      <c r="AK95" s="35"/>
      <c r="AL95" s="76"/>
    </row>
    <row r="96" spans="1:38" s="23" customFormat="1" ht="14.1" hidden="1" customHeight="1" outlineLevel="2" x14ac:dyDescent="0.2">
      <c r="A96" s="144"/>
      <c r="B96" s="416" t="s">
        <v>636</v>
      </c>
      <c r="F96" s="837"/>
      <c r="G96" s="732"/>
      <c r="I96" s="39"/>
      <c r="AF96" s="326">
        <f>IF(S.Notice.Involved="Y",1,0)</f>
        <v>1</v>
      </c>
      <c r="AG96" s="48"/>
      <c r="AH96" s="47"/>
      <c r="AI96" s="59"/>
      <c r="AJ96" s="310"/>
      <c r="AK96" s="63" t="str">
        <f>"* briefs core team, "&amp;S.Staff.Assistant.DA.ShortName&amp;" &amp; "&amp;S.Staff.DA.ForProgram.FirstName&amp;" as needed"</f>
        <v>* briefs core team, Lydia &amp; Lydia as needed</v>
      </c>
      <c r="AL96" s="76"/>
    </row>
    <row r="97" spans="1:38" s="23" customFormat="1" ht="14.1" hidden="1" customHeight="1" outlineLevel="2" x14ac:dyDescent="0.2">
      <c r="A97" s="144"/>
      <c r="B97" s="324" t="str">
        <f>AK97</f>
        <v>- team &amp; Lydia as needed</v>
      </c>
      <c r="F97" s="837"/>
      <c r="G97" s="732"/>
      <c r="I97" s="39"/>
      <c r="AF97" s="326">
        <f>IF(S.Notice.Involved="Y",1,0)</f>
        <v>1</v>
      </c>
      <c r="AG97" s="48"/>
      <c r="AH97" s="47"/>
      <c r="AI97" s="59"/>
      <c r="AJ97" s="310"/>
      <c r="AK97" s="63" t="str">
        <f>"- team &amp; "&amp;S.Staff.DA.ForRulesGroup.FirstName&amp;" as needed"</f>
        <v>- team &amp; Lydia as needed</v>
      </c>
      <c r="AL97" s="76"/>
    </row>
    <row r="98" spans="1:38" s="23" customFormat="1" ht="14.1" hidden="1" customHeight="1" outlineLevel="2" x14ac:dyDescent="0.2">
      <c r="A98" s="144"/>
      <c r="B98" s="847" t="str">
        <f t="shared" si="3"/>
        <v>Program Support Staff - Jill</v>
      </c>
      <c r="C98" s="96" t="s">
        <v>0</v>
      </c>
      <c r="D98" s="170"/>
      <c r="E98" s="170"/>
      <c r="F98"/>
      <c r="G98" s="315"/>
      <c r="H98" s="315"/>
      <c r="I98" s="684"/>
      <c r="AF98" s="326">
        <v>1</v>
      </c>
      <c r="AG98" s="47"/>
      <c r="AH98" s="47"/>
      <c r="AI98" s="59"/>
      <c r="AJ98" s="43"/>
      <c r="AK98" s="63" t="str">
        <f>"Program Support Staff - "&amp;S.Staff.Support</f>
        <v>Program Support Staff - Jill</v>
      </c>
      <c r="AL98" s="76"/>
    </row>
    <row r="99" spans="1:38" s="23" customFormat="1" ht="14.1" hidden="1" customHeight="1" outlineLevel="2" x14ac:dyDescent="0.2">
      <c r="A99" s="144"/>
      <c r="B99" s="847" t="str">
        <f>AK99</f>
        <v>Assistant DA - Lydia</v>
      </c>
      <c r="C99" s="96" t="s">
        <v>0</v>
      </c>
      <c r="D99" s="170"/>
      <c r="E99" s="170"/>
      <c r="F99"/>
      <c r="G99" s="315"/>
      <c r="H99" s="315"/>
      <c r="I99" s="684"/>
      <c r="AF99" s="326">
        <v>1</v>
      </c>
      <c r="AG99" s="47"/>
      <c r="AH99" s="47"/>
      <c r="AI99" s="59"/>
      <c r="AJ99" s="43"/>
      <c r="AK99" s="63" t="str">
        <f>"Assistant DA - "&amp;S.Staff.Assistant.DA.ShortName</f>
        <v>Assistant DA - Lydia</v>
      </c>
      <c r="AL99" s="76"/>
    </row>
    <row r="100" spans="1:38" s="23" customFormat="1" ht="14.1" hidden="1" customHeight="1" outlineLevel="2" x14ac:dyDescent="0.2">
      <c r="A100" s="144"/>
      <c r="B100" s="847" t="str">
        <f>AK100</f>
        <v>DA - Lydia</v>
      </c>
      <c r="C100" s="96" t="s">
        <v>0</v>
      </c>
      <c r="D100" s="170"/>
      <c r="E100" s="170"/>
      <c r="F100"/>
      <c r="G100" s="315"/>
      <c r="H100" s="315"/>
      <c r="I100" s="684"/>
      <c r="AF100" s="326">
        <v>1</v>
      </c>
      <c r="AG100" s="47"/>
      <c r="AH100" s="47"/>
      <c r="AI100" s="59"/>
      <c r="AJ100" s="43"/>
      <c r="AK100" s="63" t="str">
        <f>"DA - "&amp;S.Staff.DA.ForProgram.FirstName</f>
        <v>DA - Lydia</v>
      </c>
      <c r="AL100" s="76"/>
    </row>
    <row r="101" spans="1:38" s="23" customFormat="1" ht="6.75" hidden="1" customHeight="1" outlineLevel="1" x14ac:dyDescent="0.2">
      <c r="A101" s="144"/>
      <c r="B101" s="279"/>
      <c r="C101" s="265"/>
      <c r="D101" s="643"/>
      <c r="E101" s="643"/>
      <c r="F101" s="280"/>
      <c r="G101" s="305"/>
      <c r="H101" s="265"/>
      <c r="I101" s="684"/>
      <c r="AF101" s="326" t="s">
        <v>0</v>
      </c>
      <c r="AG101" s="58"/>
      <c r="AH101" s="58"/>
      <c r="AI101" s="48"/>
      <c r="AJ101" s="42"/>
      <c r="AK101" s="34"/>
      <c r="AL101" s="76"/>
    </row>
    <row r="102" spans="1:38" s="23" customFormat="1" ht="20.25" hidden="1" customHeight="1" outlineLevel="1" x14ac:dyDescent="0.2">
      <c r="A102" s="144"/>
      <c r="B102" s="306" t="s">
        <v>620</v>
      </c>
      <c r="D102" s="170"/>
      <c r="E102" s="170"/>
      <c r="F102"/>
      <c r="G102" s="315"/>
      <c r="H102" s="315"/>
      <c r="I102" s="684"/>
      <c r="AF102" s="326">
        <v>1</v>
      </c>
      <c r="AG102" s="47"/>
      <c r="AH102" s="47"/>
      <c r="AI102" s="59" t="s">
        <v>0</v>
      </c>
      <c r="AJ102" s="43"/>
      <c r="AK102" s="58"/>
      <c r="AL102" s="76"/>
    </row>
    <row r="103" spans="1:38" s="23" customFormat="1" ht="14.1" hidden="1" customHeight="1" outlineLevel="2" x14ac:dyDescent="0.2">
      <c r="A103" s="144" t="s">
        <v>0</v>
      </c>
      <c r="B103" s="721" t="s">
        <v>541</v>
      </c>
      <c r="C103" s="484" t="s">
        <v>0</v>
      </c>
      <c r="D103" s="644"/>
      <c r="E103" s="644"/>
      <c r="F103"/>
      <c r="I103" s="684"/>
      <c r="AF103" s="326">
        <f t="shared" ref="AF103:AF114" si="4">IF(S.Notice.Involved="Y",1,0)</f>
        <v>1</v>
      </c>
      <c r="AG103" s="59"/>
      <c r="AH103" s="59"/>
      <c r="AI103" s="59"/>
      <c r="AJ103" s="59"/>
      <c r="AK103" s="58"/>
      <c r="AL103" s="76"/>
    </row>
    <row r="104" spans="1:38" s="23" customFormat="1" ht="14.1" hidden="1" customHeight="1" outlineLevel="2" x14ac:dyDescent="0.2">
      <c r="A104" s="144"/>
      <c r="B104" s="721" t="s">
        <v>542</v>
      </c>
      <c r="C104" s="484"/>
      <c r="D104" s="644"/>
      <c r="E104" s="644"/>
      <c r="F104"/>
      <c r="I104" s="684"/>
      <c r="AF104" s="326">
        <f t="shared" si="4"/>
        <v>1</v>
      </c>
      <c r="AG104" s="59"/>
      <c r="AH104" s="59"/>
      <c r="AI104" s="59"/>
      <c r="AJ104" s="59"/>
      <c r="AK104" s="58"/>
      <c r="AL104" s="76"/>
    </row>
    <row r="105" spans="1:38" s="23" customFormat="1" ht="14.1" hidden="1" customHeight="1" outlineLevel="2" x14ac:dyDescent="0.2">
      <c r="A105" s="144" t="s">
        <v>0</v>
      </c>
      <c r="B105" s="722" t="str">
        <f>AK105</f>
        <v>http://deqsps/programs/rulemaking/PROGRAM/AQPermdefault.aspx</v>
      </c>
      <c r="C105" s="484" t="s">
        <v>0</v>
      </c>
      <c r="D105" s="644"/>
      <c r="E105" s="644"/>
      <c r="F105"/>
      <c r="I105" s="684"/>
      <c r="AF105" s="326">
        <f t="shared" si="4"/>
        <v>1</v>
      </c>
      <c r="AG105" s="59"/>
      <c r="AH105" s="59"/>
      <c r="AI105" s="59"/>
      <c r="AJ105" s="59"/>
      <c r="AK105" s="73" t="str">
        <f>"http://deqsps/programs/rulemaking/PROGRAM/"&amp;S.General.CodeName&amp;"default.aspx"</f>
        <v>http://deqsps/programs/rulemaking/PROGRAM/AQPermdefault.aspx</v>
      </c>
      <c r="AL105" s="76"/>
    </row>
    <row r="106" spans="1:38" s="23" customFormat="1" ht="14.1" hidden="1" customHeight="1" outlineLevel="2" x14ac:dyDescent="0.2">
      <c r="A106" s="144"/>
      <c r="B106" s="721" t="s">
        <v>543</v>
      </c>
      <c r="C106" s="484"/>
      <c r="D106" s="644"/>
      <c r="E106" s="644"/>
      <c r="F106"/>
      <c r="I106" s="684"/>
      <c r="AF106" s="326">
        <f t="shared" si="4"/>
        <v>1</v>
      </c>
      <c r="AG106" s="59"/>
      <c r="AH106" s="59"/>
      <c r="AI106" s="59"/>
      <c r="AJ106" s="59"/>
      <c r="AK106" s="58"/>
      <c r="AL106" s="76"/>
    </row>
    <row r="107" spans="1:38" s="23" customFormat="1" ht="14.1" hidden="1" customHeight="1" outlineLevel="2" x14ac:dyDescent="0.2">
      <c r="A107" s="144" t="s">
        <v>0</v>
      </c>
      <c r="B107" s="722" t="str">
        <f>AK107</f>
        <v xml:space="preserve">\\deqhq1\Rule_Development\Currrent Plan\AQPerm.aspx </v>
      </c>
      <c r="C107" s="484" t="s">
        <v>0</v>
      </c>
      <c r="D107" s="644"/>
      <c r="E107" s="644"/>
      <c r="F107"/>
      <c r="I107" s="684"/>
      <c r="AF107" s="326">
        <f t="shared" si="4"/>
        <v>1</v>
      </c>
      <c r="AG107" s="59"/>
      <c r="AH107" s="59"/>
      <c r="AI107" s="59"/>
      <c r="AJ107" s="59"/>
      <c r="AK107" s="73" t="str">
        <f>"\\deqhq1\Rule_Development\Currrent Plan\"&amp;S.General.CodeName&amp;".aspx "</f>
        <v xml:space="preserve">\\deqhq1\Rule_Development\Currrent Plan\AQPerm.aspx </v>
      </c>
      <c r="AL107" s="76"/>
    </row>
    <row r="108" spans="1:38" s="23" customFormat="1" ht="14.1" hidden="1" customHeight="1" outlineLevel="2" x14ac:dyDescent="0.2">
      <c r="A108" s="144"/>
      <c r="B108" s="721" t="s">
        <v>538</v>
      </c>
      <c r="C108" s="484"/>
      <c r="D108" s="644"/>
      <c r="E108" s="644"/>
      <c r="F108"/>
      <c r="I108" s="684"/>
      <c r="AF108" s="326">
        <f t="shared" si="4"/>
        <v>1</v>
      </c>
      <c r="AG108" s="59"/>
      <c r="AH108" s="59"/>
      <c r="AI108" s="59"/>
      <c r="AJ108" s="59"/>
      <c r="AK108" s="58"/>
      <c r="AL108" s="76"/>
    </row>
    <row r="109" spans="1:38" s="23" customFormat="1" ht="14.1" hidden="1" customHeight="1" outlineLevel="2" x14ac:dyDescent="0.2">
      <c r="A109" s="144"/>
      <c r="B109" s="392" t="s">
        <v>537</v>
      </c>
      <c r="C109" s="484"/>
      <c r="D109" s="644"/>
      <c r="E109" s="644"/>
      <c r="F109"/>
      <c r="I109" s="684"/>
      <c r="AF109" s="326">
        <f t="shared" si="4"/>
        <v>1</v>
      </c>
      <c r="AG109" s="59"/>
      <c r="AH109" s="59"/>
      <c r="AI109" s="59"/>
      <c r="AJ109" s="59"/>
      <c r="AK109" s="58"/>
      <c r="AL109" s="76"/>
    </row>
    <row r="110" spans="1:38" s="23" customFormat="1" ht="14.1" hidden="1" customHeight="1" outlineLevel="2" x14ac:dyDescent="0.2">
      <c r="A110" s="144" t="s">
        <v>0</v>
      </c>
      <c r="B110" s="722" t="str">
        <f>AK110</f>
        <v>http://www.oregon.gov/deq/RulesandRegulations/Pages/comments/AQPerm.aspx</v>
      </c>
      <c r="C110" s="484" t="s">
        <v>0</v>
      </c>
      <c r="D110" s="644"/>
      <c r="E110" s="644"/>
      <c r="F110"/>
      <c r="I110" s="684"/>
      <c r="J110"/>
      <c r="K110"/>
      <c r="L110"/>
      <c r="M110"/>
      <c r="N110"/>
      <c r="O110"/>
      <c r="P110"/>
      <c r="Q110"/>
      <c r="R110"/>
      <c r="S110"/>
      <c r="T110"/>
      <c r="U110"/>
      <c r="X110"/>
      <c r="AB110"/>
      <c r="AC110"/>
      <c r="AF110" s="326">
        <f t="shared" si="4"/>
        <v>1</v>
      </c>
      <c r="AG110" s="59"/>
      <c r="AH110" s="59"/>
      <c r="AI110" s="59"/>
      <c r="AJ110" s="59"/>
      <c r="AK110" s="73" t="str">
        <f>"http://www.oregon.gov/deq/RulesandRegulations/Pages/comments/"&amp;S.General.CodeName&amp;".aspx"</f>
        <v>http://www.oregon.gov/deq/RulesandRegulations/Pages/comments/AQPerm.aspx</v>
      </c>
      <c r="AL110" s="76"/>
    </row>
    <row r="111" spans="1:38" s="23" customFormat="1" ht="14.1" hidden="1" customHeight="1" outlineLevel="2" x14ac:dyDescent="0.2">
      <c r="A111" s="144"/>
      <c r="B111" s="392" t="s">
        <v>539</v>
      </c>
      <c r="C111" s="484"/>
      <c r="D111" s="644"/>
      <c r="E111" s="644"/>
      <c r="F111"/>
      <c r="I111" s="684"/>
      <c r="AF111" s="326">
        <f t="shared" si="4"/>
        <v>1</v>
      </c>
      <c r="AG111" s="59"/>
      <c r="AH111" s="59"/>
      <c r="AI111" s="59"/>
      <c r="AJ111" s="59"/>
      <c r="AK111" s="58"/>
      <c r="AL111" s="76"/>
    </row>
    <row r="112" spans="1:38" s="23" customFormat="1" ht="14.1" hidden="1" customHeight="1" outlineLevel="2" x14ac:dyDescent="0.2">
      <c r="A112" s="144" t="s">
        <v>0</v>
      </c>
      <c r="B112" s="722" t="str">
        <f>AK112</f>
        <v xml:space="preserve">http://www.oregon.gov/deq/RulesandRegulations/Pages/2014/AQPerm.aspx </v>
      </c>
      <c r="C112" s="484" t="s">
        <v>0</v>
      </c>
      <c r="D112" s="644"/>
      <c r="E112" s="644"/>
      <c r="F112"/>
      <c r="I112" s="684"/>
      <c r="AF112" s="326">
        <f t="shared" si="4"/>
        <v>1</v>
      </c>
      <c r="AG112" s="59"/>
      <c r="AH112" s="59"/>
      <c r="AI112" s="59"/>
      <c r="AJ112" s="59"/>
      <c r="AK112" s="73" t="str">
        <f>"http://www.oregon.gov/deq/RulesandRegulations/Pages/2014/"&amp;S.General.CodeName&amp;".aspx "</f>
        <v xml:space="preserve">http://www.oregon.gov/deq/RulesandRegulations/Pages/2014/AQPerm.aspx </v>
      </c>
      <c r="AL112" s="76"/>
    </row>
    <row r="113" spans="1:38" s="23" customFormat="1" ht="14.1" hidden="1" customHeight="1" outlineLevel="2" x14ac:dyDescent="0.2">
      <c r="A113" s="144"/>
      <c r="B113" s="392" t="s">
        <v>540</v>
      </c>
      <c r="C113" s="484"/>
      <c r="D113" s="644"/>
      <c r="E113" s="644"/>
      <c r="F113"/>
      <c r="I113" s="684"/>
      <c r="AF113" s="326">
        <f t="shared" si="4"/>
        <v>1</v>
      </c>
      <c r="AG113" s="59"/>
      <c r="AH113" s="59"/>
      <c r="AI113" s="59"/>
      <c r="AJ113" s="59"/>
      <c r="AK113" s="58"/>
      <c r="AL113" s="76"/>
    </row>
    <row r="114" spans="1:38" s="23" customFormat="1" ht="14.1" hidden="1" customHeight="1" outlineLevel="2" x14ac:dyDescent="0.2">
      <c r="A114" s="144" t="s">
        <v>0</v>
      </c>
      <c r="B114" s="722" t="str">
        <f>AK114</f>
        <v>Comment-AQPerm@deq.state.or.us</v>
      </c>
      <c r="C114" s="484" t="s">
        <v>0</v>
      </c>
      <c r="D114" s="644"/>
      <c r="E114" s="644"/>
      <c r="F114"/>
      <c r="I114" s="684"/>
      <c r="AF114" s="326">
        <f t="shared" si="4"/>
        <v>1</v>
      </c>
      <c r="AG114" s="59"/>
      <c r="AH114" s="59"/>
      <c r="AI114" s="59"/>
      <c r="AJ114" s="59"/>
      <c r="AK114" s="901" t="str">
        <f>"Comment-"&amp;S.General.CodeName&amp;"@deq.state.or.us"</f>
        <v>Comment-AQPerm@deq.state.or.us</v>
      </c>
      <c r="AL114" s="76"/>
    </row>
    <row r="115" spans="1:38" s="23" customFormat="1" ht="6" hidden="1" customHeight="1" outlineLevel="1" x14ac:dyDescent="0.2">
      <c r="A115" s="144"/>
      <c r="B115" s="191"/>
      <c r="C115" s="96"/>
      <c r="D115" s="170"/>
      <c r="E115" s="170"/>
      <c r="G115" s="315"/>
      <c r="H115" s="315"/>
      <c r="I115" s="684"/>
      <c r="AF115" s="326" t="s">
        <v>0</v>
      </c>
      <c r="AG115" s="47"/>
      <c r="AH115" s="47"/>
      <c r="AI115" s="59"/>
      <c r="AJ115" s="43"/>
      <c r="AK115" s="63"/>
      <c r="AL115" s="76"/>
    </row>
    <row r="116" spans="1:38" s="164" customFormat="1" ht="15.75" hidden="1" customHeight="1" outlineLevel="1" x14ac:dyDescent="0.2">
      <c r="A116" s="354"/>
      <c r="B116" s="461" t="s">
        <v>71</v>
      </c>
      <c r="C116" s="448" t="str">
        <f>HYPERLINK("\\deqhq1\Rule_Resources\Agency Rules Coordinator Responsibilities\0.AgencyWideRulemaking\Annual Rulemaking Plans\Add to idea to plan.pdf","i")</f>
        <v>i</v>
      </c>
      <c r="D116" s="170"/>
      <c r="E116" s="170"/>
      <c r="F116"/>
      <c r="G116" s="666"/>
      <c r="H116" s="666"/>
      <c r="I116" s="867"/>
      <c r="AF116" s="355">
        <v>1</v>
      </c>
      <c r="AG116" s="47"/>
      <c r="AH116" s="47"/>
      <c r="AI116" s="356" t="s">
        <v>0</v>
      </c>
      <c r="AJ116" s="34"/>
      <c r="AK116" s="58"/>
      <c r="AL116" s="76"/>
    </row>
    <row r="117" spans="1:38" s="23" customFormat="1" ht="14.1" hidden="1" customHeight="1" outlineLevel="2" x14ac:dyDescent="0.2">
      <c r="A117" s="144"/>
      <c r="B117" s="232" t="str">
        <f t="shared" ref="B117:B122" si="5">AK117</f>
        <v>Leah discusses developing concept for DEQ Rulemaking Plan with Lydia</v>
      </c>
      <c r="C117" s="96" t="s">
        <v>0</v>
      </c>
      <c r="D117" s="187" t="s">
        <v>0</v>
      </c>
      <c r="E117" s="813"/>
      <c r="F117"/>
      <c r="G117" s="133"/>
      <c r="H117" s="314">
        <f>AH117</f>
        <v>41641</v>
      </c>
      <c r="I117" s="684"/>
      <c r="AF117" s="326">
        <v>1</v>
      </c>
      <c r="AG117" s="47"/>
      <c r="AH117" s="60">
        <f>S.DIRECTOR.Approves.ForDEQRulemakingPlan</f>
        <v>41641</v>
      </c>
      <c r="AI117" s="59" t="s">
        <v>0</v>
      </c>
      <c r="AJ117" s="43"/>
      <c r="AK117" s="63" t="str">
        <f>S.Staff.Program.Mgr.FirstName&amp;" discusses developing concept for DEQ Rulemaking Plan with "&amp;S.Staff.Assistant.DA.ShortName</f>
        <v>Leah discusses developing concept for DEQ Rulemaking Plan with Lydia</v>
      </c>
      <c r="AL117" s="76"/>
    </row>
    <row r="118" spans="1:38" s="23" customFormat="1" ht="14.1" hidden="1" customHeight="1" outlineLevel="2" x14ac:dyDescent="0.2">
      <c r="A118" s="144"/>
      <c r="B118" s="195" t="str">
        <f t="shared" si="5"/>
        <v>Lydia approves concept development work</v>
      </c>
      <c r="C118" s="96" t="s">
        <v>0</v>
      </c>
      <c r="D118" s="187" t="s">
        <v>0</v>
      </c>
      <c r="E118" s="813"/>
      <c r="F118"/>
      <c r="G118" s="133"/>
      <c r="H118" s="314">
        <f>AH118</f>
        <v>41641</v>
      </c>
      <c r="I118" s="684"/>
      <c r="J118"/>
      <c r="K118"/>
      <c r="L118"/>
      <c r="M118"/>
      <c r="N118"/>
      <c r="O118"/>
      <c r="P118"/>
      <c r="Q118"/>
      <c r="R118"/>
      <c r="S118"/>
      <c r="T118"/>
      <c r="U118"/>
      <c r="X118"/>
      <c r="AB118"/>
      <c r="AC118"/>
      <c r="AF118" s="326">
        <v>1</v>
      </c>
      <c r="AG118" s="47"/>
      <c r="AH118" s="60">
        <f>S.DIRECTOR.Approves.ForDEQRulemakingPlan</f>
        <v>41641</v>
      </c>
      <c r="AI118" s="59" t="s">
        <v>0</v>
      </c>
      <c r="AJ118" s="43"/>
      <c r="AK118" s="63" t="str">
        <f>S.Staff.Assistant.DA.ShortName&amp;" approves concept development work"</f>
        <v>Lydia approves concept development work</v>
      </c>
      <c r="AL118" s="76"/>
    </row>
    <row r="119" spans="1:38" s="23" customFormat="1" ht="14.1" hidden="1" customHeight="1" outlineLevel="2" x14ac:dyDescent="0.2">
      <c r="A119" s="144"/>
      <c r="B119" s="232" t="str">
        <f t="shared" si="5"/>
        <v>Leah</v>
      </c>
      <c r="C119" s="96" t="s">
        <v>0</v>
      </c>
      <c r="D119" s="170"/>
      <c r="E119" s="170"/>
      <c r="F119"/>
      <c r="G119" s="315"/>
      <c r="H119" s="315"/>
      <c r="I119" s="684"/>
      <c r="J119"/>
      <c r="K119"/>
      <c r="L119"/>
      <c r="M119"/>
      <c r="N119"/>
      <c r="O119"/>
      <c r="P119"/>
      <c r="Q119"/>
      <c r="R119"/>
      <c r="S119"/>
      <c r="T119"/>
      <c r="U119"/>
      <c r="X119"/>
      <c r="AB119"/>
      <c r="AC119"/>
      <c r="AF119" s="326">
        <v>1</v>
      </c>
      <c r="AG119" s="47"/>
      <c r="AH119" s="47"/>
      <c r="AI119" s="59"/>
      <c r="AJ119" s="43"/>
      <c r="AK119" s="63" t="str">
        <f>S.Staff.Program.Mgr.FirstName</f>
        <v>Leah</v>
      </c>
      <c r="AL119" s="76"/>
    </row>
    <row r="120" spans="1:38" s="23" customFormat="1" ht="14.1" hidden="1" customHeight="1" outlineLevel="2" x14ac:dyDescent="0.25">
      <c r="A120" s="144"/>
      <c r="B120" s="234" t="str">
        <f t="shared" si="5"/>
        <v>* assigns subject expert for the rulemaking</v>
      </c>
      <c r="C120" s="182" t="s">
        <v>0</v>
      </c>
      <c r="D120" s="187" t="s">
        <v>0</v>
      </c>
      <c r="E120" s="813"/>
      <c r="F120"/>
      <c r="G120" s="315"/>
      <c r="H120" s="177">
        <f>AH120</f>
        <v>41641</v>
      </c>
      <c r="I120" s="684"/>
      <c r="J120"/>
      <c r="K120"/>
      <c r="L120"/>
      <c r="M120"/>
      <c r="N120"/>
      <c r="O120"/>
      <c r="P120"/>
      <c r="Q120"/>
      <c r="R120"/>
      <c r="S120"/>
      <c r="T120"/>
      <c r="U120"/>
      <c r="X120"/>
      <c r="AB120"/>
      <c r="AC120"/>
      <c r="AF120" s="326">
        <v>1</v>
      </c>
      <c r="AG120" s="47"/>
      <c r="AH120" s="60">
        <f>H118</f>
        <v>41641</v>
      </c>
      <c r="AI120" s="59"/>
      <c r="AJ120" s="43"/>
      <c r="AK120" s="63" t="str">
        <f>"* assigns subject expert for the rulemaking"</f>
        <v>* assigns subject expert for the rulemaking</v>
      </c>
      <c r="AL120" s="76"/>
    </row>
    <row r="121" spans="1:38" s="23" customFormat="1" ht="14.1" hidden="1" customHeight="1" outlineLevel="2" x14ac:dyDescent="0.25">
      <c r="A121" s="144"/>
      <c r="B121" s="307" t="str">
        <f t="shared" si="5"/>
        <v>(reminder - add work to workplans as needed)</v>
      </c>
      <c r="C121" s="182" t="s">
        <v>0</v>
      </c>
      <c r="D121" s="170" t="s">
        <v>0</v>
      </c>
      <c r="E121" s="170"/>
      <c r="F121"/>
      <c r="G121" s="315"/>
      <c r="H121" s="315"/>
      <c r="I121" s="684"/>
      <c r="J121"/>
      <c r="K121"/>
      <c r="L121"/>
      <c r="M121"/>
      <c r="N121"/>
      <c r="O121"/>
      <c r="P121"/>
      <c r="Q121"/>
      <c r="R121"/>
      <c r="S121"/>
      <c r="T121"/>
      <c r="U121"/>
      <c r="X121"/>
      <c r="AB121"/>
      <c r="AC121"/>
      <c r="AF121" s="326">
        <v>1</v>
      </c>
      <c r="AG121" s="47"/>
      <c r="AH121" s="47"/>
      <c r="AI121" s="59"/>
      <c r="AJ121" s="43"/>
      <c r="AK121" s="63" t="str">
        <f>"(reminder - add work to workplans as needed)"</f>
        <v>(reminder - add work to workplans as needed)</v>
      </c>
      <c r="AL121" s="76"/>
    </row>
    <row r="122" spans="1:38" s="23" customFormat="1" ht="14.1" hidden="1" customHeight="1" outlineLevel="2" x14ac:dyDescent="0.25">
      <c r="A122" s="144"/>
      <c r="B122" s="234" t="str">
        <f t="shared" si="5"/>
        <v>* identify existing Q-Time number for concept development work</v>
      </c>
      <c r="C122" s="182" t="s">
        <v>0</v>
      </c>
      <c r="D122" s="187" t="s">
        <v>0</v>
      </c>
      <c r="E122" s="813"/>
      <c r="F122"/>
      <c r="G122" s="315"/>
      <c r="H122" s="177">
        <f>AH122</f>
        <v>41641</v>
      </c>
      <c r="I122" s="684"/>
      <c r="AF122" s="326">
        <v>1</v>
      </c>
      <c r="AG122" s="47"/>
      <c r="AH122" s="60">
        <f>H118</f>
        <v>41641</v>
      </c>
      <c r="AI122" s="59"/>
      <c r="AJ122" s="43"/>
      <c r="AK122" s="63" t="str">
        <f>"* identify existing Q-Time number for concept development work"</f>
        <v>* identify existing Q-Time number for concept development work</v>
      </c>
      <c r="AL122" s="76"/>
    </row>
    <row r="123" spans="1:38" s="23" customFormat="1" ht="14.1" hidden="1" customHeight="1" outlineLevel="2" x14ac:dyDescent="0.25">
      <c r="A123" s="144"/>
      <c r="B123" s="307" t="s">
        <v>439</v>
      </c>
      <c r="C123" s="182" t="s">
        <v>0</v>
      </c>
      <c r="D123" s="170"/>
      <c r="E123" s="170"/>
      <c r="F123"/>
      <c r="G123" s="316"/>
      <c r="H123" s="316"/>
      <c r="I123" s="684"/>
      <c r="J123"/>
      <c r="K123"/>
      <c r="L123"/>
      <c r="M123"/>
      <c r="N123"/>
      <c r="O123"/>
      <c r="P123"/>
      <c r="Q123"/>
      <c r="R123"/>
      <c r="S123"/>
      <c r="T123"/>
      <c r="U123"/>
      <c r="X123"/>
      <c r="AB123"/>
      <c r="AC123"/>
      <c r="AF123" s="326">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x14ac:dyDescent="0.25">
      <c r="A124" s="144"/>
      <c r="B124" s="232" t="str">
        <f>AK124</f>
        <v>Maggie</v>
      </c>
      <c r="C124" s="182" t="s">
        <v>0</v>
      </c>
      <c r="D124" s="170"/>
      <c r="E124" s="170"/>
      <c r="F124"/>
      <c r="G124" s="316"/>
      <c r="H124" s="316"/>
      <c r="I124" s="684"/>
      <c r="J124"/>
      <c r="K124"/>
      <c r="L124"/>
      <c r="M124"/>
      <c r="N124"/>
      <c r="O124"/>
      <c r="P124"/>
      <c r="Q124"/>
      <c r="R124"/>
      <c r="S124"/>
      <c r="T124"/>
      <c r="U124"/>
      <c r="X124"/>
      <c r="AB124"/>
      <c r="AC124"/>
      <c r="AF124" s="326">
        <v>1</v>
      </c>
      <c r="AG124" s="47"/>
      <c r="AH124" s="47"/>
      <c r="AI124" s="59"/>
      <c r="AJ124" s="43"/>
      <c r="AK124" s="63" t="str">
        <f>S.Staff.AgencyRulesCoordinator</f>
        <v>Maggie</v>
      </c>
      <c r="AL124" s="76"/>
    </row>
    <row r="125" spans="1:38" s="23" customFormat="1" ht="14.1" hidden="1" customHeight="1" outlineLevel="2" x14ac:dyDescent="0.25">
      <c r="A125" s="144"/>
      <c r="B125" s="232" t="s">
        <v>616</v>
      </c>
      <c r="C125" s="182" t="s">
        <v>0</v>
      </c>
      <c r="D125" s="187" t="s">
        <v>0</v>
      </c>
      <c r="E125" s="813"/>
      <c r="F125"/>
      <c r="G125" s="316"/>
      <c r="H125" s="177">
        <f>AH125</f>
        <v>41641</v>
      </c>
      <c r="I125" s="684"/>
      <c r="J125"/>
      <c r="K125"/>
      <c r="L125"/>
      <c r="M125"/>
      <c r="N125"/>
      <c r="O125"/>
      <c r="P125"/>
      <c r="Q125"/>
      <c r="R125"/>
      <c r="S125"/>
      <c r="T125"/>
      <c r="U125"/>
      <c r="X125"/>
      <c r="AB125"/>
      <c r="AC125"/>
      <c r="AF125" s="326">
        <v>1</v>
      </c>
      <c r="AG125" s="47"/>
      <c r="AH125" s="60">
        <f>H118</f>
        <v>41641</v>
      </c>
      <c r="AI125" s="59"/>
      <c r="AJ125" s="43"/>
      <c r="AK125" s="34" t="s">
        <v>0</v>
      </c>
      <c r="AL125" s="76"/>
    </row>
    <row r="126" spans="1:38" s="23" customFormat="1" ht="14.1" hidden="1" customHeight="1" outlineLevel="2" x14ac:dyDescent="0.2">
      <c r="A126" s="144"/>
      <c r="B126" s="234" t="s">
        <v>437</v>
      </c>
      <c r="C126" s="448" t="str">
        <f>HYPERLINK("\\deqhq1\Rule_Development\Currrent Plan","i")</f>
        <v>i</v>
      </c>
      <c r="D126" s="181" t="s">
        <v>0</v>
      </c>
      <c r="E126" s="813"/>
      <c r="F126"/>
      <c r="G126"/>
      <c r="H126"/>
      <c r="I126" s="684"/>
      <c r="J126"/>
      <c r="K126"/>
      <c r="L126"/>
      <c r="M126"/>
      <c r="N126"/>
      <c r="O126"/>
      <c r="P126"/>
      <c r="Q126"/>
      <c r="R126"/>
      <c r="S126"/>
      <c r="T126"/>
      <c r="U126"/>
      <c r="X126"/>
      <c r="AB126"/>
      <c r="AC126"/>
      <c r="AF126" s="326">
        <v>1</v>
      </c>
      <c r="AG126" s="59"/>
      <c r="AH126" s="59"/>
      <c r="AI126" s="59"/>
      <c r="AJ126" s="43"/>
      <c r="AK126" s="34" t="s">
        <v>0</v>
      </c>
      <c r="AL126" s="76"/>
    </row>
    <row r="127" spans="1:38" s="23" customFormat="1" ht="14.1" hidden="1" customHeight="1" outlineLevel="2" x14ac:dyDescent="0.2">
      <c r="A127" s="144"/>
      <c r="B127" s="234" t="s">
        <v>438</v>
      </c>
      <c r="C127" s="448" t="str">
        <f>HYPERLINK("http://deqsps/programs/rulemaking/default.aspx","i")</f>
        <v>i</v>
      </c>
      <c r="D127" s="181" t="s">
        <v>0</v>
      </c>
      <c r="E127" s="813"/>
      <c r="F127"/>
      <c r="I127" s="684"/>
      <c r="AF127" s="326">
        <v>1</v>
      </c>
      <c r="AG127" s="59"/>
      <c r="AH127" s="59"/>
      <c r="AI127" s="59"/>
      <c r="AJ127" s="43"/>
      <c r="AK127" s="34" t="s">
        <v>0</v>
      </c>
      <c r="AL127" s="76"/>
    </row>
    <row r="128" spans="1:38" s="23" customFormat="1" ht="14.1" hidden="1" customHeight="1" outlineLevel="2" x14ac:dyDescent="0.25">
      <c r="A128" s="144"/>
      <c r="B128" s="283" t="s">
        <v>410</v>
      </c>
      <c r="C128" s="182" t="s">
        <v>0</v>
      </c>
      <c r="D128" s="181" t="s">
        <v>0</v>
      </c>
      <c r="E128" s="813"/>
      <c r="F128"/>
      <c r="H128"/>
      <c r="I128" s="684"/>
      <c r="J128"/>
      <c r="K128"/>
      <c r="L128"/>
      <c r="M128"/>
      <c r="N128"/>
      <c r="O128"/>
      <c r="P128"/>
      <c r="Q128"/>
      <c r="R128"/>
      <c r="S128"/>
      <c r="T128"/>
      <c r="U128"/>
      <c r="X128"/>
      <c r="AB128"/>
      <c r="AC128"/>
      <c r="AF128" s="326">
        <v>1</v>
      </c>
      <c r="AG128" s="59"/>
      <c r="AH128" s="59"/>
      <c r="AI128" s="59"/>
      <c r="AJ128" s="43"/>
      <c r="AK128" s="34" t="s">
        <v>0</v>
      </c>
      <c r="AL128" s="76"/>
    </row>
    <row r="129" spans="1:51" ht="14.1" hidden="1" customHeight="1" outlineLevel="2" x14ac:dyDescent="0.25">
      <c r="A129" s="144"/>
      <c r="B129" s="268" t="str">
        <f>AK129</f>
        <v>Leah &amp; Jill participates in work session. Topics include:</v>
      </c>
      <c r="C129" s="476" t="s">
        <v>0</v>
      </c>
      <c r="D129" s="510" t="s">
        <v>0</v>
      </c>
      <c r="E129" s="814"/>
      <c r="F129"/>
      <c r="G129" s="474"/>
      <c r="H129" s="475">
        <f>AH129</f>
        <v>41641</v>
      </c>
      <c r="I129" s="684"/>
      <c r="AF129" s="326">
        <v>1</v>
      </c>
      <c r="AG129" s="48"/>
      <c r="AH129" s="60">
        <f>H125</f>
        <v>41641</v>
      </c>
      <c r="AI129" s="59"/>
      <c r="AJ129" s="43"/>
      <c r="AK129" s="63" t="str">
        <f>S.Staff.Program.Mgr.FirstName&amp;" &amp; "&amp;S.Staff.Subject.Expert.FirstName&amp;" participates in work session. Topics include:"</f>
        <v>Leah &amp; Jill participates in work session. Topics include:</v>
      </c>
      <c r="AL129" s="76"/>
      <c r="AM129"/>
    </row>
    <row r="130" spans="1:51" s="23" customFormat="1" ht="14.1" hidden="1" customHeight="1" outlineLevel="2" x14ac:dyDescent="0.2">
      <c r="A130" s="144" t="s">
        <v>0</v>
      </c>
      <c r="B130" s="363" t="s">
        <v>440</v>
      </c>
      <c r="C130" s="134"/>
      <c r="F130"/>
      <c r="G130" s="134"/>
      <c r="H130" s="134"/>
      <c r="I130" s="684"/>
      <c r="AF130" s="326">
        <v>1</v>
      </c>
      <c r="AG130" s="58"/>
      <c r="AH130" s="58"/>
      <c r="AI130" s="58"/>
      <c r="AJ130" s="43"/>
      <c r="AK130" s="34"/>
      <c r="AL130" s="76"/>
    </row>
    <row r="131" spans="1:51" s="23" customFormat="1" ht="14.1" hidden="1" customHeight="1" outlineLevel="2" x14ac:dyDescent="0.2">
      <c r="A131" s="144"/>
      <c r="B131" s="363" t="s">
        <v>441</v>
      </c>
      <c r="C131" s="134"/>
      <c r="D131"/>
      <c r="F131"/>
      <c r="G131" s="134"/>
      <c r="H131" s="134"/>
      <c r="I131" s="684"/>
      <c r="J131"/>
      <c r="K131"/>
      <c r="L131"/>
      <c r="M131"/>
      <c r="N131"/>
      <c r="O131"/>
      <c r="P131"/>
      <c r="Q131"/>
      <c r="R131"/>
      <c r="S131"/>
      <c r="T131"/>
      <c r="U131"/>
      <c r="X131"/>
      <c r="AB131"/>
      <c r="AC131"/>
      <c r="AF131" s="326">
        <v>1</v>
      </c>
      <c r="AG131" s="58"/>
      <c r="AH131" s="58"/>
      <c r="AI131" s="58"/>
      <c r="AJ131" s="43"/>
      <c r="AK131" s="34"/>
      <c r="AL131" s="76"/>
      <c r="AN131"/>
      <c r="AO131"/>
      <c r="AP131"/>
      <c r="AQ131"/>
      <c r="AR131"/>
      <c r="AS131"/>
      <c r="AT131"/>
      <c r="AU131"/>
      <c r="AV131"/>
      <c r="AW131"/>
      <c r="AX131"/>
      <c r="AY131"/>
    </row>
    <row r="132" spans="1:51" s="23" customFormat="1" ht="14.1" hidden="1" customHeight="1" outlineLevel="2" x14ac:dyDescent="0.2">
      <c r="A132" s="144"/>
      <c r="B132" s="667" t="s">
        <v>442</v>
      </c>
      <c r="C132" s="135"/>
      <c r="D132"/>
      <c r="F132"/>
      <c r="G132" s="136"/>
      <c r="H132" s="137"/>
      <c r="I132" s="684"/>
      <c r="J132"/>
      <c r="K132"/>
      <c r="L132"/>
      <c r="M132"/>
      <c r="N132"/>
      <c r="O132"/>
      <c r="P132"/>
      <c r="Q132"/>
      <c r="R132"/>
      <c r="S132"/>
      <c r="T132"/>
      <c r="U132"/>
      <c r="X132"/>
      <c r="AB132"/>
      <c r="AC132"/>
      <c r="AF132" s="326">
        <v>1</v>
      </c>
      <c r="AG132" s="58"/>
      <c r="AH132" s="58"/>
      <c r="AI132" s="58"/>
      <c r="AJ132" s="43"/>
      <c r="AK132" s="34"/>
      <c r="AL132" s="76"/>
      <c r="AN132"/>
      <c r="AO132"/>
      <c r="AP132"/>
      <c r="AQ132"/>
      <c r="AR132"/>
      <c r="AS132"/>
      <c r="AT132"/>
      <c r="AU132"/>
      <c r="AV132"/>
      <c r="AW132"/>
      <c r="AX132"/>
      <c r="AY132"/>
    </row>
    <row r="133" spans="1:51" s="23" customFormat="1" ht="14.1" hidden="1" customHeight="1" outlineLevel="2" x14ac:dyDescent="0.2">
      <c r="A133" s="144"/>
      <c r="B133" s="667" t="s">
        <v>444</v>
      </c>
      <c r="C133" s="135"/>
      <c r="D133"/>
      <c r="F133"/>
      <c r="G133" s="136"/>
      <c r="H133" s="137"/>
      <c r="I133" s="684"/>
      <c r="J133"/>
      <c r="K133"/>
      <c r="L133"/>
      <c r="M133"/>
      <c r="N133"/>
      <c r="O133"/>
      <c r="P133"/>
      <c r="Q133"/>
      <c r="R133"/>
      <c r="S133"/>
      <c r="T133"/>
      <c r="U133"/>
      <c r="X133"/>
      <c r="AB133"/>
      <c r="AC133"/>
      <c r="AF133" s="326">
        <v>1</v>
      </c>
      <c r="AG133" s="58"/>
      <c r="AH133" s="58"/>
      <c r="AI133" s="58"/>
      <c r="AJ133" s="43"/>
      <c r="AK133" s="34"/>
      <c r="AL133" s="76"/>
      <c r="AN133"/>
      <c r="AO133"/>
      <c r="AP133"/>
      <c r="AQ133"/>
      <c r="AR133"/>
      <c r="AS133"/>
      <c r="AT133"/>
      <c r="AU133"/>
      <c r="AV133"/>
      <c r="AW133"/>
      <c r="AX133"/>
      <c r="AY133"/>
    </row>
    <row r="134" spans="1:51" s="23" customFormat="1" ht="14.1" hidden="1" customHeight="1" outlineLevel="2" x14ac:dyDescent="0.2">
      <c r="A134" s="144"/>
      <c r="B134" s="667" t="s">
        <v>443</v>
      </c>
      <c r="C134" s="135"/>
      <c r="D134"/>
      <c r="F134"/>
      <c r="G134" s="136"/>
      <c r="H134" s="137"/>
      <c r="I134" s="684"/>
      <c r="J134"/>
      <c r="K134"/>
      <c r="L134"/>
      <c r="M134"/>
      <c r="N134"/>
      <c r="O134"/>
      <c r="P134"/>
      <c r="Q134"/>
      <c r="R134"/>
      <c r="S134"/>
      <c r="T134"/>
      <c r="U134"/>
      <c r="X134"/>
      <c r="AB134"/>
      <c r="AC134"/>
      <c r="AF134" s="326">
        <v>1</v>
      </c>
      <c r="AG134" s="58"/>
      <c r="AH134" s="58"/>
      <c r="AI134" s="58"/>
      <c r="AJ134" s="43"/>
      <c r="AK134" s="34"/>
      <c r="AL134" s="76"/>
      <c r="AN134"/>
      <c r="AO134"/>
      <c r="AP134"/>
      <c r="AQ134"/>
      <c r="AR134"/>
      <c r="AS134"/>
      <c r="AT134"/>
      <c r="AU134"/>
      <c r="AV134"/>
      <c r="AW134"/>
      <c r="AX134"/>
      <c r="AY134"/>
    </row>
    <row r="135" spans="1:51" s="23" customFormat="1" ht="14.1" hidden="1" customHeight="1" outlineLevel="2" x14ac:dyDescent="0.25">
      <c r="A135" s="144"/>
      <c r="B135" s="363" t="s">
        <v>445</v>
      </c>
      <c r="C135" s="87"/>
      <c r="D135"/>
      <c r="F135"/>
      <c r="G135" s="136"/>
      <c r="H135" s="137"/>
      <c r="I135" s="684"/>
      <c r="J135"/>
      <c r="K135"/>
      <c r="L135"/>
      <c r="M135"/>
      <c r="N135"/>
      <c r="O135"/>
      <c r="P135"/>
      <c r="Q135"/>
      <c r="R135"/>
      <c r="S135"/>
      <c r="T135"/>
      <c r="U135"/>
      <c r="X135"/>
      <c r="AB135"/>
      <c r="AC135"/>
      <c r="AF135" s="326">
        <v>1</v>
      </c>
      <c r="AG135" s="58"/>
      <c r="AH135" s="58"/>
      <c r="AI135" s="58"/>
      <c r="AJ135" s="43"/>
      <c r="AK135" s="34"/>
      <c r="AL135" s="76"/>
    </row>
    <row r="136" spans="1:51" s="23" customFormat="1" ht="14.1" hidden="1" customHeight="1" outlineLevel="2" x14ac:dyDescent="0.2">
      <c r="A136" s="144"/>
      <c r="B136" s="364" t="s">
        <v>446</v>
      </c>
      <c r="C136" s="448" t="str">
        <f>HYPERLINK("http://www.oregon.gov/deq/RulesandRegulations/Pages/default.aspx","i")</f>
        <v>i</v>
      </c>
      <c r="D136"/>
      <c r="F136"/>
      <c r="G136" s="136"/>
      <c r="H136" s="137"/>
      <c r="I136" s="684"/>
      <c r="J136"/>
      <c r="K136"/>
      <c r="L136"/>
      <c r="M136"/>
      <c r="N136"/>
      <c r="O136"/>
      <c r="P136"/>
      <c r="Q136"/>
      <c r="R136"/>
      <c r="S136"/>
      <c r="T136"/>
      <c r="U136"/>
      <c r="X136"/>
      <c r="AB136"/>
      <c r="AC136"/>
      <c r="AF136" s="326">
        <v>1</v>
      </c>
      <c r="AG136" s="58"/>
      <c r="AH136" s="58"/>
      <c r="AI136" s="58"/>
      <c r="AJ136" s="43"/>
      <c r="AK136" s="34"/>
      <c r="AL136" s="76"/>
      <c r="AN136"/>
      <c r="AO136"/>
      <c r="AP136"/>
      <c r="AQ136"/>
      <c r="AR136"/>
      <c r="AS136"/>
      <c r="AT136"/>
      <c r="AU136"/>
      <c r="AV136"/>
      <c r="AW136"/>
      <c r="AX136"/>
      <c r="AY136"/>
    </row>
    <row r="137" spans="1:51" s="23" customFormat="1" ht="14.1" hidden="1" customHeight="1" outlineLevel="2" x14ac:dyDescent="0.2">
      <c r="A137" s="144"/>
      <c r="B137" s="364" t="s">
        <v>64</v>
      </c>
      <c r="C137" s="448" t="str">
        <f>HYPERLINK("\\deqhq1\Rule_Resources\0.IndividualRulemaking\4-Public Notice\ACTIVE\CodeName.INVITATION.TO.COMMENT.docx","i")</f>
        <v>i</v>
      </c>
      <c r="D137"/>
      <c r="F137"/>
      <c r="G137" s="136"/>
      <c r="H137" s="137"/>
      <c r="I137" s="684"/>
      <c r="J137"/>
      <c r="K137"/>
      <c r="L137"/>
      <c r="M137"/>
      <c r="N137"/>
      <c r="O137"/>
      <c r="P137"/>
      <c r="Q137"/>
      <c r="R137"/>
      <c r="S137"/>
      <c r="T137"/>
      <c r="U137"/>
      <c r="X137"/>
      <c r="AB137"/>
      <c r="AC137"/>
      <c r="AF137" s="326">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x14ac:dyDescent="0.2">
      <c r="A138" s="144"/>
      <c r="B138" s="364" t="s">
        <v>120</v>
      </c>
      <c r="C138" s="135"/>
      <c r="D138"/>
      <c r="F138"/>
      <c r="G138" s="134"/>
      <c r="H138" s="134"/>
      <c r="I138" s="684"/>
      <c r="J138"/>
      <c r="K138"/>
      <c r="L138"/>
      <c r="M138"/>
      <c r="N138"/>
      <c r="O138"/>
      <c r="P138"/>
      <c r="Q138"/>
      <c r="R138"/>
      <c r="S138"/>
      <c r="T138"/>
      <c r="U138"/>
      <c r="X138"/>
      <c r="AB138"/>
      <c r="AC138"/>
      <c r="AF138" s="326">
        <v>1</v>
      </c>
      <c r="AG138" s="58"/>
      <c r="AH138" s="58"/>
      <c r="AI138" s="58"/>
      <c r="AJ138" s="43"/>
      <c r="AK138" s="34"/>
      <c r="AL138" s="76"/>
      <c r="AN138"/>
      <c r="AO138"/>
      <c r="AP138"/>
      <c r="AQ138"/>
      <c r="AR138"/>
      <c r="AS138"/>
      <c r="AT138"/>
      <c r="AU138"/>
      <c r="AV138"/>
      <c r="AW138"/>
      <c r="AX138"/>
      <c r="AY138"/>
    </row>
    <row r="139" spans="1:51" s="23" customFormat="1" ht="14.1" hidden="1" customHeight="1" outlineLevel="2" x14ac:dyDescent="0.2">
      <c r="A139" s="144"/>
      <c r="B139" s="364" t="s">
        <v>65</v>
      </c>
      <c r="C139" s="448" t="str">
        <f>HYPERLINK("\\deqhq1\Rule_Resources\0.IndividualRulemaking\4-Public Notice\ACTIVE\CodeName.NOTICE.docx","i")</f>
        <v>i</v>
      </c>
      <c r="D139"/>
      <c r="F139"/>
      <c r="G139" s="319"/>
      <c r="H139" s="318"/>
      <c r="I139" s="684"/>
      <c r="J139"/>
      <c r="K139"/>
      <c r="L139"/>
      <c r="M139"/>
      <c r="N139"/>
      <c r="O139"/>
      <c r="P139"/>
      <c r="Q139"/>
      <c r="R139"/>
      <c r="S139"/>
      <c r="T139"/>
      <c r="U139"/>
      <c r="X139"/>
      <c r="AB139"/>
      <c r="AC139"/>
      <c r="AF139" s="326">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x14ac:dyDescent="0.2">
      <c r="A140" s="144"/>
      <c r="B140" s="364" t="s">
        <v>66</v>
      </c>
      <c r="C140" s="448" t="str">
        <f>HYPERLINK("\\deqhq1\Rule_Resources\0.IndividualRulemaking\3-Fee Approval\FEE.ANALYSIS.docx","i")</f>
        <v>i</v>
      </c>
      <c r="D140"/>
      <c r="F140"/>
      <c r="G140" s="137"/>
      <c r="H140" s="137"/>
      <c r="I140" s="684"/>
      <c r="J140"/>
      <c r="K140"/>
      <c r="L140"/>
      <c r="M140"/>
      <c r="N140"/>
      <c r="O140"/>
      <c r="P140"/>
      <c r="Q140"/>
      <c r="R140"/>
      <c r="S140"/>
      <c r="T140"/>
      <c r="U140"/>
      <c r="X140"/>
      <c r="AB140"/>
      <c r="AC140"/>
      <c r="AF140" s="326">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x14ac:dyDescent="0.2">
      <c r="A141" s="144"/>
      <c r="B141" s="364" t="str">
        <f>AK141</f>
        <v>- STAFF.RPT.Permanent  (blank in folder 6)</v>
      </c>
      <c r="C141" s="448" t="str">
        <f>HYPERLINK("\\deqhq1\Rule_Resources\0.IndividualRulemaking\6-EQC Preparation","i")</f>
        <v>i</v>
      </c>
      <c r="D141"/>
      <c r="F141"/>
      <c r="G141" s="137"/>
      <c r="H141" s="137"/>
      <c r="I141" s="684"/>
      <c r="J141"/>
      <c r="K141"/>
      <c r="L141"/>
      <c r="M141"/>
      <c r="N141"/>
      <c r="O141"/>
      <c r="P141"/>
      <c r="Q141"/>
      <c r="R141"/>
      <c r="S141"/>
      <c r="T141"/>
      <c r="U141"/>
      <c r="X141"/>
      <c r="AB141"/>
      <c r="AC141"/>
      <c r="AF141" s="326">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x14ac:dyDescent="0.25">
      <c r="A142" s="144"/>
      <c r="B142" s="363" t="s">
        <v>156</v>
      </c>
      <c r="C142" s="87"/>
      <c r="D142"/>
      <c r="F142"/>
      <c r="G142" s="136"/>
      <c r="H142" s="137"/>
      <c r="I142" s="684"/>
      <c r="J142"/>
      <c r="K142"/>
      <c r="L142"/>
      <c r="M142"/>
      <c r="N142"/>
      <c r="O142"/>
      <c r="P142"/>
      <c r="Q142"/>
      <c r="R142"/>
      <c r="S142"/>
      <c r="T142"/>
      <c r="U142"/>
      <c r="X142"/>
      <c r="AB142"/>
      <c r="AC142"/>
      <c r="AF142" s="326">
        <v>1</v>
      </c>
      <c r="AG142" s="58"/>
      <c r="AH142" s="58"/>
      <c r="AI142" s="58"/>
      <c r="AJ142" s="43"/>
      <c r="AK142" s="34"/>
      <c r="AL142" s="76"/>
      <c r="AN142"/>
      <c r="AO142"/>
      <c r="AP142"/>
      <c r="AQ142"/>
      <c r="AR142"/>
      <c r="AS142"/>
      <c r="AT142"/>
      <c r="AU142"/>
      <c r="AV142"/>
      <c r="AW142"/>
      <c r="AX142"/>
      <c r="AY142"/>
    </row>
    <row r="143" spans="1:51" s="23" customFormat="1" ht="14.1" hidden="1" customHeight="1" outlineLevel="2" x14ac:dyDescent="0.25">
      <c r="A143" s="144"/>
      <c r="B143" s="364" t="s">
        <v>96</v>
      </c>
      <c r="C143" s="87"/>
      <c r="D143"/>
      <c r="F143"/>
      <c r="G143" s="136"/>
      <c r="H143" s="137"/>
      <c r="I143" s="684"/>
      <c r="J143"/>
      <c r="K143"/>
      <c r="L143"/>
      <c r="M143"/>
      <c r="N143"/>
      <c r="O143"/>
      <c r="P143"/>
      <c r="Q143"/>
      <c r="R143"/>
      <c r="S143"/>
      <c r="T143"/>
      <c r="U143"/>
      <c r="X143"/>
      <c r="AB143"/>
      <c r="AC143"/>
      <c r="AF143" s="326">
        <v>1</v>
      </c>
      <c r="AG143" s="58"/>
      <c r="AH143" s="58"/>
      <c r="AI143" s="58"/>
      <c r="AJ143" s="43"/>
      <c r="AK143" s="34"/>
      <c r="AL143" s="76"/>
      <c r="AN143"/>
      <c r="AO143"/>
      <c r="AP143"/>
      <c r="AQ143"/>
      <c r="AR143"/>
      <c r="AS143"/>
      <c r="AT143"/>
      <c r="AU143"/>
      <c r="AV143"/>
      <c r="AW143"/>
      <c r="AX143"/>
      <c r="AY143"/>
    </row>
    <row r="144" spans="1:51" s="211" customFormat="1" ht="14.1" hidden="1" customHeight="1" outlineLevel="2" x14ac:dyDescent="0.2">
      <c r="A144" s="210"/>
      <c r="B144" s="365" t="s">
        <v>68</v>
      </c>
      <c r="C144" s="212" t="s">
        <v>0</v>
      </c>
      <c r="D144"/>
      <c r="E144" s="23"/>
      <c r="F144"/>
      <c r="G144" s="317"/>
      <c r="H144" s="317"/>
      <c r="I144" s="684"/>
      <c r="J144"/>
      <c r="K144"/>
      <c r="L144"/>
      <c r="M144"/>
      <c r="N144"/>
      <c r="O144"/>
      <c r="P144"/>
      <c r="Q144"/>
      <c r="R144"/>
      <c r="S144"/>
      <c r="T144"/>
      <c r="U144"/>
      <c r="V144" s="23"/>
      <c r="W144" s="23"/>
      <c r="X144"/>
      <c r="Y144" s="23"/>
      <c r="Z144" s="23"/>
      <c r="AA144" s="23"/>
      <c r="AB144"/>
      <c r="AC144"/>
      <c r="AD144" s="23"/>
      <c r="AE144" s="23"/>
      <c r="AF144" s="326">
        <v>1</v>
      </c>
      <c r="AG144" s="214" t="s">
        <v>0</v>
      </c>
      <c r="AH144" s="214"/>
      <c r="AI144" s="215"/>
      <c r="AJ144" s="216"/>
      <c r="AK144" s="216"/>
      <c r="AL144" s="213"/>
    </row>
    <row r="145" spans="1:51" s="23" customFormat="1" ht="14.1" hidden="1" customHeight="1" outlineLevel="2" x14ac:dyDescent="0.2">
      <c r="A145" s="144"/>
      <c r="B145" s="364" t="s">
        <v>67</v>
      </c>
      <c r="C145" s="88"/>
      <c r="D145"/>
      <c r="F145"/>
      <c r="G145" s="318"/>
      <c r="H145" s="134"/>
      <c r="I145" s="684"/>
      <c r="J145"/>
      <c r="K145"/>
      <c r="L145"/>
      <c r="M145"/>
      <c r="N145"/>
      <c r="O145"/>
      <c r="P145"/>
      <c r="Q145"/>
      <c r="R145"/>
      <c r="S145"/>
      <c r="T145"/>
      <c r="U145"/>
      <c r="X145"/>
      <c r="AB145"/>
      <c r="AC145"/>
      <c r="AF145" s="326">
        <v>1</v>
      </c>
      <c r="AG145" s="58"/>
      <c r="AH145" s="58"/>
      <c r="AI145" s="59"/>
      <c r="AJ145" s="43"/>
      <c r="AK145" s="34"/>
      <c r="AL145" s="76"/>
      <c r="AN145"/>
      <c r="AO145"/>
      <c r="AP145"/>
      <c r="AQ145"/>
      <c r="AR145"/>
      <c r="AS145"/>
      <c r="AT145"/>
      <c r="AU145"/>
      <c r="AV145"/>
      <c r="AW145"/>
      <c r="AX145"/>
      <c r="AY145"/>
    </row>
    <row r="146" spans="1:51" ht="14.1" hidden="1" customHeight="1" outlineLevel="2" x14ac:dyDescent="0.2">
      <c r="A146" s="144"/>
      <c r="B146" s="232" t="str">
        <f>AK146</f>
        <v>Jill drafts:</v>
      </c>
      <c r="C146" s="88"/>
      <c r="D146" s="181"/>
      <c r="E146" s="813"/>
      <c r="F146"/>
      <c r="G146" s="177">
        <f>AG146</f>
        <v>41641</v>
      </c>
      <c r="H146" s="177">
        <f>AH146</f>
        <v>41641</v>
      </c>
      <c r="I146" s="684"/>
      <c r="AF146" s="326">
        <v>1</v>
      </c>
      <c r="AG146" s="60">
        <f>H129</f>
        <v>41641</v>
      </c>
      <c r="AH146" s="60">
        <f>G146</f>
        <v>41641</v>
      </c>
      <c r="AI146" s="59"/>
      <c r="AJ146" s="43"/>
      <c r="AK146" s="78" t="str">
        <f>S.Staff.Subject.Expert.FirstName&amp;" drafts:"</f>
        <v>Jill drafts:</v>
      </c>
      <c r="AL146" s="76"/>
      <c r="AM146"/>
    </row>
    <row r="147" spans="1:51" s="23" customFormat="1" ht="14.1" hidden="1" customHeight="1" outlineLevel="2" x14ac:dyDescent="0.25">
      <c r="A147" s="144"/>
      <c r="B147" s="267" t="s">
        <v>449</v>
      </c>
      <c r="C147" s="502"/>
      <c r="D147" s="645"/>
      <c r="E147" s="645"/>
      <c r="F147"/>
      <c r="G147" s="90" t="s">
        <v>0</v>
      </c>
      <c r="H147" s="90"/>
      <c r="I147" s="684"/>
      <c r="AF147" s="326">
        <f>IF(S.Planning.DecisionToAddToPlan="A",1,0)</f>
        <v>1</v>
      </c>
      <c r="AG147" s="58"/>
      <c r="AH147" s="58"/>
      <c r="AI147" s="59"/>
      <c r="AJ147" s="62"/>
      <c r="AK147" s="72" t="s">
        <v>0</v>
      </c>
      <c r="AL147" s="76"/>
    </row>
    <row r="148" spans="1:51" s="23" customFormat="1" ht="14.1" hidden="1" customHeight="1" outlineLevel="2" x14ac:dyDescent="0.25">
      <c r="A148" s="144"/>
      <c r="B148" s="267" t="s">
        <v>451</v>
      </c>
      <c r="C148" s="502"/>
      <c r="D148" s="645"/>
      <c r="E148" s="645"/>
      <c r="F148"/>
      <c r="G148" s="90" t="s">
        <v>0</v>
      </c>
      <c r="H148" s="90"/>
      <c r="I148" s="684"/>
      <c r="AF148" s="326">
        <f>IF(S.Planning.DecisionToAddToPlan="A",1,0)</f>
        <v>1</v>
      </c>
      <c r="AG148" s="58"/>
      <c r="AH148" s="58"/>
      <c r="AI148" s="59"/>
      <c r="AJ148" s="62"/>
      <c r="AK148" s="72" t="s">
        <v>0</v>
      </c>
      <c r="AL148" s="76"/>
    </row>
    <row r="149" spans="1:51" s="23" customFormat="1" ht="14.1" hidden="1" customHeight="1" outlineLevel="2" x14ac:dyDescent="0.25">
      <c r="A149" s="144" t="s">
        <v>0</v>
      </c>
      <c r="B149" s="267" t="s">
        <v>450</v>
      </c>
      <c r="C149" s="502"/>
      <c r="D149" s="645"/>
      <c r="E149" s="645"/>
      <c r="F149"/>
      <c r="G149" s="90" t="s">
        <v>0</v>
      </c>
      <c r="H149" s="90"/>
      <c r="I149" s="684"/>
      <c r="AF149" s="326">
        <f>IF(S.Planning.DecisionToAddToPlan="A",1,0)</f>
        <v>1</v>
      </c>
      <c r="AG149" s="58"/>
      <c r="AH149" s="58"/>
      <c r="AI149" s="59"/>
      <c r="AJ149" s="62"/>
      <c r="AK149" s="72" t="s">
        <v>0</v>
      </c>
      <c r="AL149" s="76"/>
    </row>
    <row r="150" spans="1:51" s="23" customFormat="1" ht="14.1" hidden="1" customHeight="1" outlineLevel="2" x14ac:dyDescent="0.2">
      <c r="A150" s="144"/>
      <c r="B150" s="232" t="str">
        <f>AK150</f>
        <v>Jill gets consenus from Leah &amp; AndreaG on workbooks</v>
      </c>
      <c r="C150" s="88"/>
      <c r="D150" s="181"/>
      <c r="E150" s="813"/>
      <c r="F150"/>
      <c r="H150" s="177">
        <f>AH150</f>
        <v>41641</v>
      </c>
      <c r="I150" s="684"/>
      <c r="AF150" s="326">
        <v>1</v>
      </c>
      <c r="AG150" s="58"/>
      <c r="AH150" s="60">
        <f>S.Planning.DraftWorkbooksEnd</f>
        <v>41641</v>
      </c>
      <c r="AI150" s="59"/>
      <c r="AJ150" s="43"/>
      <c r="AK150" s="78" t="str">
        <f>S.Staff.Subject.Expert.FirstName&amp;" gets consenus from "&amp;S.Staff.Program.Mgr.FirstName&amp;" &amp; "&amp;S.Staff.RG.Lead.FirstName&amp;" on workbooks"</f>
        <v>Jill gets consenus from Leah &amp; AndreaG on workbooks</v>
      </c>
      <c r="AL150" s="76"/>
    </row>
    <row r="151" spans="1:51" s="23" customFormat="1" ht="14.1" hidden="1" customHeight="1" outlineLevel="2" x14ac:dyDescent="0.2">
      <c r="A151" s="144"/>
      <c r="B151" s="232" t="str">
        <f>AK151</f>
        <v>Leah shares concept with Lydia and may stop/delay/advance concept</v>
      </c>
      <c r="C151" s="88"/>
      <c r="D151" s="181"/>
      <c r="E151" s="813"/>
      <c r="H151" s="177">
        <f>AH151</f>
        <v>41641</v>
      </c>
      <c r="I151" s="684"/>
      <c r="AF151" s="326">
        <v>1</v>
      </c>
      <c r="AG151" s="58"/>
      <c r="AH151" s="60">
        <f>S.Planning.DraftWorkbooksEnd</f>
        <v>41641</v>
      </c>
      <c r="AI151" s="59"/>
      <c r="AJ151" s="43"/>
      <c r="AK151" s="78" t="str">
        <f>S.Staff.Program.Mgr.FirstName&amp;" shares concept with "&amp;S.Staff.Assistant.DA.ShortName&amp;" and may stop/delay/advance concept"</f>
        <v>Leah shares concept with Lydia and may stop/delay/advance concept</v>
      </c>
      <c r="AL151" s="76"/>
    </row>
    <row r="152" spans="1:51" s="23" customFormat="1" ht="14.1" hidden="1" customHeight="1" outlineLevel="2" x14ac:dyDescent="0.2">
      <c r="A152" s="144"/>
      <c r="B152" s="232" t="str">
        <f>AK152</f>
        <v>Lydia shares concept with Lydia and may stop/delay/advance concept</v>
      </c>
      <c r="C152" s="88"/>
      <c r="D152" s="181"/>
      <c r="E152" s="813"/>
      <c r="H152" s="177">
        <f>AH152</f>
        <v>41641</v>
      </c>
      <c r="I152" s="684"/>
      <c r="AF152" s="326">
        <v>1</v>
      </c>
      <c r="AG152" s="58"/>
      <c r="AH152" s="60">
        <f>S.Planning.DraftWorkbooksEnd</f>
        <v>41641</v>
      </c>
      <c r="AI152" s="59"/>
      <c r="AJ152" s="43"/>
      <c r="AK152" s="78" t="str">
        <f>S.Staff.Assistant.DA.ShortName&amp;" shares concept with "&amp;S.Staff.DA.ForProgram.FirstName&amp;" and may stop/delay/advance concept"</f>
        <v>Lydia shares concept with Lydia and may stop/delay/advance concept</v>
      </c>
      <c r="AL152" s="76"/>
    </row>
    <row r="153" spans="1:51" s="23" customFormat="1" ht="14.1" hidden="1" customHeight="1" outlineLevel="2" x14ac:dyDescent="0.2">
      <c r="A153" s="144"/>
      <c r="B153" s="232" t="str">
        <f>AK153</f>
        <v>If advanced, Leah emails AndreaG to indicate  approval</v>
      </c>
      <c r="C153" s="88"/>
      <c r="D153" s="181"/>
      <c r="E153" s="813"/>
      <c r="H153" s="177">
        <f>AH153</f>
        <v>41641</v>
      </c>
      <c r="I153" s="684"/>
      <c r="AF153" s="326">
        <v>1</v>
      </c>
      <c r="AG153" s="58"/>
      <c r="AH153" s="60">
        <f>S.Planning.DraftWorkbooksEnd</f>
        <v>41641</v>
      </c>
      <c r="AI153" s="59"/>
      <c r="AJ153" s="43"/>
      <c r="AK153" s="78" t="str">
        <f>"If advanced, "&amp;S.Staff.Program.Mgr.FirstName&amp;" emails "&amp;S.Staff.RG.Lead.FirstName&amp;" to indicate "&amp;S.Staff.Program.Mgr.Pronoun&amp;" approval"</f>
        <v>If advanced, Leah emails AndreaG to indicate  approval</v>
      </c>
      <c r="AL153" s="76"/>
    </row>
    <row r="154" spans="1:51" s="23" customFormat="1" ht="14.1" hidden="1" customHeight="1" outlineLevel="2" x14ac:dyDescent="0.2">
      <c r="A154" s="144"/>
      <c r="B154" s="283" t="str">
        <f>AK154</f>
        <v>Maggie:</v>
      </c>
      <c r="C154" s="88"/>
      <c r="D154" s="181"/>
      <c r="E154" s="813"/>
      <c r="H154" s="177">
        <f>AH154</f>
        <v>0</v>
      </c>
      <c r="I154" s="684"/>
      <c r="AF154" s="326">
        <v>1</v>
      </c>
      <c r="AG154" s="58"/>
      <c r="AH154" s="60">
        <f>G154</f>
        <v>0</v>
      </c>
      <c r="AI154" s="59"/>
      <c r="AJ154" s="43"/>
      <c r="AK154" s="78" t="str">
        <f>S.Staff.AgencyRulesCoordinator&amp;":"</f>
        <v>Maggie:</v>
      </c>
      <c r="AL154" s="76"/>
    </row>
    <row r="155" spans="1:51" s="23" customFormat="1" ht="14.1" hidden="1" customHeight="1" outlineLevel="2" x14ac:dyDescent="0.2">
      <c r="A155" s="144"/>
      <c r="B155" s="241" t="s">
        <v>618</v>
      </c>
      <c r="C155" s="502"/>
      <c r="D155" s="181"/>
      <c r="E155" s="813"/>
      <c r="G155" s="90" t="s">
        <v>0</v>
      </c>
      <c r="H155" s="90"/>
      <c r="I155" s="684"/>
      <c r="AF155" s="326">
        <f>IF(S.Planning.DecisionToAddToPlan="A",1,0)</f>
        <v>1</v>
      </c>
      <c r="AG155" s="58"/>
      <c r="AH155" s="58"/>
      <c r="AI155" s="59"/>
      <c r="AJ155" s="62"/>
      <c r="AK155" s="72" t="s">
        <v>0</v>
      </c>
      <c r="AL155" s="76"/>
    </row>
    <row r="156" spans="1:51" s="23" customFormat="1" ht="14.1" hidden="1" customHeight="1" outlineLevel="2" x14ac:dyDescent="0.2">
      <c r="A156" s="144"/>
      <c r="B156" s="835" t="s">
        <v>619</v>
      </c>
      <c r="C156" s="502"/>
      <c r="D156" s="181"/>
      <c r="E156" s="813"/>
      <c r="G156" s="90" t="s">
        <v>0</v>
      </c>
      <c r="H156" s="90"/>
      <c r="I156" s="684"/>
      <c r="AF156" s="326">
        <f>IF(S.Planning.DecisionToAddToPlan="A",1,0)</f>
        <v>1</v>
      </c>
      <c r="AG156" s="58"/>
      <c r="AH156" s="58"/>
      <c r="AI156" s="59"/>
      <c r="AJ156" s="62"/>
      <c r="AK156" s="72" t="s">
        <v>0</v>
      </c>
      <c r="AL156" s="76"/>
    </row>
    <row r="157" spans="1:51" s="23" customFormat="1" ht="14.1" hidden="1" customHeight="1" outlineLevel="2" x14ac:dyDescent="0.2">
      <c r="A157" s="144"/>
      <c r="B157" s="191" t="str">
        <f>AK157</f>
        <v>* shares priority list and factors with Leah &amp; Jill</v>
      </c>
      <c r="C157" s="88"/>
      <c r="D157" s="181"/>
      <c r="E157" s="813"/>
      <c r="H157" s="177">
        <f>AH157</f>
        <v>41641</v>
      </c>
      <c r="I157" s="684"/>
      <c r="AF157" s="326">
        <v>1</v>
      </c>
      <c r="AG157" s="58"/>
      <c r="AH157" s="60">
        <f>S.Planning.DraftWorkbooksEnd</f>
        <v>41641</v>
      </c>
      <c r="AI157" s="59"/>
      <c r="AJ157" s="43"/>
      <c r="AK157" s="78" t="str">
        <f>"* shares priority list and factors with "&amp;S.Staff.Program.Mgr.FirstName&amp;" &amp; "&amp;S.Staff.Subject.Expert.FirstName</f>
        <v>* shares priority list and factors with Leah &amp; Jill</v>
      </c>
      <c r="AL157" s="76"/>
    </row>
    <row r="158" spans="1:51" s="23" customFormat="1" ht="14.1" hidden="1" customHeight="1" outlineLevel="2" x14ac:dyDescent="0.2">
      <c r="A158" s="144"/>
      <c r="B158" s="241" t="s">
        <v>585</v>
      </c>
      <c r="C158" s="502"/>
      <c r="D158" s="181"/>
      <c r="E158" s="813"/>
      <c r="G158" s="90" t="s">
        <v>0</v>
      </c>
      <c r="H158" s="90"/>
      <c r="I158" s="684"/>
      <c r="AF158" s="326">
        <f>IF(S.Planning.DecisionToAddToPlan="A",1,0)</f>
        <v>1</v>
      </c>
      <c r="AG158" s="58"/>
      <c r="AH158" s="58"/>
      <c r="AI158" s="59"/>
      <c r="AJ158" s="62"/>
      <c r="AK158" s="72" t="s">
        <v>0</v>
      </c>
      <c r="AL158" s="76"/>
    </row>
    <row r="159" spans="1:51" s="23" customFormat="1" ht="14.1" hidden="1" customHeight="1" outlineLevel="2" x14ac:dyDescent="0.2">
      <c r="A159" s="144"/>
      <c r="B159" s="191" t="str">
        <f>AK159</f>
        <v>* shares priority listing with Leah &amp; AndreaG</v>
      </c>
      <c r="C159" s="88"/>
      <c r="D159" s="181"/>
      <c r="E159" s="813"/>
      <c r="H159" s="177">
        <f>AH159</f>
        <v>41641</v>
      </c>
      <c r="I159" s="684"/>
      <c r="AF159" s="326">
        <v>1</v>
      </c>
      <c r="AG159" s="58"/>
      <c r="AH159" s="60">
        <f>S.Planning.DraftWorkbooksEnd</f>
        <v>41641</v>
      </c>
      <c r="AI159" s="59"/>
      <c r="AJ159" s="43"/>
      <c r="AK159" s="78" t="str">
        <f>"* shares priority listing with "&amp;S.Staff.Program.Mgr.FirstName&amp;" &amp; "&amp;S.Staff.RG.Lead.FirstName</f>
        <v>* shares priority listing with Leah &amp; AndreaG</v>
      </c>
      <c r="AL159" s="76"/>
    </row>
    <row r="160" spans="1:51" s="23" customFormat="1" ht="14.1" hidden="1" customHeight="1" outlineLevel="2" x14ac:dyDescent="0.25">
      <c r="A160" s="144"/>
      <c r="B160" s="234" t="s">
        <v>622</v>
      </c>
      <c r="C160" s="182" t="s">
        <v>0</v>
      </c>
      <c r="D160" s="184"/>
      <c r="E160" s="815"/>
      <c r="G160" s="316"/>
      <c r="H160" s="316"/>
      <c r="I160" s="684"/>
      <c r="AF160" s="326">
        <v>1</v>
      </c>
      <c r="AG160" s="47"/>
      <c r="AH160" s="47"/>
      <c r="AI160" s="59"/>
      <c r="AJ160" s="43"/>
      <c r="AK160" s="63" t="str">
        <f>S.Staff.Director&amp;":"</f>
        <v>Dick:</v>
      </c>
      <c r="AL160" s="76"/>
    </row>
    <row r="161" spans="1:39" s="23" customFormat="1" ht="14.1" hidden="1" customHeight="1" outlineLevel="2" x14ac:dyDescent="0.2">
      <c r="A161" s="144"/>
      <c r="B161" s="283" t="str">
        <f>AK161</f>
        <v>Maggie develops work papers and Leadership Team draft email for Dick</v>
      </c>
      <c r="C161" s="447" t="str">
        <f>HYPERLINK("\\deqhq1\Rule_Resources\i\Code.Name.EMAIL.AddToPlan.docx","i")</f>
        <v>i</v>
      </c>
      <c r="D161" s="181" t="s">
        <v>0</v>
      </c>
      <c r="E161" s="813"/>
      <c r="F161"/>
      <c r="G161" s="177">
        <f>AG161</f>
        <v>41641</v>
      </c>
      <c r="H161" s="177">
        <f>AH161</f>
        <v>41641</v>
      </c>
      <c r="I161" s="684"/>
      <c r="J161"/>
      <c r="K161"/>
      <c r="L161"/>
      <c r="M161"/>
      <c r="N161"/>
      <c r="O161"/>
      <c r="P161"/>
      <c r="Q161"/>
      <c r="R161"/>
      <c r="S161"/>
      <c r="T161"/>
      <c r="U161"/>
      <c r="X161"/>
      <c r="AB161"/>
      <c r="AC161"/>
      <c r="AF161" s="326">
        <v>1</v>
      </c>
      <c r="AG161" s="60">
        <f>H150</f>
        <v>41641</v>
      </c>
      <c r="AH161" s="60">
        <f>G161</f>
        <v>41641</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x14ac:dyDescent="0.25">
      <c r="A162" s="144"/>
      <c r="B162" s="234" t="str">
        <f>AK162</f>
        <v>Dick:</v>
      </c>
      <c r="C162" s="182" t="s">
        <v>0</v>
      </c>
      <c r="D162" s="184"/>
      <c r="E162" s="815"/>
      <c r="F162"/>
      <c r="G162" s="316"/>
      <c r="H162" s="316"/>
      <c r="I162" s="684"/>
      <c r="J162"/>
      <c r="K162"/>
      <c r="L162"/>
      <c r="M162"/>
      <c r="N162"/>
      <c r="O162"/>
      <c r="P162"/>
      <c r="Q162"/>
      <c r="R162"/>
      <c r="S162"/>
      <c r="T162"/>
      <c r="U162"/>
      <c r="X162"/>
      <c r="AB162"/>
      <c r="AC162"/>
      <c r="AF162" s="326">
        <v>1</v>
      </c>
      <c r="AG162" s="47"/>
      <c r="AH162" s="47"/>
      <c r="AI162" s="59"/>
      <c r="AJ162" s="43"/>
      <c r="AK162" s="63" t="str">
        <f>S.Staff.Director&amp;":"</f>
        <v>Dick:</v>
      </c>
      <c r="AL162" s="76"/>
    </row>
    <row r="163" spans="1:39" s="23" customFormat="1" ht="14.1" hidden="1" customHeight="1" outlineLevel="2" x14ac:dyDescent="0.2">
      <c r="A163" s="144"/>
      <c r="B163" s="384" t="s">
        <v>448</v>
      </c>
      <c r="C163" s="176" t="s">
        <v>0</v>
      </c>
      <c r="D163" s="175" t="s">
        <v>0</v>
      </c>
      <c r="E163" s="816"/>
      <c r="F163"/>
      <c r="G163" s="672" t="s">
        <v>0</v>
      </c>
      <c r="H163" s="673">
        <f>AH163</f>
        <v>41641</v>
      </c>
      <c r="I163" s="684"/>
      <c r="J163"/>
      <c r="K163"/>
      <c r="L163"/>
      <c r="M163"/>
      <c r="N163"/>
      <c r="O163"/>
      <c r="P163"/>
      <c r="Q163"/>
      <c r="R163"/>
      <c r="S163"/>
      <c r="T163"/>
      <c r="U163"/>
      <c r="X163"/>
      <c r="AB163"/>
      <c r="AC163"/>
      <c r="AF163" s="326">
        <v>1</v>
      </c>
      <c r="AG163" s="47"/>
      <c r="AH163" s="60">
        <f>H161</f>
        <v>41641</v>
      </c>
      <c r="AI163" s="59"/>
      <c r="AJ163" s="43"/>
      <c r="AK163" s="47"/>
      <c r="AL163" s="76"/>
    </row>
    <row r="164" spans="1:39" s="23" customFormat="1" ht="14.1" hidden="1" customHeight="1" outlineLevel="2" x14ac:dyDescent="0.25">
      <c r="A164" s="144"/>
      <c r="B164" s="373" t="str">
        <f t="shared" ref="B164:B169" si="6">AK164</f>
        <v>To: Leadership Team describing addition to DEQ Rulemaking Plan</v>
      </c>
      <c r="C164" s="183"/>
      <c r="D164" s="645"/>
      <c r="E164" s="645"/>
      <c r="F164"/>
      <c r="G164" s="179"/>
      <c r="H164" s="180"/>
      <c r="I164" s="684"/>
      <c r="J164"/>
      <c r="K164"/>
      <c r="L164"/>
      <c r="M164"/>
      <c r="N164"/>
      <c r="O164"/>
      <c r="P164"/>
      <c r="Q164"/>
      <c r="R164"/>
      <c r="S164"/>
      <c r="T164"/>
      <c r="U164"/>
      <c r="X164"/>
      <c r="AB164"/>
      <c r="AC164"/>
      <c r="AF164" s="326">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x14ac:dyDescent="0.25">
      <c r="A165" s="144"/>
      <c r="B165" s="373" t="str">
        <f t="shared" si="6"/>
        <v xml:space="preserve">To: StephanieC to include in monthly Director's Report </v>
      </c>
      <c r="C165" s="183"/>
      <c r="D165" s="645"/>
      <c r="E165" s="645"/>
      <c r="F165"/>
      <c r="G165" s="179"/>
      <c r="H165" s="180"/>
      <c r="I165" s="684"/>
      <c r="J165"/>
      <c r="K165"/>
      <c r="L165"/>
      <c r="M165"/>
      <c r="N165"/>
      <c r="O165"/>
      <c r="P165"/>
      <c r="Q165"/>
      <c r="R165"/>
      <c r="S165"/>
      <c r="T165"/>
      <c r="U165"/>
      <c r="X165"/>
      <c r="AB165"/>
      <c r="AC165"/>
      <c r="AF165" s="326">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x14ac:dyDescent="0.2">
      <c r="A166" s="144"/>
      <c r="B166" s="834" t="str">
        <f t="shared" si="6"/>
        <v>(Dick asks EQC how they want to be involved with rulemaking)</v>
      </c>
      <c r="C166" s="176"/>
      <c r="D166" s="644"/>
      <c r="E166" s="644"/>
      <c r="F166"/>
      <c r="G166" s="23" t="s">
        <v>0</v>
      </c>
      <c r="H166"/>
      <c r="I166" s="684"/>
      <c r="J166"/>
      <c r="K166"/>
      <c r="L166"/>
      <c r="M166"/>
      <c r="N166"/>
      <c r="O166"/>
      <c r="P166"/>
      <c r="Q166"/>
      <c r="R166"/>
      <c r="S166"/>
      <c r="T166"/>
      <c r="U166"/>
      <c r="X166"/>
      <c r="AB166"/>
      <c r="AC166"/>
      <c r="AF166" s="326">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x14ac:dyDescent="0.2">
      <c r="A167" s="144" t="s">
        <v>0</v>
      </c>
      <c r="B167" s="834" t="str">
        <f t="shared" si="6"/>
        <v>(StephanieC informs team about EQC involvement by email)</v>
      </c>
      <c r="C167" s="176"/>
      <c r="D167" s="644"/>
      <c r="E167" s="644"/>
      <c r="F167"/>
      <c r="G167"/>
      <c r="H167"/>
      <c r="I167" s="684"/>
      <c r="J167"/>
      <c r="K167"/>
      <c r="L167"/>
      <c r="M167"/>
      <c r="N167"/>
      <c r="O167"/>
      <c r="P167"/>
      <c r="Q167"/>
      <c r="R167"/>
      <c r="S167"/>
      <c r="T167"/>
      <c r="U167"/>
      <c r="X167"/>
      <c r="AB167"/>
      <c r="AC167"/>
      <c r="AF167" s="326">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x14ac:dyDescent="0.25">
      <c r="A168" s="144"/>
      <c r="B168" s="373" t="str">
        <f t="shared" si="6"/>
        <v>Cc… Leah, Jill, AndreaG</v>
      </c>
      <c r="C168" s="183"/>
      <c r="D168" s="645"/>
      <c r="E168" s="645"/>
      <c r="F168"/>
      <c r="G168" s="179"/>
      <c r="H168" s="180"/>
      <c r="I168" s="684"/>
      <c r="J168"/>
      <c r="K168"/>
      <c r="L168"/>
      <c r="M168"/>
      <c r="N168"/>
      <c r="O168"/>
      <c r="P168"/>
      <c r="Q168"/>
      <c r="R168"/>
      <c r="S168"/>
      <c r="T168"/>
      <c r="U168"/>
      <c r="X168"/>
      <c r="AB168"/>
      <c r="AC168"/>
      <c r="AF168" s="326">
        <f>IF(S.Planning.DecisionToAddToPlan="A",1,0)</f>
        <v>1</v>
      </c>
      <c r="AG168" s="58"/>
      <c r="AH168" s="58"/>
      <c r="AI168" s="59"/>
      <c r="AJ168" s="43"/>
      <c r="AK168" s="67" t="str">
        <f>"Cc… "&amp;S.Staff.Program.Mgr.FirstName&amp;", "&amp;S.Staff.Subject.Expert.FirstName&amp;", "&amp;S.Staff.RG.Lead.FirstName</f>
        <v>Cc… Leah, Jill, AndreaG</v>
      </c>
      <c r="AL168" s="76"/>
    </row>
    <row r="169" spans="1:39" s="23" customFormat="1" ht="14.1" hidden="1" customHeight="1" outlineLevel="2" thickBot="1" x14ac:dyDescent="0.3">
      <c r="A169" s="144"/>
      <c r="B169" s="232" t="str">
        <f t="shared" si="6"/>
        <v>AndreaG:</v>
      </c>
      <c r="C169" s="182" t="s">
        <v>0</v>
      </c>
      <c r="D169" s="184"/>
      <c r="E169" s="815"/>
      <c r="F169"/>
      <c r="G169" s="316"/>
      <c r="H169" s="316"/>
      <c r="I169" s="684"/>
      <c r="J169"/>
      <c r="K169"/>
      <c r="L169"/>
      <c r="M169"/>
      <c r="N169"/>
      <c r="O169"/>
      <c r="P169"/>
      <c r="Q169"/>
      <c r="R169"/>
      <c r="S169"/>
      <c r="T169"/>
      <c r="U169"/>
      <c r="X169"/>
      <c r="AB169"/>
      <c r="AC169"/>
      <c r="AF169" s="326">
        <v>1</v>
      </c>
      <c r="AG169" s="47"/>
      <c r="AH169" s="47"/>
      <c r="AI169" s="59"/>
      <c r="AJ169" s="43"/>
      <c r="AK169" s="63" t="str">
        <f>S.Staff.RG.Lead.FirstName&amp;":"</f>
        <v>AndreaG:</v>
      </c>
      <c r="AL169" s="76"/>
    </row>
    <row r="170" spans="1:39" s="23" customFormat="1" ht="14.1" hidden="1" customHeight="1" outlineLevel="2" thickBot="1" x14ac:dyDescent="0.3">
      <c r="A170" s="144"/>
      <c r="B170" s="267" t="s">
        <v>447</v>
      </c>
      <c r="C170" s="479" t="s">
        <v>72</v>
      </c>
      <c r="D170" s="175"/>
      <c r="E170" s="816"/>
      <c r="F170"/>
      <c r="G170" s="180" t="s">
        <v>0</v>
      </c>
      <c r="H170" s="180"/>
      <c r="I170" s="684"/>
      <c r="J170"/>
      <c r="K170"/>
      <c r="L170"/>
      <c r="M170"/>
      <c r="N170"/>
      <c r="O170"/>
      <c r="P170"/>
      <c r="Q170"/>
      <c r="R170"/>
      <c r="S170"/>
      <c r="T170"/>
      <c r="U170"/>
      <c r="X170"/>
      <c r="AB170"/>
      <c r="AC170"/>
      <c r="AF170" s="326">
        <v>1</v>
      </c>
      <c r="AG170" s="58"/>
      <c r="AH170" s="58"/>
      <c r="AI170" s="59"/>
      <c r="AJ170" s="43"/>
      <c r="AK170" s="47" t="s">
        <v>0</v>
      </c>
      <c r="AL170" s="76"/>
    </row>
    <row r="171" spans="1:39" s="23" customFormat="1" ht="14.1" hidden="1" customHeight="1" outlineLevel="2" x14ac:dyDescent="0.25">
      <c r="A171" s="144"/>
      <c r="B171" s="234" t="str">
        <f>AK171</f>
        <v>* saves email Rule_Development | 1-Planning | APPROVAL.ToMoveForward.pdf</v>
      </c>
      <c r="C171" s="448" t="str">
        <f>HYPERLINK("\\deqhq1\Rule_Development\Currrent Plan","i")</f>
        <v>i</v>
      </c>
      <c r="D171" s="175" t="s">
        <v>0</v>
      </c>
      <c r="E171" s="816"/>
      <c r="F171"/>
      <c r="G171" s="180" t="s">
        <v>0</v>
      </c>
      <c r="H171" s="180"/>
      <c r="I171" s="684"/>
      <c r="J171"/>
      <c r="K171"/>
      <c r="L171"/>
      <c r="M171"/>
      <c r="N171"/>
      <c r="O171"/>
      <c r="P171"/>
      <c r="Q171"/>
      <c r="R171"/>
      <c r="S171"/>
      <c r="T171"/>
      <c r="U171"/>
      <c r="X171"/>
      <c r="AB171"/>
      <c r="AC171"/>
      <c r="AF171" s="326">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hidden="1" customHeight="1" outlineLevel="1" collapsed="1" x14ac:dyDescent="0.2">
      <c r="A172" s="144"/>
      <c r="B172" s="294"/>
      <c r="C172" s="294"/>
      <c r="D172" s="632"/>
      <c r="E172" s="632"/>
      <c r="F172" s="731"/>
      <c r="G172" s="251"/>
      <c r="H172" s="296"/>
      <c r="I172" s="39"/>
      <c r="AF172" s="326" t="s">
        <v>0</v>
      </c>
      <c r="AG172" s="76"/>
      <c r="AH172" s="76"/>
      <c r="AI172" s="107" t="s">
        <v>157</v>
      </c>
      <c r="AJ172" s="309"/>
      <c r="AK172" s="77"/>
      <c r="AL172" s="76"/>
    </row>
    <row r="173" spans="1:39" ht="20.25" hidden="1" customHeight="1" outlineLevel="1" thickBot="1" x14ac:dyDescent="0.25">
      <c r="A173" s="144"/>
      <c r="B173" s="430" t="s">
        <v>617</v>
      </c>
      <c r="C173" s="90"/>
      <c r="D173" s="138"/>
      <c r="E173" s="138"/>
      <c r="F173"/>
      <c r="G173" s="90" t="s">
        <v>0</v>
      </c>
      <c r="H173" s="90"/>
      <c r="I173" s="684"/>
      <c r="AF173" s="326">
        <f>IF(S.Planning.DecisionToAddToPlan="A",1,0)</f>
        <v>1</v>
      </c>
      <c r="AG173" s="58"/>
      <c r="AH173" s="58"/>
      <c r="AI173" s="59"/>
      <c r="AJ173" s="43"/>
      <c r="AK173" s="47" t="s">
        <v>0</v>
      </c>
      <c r="AL173" s="76"/>
      <c r="AM173"/>
    </row>
    <row r="174" spans="1:39" s="23" customFormat="1" ht="14.1" hidden="1" customHeight="1" outlineLevel="1" thickBot="1" x14ac:dyDescent="0.25">
      <c r="A174" s="144" t="s">
        <v>0</v>
      </c>
      <c r="B174" s="232" t="str">
        <f>AK174</f>
        <v>Leah, Jill &amp; AndreaG decide whether to expand team  'Y' to expand &gt;</v>
      </c>
      <c r="C174" s="479" t="s">
        <v>134</v>
      </c>
      <c r="D174" s="175"/>
      <c r="E174" s="816"/>
      <c r="F174"/>
      <c r="G174" s="90" t="s">
        <v>0</v>
      </c>
      <c r="H174" s="177">
        <f>AH174</f>
        <v>41641</v>
      </c>
      <c r="I174" s="684"/>
      <c r="J174"/>
      <c r="K174"/>
      <c r="L174"/>
      <c r="M174"/>
      <c r="N174"/>
      <c r="O174"/>
      <c r="P174"/>
      <c r="Q174"/>
      <c r="R174"/>
      <c r="S174"/>
      <c r="T174"/>
      <c r="U174"/>
      <c r="X174"/>
      <c r="AB174"/>
      <c r="AC174"/>
      <c r="AF174" s="326">
        <f>IF(S.Planning.DecisionToAddToPlan="A",1,0)</f>
        <v>1</v>
      </c>
      <c r="AG174" s="58"/>
      <c r="AH174" s="60">
        <f>S.Planning.AddConceptToPlanDate</f>
        <v>41641</v>
      </c>
      <c r="AI174" s="59"/>
      <c r="AJ174" s="62"/>
      <c r="AK174" s="78" t="str">
        <f>S.Staff.Program.Mgr.FirstName&amp;", "&amp;S.Staff.Subject.Expert.FirstName&amp;" &amp; "&amp;S.Staff.RG.Lead.FirstName&amp;" decide whether to expand team  'Y' to expand &gt;"</f>
        <v>Leah, Jill &amp; AndreaG decide whether to expand team  'Y' to expand &gt;</v>
      </c>
      <c r="AL174" s="76"/>
    </row>
    <row r="175" spans="1:39" s="23" customFormat="1" ht="14.1" hidden="1" customHeight="1" outlineLevel="1" x14ac:dyDescent="0.2">
      <c r="A175" s="144"/>
      <c r="B175" s="232" t="str">
        <f>AK175</f>
        <v>Leah works with Maggie obtains unique Q-Time number(s)</v>
      </c>
      <c r="C175" s="186"/>
      <c r="D175" s="175"/>
      <c r="E175" s="816"/>
      <c r="F175"/>
      <c r="G175" s="90" t="s">
        <v>0</v>
      </c>
      <c r="H175" s="177">
        <f>AH175</f>
        <v>41641</v>
      </c>
      <c r="I175" s="684"/>
      <c r="J175"/>
      <c r="K175"/>
      <c r="L175"/>
      <c r="M175"/>
      <c r="N175"/>
      <c r="O175"/>
      <c r="P175"/>
      <c r="Q175"/>
      <c r="R175"/>
      <c r="S175"/>
      <c r="T175"/>
      <c r="U175"/>
      <c r="X175"/>
      <c r="AB175"/>
      <c r="AC175"/>
      <c r="AF175" s="326">
        <f>IF(S.Planning.DecisionToAddToPlan="A",1,0)</f>
        <v>1</v>
      </c>
      <c r="AG175" s="58"/>
      <c r="AH175" s="60">
        <f>S.Planning.AddConceptToPlanDate</f>
        <v>41641</v>
      </c>
      <c r="AI175" s="59"/>
      <c r="AJ175" s="62"/>
      <c r="AK175" s="63" t="str">
        <f>S.Staff.Program.Mgr.FirstName&amp;" works with "&amp;S.Staff.Budget&amp;" obtains unique Q-Time number(s)"</f>
        <v>Leah works with Maggie obtains unique Q-Time number(s)</v>
      </c>
      <c r="AL175" s="76"/>
    </row>
    <row r="176" spans="1:39" s="23" customFormat="1" ht="14.1" hidden="1" customHeight="1" outlineLevel="1" x14ac:dyDescent="0.25">
      <c r="A176" s="144"/>
      <c r="B176" s="423" t="str">
        <f>AK176</f>
        <v>for this rulemaking fromRobertB</v>
      </c>
      <c r="C176" s="183"/>
      <c r="D176" s="645"/>
      <c r="E176" s="645"/>
      <c r="F176"/>
      <c r="G176" s="179"/>
      <c r="H176" s="180"/>
      <c r="I176" s="684"/>
      <c r="AF176" s="326">
        <f>IF(S.Planning.DecisionToAddToPlan="A",1,0)</f>
        <v>1</v>
      </c>
      <c r="AG176" s="58"/>
      <c r="AH176" s="58"/>
      <c r="AI176" s="59"/>
      <c r="AJ176" s="43"/>
      <c r="AK176" s="613" t="str">
        <f>"for this rulemaking from"&amp;S.Staff.TimeAccounting</f>
        <v>for this rulemaking fromRobertB</v>
      </c>
      <c r="AL176" s="76"/>
    </row>
    <row r="177" spans="1:38" s="23" customFormat="1" ht="14.1" hidden="1" customHeight="1" outlineLevel="1" x14ac:dyDescent="0.25">
      <c r="A177" s="144"/>
      <c r="B177" s="308" t="str">
        <f>AK177</f>
        <v>Leah is responsible for:</v>
      </c>
      <c r="C177" s="183"/>
      <c r="D177" s="645"/>
      <c r="E177" s="645"/>
      <c r="F177"/>
      <c r="G177" s="179"/>
      <c r="H177" s="180"/>
      <c r="I177" s="684"/>
      <c r="J177"/>
      <c r="K177"/>
      <c r="L177"/>
      <c r="M177"/>
      <c r="N177"/>
      <c r="O177"/>
      <c r="P177"/>
      <c r="Q177"/>
      <c r="R177"/>
      <c r="S177"/>
      <c r="T177"/>
      <c r="U177"/>
      <c r="X177"/>
      <c r="AB177"/>
      <c r="AC177"/>
      <c r="AF177" s="326">
        <f>IF(S.Planning.DecisionToAddToPlan="A",1,0)</f>
        <v>1</v>
      </c>
      <c r="AG177" s="58"/>
      <c r="AH177" s="58"/>
      <c r="AI177" s="59"/>
      <c r="AJ177" s="43"/>
      <c r="AK177" s="78" t="str">
        <f>S.Staff.Program.Mgr.FirstName&amp;" is responsible for:"</f>
        <v>Leah is responsible for:</v>
      </c>
      <c r="AL177" s="76"/>
    </row>
    <row r="178" spans="1:38" s="23" customFormat="1" ht="14.1" hidden="1" customHeight="1" outlineLevel="1" x14ac:dyDescent="0.25">
      <c r="A178" s="144"/>
      <c r="B178" s="234" t="s">
        <v>459</v>
      </c>
      <c r="C178" s="186"/>
      <c r="D178"/>
      <c r="F178"/>
      <c r="G178" s="179"/>
      <c r="H178" s="179"/>
      <c r="I178" s="684"/>
      <c r="J178"/>
      <c r="K178"/>
      <c r="L178"/>
      <c r="M178"/>
      <c r="N178"/>
      <c r="O178"/>
      <c r="P178"/>
      <c r="Q178"/>
      <c r="R178"/>
      <c r="S178"/>
      <c r="T178"/>
      <c r="U178"/>
      <c r="X178"/>
      <c r="AB178"/>
      <c r="AC178"/>
      <c r="AF178" s="326">
        <f>IF(S.Planning.ExpandTeam="N",0,IF(S.Planning.DecisionToAddToPlan="A",1,0))</f>
        <v>0</v>
      </c>
      <c r="AG178" s="58"/>
      <c r="AH178" s="58"/>
      <c r="AI178" s="59"/>
      <c r="AJ178" s="62"/>
      <c r="AK178" s="311"/>
      <c r="AL178" s="76"/>
    </row>
    <row r="179" spans="1:38" s="23" customFormat="1" ht="14.1" hidden="1" customHeight="1" outlineLevel="1" x14ac:dyDescent="0.25">
      <c r="A179" s="144"/>
      <c r="B179" s="234" t="s">
        <v>457</v>
      </c>
      <c r="C179" s="186"/>
      <c r="D179"/>
      <c r="F179"/>
      <c r="G179" s="179"/>
      <c r="H179" s="179"/>
      <c r="I179" s="684"/>
      <c r="J179"/>
      <c r="K179"/>
      <c r="L179"/>
      <c r="M179"/>
      <c r="N179"/>
      <c r="O179"/>
      <c r="P179"/>
      <c r="Q179"/>
      <c r="R179"/>
      <c r="S179"/>
      <c r="T179"/>
      <c r="U179"/>
      <c r="X179"/>
      <c r="AB179"/>
      <c r="AC179"/>
      <c r="AF179" s="326">
        <f>IF(S.Planning.ExpandTeam="N",0,IF(S.Planning.DecisionToAddToPlan="A",1,0))</f>
        <v>0</v>
      </c>
      <c r="AG179" s="58"/>
      <c r="AH179" s="58"/>
      <c r="AI179" s="59"/>
      <c r="AJ179" s="62"/>
      <c r="AK179" s="311"/>
      <c r="AL179" s="76"/>
    </row>
    <row r="180" spans="1:38" s="23" customFormat="1" ht="14.1" hidden="1" customHeight="1" outlineLevel="1" x14ac:dyDescent="0.25">
      <c r="A180" s="144" t="s">
        <v>0</v>
      </c>
      <c r="B180" s="267" t="s">
        <v>458</v>
      </c>
      <c r="C180" s="502"/>
      <c r="D180" s="645"/>
      <c r="E180" s="645"/>
      <c r="F180"/>
      <c r="G180" s="90" t="s">
        <v>0</v>
      </c>
      <c r="H180" s="90"/>
      <c r="I180" s="684"/>
      <c r="AF180" s="326">
        <f t="shared" ref="AF180:AF191" si="7">IF(S.Planning.DecisionToAddToPlan="A",1,0)</f>
        <v>1</v>
      </c>
      <c r="AG180" s="58"/>
      <c r="AH180" s="58"/>
      <c r="AI180" s="59"/>
      <c r="AJ180" s="62"/>
      <c r="AK180" s="72" t="s">
        <v>0</v>
      </c>
      <c r="AL180" s="76"/>
    </row>
    <row r="181" spans="1:38" s="23" customFormat="1" ht="14.1" hidden="1" customHeight="1" outlineLevel="1" x14ac:dyDescent="0.25">
      <c r="A181" s="144"/>
      <c r="B181" s="232" t="str">
        <f>AK181</f>
        <v>AndreaG drafts SCHEDULE:</v>
      </c>
      <c r="C181" s="182" t="s">
        <v>0</v>
      </c>
      <c r="D181" s="175"/>
      <c r="E181" s="816"/>
      <c r="F181"/>
      <c r="G181" s="90" t="s">
        <v>0</v>
      </c>
      <c r="H181" s="177">
        <f>AH181</f>
        <v>41641</v>
      </c>
      <c r="I181" s="684"/>
      <c r="AF181" s="326">
        <f t="shared" si="7"/>
        <v>1</v>
      </c>
      <c r="AG181" s="58"/>
      <c r="AH181" s="60">
        <f>S.Planning.AddConceptToPlanDate</f>
        <v>41641</v>
      </c>
      <c r="AI181" s="59"/>
      <c r="AJ181" s="43"/>
      <c r="AK181" s="63" t="str">
        <f>S.Staff.RG.Lead.FirstName&amp;" drafts SCHEDULE:"</f>
        <v>AndreaG drafts SCHEDULE:</v>
      </c>
      <c r="AL181" s="76"/>
    </row>
    <row r="182" spans="1:38" s="23" customFormat="1" ht="14.1" hidden="1" customHeight="1" outlineLevel="1" x14ac:dyDescent="0.25">
      <c r="A182" s="144"/>
      <c r="B182" s="232" t="str">
        <f>AK182</f>
        <v>Jill &amp; AndreaG refine &amp; agree on draft schedule:</v>
      </c>
      <c r="C182" s="182" t="s">
        <v>0</v>
      </c>
      <c r="D182" s="175"/>
      <c r="E182" s="816"/>
      <c r="F182"/>
      <c r="G182" s="90" t="s">
        <v>0</v>
      </c>
      <c r="H182" s="177">
        <f>AH182</f>
        <v>41641</v>
      </c>
      <c r="I182" s="684"/>
      <c r="AF182" s="326">
        <f t="shared" si="7"/>
        <v>1</v>
      </c>
      <c r="AG182" s="58"/>
      <c r="AH182" s="60">
        <f>S.Planning.AddConceptToPlanDate</f>
        <v>41641</v>
      </c>
      <c r="AI182" s="59"/>
      <c r="AJ182" s="43"/>
      <c r="AK182" s="63" t="str">
        <f>S.Staff.Subject.Expert.FirstName&amp;" &amp; "&amp;S.Staff.RG.Lead.FirstName&amp;" refine &amp; agree on draft schedule:"</f>
        <v>Jill &amp; AndreaG refine &amp; agree on draft schedule:</v>
      </c>
      <c r="AL182" s="76"/>
    </row>
    <row r="183" spans="1:38" s="23" customFormat="1" ht="14.1" hidden="1" customHeight="1" outlineLevel="1" x14ac:dyDescent="0.25">
      <c r="A183" s="144"/>
      <c r="B183" s="232" t="str">
        <f>AK183</f>
        <v>Jill schedules/holds team meeting(s) for consensus on:</v>
      </c>
      <c r="C183" s="182" t="s">
        <v>0</v>
      </c>
      <c r="D183" s="175"/>
      <c r="E183" s="816"/>
      <c r="F183"/>
      <c r="G183" s="177">
        <f>AG183</f>
        <v>41641</v>
      </c>
      <c r="H183" s="177">
        <f>AH183</f>
        <v>41641</v>
      </c>
      <c r="I183" s="684"/>
      <c r="J183"/>
      <c r="K183"/>
      <c r="L183"/>
      <c r="M183"/>
      <c r="N183"/>
      <c r="O183"/>
      <c r="P183"/>
      <c r="Q183"/>
      <c r="R183"/>
      <c r="S183"/>
      <c r="T183"/>
      <c r="U183"/>
      <c r="X183"/>
      <c r="AB183"/>
      <c r="AC183"/>
      <c r="AF183" s="326">
        <f t="shared" si="7"/>
        <v>1</v>
      </c>
      <c r="AG183" s="60">
        <f>S.Planning.AddConceptToPlanDate</f>
        <v>41641</v>
      </c>
      <c r="AH183" s="60">
        <f>G183</f>
        <v>41641</v>
      </c>
      <c r="AI183" s="59"/>
      <c r="AJ183" s="43"/>
      <c r="AK183" s="63" t="str">
        <f>S.Staff.Subject.Expert.FirstName&amp;" schedules/holds team meeting(s) for consensus on:"</f>
        <v>Jill schedules/holds team meeting(s) for consensus on:</v>
      </c>
      <c r="AL183" s="76"/>
    </row>
    <row r="184" spans="1:38" s="23" customFormat="1" ht="14.1" hidden="1" customHeight="1" outlineLevel="1" x14ac:dyDescent="0.25">
      <c r="A184" s="144"/>
      <c r="B184" s="267" t="s">
        <v>449</v>
      </c>
      <c r="C184" s="502"/>
      <c r="D184" s="645"/>
      <c r="E184" s="645"/>
      <c r="F184" s="89"/>
      <c r="G184" s="90" t="s">
        <v>0</v>
      </c>
      <c r="H184" s="90"/>
      <c r="I184" s="684"/>
      <c r="J184"/>
      <c r="K184"/>
      <c r="L184"/>
      <c r="M184"/>
      <c r="N184"/>
      <c r="O184"/>
      <c r="P184"/>
      <c r="Q184"/>
      <c r="R184"/>
      <c r="S184"/>
      <c r="T184"/>
      <c r="U184"/>
      <c r="X184"/>
      <c r="AB184"/>
      <c r="AC184"/>
      <c r="AF184" s="326">
        <f t="shared" si="7"/>
        <v>1</v>
      </c>
      <c r="AG184" s="58"/>
      <c r="AH184" s="58"/>
      <c r="AI184" s="59"/>
      <c r="AJ184" s="62"/>
      <c r="AK184" s="72" t="s">
        <v>0</v>
      </c>
      <c r="AL184" s="76"/>
    </row>
    <row r="185" spans="1:38" s="23" customFormat="1" ht="14.1" hidden="1" customHeight="1" outlineLevel="1" x14ac:dyDescent="0.25">
      <c r="A185" s="144"/>
      <c r="B185" s="267" t="s">
        <v>451</v>
      </c>
      <c r="C185" s="502"/>
      <c r="D185" s="645"/>
      <c r="E185" s="645"/>
      <c r="F185" s="89"/>
      <c r="G185" s="90" t="s">
        <v>0</v>
      </c>
      <c r="H185" s="90"/>
      <c r="I185" s="684"/>
      <c r="J185"/>
      <c r="K185"/>
      <c r="L185"/>
      <c r="M185"/>
      <c r="N185"/>
      <c r="O185"/>
      <c r="P185"/>
      <c r="Q185"/>
      <c r="R185"/>
      <c r="S185"/>
      <c r="T185"/>
      <c r="U185"/>
      <c r="X185"/>
      <c r="AB185"/>
      <c r="AC185"/>
      <c r="AF185" s="326">
        <f t="shared" si="7"/>
        <v>1</v>
      </c>
      <c r="AG185" s="58"/>
      <c r="AH185" s="58"/>
      <c r="AI185" s="59"/>
      <c r="AJ185" s="62"/>
      <c r="AK185" s="72" t="s">
        <v>0</v>
      </c>
      <c r="AL185" s="76"/>
    </row>
    <row r="186" spans="1:38" s="23" customFormat="1" ht="14.1" hidden="1" customHeight="1" outlineLevel="1" x14ac:dyDescent="0.25">
      <c r="A186" s="144" t="s">
        <v>0</v>
      </c>
      <c r="B186" s="267" t="s">
        <v>450</v>
      </c>
      <c r="C186" s="502"/>
      <c r="D186" s="645"/>
      <c r="E186" s="645"/>
      <c r="F186" s="89"/>
      <c r="G186" s="90" t="s">
        <v>0</v>
      </c>
      <c r="H186" s="90"/>
      <c r="I186" s="684"/>
      <c r="J186"/>
      <c r="K186"/>
      <c r="L186"/>
      <c r="M186"/>
      <c r="N186"/>
      <c r="O186"/>
      <c r="P186"/>
      <c r="Q186"/>
      <c r="R186"/>
      <c r="S186"/>
      <c r="T186"/>
      <c r="U186"/>
      <c r="X186"/>
      <c r="AB186"/>
      <c r="AC186"/>
      <c r="AF186" s="326">
        <f t="shared" si="7"/>
        <v>1</v>
      </c>
      <c r="AG186" s="58"/>
      <c r="AH186" s="58"/>
      <c r="AI186" s="59"/>
      <c r="AJ186" s="62"/>
      <c r="AK186" s="72" t="s">
        <v>0</v>
      </c>
      <c r="AL186" s="76"/>
    </row>
    <row r="187" spans="1:38" s="23" customFormat="1" ht="14.1" hidden="1" customHeight="1" outlineLevel="1" x14ac:dyDescent="0.25">
      <c r="A187" s="144" t="s">
        <v>0</v>
      </c>
      <c r="B187" s="267" t="s">
        <v>460</v>
      </c>
      <c r="C187" s="502"/>
      <c r="D187" s="645"/>
      <c r="E187" s="645"/>
      <c r="F187" s="89"/>
      <c r="G187" s="90" t="s">
        <v>0</v>
      </c>
      <c r="H187" s="90"/>
      <c r="I187" s="684"/>
      <c r="J187"/>
      <c r="K187"/>
      <c r="L187"/>
      <c r="M187"/>
      <c r="N187"/>
      <c r="O187"/>
      <c r="P187"/>
      <c r="Q187"/>
      <c r="R187"/>
      <c r="S187"/>
      <c r="T187"/>
      <c r="U187"/>
      <c r="X187"/>
      <c r="AB187"/>
      <c r="AC187"/>
      <c r="AF187" s="326">
        <f t="shared" si="7"/>
        <v>1</v>
      </c>
      <c r="AG187" s="58"/>
      <c r="AH187" s="58"/>
      <c r="AI187" s="59"/>
      <c r="AJ187" s="62"/>
      <c r="AK187" s="72" t="s">
        <v>0</v>
      </c>
      <c r="AL187" s="76"/>
    </row>
    <row r="188" spans="1:38" s="23" customFormat="1" ht="6" hidden="1" customHeight="1" outlineLevel="1" x14ac:dyDescent="0.2">
      <c r="A188" s="144"/>
      <c r="B188" s="294"/>
      <c r="C188" s="294"/>
      <c r="D188" s="632"/>
      <c r="E188" s="632"/>
      <c r="F188" s="731"/>
      <c r="G188" s="251"/>
      <c r="H188" s="296"/>
      <c r="I188" s="39"/>
      <c r="AF188" s="326" t="s">
        <v>0</v>
      </c>
      <c r="AG188" s="76"/>
      <c r="AH188" s="76"/>
      <c r="AI188" s="107" t="s">
        <v>157</v>
      </c>
      <c r="AJ188" s="309"/>
      <c r="AK188" s="77"/>
      <c r="AL188" s="76"/>
    </row>
    <row r="189" spans="1:38" s="23" customFormat="1" ht="19.5" hidden="1" customHeight="1" outlineLevel="1" x14ac:dyDescent="0.2">
      <c r="A189" s="144"/>
      <c r="B189" s="729" t="s">
        <v>207</v>
      </c>
      <c r="C189" s="90"/>
      <c r="D189" s="138"/>
      <c r="E189" s="138"/>
      <c r="F189" s="89"/>
      <c r="G189" s="90" t="s">
        <v>0</v>
      </c>
      <c r="H189" s="90"/>
      <c r="I189" s="684"/>
      <c r="J189"/>
      <c r="K189"/>
      <c r="L189"/>
      <c r="M189"/>
      <c r="N189"/>
      <c r="O189"/>
      <c r="P189"/>
      <c r="Q189"/>
      <c r="R189"/>
      <c r="S189"/>
      <c r="T189"/>
      <c r="U189"/>
      <c r="X189"/>
      <c r="AB189"/>
      <c r="AC189"/>
      <c r="AF189" s="326">
        <f t="shared" si="7"/>
        <v>1</v>
      </c>
      <c r="AG189" s="58"/>
      <c r="AH189" s="58"/>
      <c r="AI189" s="59"/>
      <c r="AJ189" s="43"/>
      <c r="AK189" s="47" t="s">
        <v>0</v>
      </c>
      <c r="AL189" s="76"/>
    </row>
    <row r="190" spans="1:38" s="23" customFormat="1" ht="15.75" hidden="1" customHeight="1" outlineLevel="2" x14ac:dyDescent="0.2">
      <c r="A190" s="144"/>
      <c r="B190" s="268" t="str">
        <f>AK190</f>
        <v>Jill schedules/holds meeting with Leah and</v>
      </c>
      <c r="C190" s="466"/>
      <c r="D190" s="467" t="s">
        <v>0</v>
      </c>
      <c r="E190" s="817"/>
      <c r="F190"/>
      <c r="G190" s="177">
        <f>AG190</f>
        <v>41641</v>
      </c>
      <c r="H190" s="177">
        <f>AH190</f>
        <v>41641</v>
      </c>
      <c r="I190" s="684"/>
      <c r="J190"/>
      <c r="K190"/>
      <c r="L190"/>
      <c r="M190"/>
      <c r="N190"/>
      <c r="O190"/>
      <c r="P190"/>
      <c r="Q190"/>
      <c r="R190"/>
      <c r="S190"/>
      <c r="T190"/>
      <c r="U190"/>
      <c r="X190"/>
      <c r="AB190"/>
      <c r="AC190"/>
      <c r="AF190" s="326">
        <f t="shared" si="7"/>
        <v>1</v>
      </c>
      <c r="AG190" s="60">
        <f>S.Planning.AddConceptToPlanDate</f>
        <v>41641</v>
      </c>
      <c r="AH190" s="60">
        <f>G190</f>
        <v>41641</v>
      </c>
      <c r="AI190" s="59"/>
      <c r="AJ190" s="62"/>
      <c r="AK190" s="78" t="str">
        <f>IF(S.Planning.ExpandTeam="N",S.Staff.Subject.Expert.FirstName&amp;" schedules/holds meeting with "&amp;S.Staff.Program.Mgr.FirstName&amp;" and",S.Staff.Subject.Expert.FirstName&amp;" schedules/holds meeting with team, especially "&amp;S.Staff.Program.Mgr.FirstName&amp;",")</f>
        <v>Jill schedules/holds meeting with Leah and</v>
      </c>
      <c r="AL190" s="76"/>
    </row>
    <row r="191" spans="1:38" s="23" customFormat="1" ht="15.75" hidden="1" customHeight="1" outlineLevel="2" thickBot="1" x14ac:dyDescent="0.25">
      <c r="A191" s="144" t="s">
        <v>0</v>
      </c>
      <c r="B191" s="440" t="str">
        <f>AK191</f>
        <v>BrianW and AndreaG to discuss/determine need for:</v>
      </c>
      <c r="C191" s="186"/>
      <c r="D191" s="644"/>
      <c r="E191" s="644"/>
      <c r="F191"/>
      <c r="G191"/>
      <c r="H191"/>
      <c r="I191" s="684"/>
      <c r="J191"/>
      <c r="K191"/>
      <c r="L191"/>
      <c r="M191"/>
      <c r="N191"/>
      <c r="O191"/>
      <c r="P191"/>
      <c r="Q191"/>
      <c r="R191"/>
      <c r="S191"/>
      <c r="T191"/>
      <c r="U191"/>
      <c r="X191"/>
      <c r="AB191"/>
      <c r="AC191"/>
      <c r="AF191" s="326">
        <f t="shared" si="7"/>
        <v>1</v>
      </c>
      <c r="AG191" s="59"/>
      <c r="AH191" s="59"/>
      <c r="AI191" s="59"/>
      <c r="AJ191" s="62"/>
      <c r="AK191" s="507" t="str">
        <f>S.Staff.PublicAffairsOfficer&amp;" and "&amp;S.Staff.RG.Lead.FirstName&amp;" to discuss/determine need for:"</f>
        <v>BrianW and AndreaG to discuss/determine need for:</v>
      </c>
      <c r="AL191" s="76"/>
    </row>
    <row r="192" spans="1:38" s="23" customFormat="1" ht="15.75" hidden="1" customHeight="1" outlineLevel="2" thickBot="1" x14ac:dyDescent="0.25">
      <c r="A192" s="144"/>
      <c r="B192" s="668" t="s">
        <v>259</v>
      </c>
      <c r="C192" s="479" t="s">
        <v>134</v>
      </c>
      <c r="D192" s="644"/>
      <c r="E192" s="644"/>
      <c r="F192"/>
      <c r="G192"/>
      <c r="H192"/>
      <c r="I192" s="684"/>
      <c r="J192"/>
      <c r="K192"/>
      <c r="L192"/>
      <c r="M192"/>
      <c r="N192"/>
      <c r="O192"/>
      <c r="P192"/>
      <c r="Q192"/>
      <c r="R192"/>
      <c r="S192"/>
      <c r="T192"/>
      <c r="U192"/>
      <c r="X192"/>
      <c r="AB192"/>
      <c r="AC192"/>
      <c r="AF192" s="326">
        <f>IF(S.Planning.CommunicationsPlan="Y",1,0)</f>
        <v>0</v>
      </c>
      <c r="AG192" s="59"/>
      <c r="AH192" s="59"/>
      <c r="AI192" s="845" t="str">
        <f>IF(AND(S.Planning.CommunicationsPlan="Y",S.Planning.MessageMap="Y",S.Notice.NewsRelease="Y"),"Y","N")</f>
        <v>N</v>
      </c>
      <c r="AJ192" s="62"/>
      <c r="AK192" s="44"/>
      <c r="AL192" s="76"/>
    </row>
    <row r="193" spans="1:39" s="23" customFormat="1" ht="15.75" hidden="1" customHeight="1" outlineLevel="2" thickBot="1" x14ac:dyDescent="0.25">
      <c r="A193" s="144"/>
      <c r="B193" s="668" t="s">
        <v>260</v>
      </c>
      <c r="C193" s="478" t="s">
        <v>134</v>
      </c>
      <c r="D193" s="644"/>
      <c r="E193" s="644"/>
      <c r="F193"/>
      <c r="G193"/>
      <c r="H193"/>
      <c r="I193" s="684"/>
      <c r="J193"/>
      <c r="K193"/>
      <c r="L193"/>
      <c r="M193"/>
      <c r="N193"/>
      <c r="O193"/>
      <c r="P193"/>
      <c r="Q193"/>
      <c r="R193"/>
      <c r="S193"/>
      <c r="T193"/>
      <c r="U193"/>
      <c r="X193"/>
      <c r="AB193"/>
      <c r="AC193"/>
      <c r="AF193" s="326">
        <f>IF(S.Planning.MessageMap="Y",1,0)</f>
        <v>0</v>
      </c>
      <c r="AG193" s="59"/>
      <c r="AH193" s="59"/>
      <c r="AI193" s="59"/>
      <c r="AJ193" s="62"/>
      <c r="AK193" s="44"/>
      <c r="AL193" s="76"/>
    </row>
    <row r="194" spans="1:39" s="23" customFormat="1" ht="15" hidden="1" customHeight="1" outlineLevel="2" thickBot="1" x14ac:dyDescent="0.25">
      <c r="A194" s="144"/>
      <c r="B194" s="668" t="s">
        <v>489</v>
      </c>
      <c r="C194" s="478" t="s">
        <v>16</v>
      </c>
      <c r="D194" s="644"/>
      <c r="E194" s="644"/>
      <c r="F194" s="222" t="s">
        <v>0</v>
      </c>
      <c r="G194" s="223"/>
      <c r="H194" s="223"/>
      <c r="I194" s="684"/>
      <c r="AF194" s="326">
        <f>IF(S.Notice.AD.Involved="Y",1,0)</f>
        <v>1</v>
      </c>
      <c r="AG194" s="58" t="s">
        <v>0</v>
      </c>
      <c r="AH194" s="58"/>
      <c r="AI194" s="58"/>
      <c r="AJ194" s="66"/>
      <c r="AK194" s="44"/>
      <c r="AL194" s="76"/>
    </row>
    <row r="195" spans="1:39" s="23" customFormat="1" ht="15" hidden="1" customHeight="1" outlineLevel="2" thickBot="1" x14ac:dyDescent="0.25">
      <c r="A195" s="144"/>
      <c r="B195" s="668" t="s">
        <v>516</v>
      </c>
      <c r="C195" s="478" t="s">
        <v>134</v>
      </c>
      <c r="D195" s="644"/>
      <c r="E195" s="644"/>
      <c r="F195" s="222" t="s">
        <v>0</v>
      </c>
      <c r="G195" s="223"/>
      <c r="H195" s="223"/>
      <c r="I195" s="684"/>
      <c r="AF195" s="326">
        <f>IF(S.Notice.NewsRelease="Y",1,0)</f>
        <v>0</v>
      </c>
      <c r="AG195" s="58" t="s">
        <v>0</v>
      </c>
      <c r="AH195" s="58"/>
      <c r="AI195" s="58"/>
      <c r="AJ195" s="66"/>
      <c r="AK195" s="44"/>
      <c r="AL195" s="76"/>
    </row>
    <row r="196" spans="1:39" s="23" customFormat="1" ht="15" hidden="1" customHeight="1" outlineLevel="2" thickBot="1" x14ac:dyDescent="0.25">
      <c r="A196" s="144"/>
      <c r="B196" s="668" t="s">
        <v>261</v>
      </c>
      <c r="C196" s="478" t="s">
        <v>134</v>
      </c>
      <c r="D196" s="644"/>
      <c r="E196" s="644"/>
      <c r="F196" s="222" t="s">
        <v>0</v>
      </c>
      <c r="G196" s="223"/>
      <c r="H196" s="223"/>
      <c r="I196" s="684"/>
      <c r="J196"/>
      <c r="K196"/>
      <c r="L196"/>
      <c r="M196"/>
      <c r="N196"/>
      <c r="O196"/>
      <c r="P196"/>
      <c r="Q196"/>
      <c r="R196"/>
      <c r="S196"/>
      <c r="T196"/>
      <c r="U196"/>
      <c r="X196"/>
      <c r="AB196"/>
      <c r="AC196"/>
      <c r="AF196" s="326">
        <f>IF(S.Planning.ProgramWebPage="Y",1,0)</f>
        <v>0</v>
      </c>
      <c r="AG196" s="58" t="s">
        <v>0</v>
      </c>
      <c r="AH196" s="58"/>
      <c r="AI196" s="58"/>
      <c r="AJ196" s="66"/>
      <c r="AK196" s="44"/>
      <c r="AL196" s="76"/>
    </row>
    <row r="197" spans="1:39" s="23" customFormat="1" ht="15.75" hidden="1" customHeight="1" outlineLevel="2" thickBot="1" x14ac:dyDescent="0.25">
      <c r="A197" s="144"/>
      <c r="B197" s="674" t="s">
        <v>262</v>
      </c>
      <c r="C197" s="478" t="s">
        <v>134</v>
      </c>
      <c r="D197" s="644"/>
      <c r="E197" s="644"/>
      <c r="F197" s="227"/>
      <c r="G197" s="223" t="s">
        <v>0</v>
      </c>
      <c r="H197" s="223"/>
      <c r="I197" s="684"/>
      <c r="J197"/>
      <c r="K197"/>
      <c r="L197"/>
      <c r="M197"/>
      <c r="N197"/>
      <c r="O197"/>
      <c r="P197"/>
      <c r="Q197"/>
      <c r="R197"/>
      <c r="S197"/>
      <c r="T197"/>
      <c r="U197"/>
      <c r="X197"/>
      <c r="AB197"/>
      <c r="AC197"/>
      <c r="AF197" s="326">
        <f>IF(S.Notice.InformationMeeting="N",,1)</f>
        <v>0</v>
      </c>
      <c r="AG197" s="58"/>
      <c r="AH197" s="58"/>
      <c r="AI197" s="59"/>
      <c r="AJ197" s="43"/>
      <c r="AK197" s="346"/>
      <c r="AL197" s="76"/>
    </row>
    <row r="198" spans="1:39" s="23" customFormat="1" ht="6" hidden="1" customHeight="1" outlineLevel="2" x14ac:dyDescent="0.2">
      <c r="A198" s="144"/>
      <c r="B198" s="294"/>
      <c r="C198" s="294"/>
      <c r="D198" s="632"/>
      <c r="E198" s="632"/>
      <c r="F198" s="731"/>
      <c r="G198" s="251"/>
      <c r="H198" s="296"/>
      <c r="I198" s="39"/>
      <c r="AF198" s="326" t="s">
        <v>0</v>
      </c>
      <c r="AG198" s="76"/>
      <c r="AH198" s="76"/>
      <c r="AI198" s="107" t="s">
        <v>157</v>
      </c>
      <c r="AJ198" s="309"/>
      <c r="AK198" s="77"/>
      <c r="AL198" s="76"/>
    </row>
    <row r="199" spans="1:39" s="23" customFormat="1" ht="20.25" hidden="1" customHeight="1" outlineLevel="3" x14ac:dyDescent="0.2">
      <c r="A199" s="144"/>
      <c r="B199" s="730" t="s">
        <v>544</v>
      </c>
      <c r="C199"/>
      <c r="D199" s="236"/>
      <c r="E199" s="236"/>
      <c r="F199" s="222" t="s">
        <v>0</v>
      </c>
      <c r="G199" s="223"/>
      <c r="H199" s="223"/>
      <c r="I199" s="684"/>
      <c r="J199"/>
      <c r="K199"/>
      <c r="L199"/>
      <c r="M199"/>
      <c r="N199"/>
      <c r="O199"/>
      <c r="P199"/>
      <c r="Q199"/>
      <c r="R199"/>
      <c r="S199"/>
      <c r="T199"/>
      <c r="U199"/>
      <c r="X199"/>
      <c r="AB199"/>
      <c r="AC199"/>
      <c r="AF199" s="326">
        <f>IF(OR(S.Planning.CommunicationsPlan="Y",S.Planning.MessageMap="Y",S.Planning.ProgramWebPage="Y"),1,0)</f>
        <v>0</v>
      </c>
      <c r="AG199" s="58" t="s">
        <v>0</v>
      </c>
      <c r="AH199" s="58"/>
      <c r="AI199" s="58"/>
      <c r="AJ199" s="66"/>
      <c r="AK199" s="44"/>
      <c r="AL199" s="76"/>
    </row>
    <row r="200" spans="1:39" s="23" customFormat="1" ht="15" hidden="1" customHeight="1" outlineLevel="3" x14ac:dyDescent="0.25">
      <c r="A200" s="144"/>
      <c r="B200" s="456" t="str">
        <f>AK200</f>
        <v>Jill leads communication option review and approval loops for:</v>
      </c>
      <c r="C200" s="182" t="s">
        <v>0</v>
      </c>
      <c r="D200"/>
      <c r="F200"/>
      <c r="G200" s="669"/>
      <c r="H200"/>
      <c r="I200" s="684"/>
      <c r="J200"/>
      <c r="K200"/>
      <c r="L200"/>
      <c r="M200"/>
      <c r="N200"/>
      <c r="O200"/>
      <c r="P200"/>
      <c r="Q200"/>
      <c r="R200"/>
      <c r="S200"/>
      <c r="T200"/>
      <c r="U200"/>
      <c r="X200"/>
      <c r="AB200"/>
      <c r="AC200"/>
      <c r="AF200" s="326">
        <f>IF(OR(S.Planning.CommunicationsPlan="Y",S.Planning.MessageMap="Y",S.Planning.ProgramWebPage="Y"),1,0)</f>
        <v>0</v>
      </c>
      <c r="AG200" s="58"/>
      <c r="AH200" s="58"/>
      <c r="AI200" s="59"/>
      <c r="AJ200" s="43"/>
      <c r="AK200" s="63" t="str">
        <f>S.Staff.Subject.Expert.FirstName&amp;" leads communication option review and approval loops for:"</f>
        <v>Jill leads communication option review and approval loops for:</v>
      </c>
      <c r="AL200" s="76"/>
    </row>
    <row r="201" spans="1:39" s="23" customFormat="1" ht="15.75" hidden="1" customHeight="1" outlineLevel="3" x14ac:dyDescent="0.2">
      <c r="A201" s="144"/>
      <c r="B201" s="458" t="str">
        <f>AK201</f>
        <v>* drafting COMMUNICATION.PLAN with BrianW using information</v>
      </c>
      <c r="C201" s="448" t="str">
        <f>HYPERLINK("http://deq05/intranet/communication/publicinvolvement/index.htm","i")</f>
        <v>i</v>
      </c>
      <c r="D201" s="175"/>
      <c r="E201" s="816"/>
      <c r="F201"/>
      <c r="G201" s="224">
        <f>AG201</f>
        <v>41641</v>
      </c>
      <c r="H201" s="221">
        <f>AH201</f>
        <v>41641</v>
      </c>
      <c r="I201" s="684"/>
      <c r="J201"/>
      <c r="K201"/>
      <c r="L201"/>
      <c r="M201"/>
      <c r="N201"/>
      <c r="O201"/>
      <c r="P201"/>
      <c r="Q201"/>
      <c r="R201"/>
      <c r="S201"/>
      <c r="T201"/>
      <c r="U201"/>
      <c r="X201"/>
      <c r="AB201"/>
      <c r="AC201"/>
      <c r="AF201" s="326">
        <f>IF(S.Planning.CommunicationsPlan="Y",1,0)</f>
        <v>0</v>
      </c>
      <c r="AG201" s="60">
        <f>S.Planning.CommunicationMeeting</f>
        <v>41641</v>
      </c>
      <c r="AH201" s="60">
        <f>G201</f>
        <v>41641</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x14ac:dyDescent="0.2">
      <c r="A202" s="144"/>
      <c r="B202" s="459" t="s">
        <v>452</v>
      </c>
      <c r="C202" s="670" t="s">
        <v>0</v>
      </c>
      <c r="D202" s="671"/>
      <c r="E202" s="818"/>
      <c r="F202"/>
      <c r="G202" s="229" t="s">
        <v>0</v>
      </c>
      <c r="I202" s="684"/>
      <c r="AF202" s="326">
        <f>IF(S.Planning.CommunicationsPlan="Y",1,0)</f>
        <v>0</v>
      </c>
      <c r="AG202" s="58" t="s">
        <v>0</v>
      </c>
      <c r="AH202" s="58"/>
      <c r="AI202" s="47"/>
      <c r="AJ202" s="44"/>
      <c r="AK202" s="44"/>
      <c r="AL202" s="76"/>
    </row>
    <row r="203" spans="1:39" ht="15.75" hidden="1" customHeight="1" outlineLevel="3" x14ac:dyDescent="0.2">
      <c r="A203" s="144"/>
      <c r="B203" s="457" t="str">
        <f>AK203</f>
        <v>* drafting MESSAGE.MAP with BrianW</v>
      </c>
      <c r="C203" s="448" t="str">
        <f>HYPERLINK("http://deq05/intranet/communication/index.htm","i")</f>
        <v>i</v>
      </c>
      <c r="D203" s="175"/>
      <c r="E203" s="816"/>
      <c r="F203"/>
      <c r="G203" s="221">
        <f>AG203</f>
        <v>41641</v>
      </c>
      <c r="H203" s="221">
        <f>AH203</f>
        <v>41641</v>
      </c>
      <c r="I203" s="684"/>
      <c r="AF203" s="327">
        <f>IF(S.Planning.MessageMap="Y",1,0)</f>
        <v>0</v>
      </c>
      <c r="AG203" s="60">
        <f>G201</f>
        <v>41641</v>
      </c>
      <c r="AH203" s="60">
        <f>G203</f>
        <v>41641</v>
      </c>
      <c r="AI203" s="59"/>
      <c r="AJ203" s="59"/>
      <c r="AK203" s="78" t="str">
        <f>"* drafting MESSAGE.MAP with "&amp;S.Staff.PublicAffairsOfficer</f>
        <v>* drafting MESSAGE.MAP with BrianW</v>
      </c>
      <c r="AL203" s="76"/>
      <c r="AM203"/>
    </row>
    <row r="204" spans="1:39" s="23" customFormat="1" ht="15" hidden="1" customHeight="1" outlineLevel="3" x14ac:dyDescent="0.2">
      <c r="A204" s="144"/>
      <c r="B204" s="457" t="str">
        <f>AK204</f>
        <v>* drafting  PROGRAM.WEB.PAGE content with team and Michele</v>
      </c>
      <c r="C204" s="233"/>
      <c r="D204" s="175"/>
      <c r="E204" s="816"/>
      <c r="F204"/>
      <c r="G204" s="224">
        <f>AG204</f>
        <v>41641</v>
      </c>
      <c r="H204" s="221">
        <f>AH204</f>
        <v>41641</v>
      </c>
      <c r="I204" s="684"/>
      <c r="J204"/>
      <c r="K204"/>
      <c r="L204"/>
      <c r="M204"/>
      <c r="N204"/>
      <c r="O204"/>
      <c r="P204"/>
      <c r="Q204"/>
      <c r="R204"/>
      <c r="S204"/>
      <c r="T204"/>
      <c r="U204"/>
      <c r="X204"/>
      <c r="AB204"/>
      <c r="AC204"/>
      <c r="AF204" s="327">
        <f>IF(S.Planning.ProgramWebPage="Y",1,0)</f>
        <v>0</v>
      </c>
      <c r="AG204" s="60">
        <f>G203</f>
        <v>41641</v>
      </c>
      <c r="AH204" s="60">
        <f>G204</f>
        <v>41641</v>
      </c>
      <c r="AI204" s="58"/>
      <c r="AJ204" s="44"/>
      <c r="AK204" s="169" t="str">
        <f>"* drafting  PROGRAM.WEB.PAGE content with team and "&amp;S.Staff.WebMaster</f>
        <v>* drafting  PROGRAM.WEB.PAGE content with team and Michele</v>
      </c>
      <c r="AL204" s="76"/>
    </row>
    <row r="205" spans="1:39" s="23" customFormat="1" ht="15" hidden="1" customHeight="1" outlineLevel="3" x14ac:dyDescent="0.25">
      <c r="A205" s="144"/>
      <c r="B205" s="456" t="str">
        <f>AK205</f>
        <v>Leah:</v>
      </c>
      <c r="C205" s="182" t="s">
        <v>0</v>
      </c>
      <c r="D205" s="184"/>
      <c r="E205" s="815"/>
      <c r="F205"/>
      <c r="G205" s="316"/>
      <c r="H205" s="316"/>
      <c r="I205" s="684"/>
      <c r="J205"/>
      <c r="K205"/>
      <c r="L205"/>
      <c r="M205"/>
      <c r="N205"/>
      <c r="O205"/>
      <c r="P205"/>
      <c r="Q205"/>
      <c r="R205"/>
      <c r="S205"/>
      <c r="T205"/>
      <c r="U205"/>
      <c r="X205"/>
      <c r="AB205"/>
      <c r="AC205"/>
      <c r="AF205" s="326">
        <f>IF(OR(S.Planning.CommunicationsPlan="Y",S.Planning.MessageMap="Y",S.Planning.ProgramWebPage="Y"),1,0)</f>
        <v>0</v>
      </c>
      <c r="AG205" s="47"/>
      <c r="AH205" s="47"/>
      <c r="AI205" s="59"/>
      <c r="AJ205" s="43"/>
      <c r="AK205" s="63" t="str">
        <f>S.Staff.Program.Mgr.FirstName&amp;":"</f>
        <v>Leah:</v>
      </c>
      <c r="AL205" s="76"/>
    </row>
    <row r="206" spans="1:39" s="23" customFormat="1" ht="15" hidden="1" customHeight="1" outlineLevel="3" x14ac:dyDescent="0.2">
      <c r="A206" s="144"/>
      <c r="B206" s="457" t="str">
        <f>AK206</f>
        <v>* shares content with Lydia and approves content:</v>
      </c>
      <c r="C206" s="233"/>
      <c r="D206" s="246"/>
      <c r="E206" s="818"/>
      <c r="F206"/>
      <c r="G206" s="221">
        <f t="shared" ref="G206:H211" si="8">AG206</f>
        <v>41641</v>
      </c>
      <c r="H206" s="221">
        <f t="shared" si="8"/>
        <v>41641</v>
      </c>
      <c r="I206" s="684"/>
      <c r="J206"/>
      <c r="K206"/>
      <c r="L206"/>
      <c r="M206"/>
      <c r="N206"/>
      <c r="O206"/>
      <c r="P206"/>
      <c r="Q206"/>
      <c r="R206"/>
      <c r="S206"/>
      <c r="T206"/>
      <c r="U206"/>
      <c r="X206"/>
      <c r="AB206"/>
      <c r="AC206"/>
      <c r="AF206" s="326">
        <f>IF(OR(S.Planning.CommunicationsPlan="Y",S.Planning.MessageMap="Y",S.Planning.ProgramWebPage="Y"),1,0)</f>
        <v>0</v>
      </c>
      <c r="AG206" s="60">
        <f>H204</f>
        <v>41641</v>
      </c>
      <c r="AH206" s="60">
        <f t="shared" ref="AH206:AH211" si="9">G206</f>
        <v>41641</v>
      </c>
      <c r="AI206" s="58"/>
      <c r="AJ206" s="44"/>
      <c r="AK206" s="169" t="str">
        <f>"* shares content with "&amp;S.Staff.Assistant.DA.ShortName&amp;" and approves content:"</f>
        <v>* shares content with Lydia and approves content:</v>
      </c>
      <c r="AL206" s="76"/>
    </row>
    <row r="207" spans="1:39" s="23" customFormat="1" ht="15" hidden="1" customHeight="1" outlineLevel="3" thickBot="1" x14ac:dyDescent="0.25">
      <c r="A207" s="144"/>
      <c r="B207" s="459" t="s">
        <v>189</v>
      </c>
      <c r="C207" s="480" t="s">
        <v>0</v>
      </c>
      <c r="D207" s="246"/>
      <c r="E207" s="818"/>
      <c r="F207"/>
      <c r="G207" s="221">
        <f t="shared" si="8"/>
        <v>41641</v>
      </c>
      <c r="H207" s="221">
        <f t="shared" si="8"/>
        <v>41641</v>
      </c>
      <c r="I207" s="684"/>
      <c r="J207"/>
      <c r="K207"/>
      <c r="L207"/>
      <c r="M207"/>
      <c r="N207"/>
      <c r="O207"/>
      <c r="P207"/>
      <c r="Q207"/>
      <c r="R207"/>
      <c r="S207"/>
      <c r="T207"/>
      <c r="U207"/>
      <c r="X207"/>
      <c r="AB207"/>
      <c r="AC207"/>
      <c r="AF207" s="326">
        <f>IF(OR(S.Planning.CommunicationsPlan="Y",S.Planning.MessageMap="Y",S.Planning.ProgramWebPage="Y"),1,0)</f>
        <v>0</v>
      </c>
      <c r="AG207" s="60">
        <f>H206</f>
        <v>41641</v>
      </c>
      <c r="AH207" s="60">
        <f t="shared" si="9"/>
        <v>41641</v>
      </c>
      <c r="AI207" s="47"/>
      <c r="AJ207" s="44"/>
      <c r="AK207" s="72"/>
      <c r="AL207" s="76"/>
    </row>
    <row r="208" spans="1:39" s="23" customFormat="1" ht="15" hidden="1" customHeight="1" outlineLevel="3" thickBot="1" x14ac:dyDescent="0.25">
      <c r="A208" s="144"/>
      <c r="B208" s="391" t="s">
        <v>190</v>
      </c>
      <c r="C208" s="420" t="s">
        <v>134</v>
      </c>
      <c r="D208" s="246"/>
      <c r="E208" s="818"/>
      <c r="F208"/>
      <c r="G208" s="224">
        <f t="shared" si="8"/>
        <v>0</v>
      </c>
      <c r="H208" s="221">
        <f t="shared" si="8"/>
        <v>0</v>
      </c>
      <c r="I208" s="684"/>
      <c r="J208"/>
      <c r="K208"/>
      <c r="L208"/>
      <c r="M208"/>
      <c r="N208"/>
      <c r="O208"/>
      <c r="P208"/>
      <c r="Q208"/>
      <c r="R208"/>
      <c r="S208"/>
      <c r="T208"/>
      <c r="U208"/>
      <c r="X208"/>
      <c r="AB208"/>
      <c r="AC208"/>
      <c r="AF208" s="326">
        <f>IF(S.Planning.ApproveCommunicationsLoop2="N",,IF(OR(S.Planning.CommunicationsPlan="Y",S.Planning.MessageMap="Y",S.Planning.ProgramWebPage="Y"),1,0))</f>
        <v>0</v>
      </c>
      <c r="AG208" s="60">
        <f>IF(AF208=0,,H207)</f>
        <v>0</v>
      </c>
      <c r="AH208" s="60">
        <f t="shared" si="9"/>
        <v>0</v>
      </c>
      <c r="AI208" s="47"/>
      <c r="AJ208" s="44"/>
      <c r="AK208" s="72"/>
      <c r="AL208" s="76"/>
    </row>
    <row r="209" spans="1:38" s="23" customFormat="1" ht="15" hidden="1" customHeight="1" outlineLevel="3" thickBot="1" x14ac:dyDescent="0.25">
      <c r="A209" s="144"/>
      <c r="B209" s="388" t="s">
        <v>191</v>
      </c>
      <c r="C209" s="420" t="s">
        <v>134</v>
      </c>
      <c r="D209" s="246"/>
      <c r="E209" s="818"/>
      <c r="F209"/>
      <c r="G209" s="224">
        <f t="shared" si="8"/>
        <v>0</v>
      </c>
      <c r="H209" s="221">
        <f t="shared" si="8"/>
        <v>0</v>
      </c>
      <c r="I209" s="684"/>
      <c r="J209"/>
      <c r="K209"/>
      <c r="L209"/>
      <c r="M209"/>
      <c r="N209"/>
      <c r="O209"/>
      <c r="P209"/>
      <c r="Q209"/>
      <c r="R209"/>
      <c r="S209"/>
      <c r="T209"/>
      <c r="U209"/>
      <c r="X209"/>
      <c r="AB209"/>
      <c r="AC209"/>
      <c r="AF209" s="326">
        <f>IF(S.Planning.ApproveCommunicationsLoop3="N",,IF(OR(S.Planning.CommunicationsPlan="Y",S.Planning.MessageMap="Y",S.Planning.ProgramWebPage="Y"),1,0))</f>
        <v>0</v>
      </c>
      <c r="AG209" s="60">
        <f>IF(AF209=0,,H208)</f>
        <v>0</v>
      </c>
      <c r="AH209" s="60">
        <f t="shared" si="9"/>
        <v>0</v>
      </c>
      <c r="AI209" s="47"/>
      <c r="AJ209" s="44"/>
      <c r="AK209" s="72"/>
      <c r="AL209" s="76"/>
    </row>
    <row r="210" spans="1:38" s="23" customFormat="1" ht="15" hidden="1" customHeight="1" outlineLevel="3" thickBot="1" x14ac:dyDescent="0.25">
      <c r="A210" s="144"/>
      <c r="B210" s="460" t="s">
        <v>193</v>
      </c>
      <c r="C210" s="420" t="s">
        <v>134</v>
      </c>
      <c r="D210" s="246"/>
      <c r="E210" s="818"/>
      <c r="F210"/>
      <c r="G210" s="224">
        <f t="shared" si="8"/>
        <v>0</v>
      </c>
      <c r="H210" s="221">
        <f t="shared" si="8"/>
        <v>0</v>
      </c>
      <c r="I210" s="684"/>
      <c r="J210"/>
      <c r="K210"/>
      <c r="L210"/>
      <c r="M210"/>
      <c r="N210"/>
      <c r="O210"/>
      <c r="P210"/>
      <c r="Q210"/>
      <c r="R210"/>
      <c r="S210"/>
      <c r="T210"/>
      <c r="U210"/>
      <c r="X210"/>
      <c r="AB210"/>
      <c r="AC210"/>
      <c r="AF210" s="326">
        <f>IF(S.Planning.ApproveCommunicationsLoop4="N",,IF(OR(S.Planning.CommunicationsPlan="Y",S.Planning.MessageMap="Y",S.Planning.ProgramWebPage="Y"),1,0))</f>
        <v>0</v>
      </c>
      <c r="AG210" s="60">
        <f>IF(AF210=0,,H209)</f>
        <v>0</v>
      </c>
      <c r="AH210" s="60">
        <f t="shared" si="9"/>
        <v>0</v>
      </c>
      <c r="AI210" s="47"/>
      <c r="AJ210" s="44"/>
      <c r="AK210" s="72"/>
      <c r="AL210" s="76"/>
    </row>
    <row r="211" spans="1:38" s="23" customFormat="1" ht="15" hidden="1" customHeight="1" outlineLevel="3" x14ac:dyDescent="0.25">
      <c r="A211" s="144"/>
      <c r="B211" s="456" t="str">
        <f>AK211</f>
        <v>Jill leads program Web page development:</v>
      </c>
      <c r="C211" s="182" t="s">
        <v>0</v>
      </c>
      <c r="D211" s="246"/>
      <c r="E211" s="818"/>
      <c r="F211"/>
      <c r="G211" s="224">
        <f t="shared" si="8"/>
        <v>41641</v>
      </c>
      <c r="H211" s="221">
        <f t="shared" si="8"/>
        <v>41641</v>
      </c>
      <c r="I211" s="684"/>
      <c r="J211"/>
      <c r="K211"/>
      <c r="L211"/>
      <c r="M211"/>
      <c r="N211"/>
      <c r="O211"/>
      <c r="P211"/>
      <c r="Q211"/>
      <c r="R211"/>
      <c r="S211"/>
      <c r="T211"/>
      <c r="U211"/>
      <c r="X211"/>
      <c r="AB211"/>
      <c r="AC211"/>
      <c r="AF211" s="326">
        <f>IF(S.Planning.ProgramWebPage="Y",1,0)</f>
        <v>0</v>
      </c>
      <c r="AG211" s="60">
        <f>S.AC.BANNER.Begin</f>
        <v>41641</v>
      </c>
      <c r="AH211" s="60">
        <f t="shared" si="9"/>
        <v>41641</v>
      </c>
      <c r="AI211" s="59"/>
      <c r="AJ211" s="43"/>
      <c r="AK211" s="63" t="str">
        <f>S.Staff.Subject.Expert.FirstName&amp;" leads program Web page development:"</f>
        <v>Jill leads program Web page development:</v>
      </c>
      <c r="AL211" s="76"/>
    </row>
    <row r="212" spans="1:38" s="23" customFormat="1" ht="15" hidden="1" customHeight="1" outlineLevel="3" x14ac:dyDescent="0.2">
      <c r="A212" s="144"/>
      <c r="B212" s="457" t="s">
        <v>454</v>
      </c>
      <c r="C212" s="247" t="s">
        <v>0</v>
      </c>
      <c r="D212" s="246"/>
      <c r="E212" s="818"/>
      <c r="F212"/>
      <c r="G212"/>
      <c r="H212"/>
      <c r="I212" s="684"/>
      <c r="J212"/>
      <c r="K212"/>
      <c r="L212"/>
      <c r="M212"/>
      <c r="N212"/>
      <c r="O212"/>
      <c r="P212"/>
      <c r="Q212"/>
      <c r="R212"/>
      <c r="S212"/>
      <c r="T212"/>
      <c r="U212"/>
      <c r="X212"/>
      <c r="AB212"/>
      <c r="AC212"/>
      <c r="AF212" s="326">
        <f>IF(S.Planning.ProgramWebPage="Y",1,0)</f>
        <v>0</v>
      </c>
      <c r="AG212" s="59"/>
      <c r="AH212" s="59"/>
      <c r="AI212" s="47"/>
      <c r="AJ212" s="44"/>
      <c r="AK212" s="72"/>
      <c r="AL212" s="76"/>
    </row>
    <row r="213" spans="1:38" s="23" customFormat="1" ht="15" hidden="1" customHeight="1" outlineLevel="3" x14ac:dyDescent="0.2">
      <c r="A213" s="144" t="s">
        <v>157</v>
      </c>
      <c r="B213" s="457" t="s">
        <v>192</v>
      </c>
      <c r="C213" s="247" t="s">
        <v>0</v>
      </c>
      <c r="D213" s="246"/>
      <c r="E213" s="818"/>
      <c r="F213"/>
      <c r="G213"/>
      <c r="H213"/>
      <c r="I213" s="684"/>
      <c r="J213"/>
      <c r="K213"/>
      <c r="L213"/>
      <c r="M213"/>
      <c r="N213"/>
      <c r="O213"/>
      <c r="P213"/>
      <c r="Q213"/>
      <c r="R213"/>
      <c r="S213"/>
      <c r="T213"/>
      <c r="U213"/>
      <c r="X213"/>
      <c r="AB213"/>
      <c r="AC213"/>
      <c r="AF213" s="326">
        <f>IF(S.Planning.ProgramWebPage="Y",1,0)</f>
        <v>0</v>
      </c>
      <c r="AG213" s="59"/>
      <c r="AH213" s="59"/>
      <c r="AI213" s="47"/>
      <c r="AJ213" s="44"/>
      <c r="AK213" s="72"/>
      <c r="AL213" s="76"/>
    </row>
    <row r="214" spans="1:38" s="23" customFormat="1" ht="15" hidden="1" customHeight="1" outlineLevel="3" x14ac:dyDescent="0.2">
      <c r="A214" s="144"/>
      <c r="B214" s="458" t="str">
        <f>AK214</f>
        <v>* works with Michele to make adjustments</v>
      </c>
      <c r="C214" s="247" t="s">
        <v>0</v>
      </c>
      <c r="D214" s="246"/>
      <c r="E214" s="818"/>
      <c r="F214"/>
      <c r="G214"/>
      <c r="H214"/>
      <c r="I214" s="684"/>
      <c r="J214"/>
      <c r="K214"/>
      <c r="L214"/>
      <c r="M214"/>
      <c r="N214"/>
      <c r="O214"/>
      <c r="P214"/>
      <c r="Q214"/>
      <c r="R214"/>
      <c r="S214"/>
      <c r="T214"/>
      <c r="U214"/>
      <c r="X214"/>
      <c r="AB214"/>
      <c r="AC214"/>
      <c r="AF214" s="326">
        <f>IF(S.Planning.ProgramWebPage="Y",1,0)</f>
        <v>0</v>
      </c>
      <c r="AG214" s="59"/>
      <c r="AH214" s="59"/>
      <c r="AI214" s="47"/>
      <c r="AJ214" s="44"/>
      <c r="AK214" s="169" t="str">
        <f>"* works with "&amp;S.Staff.WebMaster&amp;" to make adjustments"</f>
        <v>* works with Michele to make adjustments</v>
      </c>
      <c r="AL214" s="76"/>
    </row>
    <row r="215" spans="1:38" s="23" customFormat="1" ht="7.5" hidden="1" customHeight="1" outlineLevel="2" x14ac:dyDescent="0.2">
      <c r="A215" s="144"/>
      <c r="B215" s="294"/>
      <c r="C215" s="294"/>
      <c r="D215" s="632"/>
      <c r="E215" s="632"/>
      <c r="F215" s="731"/>
      <c r="G215" s="251"/>
      <c r="H215" s="296"/>
      <c r="I215" s="39"/>
      <c r="AF215" s="326" t="s">
        <v>0</v>
      </c>
      <c r="AG215" s="76"/>
      <c r="AH215" s="76"/>
      <c r="AI215" s="107" t="s">
        <v>157</v>
      </c>
      <c r="AJ215" s="309"/>
      <c r="AK215" s="77"/>
      <c r="AL215" s="76"/>
    </row>
    <row r="216" spans="1:38" s="23" customFormat="1" ht="20.25" hidden="1" customHeight="1" outlineLevel="1" collapsed="1" x14ac:dyDescent="0.2">
      <c r="A216" s="144"/>
      <c r="B216" s="461" t="s">
        <v>474</v>
      </c>
      <c r="C216" s="82"/>
      <c r="D216" s="631"/>
      <c r="E216" s="631"/>
      <c r="F216" s="83"/>
      <c r="G216" s="82"/>
      <c r="H216" s="82"/>
      <c r="I216" s="684"/>
      <c r="AF216" s="326">
        <f>IF(S.Hearing.1stInvolve="Y",1,0)</f>
        <v>1</v>
      </c>
      <c r="AG216" s="47"/>
      <c r="AH216" s="47"/>
      <c r="AI216" s="69"/>
      <c r="AJ216" s="69"/>
      <c r="AK216" s="35"/>
      <c r="AL216" s="76"/>
    </row>
    <row r="217" spans="1:38" s="23" customFormat="1" ht="15" hidden="1" customHeight="1" outlineLevel="1" thickBot="1" x14ac:dyDescent="0.25">
      <c r="A217" s="144"/>
      <c r="B217" s="232" t="str">
        <f>AK217</f>
        <v>Team identifies hearing locations, dates and times</v>
      </c>
      <c r="C217" s="488"/>
      <c r="D217" s="989" t="s">
        <v>487</v>
      </c>
      <c r="E217" s="989"/>
      <c r="F217" s="989"/>
      <c r="G217" s="989"/>
      <c r="H217" s="989"/>
      <c r="I217" s="684"/>
      <c r="AF217" s="326">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hidden="1" customHeight="1" outlineLevel="1" thickTop="1" thickBot="1" x14ac:dyDescent="0.25">
      <c r="A218" s="683"/>
      <c r="B218" s="231" t="s">
        <v>0</v>
      </c>
      <c r="C218" s="701"/>
      <c r="D218" s="974" t="s">
        <v>486</v>
      </c>
      <c r="E218" s="975"/>
      <c r="F218" s="975"/>
      <c r="G218" s="688" t="s">
        <v>470</v>
      </c>
      <c r="H218" s="702" t="s">
        <v>471</v>
      </c>
      <c r="I218" s="684"/>
      <c r="AF218" s="326">
        <f>IF(S.Hearing.1stInvolve="Y",1,0)</f>
        <v>1</v>
      </c>
      <c r="AG218" s="685"/>
      <c r="AH218" s="685"/>
      <c r="AI218" s="685"/>
      <c r="AJ218" s="685"/>
      <c r="AK218" s="686" t="str">
        <f>IF(S.Hearing.1stInvolve="Y",S.Staff.Support&amp;" enters hearings locations, dates and times:","No hearings planned")</f>
        <v>Jill enters hearings locations, dates and times:</v>
      </c>
      <c r="AL218" s="504"/>
    </row>
    <row r="219" spans="1:38" s="23" customFormat="1" ht="15" hidden="1" customHeight="1" outlineLevel="1" thickTop="1" x14ac:dyDescent="0.2">
      <c r="A219" s="144"/>
      <c r="B219" s="697" t="s">
        <v>433</v>
      </c>
      <c r="C219" s="883" t="s">
        <v>16</v>
      </c>
      <c r="D219" s="976">
        <v>1</v>
      </c>
      <c r="E219" s="977"/>
      <c r="F219" s="977"/>
      <c r="G219" s="218">
        <f t="shared" ref="G219:G227" si="10">AG219</f>
        <v>41836</v>
      </c>
      <c r="H219" s="699" t="s">
        <v>231</v>
      </c>
      <c r="I219" s="684"/>
      <c r="J219"/>
      <c r="K219"/>
      <c r="L219"/>
      <c r="M219"/>
      <c r="N219"/>
      <c r="O219"/>
      <c r="P219"/>
      <c r="Q219"/>
      <c r="R219"/>
      <c r="S219"/>
      <c r="T219"/>
      <c r="U219"/>
      <c r="X219"/>
      <c r="AB219"/>
      <c r="AC219"/>
      <c r="AF219" s="326">
        <f>IF(S.Hearing.1stInvolve="Y",1,0)</f>
        <v>1</v>
      </c>
      <c r="AG219" s="60">
        <f>S.Hearing.1stDate</f>
        <v>41836</v>
      </c>
      <c r="AH219" s="352" t="s">
        <v>54</v>
      </c>
      <c r="AI219" s="34"/>
      <c r="AJ219" s="43"/>
      <c r="AK219" s="43"/>
      <c r="AL219" s="76"/>
    </row>
    <row r="220" spans="1:38" s="23" customFormat="1" ht="15" hidden="1" customHeight="1" outlineLevel="1" x14ac:dyDescent="0.2">
      <c r="A220" s="144"/>
      <c r="B220" s="697" t="str">
        <f t="shared" ref="B220:B226" si="11">"Enter city name"</f>
        <v>Enter city name</v>
      </c>
      <c r="C220" s="884" t="s">
        <v>134</v>
      </c>
      <c r="D220" s="976">
        <v>2</v>
      </c>
      <c r="E220" s="977"/>
      <c r="F220" s="977"/>
      <c r="G220" s="218">
        <f t="shared" si="10"/>
        <v>0</v>
      </c>
      <c r="H220" s="699" t="str">
        <f t="shared" ref="H220:H226" si="12">AH220</f>
        <v>6 p.m.</v>
      </c>
      <c r="I220" s="684"/>
      <c r="J220"/>
      <c r="K220"/>
      <c r="L220"/>
      <c r="M220"/>
      <c r="N220"/>
      <c r="O220"/>
      <c r="P220"/>
      <c r="Q220"/>
      <c r="R220"/>
      <c r="S220"/>
      <c r="T220"/>
      <c r="U220"/>
      <c r="X220"/>
      <c r="AB220"/>
      <c r="AC220"/>
      <c r="AF220" s="326">
        <f>IF(AND(S.Hearing.2ndInvolve="Y",S.Hearing.1stInvolve="Y"),1,)</f>
        <v>0</v>
      </c>
      <c r="AG220" s="60">
        <f>IF(S.Hearing.2ndInvolve="N",,S.Hearing.1stDate)</f>
        <v>0</v>
      </c>
      <c r="AH220" s="60" t="str">
        <f>H219</f>
        <v>6 p.m.</v>
      </c>
      <c r="AI220" s="59"/>
      <c r="AJ220" s="59"/>
      <c r="AK220" s="66"/>
      <c r="AL220" s="76"/>
    </row>
    <row r="221" spans="1:38" s="23" customFormat="1" ht="15" hidden="1" customHeight="1" outlineLevel="1" x14ac:dyDescent="0.2">
      <c r="A221" s="144"/>
      <c r="B221" s="697" t="str">
        <f t="shared" si="11"/>
        <v>Enter city name</v>
      </c>
      <c r="C221" s="884" t="s">
        <v>134</v>
      </c>
      <c r="D221" s="976">
        <v>3</v>
      </c>
      <c r="E221" s="977"/>
      <c r="F221" s="977" t="s">
        <v>0</v>
      </c>
      <c r="G221" s="218">
        <f t="shared" si="10"/>
        <v>0</v>
      </c>
      <c r="H221" s="699" t="str">
        <f t="shared" si="12"/>
        <v>6 p.m.</v>
      </c>
      <c r="I221" s="684"/>
      <c r="J221"/>
      <c r="K221"/>
      <c r="L221"/>
      <c r="M221"/>
      <c r="N221"/>
      <c r="O221"/>
      <c r="P221"/>
      <c r="Q221"/>
      <c r="R221"/>
      <c r="S221"/>
      <c r="T221"/>
      <c r="U221"/>
      <c r="X221"/>
      <c r="AB221"/>
      <c r="AC221"/>
      <c r="AF221" s="326">
        <f>IF(AND(S.Hearing.3rdInvolve="Y",S.Hearing.1stInvolve="Y"),1,)</f>
        <v>0</v>
      </c>
      <c r="AG221" s="60">
        <f>IF(S.Hearing.3rdInvolve="N",,S.Hearing.2ndDate)</f>
        <v>0</v>
      </c>
      <c r="AH221" s="60" t="str">
        <f>H219</f>
        <v>6 p.m.</v>
      </c>
      <c r="AI221" s="59"/>
      <c r="AJ221" s="44"/>
      <c r="AK221" s="62"/>
      <c r="AL221" s="76"/>
    </row>
    <row r="222" spans="1:38" s="23" customFormat="1" ht="15" hidden="1" customHeight="1" outlineLevel="1" x14ac:dyDescent="0.2">
      <c r="A222" s="144"/>
      <c r="B222" s="697" t="str">
        <f t="shared" si="11"/>
        <v>Enter city name</v>
      </c>
      <c r="C222" s="885" t="s">
        <v>134</v>
      </c>
      <c r="D222" s="976">
        <v>4</v>
      </c>
      <c r="E222" s="977"/>
      <c r="F222" s="977" t="s">
        <v>0</v>
      </c>
      <c r="G222" s="218">
        <f t="shared" si="10"/>
        <v>0</v>
      </c>
      <c r="H222" s="699" t="str">
        <f t="shared" si="12"/>
        <v>6 p.m.</v>
      </c>
      <c r="I222" s="684"/>
      <c r="J222"/>
      <c r="K222"/>
      <c r="L222"/>
      <c r="M222"/>
      <c r="N222"/>
      <c r="O222"/>
      <c r="P222"/>
      <c r="Q222"/>
      <c r="R222"/>
      <c r="S222"/>
      <c r="T222"/>
      <c r="U222"/>
      <c r="X222"/>
      <c r="AB222"/>
      <c r="AC222"/>
      <c r="AF222" s="326">
        <f>IF(AND(S.Hearing.4thInvolve="Y",S.Hearing.1stInvolve="Y"),1,)</f>
        <v>0</v>
      </c>
      <c r="AG222" s="60">
        <f>IF(S.Hearing.4thInvolve="N",,S.Hearing.3rdDate)</f>
        <v>0</v>
      </c>
      <c r="AH222" s="60" t="str">
        <f>H219</f>
        <v>6 p.m.</v>
      </c>
      <c r="AI222" s="59"/>
      <c r="AJ222" s="44"/>
      <c r="AK222" s="62"/>
      <c r="AL222" s="76"/>
    </row>
    <row r="223" spans="1:38" s="23" customFormat="1" ht="15" hidden="1" customHeight="1" outlineLevel="1" x14ac:dyDescent="0.2">
      <c r="A223" s="144"/>
      <c r="B223" s="697" t="str">
        <f t="shared" si="11"/>
        <v>Enter city name</v>
      </c>
      <c r="C223" s="884" t="s">
        <v>134</v>
      </c>
      <c r="D223" s="976">
        <v>5</v>
      </c>
      <c r="E223" s="977"/>
      <c r="F223" s="977" t="s">
        <v>0</v>
      </c>
      <c r="G223" s="218">
        <f t="shared" si="10"/>
        <v>0</v>
      </c>
      <c r="H223" s="699" t="str">
        <f t="shared" si="12"/>
        <v>6 p.m.</v>
      </c>
      <c r="I223" s="684"/>
      <c r="J223"/>
      <c r="K223"/>
      <c r="L223"/>
      <c r="M223"/>
      <c r="N223"/>
      <c r="O223"/>
      <c r="P223"/>
      <c r="Q223"/>
      <c r="R223"/>
      <c r="S223"/>
      <c r="T223"/>
      <c r="U223"/>
      <c r="X223"/>
      <c r="AB223"/>
      <c r="AC223"/>
      <c r="AF223" s="326">
        <f>IF(AND(S.Hearing.5thInvolve="Y",S.Hearing.1stInvolve="Y"),1,)</f>
        <v>0</v>
      </c>
      <c r="AG223" s="60">
        <f>IF(S.Hearing.5thInvolve="N",,S.Hearing.4thDate)</f>
        <v>0</v>
      </c>
      <c r="AH223" s="60" t="str">
        <f>H219</f>
        <v>6 p.m.</v>
      </c>
      <c r="AI223" s="59"/>
      <c r="AJ223" s="44"/>
      <c r="AK223" s="62"/>
      <c r="AL223" s="76"/>
    </row>
    <row r="224" spans="1:38" s="23" customFormat="1" ht="15" hidden="1" customHeight="1" outlineLevel="1" x14ac:dyDescent="0.2">
      <c r="A224" s="144"/>
      <c r="B224" s="697" t="str">
        <f t="shared" si="11"/>
        <v>Enter city name</v>
      </c>
      <c r="C224" s="884" t="s">
        <v>134</v>
      </c>
      <c r="D224" s="976">
        <v>6</v>
      </c>
      <c r="E224" s="977"/>
      <c r="F224" s="977" t="s">
        <v>0</v>
      </c>
      <c r="G224" s="218">
        <f t="shared" si="10"/>
        <v>0</v>
      </c>
      <c r="H224" s="699" t="str">
        <f t="shared" si="12"/>
        <v>6 p.m.</v>
      </c>
      <c r="I224" s="684"/>
      <c r="J224"/>
      <c r="K224"/>
      <c r="L224"/>
      <c r="M224"/>
      <c r="N224"/>
      <c r="O224"/>
      <c r="P224"/>
      <c r="Q224"/>
      <c r="R224"/>
      <c r="S224"/>
      <c r="T224"/>
      <c r="U224"/>
      <c r="X224"/>
      <c r="AB224"/>
      <c r="AC224"/>
      <c r="AF224" s="326">
        <f>IF(AND(S.Hearing.6thInvolve="Y",S.Hearing.1stInvolve="Y"),1,)</f>
        <v>0</v>
      </c>
      <c r="AG224" s="60">
        <f>IF(S.Hearing.6thInvolve="N",,S.Hearing.5thDate)</f>
        <v>0</v>
      </c>
      <c r="AH224" s="60" t="str">
        <f>H219</f>
        <v>6 p.m.</v>
      </c>
      <c r="AI224" s="59"/>
      <c r="AJ224" s="44"/>
      <c r="AK224" s="62"/>
      <c r="AL224" s="76"/>
    </row>
    <row r="225" spans="1:39" s="23" customFormat="1" ht="15" hidden="1" customHeight="1" outlineLevel="1" x14ac:dyDescent="0.2">
      <c r="A225" s="144"/>
      <c r="B225" s="697" t="str">
        <f t="shared" si="11"/>
        <v>Enter city name</v>
      </c>
      <c r="C225" s="884" t="s">
        <v>134</v>
      </c>
      <c r="D225" s="976">
        <v>7</v>
      </c>
      <c r="E225" s="977"/>
      <c r="F225" s="977" t="s">
        <v>0</v>
      </c>
      <c r="G225" s="218">
        <f t="shared" si="10"/>
        <v>0</v>
      </c>
      <c r="H225" s="699" t="str">
        <f t="shared" si="12"/>
        <v>6 p.m.</v>
      </c>
      <c r="I225" s="684"/>
      <c r="J225"/>
      <c r="K225"/>
      <c r="L225"/>
      <c r="M225"/>
      <c r="N225"/>
      <c r="O225"/>
      <c r="P225"/>
      <c r="Q225"/>
      <c r="R225"/>
      <c r="S225"/>
      <c r="T225"/>
      <c r="U225"/>
      <c r="X225"/>
      <c r="AB225"/>
      <c r="AC225"/>
      <c r="AF225" s="326">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x14ac:dyDescent="0.25">
      <c r="A226" s="144"/>
      <c r="B226" s="697" t="str">
        <f t="shared" si="11"/>
        <v>Enter city name</v>
      </c>
      <c r="C226" s="886" t="s">
        <v>134</v>
      </c>
      <c r="D226" s="976" t="s">
        <v>0</v>
      </c>
      <c r="E226" s="977"/>
      <c r="F226" s="977" t="s">
        <v>0</v>
      </c>
      <c r="G226" s="218">
        <f t="shared" si="10"/>
        <v>0</v>
      </c>
      <c r="H226" s="699" t="str">
        <f t="shared" si="12"/>
        <v>6 p.m.</v>
      </c>
      <c r="I226" s="684"/>
      <c r="J226"/>
      <c r="K226"/>
      <c r="L226"/>
      <c r="M226"/>
      <c r="N226"/>
      <c r="O226"/>
      <c r="P226"/>
      <c r="Q226"/>
      <c r="R226"/>
      <c r="S226"/>
      <c r="T226"/>
      <c r="U226"/>
      <c r="X226"/>
      <c r="AB226"/>
      <c r="AC226"/>
      <c r="AF226" s="326">
        <f>IF(AND(S.Hearing.8thtInvolve="Y",S.Hearing.1stInvolve="Y"),1,0)</f>
        <v>0</v>
      </c>
      <c r="AG226" s="60">
        <f>IF(S.Hearing.8thtInvolve="N",,S.Hearing.7thDate)</f>
        <v>0</v>
      </c>
      <c r="AH226" s="60" t="str">
        <f>H219</f>
        <v>6 p.m.</v>
      </c>
      <c r="AI226" s="59"/>
      <c r="AJ226" s="44"/>
      <c r="AK226" s="62"/>
      <c r="AL226" s="76"/>
    </row>
    <row r="227" spans="1:39" s="23" customFormat="1" ht="15" hidden="1" customHeight="1" outlineLevel="1" thickTop="1" thickBot="1" x14ac:dyDescent="0.25">
      <c r="A227" s="144"/>
      <c r="B227" s="676" t="s">
        <v>472</v>
      </c>
      <c r="C227" s="698"/>
      <c r="D227" s="704"/>
      <c r="E227" s="819"/>
      <c r="F227" s="757" t="s">
        <v>0</v>
      </c>
      <c r="G227" s="703">
        <f t="shared" si="10"/>
        <v>41836</v>
      </c>
      <c r="H227" s="700"/>
      <c r="I227" s="684"/>
      <c r="J227"/>
      <c r="K227"/>
      <c r="L227"/>
      <c r="M227"/>
      <c r="N227"/>
      <c r="O227"/>
      <c r="P227"/>
      <c r="Q227"/>
      <c r="R227"/>
      <c r="S227"/>
      <c r="T227"/>
      <c r="U227"/>
      <c r="X227"/>
      <c r="AB227"/>
      <c r="AC227"/>
      <c r="AF227" s="326">
        <f>IF(S.Hearing.1stInvolve="Y",1,0)</f>
        <v>1</v>
      </c>
      <c r="AG227" s="60">
        <f>IF(AF227=0,,MAX(G219:G226))</f>
        <v>41836</v>
      </c>
      <c r="AH227" s="58"/>
      <c r="AI227" s="58"/>
      <c r="AJ227" s="44"/>
      <c r="AK227" s="62"/>
      <c r="AL227" s="76"/>
    </row>
    <row r="228" spans="1:39" s="23" customFormat="1" ht="6" hidden="1" customHeight="1" outlineLevel="1" thickTop="1" x14ac:dyDescent="0.2">
      <c r="A228" s="144"/>
      <c r="B228" s="676"/>
      <c r="C228" s="233"/>
      <c r="D228" s="233"/>
      <c r="E228" s="233"/>
      <c r="F228"/>
      <c r="G228" s="687"/>
      <c r="H228" s="677"/>
      <c r="I228" s="684"/>
      <c r="AF228" s="326" t="s">
        <v>0</v>
      </c>
      <c r="AG228" s="60"/>
      <c r="AH228" s="58"/>
      <c r="AI228" s="58"/>
      <c r="AJ228" s="44"/>
      <c r="AK228" s="62"/>
      <c r="AL228" s="76"/>
    </row>
    <row r="229" spans="1:39" s="23" customFormat="1" ht="15" hidden="1" customHeight="1" outlineLevel="1" x14ac:dyDescent="0.2">
      <c r="A229" s="144"/>
      <c r="B229" s="208" t="str">
        <f>AK229</f>
        <v>Jill reserves venues/equipment for hearings</v>
      </c>
      <c r="C229" s="484" t="s">
        <v>0</v>
      </c>
      <c r="D229" s="248"/>
      <c r="E229" s="689"/>
      <c r="F229"/>
      <c r="G229" s="221">
        <f>AG229</f>
        <v>41641</v>
      </c>
      <c r="H229" s="221">
        <f>AH229</f>
        <v>41836</v>
      </c>
      <c r="I229" s="684"/>
      <c r="J229"/>
      <c r="K229"/>
      <c r="L229"/>
      <c r="M229"/>
      <c r="N229"/>
      <c r="O229"/>
      <c r="P229"/>
      <c r="Q229"/>
      <c r="R229"/>
      <c r="S229"/>
      <c r="T229"/>
      <c r="U229"/>
      <c r="X229"/>
      <c r="AB229"/>
      <c r="AC229"/>
      <c r="AF229" s="326">
        <f>IF(S.Hearing.1stInvolve="Y",1,0)</f>
        <v>1</v>
      </c>
      <c r="AG229" s="60">
        <f>IF(AF229=0,,S.Notice.BANNER.Begin)</f>
        <v>41641</v>
      </c>
      <c r="AH229" s="60">
        <f>IF(AF229=0,,S.Notice.LastHearingDate)</f>
        <v>41836</v>
      </c>
      <c r="AI229" s="47"/>
      <c r="AJ229" s="44"/>
      <c r="AK229" s="169" t="str">
        <f>S.Staff.Support&amp;" reserves venues/equipment for hearings"</f>
        <v>Jill reserves venues/equipment for hearings</v>
      </c>
      <c r="AL229" s="76"/>
    </row>
    <row r="230" spans="1:39" ht="15" hidden="1" customHeight="1" outlineLevel="1" x14ac:dyDescent="0.2">
      <c r="A230" s="144"/>
      <c r="B230" s="208" t="str">
        <f>AK230</f>
        <v>Jill identifies hearings officer(s) on HearingAndAdDates TAB</v>
      </c>
      <c r="C230" s="691" t="s">
        <v>37</v>
      </c>
      <c r="D230" s="248"/>
      <c r="E230" s="689"/>
      <c r="F230"/>
      <c r="G230"/>
      <c r="H230"/>
      <c r="I230" s="684"/>
      <c r="AF230" s="326">
        <f>IF(S.Hearing.1stInvolve="Y",1,0)</f>
        <v>1</v>
      </c>
      <c r="AG230" s="59"/>
      <c r="AH230" s="59"/>
      <c r="AI230" s="59"/>
      <c r="AJ230" s="59"/>
      <c r="AK230" s="169" t="str">
        <f>S.Staff.Subject.Expert.FirstName&amp;" identifies hearings officer(s) on HearingAndAdDates TAB"</f>
        <v>Jill identifies hearings officer(s) on HearingAndAdDates TAB</v>
      </c>
      <c r="AL230" s="76"/>
      <c r="AM230"/>
    </row>
    <row r="231" spans="1:39" s="23" customFormat="1" ht="6" hidden="1" customHeight="1" outlineLevel="1" x14ac:dyDescent="0.2">
      <c r="A231" s="144"/>
      <c r="B231" s="676"/>
      <c r="C231" s="233"/>
      <c r="D231" s="233"/>
      <c r="E231" s="233"/>
      <c r="F231"/>
      <c r="G231"/>
      <c r="H231"/>
      <c r="I231" s="684"/>
      <c r="AF231" s="326" t="s">
        <v>0</v>
      </c>
      <c r="AG231" s="59"/>
      <c r="AH231" s="58"/>
      <c r="AI231" s="58"/>
      <c r="AJ231" s="44"/>
      <c r="AK231" s="62"/>
      <c r="AL231" s="76"/>
    </row>
    <row r="232" spans="1:39" s="23" customFormat="1" ht="20.25" hidden="1" customHeight="1" outlineLevel="1" x14ac:dyDescent="0.2">
      <c r="A232" s="144"/>
      <c r="B232" s="461" t="s">
        <v>485</v>
      </c>
      <c r="C232" s="484"/>
      <c r="D232" s="644"/>
      <c r="E232" s="644"/>
      <c r="I232" s="684"/>
      <c r="AF232" s="326">
        <f>IF(AND(S.Notice.Involved="Y",S.Notice.AD.Involved="Y"),1,0)</f>
        <v>1</v>
      </c>
      <c r="AG232" s="59"/>
      <c r="AH232" s="59"/>
      <c r="AI232" s="59"/>
      <c r="AJ232" s="59"/>
      <c r="AK232" s="44"/>
      <c r="AL232" s="76"/>
    </row>
    <row r="233" spans="1:39" ht="15" hidden="1" customHeight="1" outlineLevel="1" x14ac:dyDescent="0.2">
      <c r="A233" s="144"/>
      <c r="B233" s="692" t="str">
        <f>AK233</f>
        <v>Jill works with Jill:</v>
      </c>
      <c r="C233" s="487"/>
      <c r="D233" s="248"/>
      <c r="E233" s="689"/>
      <c r="F233"/>
      <c r="G233" s="221">
        <f t="shared" ref="G233" si="13">AG233</f>
        <v>41641</v>
      </c>
      <c r="H233" s="221">
        <f t="shared" ref="H233:H251" si="14">AH233</f>
        <v>41779</v>
      </c>
      <c r="I233" s="684"/>
      <c r="AF233" s="326">
        <f>IF(AND(S.Notice.Involved="Y",S.Notice.AD.Involved="Y"),1,0)</f>
        <v>1</v>
      </c>
      <c r="AG233" s="60">
        <f>IF(AF233=0,,IF(S.Notice.AD.Involved="N",,S.Notice.BANNER.Begin))</f>
        <v>41641</v>
      </c>
      <c r="AH233" s="60">
        <f>IF(AF233=0,,IF(S.Notice.AD.Involved="N",,WORKDAY(S.Notice.OpenComment,-18,S.DDL_DEQClosed)))</f>
        <v>41779</v>
      </c>
      <c r="AI233" s="59"/>
      <c r="AJ233" s="59"/>
      <c r="AK233" s="169" t="str">
        <f>S.Staff.Subject.Expert.FirstName&amp;" works with "&amp;S.Staff.Support&amp;":"</f>
        <v>Jill works with Jill:</v>
      </c>
      <c r="AL233" s="76"/>
      <c r="AM233"/>
    </row>
    <row r="234" spans="1:39" s="23" customFormat="1" ht="15" hidden="1" customHeight="1" outlineLevel="1" x14ac:dyDescent="0.2">
      <c r="A234" s="144"/>
      <c r="B234" s="207" t="s">
        <v>498</v>
      </c>
      <c r="C234" s="487"/>
      <c r="D234" s="290"/>
      <c r="E234" s="290"/>
      <c r="F234" s="222"/>
      <c r="G234" s="887"/>
      <c r="H234" s="887"/>
      <c r="I234" s="684"/>
      <c r="AF234" s="326">
        <f>IF(AND(S.Notice.Involved="Y",S.Notice.AD.Involved="Y"),1,0)</f>
        <v>1</v>
      </c>
      <c r="AG234" s="59"/>
      <c r="AH234" s="59"/>
      <c r="AI234" s="59"/>
      <c r="AJ234" s="59"/>
      <c r="AK234" s="44"/>
      <c r="AL234" s="76"/>
    </row>
    <row r="235" spans="1:39" s="23" customFormat="1" ht="15" hidden="1" customHeight="1" outlineLevel="1" thickBot="1" x14ac:dyDescent="0.25">
      <c r="A235" s="144"/>
      <c r="C235" s="967" t="s">
        <v>499</v>
      </c>
      <c r="D235" s="967"/>
      <c r="E235" s="967"/>
      <c r="F235" s="967"/>
      <c r="G235" s="967"/>
      <c r="H235" s="967"/>
      <c r="I235" s="684"/>
      <c r="AF235" s="326">
        <f>IF(AND(S.Notice.Involved="Y",S.Notice.AD.Involved="Y"),1,0)</f>
        <v>1</v>
      </c>
      <c r="AG235" s="59"/>
      <c r="AH235" s="59"/>
      <c r="AI235" s="59"/>
      <c r="AJ235" s="59"/>
      <c r="AK235" s="44"/>
      <c r="AL235" s="76"/>
    </row>
    <row r="236" spans="1:39" s="23" customFormat="1" ht="15" hidden="1" customHeight="1" outlineLevel="1" thickTop="1" x14ac:dyDescent="0.2">
      <c r="A236" s="144"/>
      <c r="C236" s="707" t="s">
        <v>486</v>
      </c>
      <c r="D236" s="708" t="s">
        <v>327</v>
      </c>
      <c r="E236" s="708"/>
      <c r="F236" s="708"/>
      <c r="G236" s="708"/>
      <c r="H236" s="709" t="s">
        <v>510</v>
      </c>
      <c r="I236" s="684"/>
      <c r="AF236" s="326">
        <f>IF(AND(S.Notice.Involved="Y",S.Notice.AD.Involved="Y"),1,0)</f>
        <v>1</v>
      </c>
      <c r="AG236" s="59"/>
      <c r="AH236" s="59"/>
      <c r="AI236" s="59"/>
      <c r="AJ236" s="59"/>
      <c r="AK236" s="44"/>
      <c r="AL236" s="76"/>
    </row>
    <row r="237" spans="1:39" s="23" customFormat="1" ht="15" hidden="1" customHeight="1" outlineLevel="1" x14ac:dyDescent="0.2">
      <c r="A237" s="144"/>
      <c r="B237" s="693" t="str">
        <f>AK237</f>
        <v>NOTICE.AD1Oregonian</v>
      </c>
      <c r="C237" s="888">
        <v>1</v>
      </c>
      <c r="D237" s="968" t="s">
        <v>502</v>
      </c>
      <c r="E237" s="969"/>
      <c r="F237" s="969"/>
      <c r="G237" s="970"/>
      <c r="H237" s="705">
        <f t="shared" si="14"/>
        <v>41806</v>
      </c>
      <c r="I237" s="684"/>
      <c r="J237"/>
      <c r="K237"/>
      <c r="L237"/>
      <c r="M237"/>
      <c r="N237"/>
      <c r="O237"/>
      <c r="P237"/>
      <c r="Q237"/>
      <c r="R237"/>
      <c r="S237"/>
      <c r="T237"/>
      <c r="U237"/>
      <c r="X237"/>
      <c r="AB237"/>
      <c r="AC237"/>
      <c r="AF237" s="326">
        <f t="shared" ref="AF237:AF244" si="15">IF(AND(S.Notice.Involved="Y",S.Notice.AD.Involved="Y",C237&gt;0),1,0)</f>
        <v>1</v>
      </c>
      <c r="AG237" s="59"/>
      <c r="AH237" s="60">
        <f t="shared" ref="AH237:AH244" si="16">IF(AF237=0,,IF(S.Notice.AD.Involved="N",,S.Notice.OpenComment))</f>
        <v>41806</v>
      </c>
      <c r="AI237" s="59" t="s">
        <v>0</v>
      </c>
      <c r="AJ237" s="59"/>
      <c r="AK237" s="169" t="str">
        <f>"NOTICE.AD"&amp;C237&amp;D237</f>
        <v>NOTICE.AD1Oregonian</v>
      </c>
      <c r="AL237" s="76"/>
    </row>
    <row r="238" spans="1:39" s="23" customFormat="1" ht="15" hidden="1" customHeight="1" outlineLevel="1" x14ac:dyDescent="0.2">
      <c r="A238" s="144"/>
      <c r="B238" s="693" t="str">
        <f t="shared" ref="B238:B244" si="17">AK238</f>
        <v>NOTICE.AD2None</v>
      </c>
      <c r="C238" s="888">
        <v>2</v>
      </c>
      <c r="D238" s="968" t="s">
        <v>509</v>
      </c>
      <c r="E238" s="969"/>
      <c r="F238" s="969"/>
      <c r="G238" s="970"/>
      <c r="H238" s="705">
        <f t="shared" si="14"/>
        <v>41806</v>
      </c>
      <c r="I238" s="684"/>
      <c r="J238"/>
      <c r="K238"/>
      <c r="L238"/>
      <c r="M238"/>
      <c r="N238"/>
      <c r="O238"/>
      <c r="P238"/>
      <c r="Q238"/>
      <c r="R238"/>
      <c r="S238"/>
      <c r="T238"/>
      <c r="U238"/>
      <c r="X238"/>
      <c r="AB238"/>
      <c r="AC238"/>
      <c r="AF238" s="326">
        <f t="shared" si="15"/>
        <v>1</v>
      </c>
      <c r="AG238" s="59"/>
      <c r="AH238" s="60">
        <f t="shared" si="16"/>
        <v>41806</v>
      </c>
      <c r="AI238" s="59"/>
      <c r="AJ238" s="59"/>
      <c r="AK238" s="169" t="str">
        <f t="shared" ref="AK238:AK244" si="18">"NOTICE.AD"&amp;C238&amp;D238</f>
        <v>NOTICE.AD2None</v>
      </c>
      <c r="AL238" s="76"/>
    </row>
    <row r="239" spans="1:39" s="23" customFormat="1" ht="15" hidden="1" customHeight="1" outlineLevel="1" x14ac:dyDescent="0.2">
      <c r="A239" s="144"/>
      <c r="B239" s="693" t="str">
        <f t="shared" si="17"/>
        <v>NOTICE.AD3None</v>
      </c>
      <c r="C239" s="888">
        <v>3</v>
      </c>
      <c r="D239" s="968" t="s">
        <v>509</v>
      </c>
      <c r="E239" s="969"/>
      <c r="F239" s="969"/>
      <c r="G239" s="970"/>
      <c r="H239" s="705">
        <f t="shared" si="14"/>
        <v>41806</v>
      </c>
      <c r="I239" s="684"/>
      <c r="J239"/>
      <c r="K239"/>
      <c r="L239"/>
      <c r="M239"/>
      <c r="N239"/>
      <c r="O239"/>
      <c r="P239"/>
      <c r="Q239"/>
      <c r="R239"/>
      <c r="S239"/>
      <c r="T239"/>
      <c r="U239"/>
      <c r="X239"/>
      <c r="AB239"/>
      <c r="AC239"/>
      <c r="AF239" s="326">
        <f t="shared" si="15"/>
        <v>1</v>
      </c>
      <c r="AG239" s="59"/>
      <c r="AH239" s="60">
        <f t="shared" si="16"/>
        <v>41806</v>
      </c>
      <c r="AI239" s="59"/>
      <c r="AJ239" s="59"/>
      <c r="AK239" s="169" t="str">
        <f t="shared" si="18"/>
        <v>NOTICE.AD3None</v>
      </c>
      <c r="AL239" s="76"/>
    </row>
    <row r="240" spans="1:39" s="23" customFormat="1" ht="15" hidden="1" customHeight="1" outlineLevel="1" x14ac:dyDescent="0.2">
      <c r="A240" s="144"/>
      <c r="B240" s="693" t="str">
        <f t="shared" si="17"/>
        <v>NOTICE.AD4None</v>
      </c>
      <c r="C240" s="888">
        <v>4</v>
      </c>
      <c r="D240" s="968" t="s">
        <v>509</v>
      </c>
      <c r="E240" s="969"/>
      <c r="F240" s="969"/>
      <c r="G240" s="970"/>
      <c r="H240" s="705">
        <f t="shared" si="14"/>
        <v>41806</v>
      </c>
      <c r="I240" s="684"/>
      <c r="J240"/>
      <c r="K240"/>
      <c r="L240"/>
      <c r="M240"/>
      <c r="N240"/>
      <c r="O240"/>
      <c r="P240"/>
      <c r="Q240"/>
      <c r="R240"/>
      <c r="S240"/>
      <c r="T240"/>
      <c r="U240"/>
      <c r="X240"/>
      <c r="AB240"/>
      <c r="AC240"/>
      <c r="AF240" s="326">
        <f t="shared" si="15"/>
        <v>1</v>
      </c>
      <c r="AG240" s="59"/>
      <c r="AH240" s="60">
        <f t="shared" si="16"/>
        <v>41806</v>
      </c>
      <c r="AI240" s="59"/>
      <c r="AJ240" s="59"/>
      <c r="AK240" s="169" t="str">
        <f t="shared" si="18"/>
        <v>NOTICE.AD4None</v>
      </c>
      <c r="AL240" s="76"/>
    </row>
    <row r="241" spans="1:38" s="23" customFormat="1" ht="15" hidden="1" customHeight="1" outlineLevel="1" x14ac:dyDescent="0.2">
      <c r="A241" s="144"/>
      <c r="B241" s="693" t="str">
        <f t="shared" si="17"/>
        <v>NOTICE.AD5None</v>
      </c>
      <c r="C241" s="888">
        <v>5</v>
      </c>
      <c r="D241" s="968" t="s">
        <v>509</v>
      </c>
      <c r="E241" s="969"/>
      <c r="F241" s="969"/>
      <c r="G241" s="970"/>
      <c r="H241" s="705">
        <f t="shared" si="14"/>
        <v>41806</v>
      </c>
      <c r="I241" s="684"/>
      <c r="J241"/>
      <c r="K241"/>
      <c r="L241"/>
      <c r="M241"/>
      <c r="N241"/>
      <c r="O241"/>
      <c r="P241"/>
      <c r="Q241"/>
      <c r="R241"/>
      <c r="S241"/>
      <c r="T241"/>
      <c r="U241"/>
      <c r="X241"/>
      <c r="AB241"/>
      <c r="AC241"/>
      <c r="AF241" s="326">
        <f t="shared" si="15"/>
        <v>1</v>
      </c>
      <c r="AG241" s="59"/>
      <c r="AH241" s="60">
        <f t="shared" si="16"/>
        <v>41806</v>
      </c>
      <c r="AI241" s="59"/>
      <c r="AJ241" s="59"/>
      <c r="AK241" s="169" t="str">
        <f t="shared" si="18"/>
        <v>NOTICE.AD5None</v>
      </c>
      <c r="AL241" s="76"/>
    </row>
    <row r="242" spans="1:38" s="23" customFormat="1" ht="15" hidden="1" customHeight="1" outlineLevel="1" x14ac:dyDescent="0.2">
      <c r="A242" s="144"/>
      <c r="B242" s="693" t="str">
        <f t="shared" si="17"/>
        <v>NOTICE.AD6None</v>
      </c>
      <c r="C242" s="888">
        <v>6</v>
      </c>
      <c r="D242" s="968" t="s">
        <v>509</v>
      </c>
      <c r="E242" s="969"/>
      <c r="F242" s="969"/>
      <c r="G242" s="970"/>
      <c r="H242" s="705">
        <f t="shared" si="14"/>
        <v>41806</v>
      </c>
      <c r="I242" s="684"/>
      <c r="J242"/>
      <c r="K242"/>
      <c r="L242"/>
      <c r="M242"/>
      <c r="N242"/>
      <c r="O242"/>
      <c r="P242"/>
      <c r="Q242"/>
      <c r="R242"/>
      <c r="S242"/>
      <c r="T242"/>
      <c r="U242"/>
      <c r="X242"/>
      <c r="AB242"/>
      <c r="AC242"/>
      <c r="AF242" s="326">
        <f t="shared" si="15"/>
        <v>1</v>
      </c>
      <c r="AG242" s="59"/>
      <c r="AH242" s="60">
        <f t="shared" si="16"/>
        <v>41806</v>
      </c>
      <c r="AI242" s="59"/>
      <c r="AJ242" s="59"/>
      <c r="AK242" s="169" t="str">
        <f t="shared" si="18"/>
        <v>NOTICE.AD6None</v>
      </c>
      <c r="AL242" s="76"/>
    </row>
    <row r="243" spans="1:38" s="23" customFormat="1" ht="15" hidden="1" customHeight="1" outlineLevel="1" x14ac:dyDescent="0.2">
      <c r="A243" s="144"/>
      <c r="B243" s="693" t="str">
        <f t="shared" si="17"/>
        <v>NOTICE.AD7None</v>
      </c>
      <c r="C243" s="888">
        <v>7</v>
      </c>
      <c r="D243" s="968" t="s">
        <v>509</v>
      </c>
      <c r="E243" s="969"/>
      <c r="F243" s="969"/>
      <c r="G243" s="970"/>
      <c r="H243" s="705">
        <f t="shared" si="14"/>
        <v>41806</v>
      </c>
      <c r="I243" s="684"/>
      <c r="J243"/>
      <c r="K243"/>
      <c r="L243"/>
      <c r="M243"/>
      <c r="N243"/>
      <c r="O243"/>
      <c r="P243"/>
      <c r="Q243"/>
      <c r="R243"/>
      <c r="S243"/>
      <c r="T243"/>
      <c r="U243"/>
      <c r="X243"/>
      <c r="AB243"/>
      <c r="AC243"/>
      <c r="AF243" s="326">
        <f t="shared" si="15"/>
        <v>1</v>
      </c>
      <c r="AG243" s="59"/>
      <c r="AH243" s="60">
        <f t="shared" si="16"/>
        <v>41806</v>
      </c>
      <c r="AI243" s="59"/>
      <c r="AJ243" s="59"/>
      <c r="AK243" s="169" t="str">
        <f t="shared" si="18"/>
        <v>NOTICE.AD7None</v>
      </c>
      <c r="AL243" s="76"/>
    </row>
    <row r="244" spans="1:38" s="23" customFormat="1" ht="15" hidden="1" customHeight="1" outlineLevel="1" thickBot="1" x14ac:dyDescent="0.25">
      <c r="A244" s="144"/>
      <c r="B244" s="693" t="str">
        <f t="shared" si="17"/>
        <v>NOTICE.AD8None</v>
      </c>
      <c r="C244" s="889">
        <v>8</v>
      </c>
      <c r="D244" s="990" t="s">
        <v>509</v>
      </c>
      <c r="E244" s="990"/>
      <c r="F244" s="990"/>
      <c r="G244" s="991"/>
      <c r="H244" s="706">
        <f t="shared" si="14"/>
        <v>41806</v>
      </c>
      <c r="I244" s="684"/>
      <c r="J244"/>
      <c r="K244"/>
      <c r="L244"/>
      <c r="M244"/>
      <c r="N244"/>
      <c r="O244"/>
      <c r="P244"/>
      <c r="Q244"/>
      <c r="R244"/>
      <c r="S244"/>
      <c r="T244"/>
      <c r="U244"/>
      <c r="X244"/>
      <c r="AB244"/>
      <c r="AC244"/>
      <c r="AF244" s="326">
        <f t="shared" si="15"/>
        <v>1</v>
      </c>
      <c r="AG244" s="59"/>
      <c r="AH244" s="60">
        <f t="shared" si="16"/>
        <v>41806</v>
      </c>
      <c r="AI244" s="59"/>
      <c r="AJ244" s="59"/>
      <c r="AK244" s="169" t="str">
        <f t="shared" si="18"/>
        <v>NOTICE.AD8None</v>
      </c>
      <c r="AL244" s="76"/>
    </row>
    <row r="245" spans="1:38" s="23" customFormat="1" ht="9.75" hidden="1" customHeight="1" outlineLevel="1" thickTop="1" x14ac:dyDescent="0.2">
      <c r="A245" s="144"/>
      <c r="B245" s="194"/>
      <c r="C245" s="696"/>
      <c r="D245" s="890"/>
      <c r="E245" s="890"/>
      <c r="F245" s="890"/>
      <c r="G245" s="890"/>
      <c r="H245" s="887"/>
      <c r="I245" s="684"/>
      <c r="AF245" s="326" t="s">
        <v>0</v>
      </c>
      <c r="AG245" s="59"/>
      <c r="AH245" s="60"/>
      <c r="AI245" s="59"/>
      <c r="AJ245" s="59"/>
      <c r="AK245" s="44"/>
      <c r="AL245" s="76"/>
    </row>
    <row r="246" spans="1:38" s="23" customFormat="1" ht="15" hidden="1" customHeight="1" outlineLevel="1" x14ac:dyDescent="0.2">
      <c r="A246" s="144" t="s">
        <v>0</v>
      </c>
      <c r="B246" s="208" t="s">
        <v>490</v>
      </c>
      <c r="C246" s="953" t="str">
        <f>HYPERLINK("\\deqhq1\Rule_Resources\i\AD.STANDARD.docx","e")</f>
        <v>e</v>
      </c>
      <c r="D246" s="248"/>
      <c r="E246" s="689"/>
      <c r="F246"/>
      <c r="G246"/>
      <c r="H246"/>
      <c r="I246" s="684"/>
      <c r="J246"/>
      <c r="K246"/>
      <c r="L246"/>
      <c r="M246"/>
      <c r="N246"/>
      <c r="O246"/>
      <c r="P246"/>
      <c r="Q246"/>
      <c r="R246"/>
      <c r="S246"/>
      <c r="T246"/>
      <c r="U246"/>
      <c r="X246"/>
      <c r="AB246"/>
      <c r="AC246"/>
      <c r="AF246" s="326">
        <f t="shared" ref="AF246:AF251" si="19">IF(AND(S.Notice.Involved="Y",S.Notice.AD.Involved="Y"),1,0)</f>
        <v>1</v>
      </c>
      <c r="AG246" s="59"/>
      <c r="AH246" s="59"/>
      <c r="AI246" s="59"/>
      <c r="AJ246" s="59"/>
      <c r="AK246" s="44" t="s">
        <v>0</v>
      </c>
      <c r="AL246" s="76"/>
    </row>
    <row r="247" spans="1:38" s="23" customFormat="1" ht="15" hidden="1" customHeight="1" outlineLevel="1" x14ac:dyDescent="0.2">
      <c r="A247" s="144" t="s">
        <v>0</v>
      </c>
      <c r="B247" s="208" t="s">
        <v>491</v>
      </c>
      <c r="C247" s="953" t="str">
        <f>HYPERLINK("\\deqhq1\Rule_Resources\i\AD.LEGAL.docx","t")</f>
        <v>t</v>
      </c>
      <c r="D247" s="248"/>
      <c r="E247" s="689"/>
      <c r="F247"/>
      <c r="G247" s="40"/>
      <c r="H247"/>
      <c r="I247" s="684"/>
      <c r="J247"/>
      <c r="K247"/>
      <c r="L247"/>
      <c r="M247"/>
      <c r="N247"/>
      <c r="O247"/>
      <c r="P247"/>
      <c r="Q247"/>
      <c r="R247"/>
      <c r="S247"/>
      <c r="T247"/>
      <c r="U247"/>
      <c r="X247"/>
      <c r="AB247"/>
      <c r="AC247"/>
      <c r="AF247" s="326">
        <f t="shared" si="19"/>
        <v>1</v>
      </c>
      <c r="AG247" s="59"/>
      <c r="AH247" s="59"/>
      <c r="AI247" s="59"/>
      <c r="AJ247" s="59"/>
      <c r="AK247" s="44"/>
      <c r="AL247" s="76"/>
    </row>
    <row r="248" spans="1:38" s="23" customFormat="1" ht="15" hidden="1" customHeight="1" outlineLevel="1" x14ac:dyDescent="0.2">
      <c r="A248" s="144" t="s">
        <v>0</v>
      </c>
      <c r="B248" s="208" t="s">
        <v>492</v>
      </c>
      <c r="C248" s="481"/>
      <c r="D248" s="248"/>
      <c r="E248" s="689"/>
      <c r="F248"/>
      <c r="G248" s="40"/>
      <c r="H248"/>
      <c r="I248" s="684"/>
      <c r="J248"/>
      <c r="K248"/>
      <c r="L248"/>
      <c r="M248"/>
      <c r="N248"/>
      <c r="O248"/>
      <c r="P248"/>
      <c r="Q248"/>
      <c r="R248"/>
      <c r="S248"/>
      <c r="T248"/>
      <c r="U248"/>
      <c r="X248"/>
      <c r="AB248"/>
      <c r="AC248"/>
      <c r="AF248" s="326">
        <f t="shared" si="19"/>
        <v>1</v>
      </c>
      <c r="AG248" s="59"/>
      <c r="AH248" s="59"/>
      <c r="AI248" s="59"/>
      <c r="AJ248" s="59"/>
      <c r="AK248" s="44"/>
      <c r="AL248" s="76"/>
    </row>
    <row r="249" spans="1:38" s="23" customFormat="1" ht="15" hidden="1" customHeight="1" outlineLevel="1" x14ac:dyDescent="0.2">
      <c r="A249" s="144"/>
      <c r="B249" s="208" t="s">
        <v>493</v>
      </c>
      <c r="C249" s="1002" t="s">
        <v>517</v>
      </c>
      <c r="D249" s="1002"/>
      <c r="E249" s="1002"/>
      <c r="F249" s="1002"/>
      <c r="G249" s="1003"/>
      <c r="H249" s="221">
        <f t="shared" si="14"/>
        <v>41792</v>
      </c>
      <c r="I249" s="684"/>
      <c r="J249"/>
      <c r="K249"/>
      <c r="L249"/>
      <c r="M249"/>
      <c r="N249"/>
      <c r="O249"/>
      <c r="P249"/>
      <c r="Q249"/>
      <c r="R249"/>
      <c r="S249"/>
      <c r="T249"/>
      <c r="U249"/>
      <c r="X249"/>
      <c r="AB249"/>
      <c r="AC249"/>
      <c r="AF249" s="326">
        <f t="shared" si="19"/>
        <v>1</v>
      </c>
      <c r="AG249" s="48"/>
      <c r="AH249" s="60">
        <f>IF(AF249=0,,IF(S.Notice.AD.Involved="N",,WORKDAY(S.Notice.OpenComment,-10,S.DDL_DEQClosed)))</f>
        <v>41792</v>
      </c>
      <c r="AI249" s="59"/>
      <c r="AJ249" s="59"/>
      <c r="AK249" s="74"/>
      <c r="AL249" s="76"/>
    </row>
    <row r="250" spans="1:38" s="23" customFormat="1" ht="15" hidden="1" customHeight="1" outlineLevel="1" x14ac:dyDescent="0.2">
      <c r="A250" s="144" t="s">
        <v>0</v>
      </c>
      <c r="B250" s="692" t="str">
        <f>AK250</f>
        <v>* shares contents of HearingAndAdDates TAB with Leah</v>
      </c>
      <c r="C250" s="451" t="s">
        <v>37</v>
      </c>
      <c r="D250" s="322"/>
      <c r="E250" s="689"/>
      <c r="F250"/>
      <c r="G250" s="221">
        <f t="shared" ref="G250" si="20">AG250</f>
        <v>41641</v>
      </c>
      <c r="H250" s="221">
        <f t="shared" si="14"/>
        <v>41786</v>
      </c>
      <c r="I250" s="684"/>
      <c r="J250"/>
      <c r="K250"/>
      <c r="L250"/>
      <c r="M250"/>
      <c r="N250"/>
      <c r="O250"/>
      <c r="P250"/>
      <c r="Q250"/>
      <c r="R250"/>
      <c r="S250"/>
      <c r="T250"/>
      <c r="U250"/>
      <c r="X250"/>
      <c r="AB250"/>
      <c r="AC250"/>
      <c r="AF250" s="326">
        <f t="shared" si="19"/>
        <v>1</v>
      </c>
      <c r="AG250" s="60">
        <f>IF(AF250=0,,IF(S.Notice.AD.Involved="N",,S.Notice.BANNER.Begin))</f>
        <v>41641</v>
      </c>
      <c r="AH250" s="60">
        <f>IF(AF250=0,,IF(S.Notice.AD.Involved="N",,WORKDAY(MIN(S.Notice.OpenComment,S.Notice.SubmitToSOS),-13,S.DDL_DEQClosed)))</f>
        <v>41786</v>
      </c>
      <c r="AI250" s="59"/>
      <c r="AJ250" s="59"/>
      <c r="AK250" s="169" t="str">
        <f>"* shares contents of HearingAndAdDates TAB with "&amp;S.Staff.Program.Mgr.FirstName</f>
        <v>* shares contents of HearingAndAdDates TAB with Leah</v>
      </c>
      <c r="AL250" s="76"/>
    </row>
    <row r="251" spans="1:38" s="23" customFormat="1" ht="15" hidden="1" customHeight="1" outlineLevel="1" x14ac:dyDescent="0.2">
      <c r="A251" s="144" t="s">
        <v>0</v>
      </c>
      <c r="B251" s="692" t="str">
        <f>AK251</f>
        <v>* obtains Leah's email approval</v>
      </c>
      <c r="C251" s="247"/>
      <c r="D251" s="248"/>
      <c r="E251" s="689"/>
      <c r="F251"/>
      <c r="G251" s="221">
        <f t="shared" ref="G251" si="21">AG251</f>
        <v>41641</v>
      </c>
      <c r="H251" s="221">
        <f t="shared" si="14"/>
        <v>41786</v>
      </c>
      <c r="I251" s="684"/>
      <c r="J251"/>
      <c r="K251"/>
      <c r="L251"/>
      <c r="M251"/>
      <c r="N251"/>
      <c r="O251"/>
      <c r="P251"/>
      <c r="Q251"/>
      <c r="R251"/>
      <c r="S251"/>
      <c r="T251"/>
      <c r="U251"/>
      <c r="X251"/>
      <c r="AB251"/>
      <c r="AC251"/>
      <c r="AF251" s="326">
        <f t="shared" si="19"/>
        <v>1</v>
      </c>
      <c r="AG251" s="60">
        <f>IF(AF251=0,,IF(S.Notice.AD.Involved="N",,S.Notice.BANNER.Begin))</f>
        <v>41641</v>
      </c>
      <c r="AH251" s="60">
        <f>IF(AF251=0,,IF(S.Notice.AD.Involved="N",,WORKDAY(MIN(S.Notice.OpenComment,S.Notice.SubmitToSOS),-13,S.DDL_DEQClosed)))</f>
        <v>41786</v>
      </c>
      <c r="AI251" s="59"/>
      <c r="AJ251" s="59"/>
      <c r="AK251" s="169" t="str">
        <f>"* obtains "&amp;S.Staff.Program.Mgr.FirstName&amp;"'s email approval"</f>
        <v>* obtains Leah's email approval</v>
      </c>
      <c r="AL251" s="76"/>
    </row>
    <row r="252" spans="1:38" s="23" customFormat="1" ht="6" hidden="1" customHeight="1" outlineLevel="1" x14ac:dyDescent="0.2">
      <c r="A252" s="144"/>
      <c r="B252" s="294"/>
      <c r="C252" s="294"/>
      <c r="D252" s="632"/>
      <c r="E252" s="632"/>
      <c r="F252" s="731"/>
      <c r="G252" s="251"/>
      <c r="H252" s="296"/>
      <c r="I252" s="39"/>
      <c r="AF252" s="326" t="s">
        <v>0</v>
      </c>
      <c r="AG252" s="76"/>
      <c r="AH252" s="76"/>
      <c r="AI252" s="107" t="s">
        <v>157</v>
      </c>
      <c r="AJ252" s="309"/>
      <c r="AK252" s="77"/>
      <c r="AL252" s="76"/>
    </row>
    <row r="253" spans="1:38" s="23" customFormat="1" ht="19.5" hidden="1" customHeight="1" outlineLevel="1" x14ac:dyDescent="0.2">
      <c r="A253" s="144"/>
      <c r="B253" s="461" t="s">
        <v>488</v>
      </c>
      <c r="D253" s="644"/>
      <c r="E253" s="644"/>
      <c r="F253"/>
      <c r="I253" s="684"/>
      <c r="AF253" s="326">
        <f>IF(AND(S.Hearing.1stInvolve="Y",S.EQC.FacHearing="Y"),1,0)</f>
        <v>1</v>
      </c>
      <c r="AG253" s="59"/>
      <c r="AH253" s="59"/>
      <c r="AI253" s="59"/>
      <c r="AJ253" s="62"/>
      <c r="AK253" s="311"/>
      <c r="AL253" s="76"/>
    </row>
    <row r="254" spans="1:38" s="23" customFormat="1" ht="15" hidden="1" customHeight="1" outlineLevel="1" x14ac:dyDescent="0.25">
      <c r="A254" s="144"/>
      <c r="B254" s="208" t="str">
        <f t="shared" ref="B254" si="22">AK254</f>
        <v>Jill:</v>
      </c>
      <c r="C254" s="484" t="s">
        <v>0</v>
      </c>
      <c r="D254" s="248"/>
      <c r="E254" s="689"/>
      <c r="F254"/>
      <c r="G254" s="179"/>
      <c r="H254" s="180"/>
      <c r="I254" s="684"/>
      <c r="AF254" s="326">
        <f>IF(AND(S.Hearing.1stInvolve="Y",S.EQC.FacHearing="Y"),1,0)</f>
        <v>1</v>
      </c>
      <c r="AG254" s="58"/>
      <c r="AH254" s="58"/>
      <c r="AI254" s="47"/>
      <c r="AJ254" s="44"/>
      <c r="AK254" s="169" t="str">
        <f>S.Staff.Subject.Expert.FirstName&amp;":"</f>
        <v>Jill:</v>
      </c>
      <c r="AL254" s="76"/>
    </row>
    <row r="255" spans="1:38" s="23" customFormat="1" ht="15.75" hidden="1" customHeight="1" outlineLevel="1" x14ac:dyDescent="0.25">
      <c r="A255" s="144"/>
      <c r="B255" s="284" t="s">
        <v>473</v>
      </c>
      <c r="C255" s="448" t="str">
        <f>HYPERLINK("http://www.oregonlaws.org/ors/192.630","i")</f>
        <v>i</v>
      </c>
      <c r="D255" s="248"/>
      <c r="E255" s="689"/>
      <c r="F255" s="178"/>
      <c r="G255" s="179"/>
      <c r="H255" s="180"/>
      <c r="I255" s="684"/>
      <c r="J255"/>
      <c r="K255"/>
      <c r="L255"/>
      <c r="M255"/>
      <c r="N255"/>
      <c r="O255"/>
      <c r="P255"/>
      <c r="Q255"/>
      <c r="R255"/>
      <c r="S255"/>
      <c r="T255"/>
      <c r="U255"/>
      <c r="X255"/>
      <c r="AB255"/>
      <c r="AC255"/>
      <c r="AF255" s="326">
        <f>IF(AND(S.Hearing.1stInvolve="Y",S.EQC.FacHearing="Y"),1,0)</f>
        <v>1</v>
      </c>
      <c r="AG255" s="58"/>
      <c r="AH255" s="58"/>
      <c r="AI255" s="59"/>
      <c r="AJ255" s="43"/>
      <c r="AK255" s="44"/>
      <c r="AL255" s="76"/>
    </row>
    <row r="256" spans="1:38" s="23" customFormat="1" ht="15.75" hidden="1" customHeight="1" outlineLevel="1" thickBot="1" x14ac:dyDescent="0.3">
      <c r="A256" s="144"/>
      <c r="B256" s="283" t="s">
        <v>480</v>
      </c>
      <c r="C256" s="183"/>
      <c r="D256" s="645"/>
      <c r="E256" s="645"/>
      <c r="F256" s="178"/>
      <c r="G256" s="179"/>
      <c r="H256" s="180"/>
      <c r="I256" s="684"/>
      <c r="J256"/>
      <c r="K256"/>
      <c r="L256"/>
      <c r="M256"/>
      <c r="N256"/>
      <c r="O256"/>
      <c r="P256"/>
      <c r="Q256"/>
      <c r="R256"/>
      <c r="S256"/>
      <c r="T256"/>
      <c r="U256"/>
      <c r="X256"/>
      <c r="AB256"/>
      <c r="AC256"/>
      <c r="AF256" s="326">
        <f>IF(AND(S.Hearing.1stInvolve="Y",S.EQC.FacHearing="Y"),1,0)</f>
        <v>1</v>
      </c>
      <c r="AG256" s="58"/>
      <c r="AH256" s="58"/>
      <c r="AI256" s="59"/>
      <c r="AJ256" s="43"/>
      <c r="AK256" s="44"/>
      <c r="AL256" s="76"/>
    </row>
    <row r="257" spans="1:38" s="23" customFormat="1" ht="15.75" hidden="1" customHeight="1" outlineLevel="1" thickBot="1" x14ac:dyDescent="0.25">
      <c r="A257" s="144"/>
      <c r="B257" s="678" t="s">
        <v>276</v>
      </c>
      <c r="C257" s="420" t="s">
        <v>134</v>
      </c>
      <c r="D257" s="248"/>
      <c r="E257" s="820"/>
      <c r="F257" s="971" t="str">
        <f>AK259</f>
        <v/>
      </c>
      <c r="G257" s="972"/>
      <c r="H257" s="221">
        <v>41927</v>
      </c>
      <c r="I257" s="684"/>
      <c r="J257"/>
      <c r="K257"/>
      <c r="L257"/>
      <c r="M257"/>
      <c r="N257"/>
      <c r="O257"/>
      <c r="P257"/>
      <c r="Q257"/>
      <c r="R257"/>
      <c r="S257"/>
      <c r="T257"/>
      <c r="U257"/>
      <c r="X257"/>
      <c r="AB257"/>
      <c r="AC257"/>
      <c r="AF257" s="326">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x14ac:dyDescent="0.25">
      <c r="A258" s="144"/>
      <c r="B258" s="678" t="s">
        <v>223</v>
      </c>
      <c r="C258" s="420" t="s">
        <v>134</v>
      </c>
      <c r="D258" s="248"/>
      <c r="E258" s="689"/>
      <c r="F258" s="971"/>
      <c r="G258" s="972"/>
      <c r="H258" s="221">
        <v>41927</v>
      </c>
      <c r="I258" s="684"/>
      <c r="J258"/>
      <c r="K258"/>
      <c r="L258"/>
      <c r="M258"/>
      <c r="N258"/>
      <c r="O258"/>
      <c r="P258"/>
      <c r="Q258"/>
      <c r="R258"/>
      <c r="S258"/>
      <c r="T258"/>
      <c r="U258"/>
      <c r="X258"/>
      <c r="AB258"/>
      <c r="AC258"/>
      <c r="AF258" s="326">
        <f>IF(AND(S.Hearing.1stInvolve="Y",S.EQC.FacHearing="Y",C258="Y"),1,0)</f>
        <v>0</v>
      </c>
      <c r="AG258" s="58"/>
      <c r="AH258" s="47"/>
      <c r="AI258" s="47"/>
      <c r="AJ258" s="44"/>
      <c r="AK258" s="44"/>
      <c r="AL258" s="76"/>
    </row>
    <row r="259" spans="1:38" s="23" customFormat="1" ht="15.75" hidden="1" customHeight="1" outlineLevel="1" thickBot="1" x14ac:dyDescent="0.25">
      <c r="A259" s="144"/>
      <c r="B259" s="678" t="s">
        <v>224</v>
      </c>
      <c r="C259" s="420" t="s">
        <v>134</v>
      </c>
      <c r="D259" s="248"/>
      <c r="E259" s="689"/>
      <c r="F259" s="971"/>
      <c r="G259" s="972"/>
      <c r="H259" s="221">
        <v>41934</v>
      </c>
      <c r="I259" s="684"/>
      <c r="J259"/>
      <c r="K259"/>
      <c r="L259"/>
      <c r="M259"/>
      <c r="N259"/>
      <c r="O259"/>
      <c r="P259"/>
      <c r="Q259"/>
      <c r="R259"/>
      <c r="S259"/>
      <c r="T259"/>
      <c r="U259"/>
      <c r="X259"/>
      <c r="AB259"/>
      <c r="AC259"/>
      <c r="AF259" s="326">
        <f>IF(AND(S.Hearing.1stInvolve="Y",S.EQC.FacHearing="Y",C259="Y"),1,0)</f>
        <v>0</v>
      </c>
      <c r="AG259" s="58"/>
      <c r="AH259" s="47"/>
      <c r="AI259" s="47"/>
      <c r="AJ259" s="44"/>
      <c r="AK259" s="169" t="str">
        <f>IF(SUM(AF257:AF261)&gt;2,"You may be convening an EQC quorum.","")</f>
        <v/>
      </c>
      <c r="AL259" s="76"/>
    </row>
    <row r="260" spans="1:38" s="23" customFormat="1" ht="15.75" hidden="1" customHeight="1" outlineLevel="1" thickBot="1" x14ac:dyDescent="0.25">
      <c r="A260" s="144"/>
      <c r="B260" s="678" t="s">
        <v>225</v>
      </c>
      <c r="C260" s="420" t="s">
        <v>134</v>
      </c>
      <c r="D260" s="248"/>
      <c r="E260" s="689"/>
      <c r="F260" s="971"/>
      <c r="G260" s="972"/>
      <c r="H260" s="221">
        <v>41934</v>
      </c>
      <c r="I260" s="684"/>
      <c r="J260"/>
      <c r="K260"/>
      <c r="L260"/>
      <c r="M260"/>
      <c r="N260"/>
      <c r="O260"/>
      <c r="P260"/>
      <c r="Q260"/>
      <c r="R260"/>
      <c r="S260"/>
      <c r="T260"/>
      <c r="U260"/>
      <c r="X260"/>
      <c r="AB260"/>
      <c r="AC260"/>
      <c r="AF260" s="326">
        <f>IF(AND(S.Hearing.1stInvolve="Y",S.EQC.FacHearing="Y",C260="Y"),1,0)</f>
        <v>0</v>
      </c>
      <c r="AG260" s="58"/>
      <c r="AH260" s="47"/>
      <c r="AI260" s="47"/>
      <c r="AJ260" s="44"/>
      <c r="AK260" s="44"/>
      <c r="AL260" s="76"/>
    </row>
    <row r="261" spans="1:38" s="23" customFormat="1" ht="15.75" hidden="1" customHeight="1" outlineLevel="1" thickBot="1" x14ac:dyDescent="0.25">
      <c r="A261" s="144"/>
      <c r="B261" s="679" t="s">
        <v>226</v>
      </c>
      <c r="C261" s="420" t="s">
        <v>134</v>
      </c>
      <c r="D261" s="248"/>
      <c r="E261" s="689"/>
      <c r="F261" s="971"/>
      <c r="G261" s="972"/>
      <c r="H261" s="221">
        <v>41934</v>
      </c>
      <c r="I261" s="684"/>
      <c r="AF261" s="326">
        <f>IF(AND(S.Hearing.1stInvolve="Y",S.EQC.FacHearing="Y",C261="Y"),1,0)</f>
        <v>0</v>
      </c>
      <c r="AG261" s="58"/>
      <c r="AH261" s="47"/>
      <c r="AI261" s="59"/>
      <c r="AJ261" s="44"/>
      <c r="AK261" s="44"/>
      <c r="AL261" s="76"/>
    </row>
    <row r="262" spans="1:38" s="23" customFormat="1" ht="6" hidden="1" customHeight="1" outlineLevel="1" x14ac:dyDescent="0.2">
      <c r="A262" s="144"/>
      <c r="B262" s="294"/>
      <c r="C262" s="294"/>
      <c r="D262" s="632"/>
      <c r="E262" s="632"/>
      <c r="F262" s="731"/>
      <c r="G262" s="251"/>
      <c r="H262" s="296"/>
      <c r="I262" s="39"/>
      <c r="AF262" s="326" t="s">
        <v>0</v>
      </c>
      <c r="AG262" s="76"/>
      <c r="AH262" s="76"/>
      <c r="AI262" s="107" t="s">
        <v>157</v>
      </c>
      <c r="AJ262" s="309"/>
      <c r="AK262" s="77"/>
      <c r="AL262" s="76"/>
    </row>
    <row r="263" spans="1:38" s="23" customFormat="1" ht="19.5" hidden="1" customHeight="1" outlineLevel="1" x14ac:dyDescent="0.2">
      <c r="A263" s="144"/>
      <c r="B263" s="461" t="s">
        <v>453</v>
      </c>
      <c r="C263"/>
      <c r="D263" s="644"/>
      <c r="E263" s="644"/>
      <c r="F263"/>
      <c r="G263"/>
      <c r="H263"/>
      <c r="I263" s="684"/>
      <c r="J263"/>
      <c r="K263"/>
      <c r="L263"/>
      <c r="M263"/>
      <c r="N263"/>
      <c r="O263"/>
      <c r="P263"/>
      <c r="Q263"/>
      <c r="R263"/>
      <c r="S263"/>
      <c r="T263"/>
      <c r="U263"/>
      <c r="X263"/>
      <c r="AB263"/>
      <c r="AC263"/>
      <c r="AF263" s="326">
        <f t="shared" ref="AF263:AF282" si="23">IF(S.Planning.DecisionToAddToPlan="A",1,0)</f>
        <v>1</v>
      </c>
      <c r="AG263" s="59"/>
      <c r="AH263" s="59"/>
      <c r="AI263" s="59"/>
      <c r="AJ263" s="62"/>
      <c r="AK263" s="44"/>
      <c r="AL263" s="76"/>
    </row>
    <row r="264" spans="1:38" s="23" customFormat="1" ht="15.75" hidden="1" customHeight="1" outlineLevel="1" x14ac:dyDescent="0.25">
      <c r="A264" s="144"/>
      <c r="B264" s="308" t="str">
        <f>AK264</f>
        <v>Jill coordinates with Team to:</v>
      </c>
      <c r="C264" s="183"/>
      <c r="D264" s="175"/>
      <c r="E264" s="816"/>
      <c r="F264"/>
      <c r="G264" s="177">
        <f>AG264</f>
        <v>41641</v>
      </c>
      <c r="H264" s="221">
        <f>AH264</f>
        <v>41641</v>
      </c>
      <c r="I264" s="684"/>
      <c r="J264"/>
      <c r="K264"/>
      <c r="L264"/>
      <c r="M264"/>
      <c r="N264"/>
      <c r="O264"/>
      <c r="P264"/>
      <c r="Q264"/>
      <c r="R264"/>
      <c r="S264"/>
      <c r="T264"/>
      <c r="U264"/>
      <c r="X264"/>
      <c r="AB264"/>
      <c r="AC264"/>
      <c r="AF264" s="326">
        <f t="shared" si="23"/>
        <v>1</v>
      </c>
      <c r="AG264" s="60">
        <f>S.Planning.AddConceptToPlanDate</f>
        <v>41641</v>
      </c>
      <c r="AH264" s="60">
        <f>G264</f>
        <v>41641</v>
      </c>
      <c r="AI264" s="59"/>
      <c r="AJ264" s="43"/>
      <c r="AK264" s="78" t="str">
        <f>S.Staff.Subject.Expert.FirstName&amp;" coordinates with Team to:"</f>
        <v>Jill coordinates with Team to:</v>
      </c>
      <c r="AL264" s="76"/>
    </row>
    <row r="265" spans="1:38" s="23" customFormat="1" ht="15.75" hidden="1" customHeight="1" outlineLevel="1" x14ac:dyDescent="0.25">
      <c r="A265" s="144"/>
      <c r="B265" s="234" t="s">
        <v>462</v>
      </c>
      <c r="C265" s="183"/>
      <c r="D265" s="175"/>
      <c r="E265" s="816"/>
      <c r="I265" s="684"/>
      <c r="AF265" s="326">
        <f t="shared" si="23"/>
        <v>1</v>
      </c>
      <c r="AG265" s="59"/>
      <c r="AH265" s="59"/>
      <c r="AI265" s="59"/>
      <c r="AJ265" s="43"/>
      <c r="AK265" s="58" t="s">
        <v>0</v>
      </c>
      <c r="AL265" s="76"/>
    </row>
    <row r="266" spans="1:38" s="23" customFormat="1" ht="15.75" hidden="1" customHeight="1" outlineLevel="1" x14ac:dyDescent="0.25">
      <c r="A266" s="144"/>
      <c r="B266" s="234" t="s">
        <v>456</v>
      </c>
      <c r="C266" s="183"/>
      <c r="D266" s="175"/>
      <c r="E266" s="816"/>
      <c r="I266" s="684"/>
      <c r="AF266" s="326">
        <f t="shared" si="23"/>
        <v>1</v>
      </c>
      <c r="AG266" s="59"/>
      <c r="AH266" s="59"/>
      <c r="AI266" s="59"/>
      <c r="AJ266" s="43"/>
      <c r="AK266" s="58" t="s">
        <v>0</v>
      </c>
      <c r="AL266" s="76"/>
    </row>
    <row r="267" spans="1:38" s="23" customFormat="1" ht="15.75" hidden="1" customHeight="1" outlineLevel="1" x14ac:dyDescent="0.25">
      <c r="A267" s="144"/>
      <c r="B267" s="234" t="s">
        <v>461</v>
      </c>
      <c r="C267" s="183"/>
      <c r="D267" s="175"/>
      <c r="E267" s="816"/>
      <c r="I267" s="684"/>
      <c r="AF267" s="326">
        <f t="shared" si="23"/>
        <v>1</v>
      </c>
      <c r="AG267" s="59"/>
      <c r="AH267" s="59"/>
      <c r="AI267" s="59"/>
      <c r="AJ267" s="43"/>
      <c r="AK267" s="58" t="s">
        <v>0</v>
      </c>
      <c r="AL267" s="76"/>
    </row>
    <row r="268" spans="1:38" s="23" customFormat="1" ht="15.75" hidden="1" customHeight="1" outlineLevel="1" x14ac:dyDescent="0.2">
      <c r="A268" s="144"/>
      <c r="B268" s="234" t="s">
        <v>188</v>
      </c>
      <c r="C268" s="448" t="str">
        <f>HYPERLINK("http://arcweb.sos.state.or.us/pages/rules/oars_300/oar_340/340_018.html","i")</f>
        <v>i</v>
      </c>
      <c r="D268" s="320"/>
      <c r="E268" s="821"/>
      <c r="I268" s="684"/>
      <c r="AF268" s="326">
        <f t="shared" si="23"/>
        <v>1</v>
      </c>
      <c r="AG268" s="59"/>
      <c r="AH268" s="59"/>
      <c r="AI268" s="59"/>
      <c r="AJ268" s="43"/>
      <c r="AK268" s="58" t="s">
        <v>0</v>
      </c>
      <c r="AL268" s="76"/>
    </row>
    <row r="269" spans="1:38" s="23" customFormat="1" ht="15.75" hidden="1" customHeight="1" outlineLevel="1" x14ac:dyDescent="0.25">
      <c r="A269" s="144"/>
      <c r="B269" s="234" t="s">
        <v>455</v>
      </c>
      <c r="C269" s="183"/>
      <c r="D269" s="320"/>
      <c r="E269" s="821"/>
      <c r="I269" s="684"/>
      <c r="AF269" s="326">
        <f t="shared" si="23"/>
        <v>1</v>
      </c>
      <c r="AG269" s="59"/>
      <c r="AH269" s="59"/>
      <c r="AI269" s="59"/>
      <c r="AJ269" s="43"/>
      <c r="AK269" s="58" t="s">
        <v>0</v>
      </c>
      <c r="AL269" s="76"/>
    </row>
    <row r="270" spans="1:38" s="23" customFormat="1" ht="15.75" hidden="1" customHeight="1" outlineLevel="1" x14ac:dyDescent="0.25">
      <c r="A270" s="144"/>
      <c r="B270" s="308" t="str">
        <f>AK270</f>
        <v>Jill:</v>
      </c>
      <c r="D270" s="645"/>
      <c r="E270" s="816"/>
      <c r="F270" s="178"/>
      <c r="I270" s="684"/>
      <c r="AF270" s="326">
        <f t="shared" si="23"/>
        <v>1</v>
      </c>
      <c r="AG270" s="59"/>
      <c r="AH270" s="59"/>
      <c r="AI270" s="59"/>
      <c r="AJ270" s="43"/>
      <c r="AK270" s="78" t="str">
        <f>S.Staff.Subject.Expert.FirstName&amp;":"</f>
        <v>Jill:</v>
      </c>
      <c r="AL270" s="76"/>
    </row>
    <row r="271" spans="1:38" s="23" customFormat="1" ht="15.75" hidden="1" customHeight="1" outlineLevel="1" x14ac:dyDescent="0.25">
      <c r="A271" s="144"/>
      <c r="B271" s="283" t="s">
        <v>113</v>
      </c>
      <c r="C271" s="448" t="str">
        <f>HYPERLINK("http://arcweb.sos.state.or.us/pages/rules/oars_300/oar_340/340_tofc.html","i")</f>
        <v>i</v>
      </c>
      <c r="D271" s="175"/>
      <c r="E271" s="816"/>
      <c r="F271" s="178"/>
      <c r="H271" s="177">
        <f>AH271</f>
        <v>41641</v>
      </c>
      <c r="I271" s="684"/>
      <c r="AF271" s="326">
        <f t="shared" si="23"/>
        <v>1</v>
      </c>
      <c r="AG271" s="59"/>
      <c r="AH271" s="60">
        <f>S.Planning.AddConceptToPlanDate</f>
        <v>41641</v>
      </c>
      <c r="AI271" s="59"/>
      <c r="AJ271" s="43"/>
      <c r="AK271" s="311"/>
      <c r="AL271" s="76"/>
    </row>
    <row r="272" spans="1:38" s="23" customFormat="1" ht="15.75" hidden="1" customHeight="1" outlineLevel="1" x14ac:dyDescent="0.25">
      <c r="A272" s="144"/>
      <c r="B272" s="283" t="s">
        <v>553</v>
      </c>
      <c r="C272" s="183"/>
      <c r="D272" s="645"/>
      <c r="E272" s="645"/>
      <c r="F272" s="178"/>
      <c r="H272" s="180"/>
      <c r="I272" s="684"/>
      <c r="J272"/>
      <c r="K272"/>
      <c r="L272"/>
      <c r="M272"/>
      <c r="N272"/>
      <c r="O272"/>
      <c r="P272"/>
      <c r="Q272"/>
      <c r="R272"/>
      <c r="S272"/>
      <c r="T272"/>
      <c r="U272"/>
      <c r="X272"/>
      <c r="AB272"/>
      <c r="AC272"/>
      <c r="AF272" s="326">
        <f t="shared" si="23"/>
        <v>1</v>
      </c>
      <c r="AG272" s="59"/>
      <c r="AH272" s="58"/>
      <c r="AI272" s="59"/>
      <c r="AJ272" s="43"/>
      <c r="AK272" s="311"/>
      <c r="AL272" s="76"/>
    </row>
    <row r="273" spans="1:39" ht="15.75" hidden="1" customHeight="1" outlineLevel="1" x14ac:dyDescent="0.25">
      <c r="A273" s="144"/>
      <c r="B273" s="324" t="s">
        <v>464</v>
      </c>
      <c r="C273" s="171" t="s">
        <v>0</v>
      </c>
      <c r="D273" s="645"/>
      <c r="E273" s="645"/>
      <c r="F273"/>
      <c r="G273"/>
      <c r="H273"/>
      <c r="I273" s="684"/>
      <c r="AF273" s="326">
        <f t="shared" si="23"/>
        <v>1</v>
      </c>
      <c r="AG273" s="58"/>
      <c r="AH273" s="58"/>
      <c r="AI273" s="59"/>
      <c r="AJ273" s="49"/>
      <c r="AK273" s="311"/>
      <c r="AL273" s="76"/>
      <c r="AM273"/>
    </row>
    <row r="274" spans="1:39" s="23" customFormat="1" ht="15.75" hidden="1" customHeight="1" outlineLevel="1" x14ac:dyDescent="0.25">
      <c r="A274" s="144"/>
      <c r="B274" s="675" t="str">
        <f>AK274</f>
        <v xml:space="preserve">only Jill works on rules at this location to ensure the </v>
      </c>
      <c r="C274" s="183"/>
      <c r="D274" s="645"/>
      <c r="E274" s="645"/>
      <c r="F274" s="178"/>
      <c r="G274" s="179"/>
      <c r="H274" s="180"/>
      <c r="I274" s="684"/>
      <c r="J274"/>
      <c r="K274"/>
      <c r="L274"/>
      <c r="M274"/>
      <c r="N274"/>
      <c r="O274"/>
      <c r="P274"/>
      <c r="Q274"/>
      <c r="R274"/>
      <c r="S274"/>
      <c r="T274"/>
      <c r="U274"/>
      <c r="X274"/>
      <c r="AB274"/>
      <c r="AC274"/>
      <c r="AF274" s="326">
        <f t="shared" si="23"/>
        <v>1</v>
      </c>
      <c r="AG274" s="58"/>
      <c r="AH274" s="58"/>
      <c r="AI274" s="59"/>
      <c r="AJ274" s="43"/>
      <c r="AK274" s="78" t="str">
        <f>"only "&amp;S.Staff.Subject.Expert.FirstName&amp;" works on rules at this location to ensure the "</f>
        <v xml:space="preserve">only Jill works on rules at this location to ensure the </v>
      </c>
      <c r="AL274" s="76"/>
    </row>
    <row r="275" spans="1:39" s="23" customFormat="1" ht="15.75" hidden="1" customHeight="1" outlineLevel="1" x14ac:dyDescent="0.25">
      <c r="A275" s="144"/>
      <c r="B275" s="283" t="s">
        <v>463</v>
      </c>
      <c r="C275" s="183"/>
      <c r="D275" s="645"/>
      <c r="E275" s="645"/>
      <c r="F275" s="178"/>
      <c r="G275" s="179"/>
      <c r="H275" s="180"/>
      <c r="I275" s="684"/>
      <c r="J275"/>
      <c r="K275"/>
      <c r="L275"/>
      <c r="M275"/>
      <c r="N275"/>
      <c r="O275"/>
      <c r="P275"/>
      <c r="Q275"/>
      <c r="R275"/>
      <c r="S275"/>
      <c r="T275"/>
      <c r="U275"/>
      <c r="X275"/>
      <c r="AB275"/>
      <c r="AC275"/>
      <c r="AF275" s="326">
        <f t="shared" si="23"/>
        <v>1</v>
      </c>
      <c r="AG275" s="58"/>
      <c r="AH275" s="58"/>
      <c r="AI275" s="59"/>
      <c r="AJ275" s="43"/>
      <c r="AK275" s="311"/>
      <c r="AL275" s="76"/>
    </row>
    <row r="276" spans="1:39" s="23" customFormat="1" ht="15.75" hidden="1" customHeight="1" outlineLevel="1" x14ac:dyDescent="0.25">
      <c r="A276" s="144"/>
      <c r="B276" s="414" t="s">
        <v>648</v>
      </c>
      <c r="C276" s="183"/>
      <c r="D276" s="645"/>
      <c r="E276" s="645"/>
      <c r="F276" s="178"/>
      <c r="G276" s="179"/>
      <c r="H276" s="180"/>
      <c r="I276" s="684"/>
      <c r="J276"/>
      <c r="K276"/>
      <c r="L276"/>
      <c r="M276"/>
      <c r="N276"/>
      <c r="O276"/>
      <c r="P276"/>
      <c r="Q276"/>
      <c r="R276"/>
      <c r="S276"/>
      <c r="T276"/>
      <c r="U276"/>
      <c r="X276"/>
      <c r="AB276"/>
      <c r="AC276"/>
      <c r="AF276" s="326">
        <f t="shared" si="23"/>
        <v>1</v>
      </c>
      <c r="AG276" s="58"/>
      <c r="AH276" s="58"/>
      <c r="AI276" s="59"/>
      <c r="AJ276" s="43"/>
      <c r="AK276" s="311"/>
      <c r="AL276" s="76"/>
    </row>
    <row r="277" spans="1:39" s="23" customFormat="1" ht="15.75" hidden="1" customHeight="1" outlineLevel="1" x14ac:dyDescent="0.25">
      <c r="A277" s="144"/>
      <c r="B277" s="234" t="s">
        <v>465</v>
      </c>
      <c r="C277" s="171" t="s">
        <v>0</v>
      </c>
      <c r="D277" s="174"/>
      <c r="E277" s="821"/>
      <c r="F277" s="178"/>
      <c r="G277" s="179"/>
      <c r="H277" s="180"/>
      <c r="I277" s="684"/>
      <c r="J277"/>
      <c r="K277"/>
      <c r="L277"/>
      <c r="M277"/>
      <c r="N277"/>
      <c r="O277"/>
      <c r="P277"/>
      <c r="Q277"/>
      <c r="R277"/>
      <c r="S277"/>
      <c r="T277"/>
      <c r="U277"/>
      <c r="X277"/>
      <c r="AB277"/>
      <c r="AC277"/>
      <c r="AF277" s="326">
        <f t="shared" si="23"/>
        <v>1</v>
      </c>
      <c r="AG277" s="58"/>
      <c r="AH277" s="58"/>
      <c r="AI277" s="59"/>
      <c r="AJ277" s="49"/>
      <c r="AK277" s="311"/>
      <c r="AL277" s="76"/>
    </row>
    <row r="278" spans="1:39" s="23" customFormat="1" ht="15.75" hidden="1" customHeight="1" outlineLevel="1" x14ac:dyDescent="0.25">
      <c r="A278" s="144"/>
      <c r="B278" s="308" t="s">
        <v>466</v>
      </c>
      <c r="C278" s="183"/>
      <c r="D278" s="645"/>
      <c r="E278" s="645"/>
      <c r="F278" s="178"/>
      <c r="G278" s="179"/>
      <c r="H278" s="180"/>
      <c r="I278" s="684"/>
      <c r="J278"/>
      <c r="K278"/>
      <c r="L278"/>
      <c r="M278"/>
      <c r="N278"/>
      <c r="O278"/>
      <c r="P278"/>
      <c r="Q278"/>
      <c r="R278"/>
      <c r="S278"/>
      <c r="T278"/>
      <c r="U278"/>
      <c r="X278"/>
      <c r="AB278"/>
      <c r="AC278"/>
      <c r="AF278" s="326">
        <f t="shared" si="23"/>
        <v>1</v>
      </c>
      <c r="AG278" s="58"/>
      <c r="AH278" s="58"/>
      <c r="AI278" s="59"/>
      <c r="AJ278" s="43"/>
      <c r="AK278" s="311"/>
      <c r="AL278" s="76"/>
    </row>
    <row r="279" spans="1:39" s="23" customFormat="1" ht="15.75" hidden="1" customHeight="1" outlineLevel="1" x14ac:dyDescent="0.25">
      <c r="A279" s="144"/>
      <c r="B279" s="234" t="str">
        <f>AK279</f>
        <v>* requests Maggie provide numbers for new rules/divisions</v>
      </c>
      <c r="C279" s="171" t="s">
        <v>0</v>
      </c>
      <c r="D279" s="174"/>
      <c r="E279" s="821"/>
      <c r="F279" s="178"/>
      <c r="G279"/>
      <c r="H279" s="177">
        <f>AH279</f>
        <v>41641</v>
      </c>
      <c r="I279" s="684"/>
      <c r="J279"/>
      <c r="K279"/>
      <c r="L279"/>
      <c r="M279"/>
      <c r="N279"/>
      <c r="O279"/>
      <c r="P279"/>
      <c r="Q279"/>
      <c r="R279"/>
      <c r="S279"/>
      <c r="T279"/>
      <c r="U279"/>
      <c r="X279"/>
      <c r="AB279"/>
      <c r="AC279"/>
      <c r="AF279" s="326">
        <f t="shared" si="23"/>
        <v>1</v>
      </c>
      <c r="AG279" s="58"/>
      <c r="AH279" s="60">
        <f>S.Planning.AddConceptToPlanDate</f>
        <v>41641</v>
      </c>
      <c r="AI279" s="59"/>
      <c r="AJ279" s="49"/>
      <c r="AK279" s="78" t="str">
        <f>"* requests "&amp;S.Staff.AgencyRulesCoordinator&amp;" provide numbers for new rules/divisions"</f>
        <v>* requests Maggie provide numbers for new rules/divisions</v>
      </c>
      <c r="AL279" s="76"/>
    </row>
    <row r="280" spans="1:39" s="23" customFormat="1" ht="15.75" hidden="1" customHeight="1" outlineLevel="1" x14ac:dyDescent="0.25">
      <c r="A280" s="144"/>
      <c r="B280" s="232" t="str">
        <f>AK280</f>
        <v>Maggie:</v>
      </c>
      <c r="C280" s="171" t="s">
        <v>0</v>
      </c>
      <c r="D280" s="645"/>
      <c r="E280" s="821"/>
      <c r="F280" s="178"/>
      <c r="I280" s="684"/>
      <c r="AF280" s="326">
        <f t="shared" si="23"/>
        <v>1</v>
      </c>
      <c r="AG280" s="58"/>
      <c r="AH280" s="58"/>
      <c r="AI280" s="59"/>
      <c r="AJ280" s="49"/>
      <c r="AK280" s="78" t="str">
        <f>S.Staff.AgencyRulesCoordinator&amp;":"</f>
        <v>Maggie:</v>
      </c>
      <c r="AL280" s="76"/>
    </row>
    <row r="281" spans="1:39" s="23" customFormat="1" ht="15.75" hidden="1" customHeight="1" outlineLevel="1" x14ac:dyDescent="0.25">
      <c r="A281" s="144"/>
      <c r="B281" s="234" t="s">
        <v>468</v>
      </c>
      <c r="C281" s="171" t="s">
        <v>0</v>
      </c>
      <c r="D281" s="174"/>
      <c r="E281" s="821"/>
      <c r="F281" s="178"/>
      <c r="G281"/>
      <c r="H281" s="177">
        <f>AH281</f>
        <v>41641</v>
      </c>
      <c r="I281" s="684"/>
      <c r="J281"/>
      <c r="K281"/>
      <c r="L281"/>
      <c r="M281"/>
      <c r="N281"/>
      <c r="O281"/>
      <c r="P281"/>
      <c r="Q281"/>
      <c r="R281"/>
      <c r="S281"/>
      <c r="T281"/>
      <c r="U281"/>
      <c r="X281"/>
      <c r="AB281"/>
      <c r="AC281"/>
      <c r="AF281" s="326">
        <f t="shared" si="23"/>
        <v>1</v>
      </c>
      <c r="AG281" s="58"/>
      <c r="AH281" s="60">
        <f>S.Planning.AddConceptToPlanDate</f>
        <v>41641</v>
      </c>
      <c r="AI281" s="59"/>
      <c r="AJ281" s="49"/>
      <c r="AK281" s="78" t="str">
        <f>S.Staff.AgencyRulesCoordinator&amp;" obtains, verifies, provides previously unused numbers"</f>
        <v>Maggie obtains, verifies, provides previously unused numbers</v>
      </c>
      <c r="AL281" s="76"/>
    </row>
    <row r="282" spans="1:39" s="23" customFormat="1" ht="15.75" hidden="1" customHeight="1" outlineLevel="1" x14ac:dyDescent="0.2">
      <c r="A282" s="144"/>
      <c r="B282" s="234" t="s">
        <v>467</v>
      </c>
      <c r="C282" s="171" t="s">
        <v>0</v>
      </c>
      <c r="D282" s="174"/>
      <c r="E282" s="821"/>
      <c r="F282"/>
      <c r="H282" s="177">
        <f>AH282</f>
        <v>41641</v>
      </c>
      <c r="I282" s="684"/>
      <c r="J282"/>
      <c r="K282"/>
      <c r="L282"/>
      <c r="M282"/>
      <c r="N282"/>
      <c r="O282"/>
      <c r="P282"/>
      <c r="Q282"/>
      <c r="R282"/>
      <c r="S282"/>
      <c r="T282"/>
      <c r="U282"/>
      <c r="X282"/>
      <c r="AB282"/>
      <c r="AC282"/>
      <c r="AF282" s="326">
        <f t="shared" si="23"/>
        <v>1</v>
      </c>
      <c r="AG282" s="58"/>
      <c r="AH282" s="60">
        <f>S.Planning.AddConceptToPlanDate</f>
        <v>41641</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hidden="1" customHeight="1" outlineLevel="1" x14ac:dyDescent="0.2">
      <c r="A283" s="144"/>
      <c r="B283" s="234" t="str">
        <f>AK283</f>
        <v>* coordinates with AndreaG to identify SIP rules</v>
      </c>
      <c r="C283" s="172"/>
      <c r="D283" s="174"/>
      <c r="E283" s="821"/>
      <c r="F283"/>
      <c r="H283" s="177">
        <f>AH283</f>
        <v>0</v>
      </c>
      <c r="I283" s="684"/>
      <c r="J283"/>
      <c r="K283"/>
      <c r="L283"/>
      <c r="M283"/>
      <c r="N283"/>
      <c r="O283"/>
      <c r="P283"/>
      <c r="Q283"/>
      <c r="R283"/>
      <c r="S283"/>
      <c r="T283"/>
      <c r="U283"/>
      <c r="X283"/>
      <c r="AB283"/>
      <c r="AC283"/>
      <c r="AF283" s="326">
        <f>IF(AND(S.Planning.DecisionToAddToPlan="A",S.SIP.Involved="Y"),1,0)</f>
        <v>1</v>
      </c>
      <c r="AG283" s="60">
        <f>IF(S.SIP.Involved="Y",S.DIRECTOR.Approves.ForDEQRulemakingPlan,)</f>
        <v>41641</v>
      </c>
      <c r="AH283" s="60">
        <f>G283</f>
        <v>0</v>
      </c>
      <c r="AI283" s="59"/>
      <c r="AJ283" s="59"/>
      <c r="AK283" s="78" t="str">
        <f>"* coordinates with "&amp;S.Staff.SIPCo&amp;" to identify SIP rules"</f>
        <v>* coordinates with AndreaG to identify SIP rules</v>
      </c>
      <c r="AL283" s="76"/>
    </row>
    <row r="284" spans="1:39" s="23" customFormat="1" ht="15.75" hidden="1" customHeight="1" outlineLevel="1" x14ac:dyDescent="0.2">
      <c r="A284" s="144"/>
      <c r="B284" s="234" t="s">
        <v>469</v>
      </c>
      <c r="C284" s="447" t="str">
        <f>HYPERLINK("\\deqhq1\Rule_Development\Currrent Plan","i")</f>
        <v>i</v>
      </c>
      <c r="D284" s="174"/>
      <c r="E284" s="821"/>
      <c r="F284"/>
      <c r="H284" s="177">
        <f>AH284</f>
        <v>41641</v>
      </c>
      <c r="I284" s="684"/>
      <c r="J284"/>
      <c r="K284"/>
      <c r="L284"/>
      <c r="M284"/>
      <c r="N284"/>
      <c r="O284"/>
      <c r="P284"/>
      <c r="Q284"/>
      <c r="R284"/>
      <c r="S284"/>
      <c r="T284"/>
      <c r="U284"/>
      <c r="X284"/>
      <c r="AB284"/>
      <c r="AC284"/>
      <c r="AF284" s="326">
        <f>IF(S.Planning.DecisionToAddToPlan="A",1,0)</f>
        <v>1</v>
      </c>
      <c r="AG284" s="58"/>
      <c r="AH284" s="60">
        <f>S.Planning.AddConceptToPlanDate</f>
        <v>41641</v>
      </c>
      <c r="AI284" s="59"/>
      <c r="AJ284" s="59"/>
      <c r="AK284" s="78" t="str">
        <f>S.Staff.Subject.Expert.FirstName&amp;" gathers all planning emails for the Rule Record and saves as:"</f>
        <v>Jill gathers all planning emails for the Rule Record and saves as:</v>
      </c>
      <c r="AL284" s="76"/>
    </row>
    <row r="285" spans="1:39" s="23" customFormat="1" ht="15.75" hidden="1" customHeight="1" outlineLevel="1" x14ac:dyDescent="0.2">
      <c r="A285" s="144"/>
      <c r="B285" s="307" t="s">
        <v>91</v>
      </c>
      <c r="C285" s="96"/>
      <c r="D285" s="205"/>
      <c r="E285" s="205"/>
      <c r="F285"/>
      <c r="G285" s="137"/>
      <c r="H285" s="137"/>
      <c r="I285" s="684"/>
      <c r="J285"/>
      <c r="K285"/>
      <c r="L285"/>
      <c r="M285"/>
      <c r="N285"/>
      <c r="O285"/>
      <c r="P285"/>
      <c r="Q285"/>
      <c r="R285"/>
      <c r="S285"/>
      <c r="T285"/>
      <c r="U285"/>
      <c r="X285"/>
      <c r="AB285"/>
      <c r="AC285"/>
      <c r="AF285" s="326">
        <f>IF(S.Planning.DecisionToAddToPlan="A",1,0)</f>
        <v>1</v>
      </c>
      <c r="AG285" s="58"/>
      <c r="AH285" s="58"/>
      <c r="AI285" s="58"/>
      <c r="AJ285" s="44"/>
      <c r="AK285" s="58" t="s">
        <v>0</v>
      </c>
      <c r="AL285" s="76"/>
    </row>
    <row r="286" spans="1:39" ht="6" customHeight="1" collapsed="1" x14ac:dyDescent="0.2">
      <c r="A286" s="144"/>
      <c r="B286" s="139"/>
      <c r="C286" s="91"/>
      <c r="D286" s="162"/>
      <c r="E286" s="162"/>
      <c r="F286" s="92"/>
      <c r="G286" s="91"/>
      <c r="H286" s="91"/>
      <c r="I286" s="684"/>
      <c r="AF286" s="326" t="s">
        <v>0</v>
      </c>
      <c r="AG286" s="58"/>
      <c r="AH286" s="58"/>
      <c r="AI286" s="59"/>
      <c r="AJ286" s="43"/>
      <c r="AK286" s="311"/>
      <c r="AL286" s="76"/>
      <c r="AM286"/>
    </row>
    <row r="287" spans="1:39" s="23" customFormat="1" ht="20.25" customHeight="1" x14ac:dyDescent="0.3">
      <c r="A287" s="144"/>
      <c r="B287" s="998" t="str">
        <f>AK12</f>
        <v>Advisory Committee</v>
      </c>
      <c r="C287" s="998"/>
      <c r="D287" s="998"/>
      <c r="E287" s="998"/>
      <c r="F287" s="998"/>
      <c r="G287" s="998"/>
      <c r="H287" s="998"/>
      <c r="I287" s="684"/>
      <c r="J287"/>
      <c r="K287"/>
      <c r="L287"/>
      <c r="M287"/>
      <c r="N287"/>
      <c r="O287"/>
      <c r="P287"/>
      <c r="Q287"/>
      <c r="R287"/>
      <c r="S287"/>
      <c r="T287"/>
      <c r="U287"/>
      <c r="X287"/>
      <c r="AB287"/>
      <c r="AC287"/>
      <c r="AF287" s="326" t="s">
        <v>0</v>
      </c>
      <c r="AG287" s="76"/>
      <c r="AH287" s="76"/>
      <c r="AI287" s="59"/>
      <c r="AJ287" s="68"/>
      <c r="AK287" s="311"/>
      <c r="AL287" s="76"/>
    </row>
    <row r="288" spans="1:39" s="341" customFormat="1" ht="14.1" hidden="1" customHeight="1" outlineLevel="1" x14ac:dyDescent="0.2">
      <c r="A288" s="338"/>
      <c r="B288" s="397" t="str">
        <f>S.General.CodeName</f>
        <v>AQPerm</v>
      </c>
      <c r="C288" s="339" t="s">
        <v>0</v>
      </c>
      <c r="D288" s="339"/>
      <c r="E288" s="339"/>
      <c r="F288" s="347" t="s">
        <v>0</v>
      </c>
      <c r="G288" s="340" t="s">
        <v>45</v>
      </c>
      <c r="H288" s="340" t="s">
        <v>100</v>
      </c>
      <c r="I288" s="684"/>
      <c r="J288"/>
      <c r="K288"/>
      <c r="L288"/>
      <c r="M288"/>
      <c r="N288"/>
      <c r="O288"/>
      <c r="P288"/>
      <c r="Q288"/>
      <c r="R288"/>
      <c r="S288"/>
      <c r="T288"/>
      <c r="U288"/>
      <c r="V288" s="23"/>
      <c r="W288" s="23"/>
      <c r="X288"/>
      <c r="Y288" s="23"/>
      <c r="Z288" s="23"/>
      <c r="AA288" s="23"/>
      <c r="AB288"/>
      <c r="AC288"/>
      <c r="AD288" s="23"/>
      <c r="AE288" s="23"/>
      <c r="AF288" s="343" t="s">
        <v>0</v>
      </c>
      <c r="AG288" s="342"/>
      <c r="AH288" s="342"/>
      <c r="AI288" s="344"/>
      <c r="AJ288" s="345"/>
      <c r="AK288" s="346"/>
      <c r="AL288" s="342"/>
    </row>
    <row r="289" spans="1:39" ht="14.1" hidden="1" customHeight="1" outlineLevel="1" x14ac:dyDescent="0.2">
      <c r="A289" s="144"/>
      <c r="B289" s="349" t="s">
        <v>0</v>
      </c>
      <c r="C289" s="115" t="s">
        <v>0</v>
      </c>
      <c r="D289" s="646"/>
      <c r="E289" s="646"/>
      <c r="F289" s="115"/>
      <c r="G289" s="185">
        <f>AG289</f>
        <v>41641</v>
      </c>
      <c r="H289" s="185">
        <f>S.AC.BANNER.End</f>
        <v>42033</v>
      </c>
      <c r="I289" s="684"/>
      <c r="AF289" s="326" t="s">
        <v>0</v>
      </c>
      <c r="AG289" s="60">
        <f>S.AC.BANNER.Begin</f>
        <v>41641</v>
      </c>
      <c r="AH289" s="60">
        <f>S.AC.BANNER.End</f>
        <v>42033</v>
      </c>
      <c r="AI289" s="47"/>
      <c r="AJ289" s="61"/>
      <c r="AK289" s="311"/>
      <c r="AL289" s="76"/>
      <c r="AM289"/>
    </row>
    <row r="290" spans="1:39" ht="6" hidden="1" customHeight="1" outlineLevel="1" x14ac:dyDescent="0.2">
      <c r="A290" s="144"/>
      <c r="B290" s="105"/>
      <c r="C290" s="97"/>
      <c r="D290" s="630"/>
      <c r="E290" s="630"/>
      <c r="F290" s="98"/>
      <c r="G290" s="97"/>
      <c r="H290" s="97"/>
      <c r="I290" s="684"/>
      <c r="AF290" s="327" t="s">
        <v>0</v>
      </c>
      <c r="AG290" s="47"/>
      <c r="AH290" s="47"/>
      <c r="AI290" s="47"/>
      <c r="AJ290" s="43"/>
      <c r="AK290" s="311"/>
      <c r="AL290" s="76"/>
      <c r="AM290"/>
    </row>
    <row r="291" spans="1:39" s="23" customFormat="1" ht="14.1" hidden="1" customHeight="1" outlineLevel="1" x14ac:dyDescent="0.2">
      <c r="A291" s="144"/>
      <c r="B291" s="477" t="s">
        <v>263</v>
      </c>
      <c r="C291" s="447" t="str">
        <f>HYPERLINK("\\deqhq1\Rule_Resources\i\0-VersionHistory.pdf","i")</f>
        <v>i</v>
      </c>
      <c r="D291" s="248"/>
      <c r="E291" s="689"/>
      <c r="F291"/>
      <c r="G291" s="82"/>
      <c r="H291" s="82"/>
      <c r="I291" s="684"/>
      <c r="J291"/>
      <c r="K291"/>
      <c r="L291"/>
      <c r="M291"/>
      <c r="N291"/>
      <c r="O291"/>
      <c r="P291"/>
      <c r="Q291"/>
      <c r="R291"/>
      <c r="S291"/>
      <c r="T291"/>
      <c r="U291"/>
      <c r="X291"/>
      <c r="AB291"/>
      <c r="AC291"/>
      <c r="AF291" s="327" t="s">
        <v>0</v>
      </c>
      <c r="AG291" s="47"/>
      <c r="AH291" s="47"/>
      <c r="AI291" s="69"/>
      <c r="AJ291" s="69"/>
      <c r="AK291" s="35"/>
      <c r="AL291" s="76"/>
    </row>
    <row r="292" spans="1:39" s="23" customFormat="1" ht="14.1" hidden="1" customHeight="1" outlineLevel="1" x14ac:dyDescent="0.2">
      <c r="A292" s="144"/>
      <c r="B292" s="281" t="str">
        <f>AK292</f>
        <v xml:space="preserve">Jill holds/leads team meeting to: </v>
      </c>
      <c r="C292" s="289" t="s">
        <v>0</v>
      </c>
      <c r="D292" s="248"/>
      <c r="E292" s="248"/>
      <c r="F292"/>
      <c r="G292" s="464">
        <f>AG292</f>
        <v>41641</v>
      </c>
      <c r="H292" s="464">
        <f>AH292</f>
        <v>41641</v>
      </c>
      <c r="I292" s="684"/>
      <c r="J292"/>
      <c r="K292"/>
      <c r="L292"/>
      <c r="M292"/>
      <c r="N292"/>
      <c r="O292"/>
      <c r="P292"/>
      <c r="Q292"/>
      <c r="R292"/>
      <c r="S292"/>
      <c r="T292"/>
      <c r="U292"/>
      <c r="X292"/>
      <c r="AB292"/>
      <c r="AC292"/>
      <c r="AF292" s="327">
        <f t="shared" ref="AF292:AF317" si="24">IF(S.AC.CommitteeInvolved="Y",1,0)</f>
        <v>1</v>
      </c>
      <c r="AG292" s="60">
        <f>S.AC.BANNER.Begin</f>
        <v>41641</v>
      </c>
      <c r="AH292" s="60">
        <f>G292</f>
        <v>41641</v>
      </c>
      <c r="AI292" s="59"/>
      <c r="AJ292" s="59"/>
      <c r="AK292" s="78" t="str">
        <f>S.Staff.Subject.Expert.FirstName&amp;" holds/leads team meeting to: "</f>
        <v xml:space="preserve">Jill holds/leads team meeting to: </v>
      </c>
      <c r="AL292" s="76"/>
    </row>
    <row r="293" spans="1:39" s="23" customFormat="1" ht="14.1" hidden="1" customHeight="1" outlineLevel="1" x14ac:dyDescent="0.2">
      <c r="A293" s="144"/>
      <c r="B293" s="375" t="s">
        <v>594</v>
      </c>
      <c r="C293" s="482"/>
      <c r="D293" s="248"/>
      <c r="E293" s="689"/>
      <c r="F293"/>
      <c r="G293" s="245"/>
      <c r="H293" s="245"/>
      <c r="I293" s="684"/>
      <c r="AF293" s="327">
        <f t="shared" si="24"/>
        <v>1</v>
      </c>
      <c r="AG293" s="34"/>
      <c r="AH293" s="34" t="s">
        <v>0</v>
      </c>
      <c r="AI293" s="47"/>
      <c r="AJ293" s="43"/>
      <c r="AK293" s="311"/>
      <c r="AL293" s="76"/>
    </row>
    <row r="294" spans="1:39" s="23" customFormat="1" ht="14.1" hidden="1" customHeight="1" outlineLevel="1" x14ac:dyDescent="0.2">
      <c r="A294" s="144"/>
      <c r="B294" s="807" t="s">
        <v>595</v>
      </c>
      <c r="C294" s="954" t="str">
        <f>HYPERLINK("\\deqhq1\Rule_Resources\i\Q-Cards\PDF\2-AdvisoryCommittee.pdf","i")</f>
        <v>i</v>
      </c>
      <c r="D294" s="248"/>
      <c r="E294" s="689"/>
      <c r="F294"/>
      <c r="G294" s="245"/>
      <c r="H294" s="245"/>
      <c r="I294" s="684"/>
      <c r="J294"/>
      <c r="K294"/>
      <c r="L294"/>
      <c r="M294"/>
      <c r="N294"/>
      <c r="O294"/>
      <c r="P294"/>
      <c r="Q294"/>
      <c r="R294"/>
      <c r="S294"/>
      <c r="T294"/>
      <c r="U294"/>
      <c r="X294"/>
      <c r="AB294"/>
      <c r="AC294"/>
      <c r="AF294" s="327">
        <f t="shared" si="24"/>
        <v>1</v>
      </c>
      <c r="AG294" s="34"/>
      <c r="AH294" s="34" t="s">
        <v>0</v>
      </c>
      <c r="AI294" s="59"/>
      <c r="AJ294" s="59"/>
      <c r="AK294" s="311"/>
      <c r="AL294" s="76"/>
    </row>
    <row r="295" spans="1:39" ht="14.1" hidden="1" customHeight="1" outlineLevel="1" x14ac:dyDescent="0.2">
      <c r="A295" s="144"/>
      <c r="B295" s="675" t="str">
        <f>AK295</f>
        <v>- Public Involvement Resources, discuss when to engage BrianW</v>
      </c>
      <c r="C295" s="447" t="str">
        <f>HYPERLINK("http://deq05/intranet/communication/publicinvolvement/index.htm","i")</f>
        <v>i</v>
      </c>
      <c r="D295" s="248"/>
      <c r="E295" s="689"/>
      <c r="F295"/>
      <c r="G295" s="245"/>
      <c r="H295" s="245"/>
      <c r="I295" s="684"/>
      <c r="AF295" s="327">
        <f t="shared" si="24"/>
        <v>1</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x14ac:dyDescent="0.25">
      <c r="A296" s="144"/>
      <c r="B296" s="807" t="s">
        <v>597</v>
      </c>
      <c r="C296" s="449" t="str">
        <f>HYPERLINK("\\deqhq1\Rule_Resources\0.IndividualRulemaking\2-Stakeholder Involvement\CodeName.AC.WebPage.docx","i")</f>
        <v>i</v>
      </c>
      <c r="D296" s="248"/>
      <c r="E296" s="689"/>
      <c r="F296"/>
      <c r="G296" s="245"/>
      <c r="H296" s="245"/>
      <c r="I296" s="684"/>
      <c r="AF296" s="327">
        <f t="shared" si="24"/>
        <v>1</v>
      </c>
      <c r="AG296" s="34"/>
      <c r="AH296" s="34" t="s">
        <v>0</v>
      </c>
      <c r="AI296" s="47"/>
      <c r="AJ296" s="43"/>
      <c r="AK296" s="311"/>
      <c r="AL296" s="76"/>
    </row>
    <row r="297" spans="1:39" s="23" customFormat="1" ht="14.1" hidden="1" customHeight="1" outlineLevel="1" x14ac:dyDescent="0.25">
      <c r="A297" s="144"/>
      <c r="B297" s="808" t="s">
        <v>596</v>
      </c>
      <c r="C297" s="449" t="str">
        <f>HYPERLINK("https://public.govdelivery.com/accounts/ORDEQ/subscriber/new?topic_id=ORDEQ_524","i")</f>
        <v>i</v>
      </c>
      <c r="D297" s="248"/>
      <c r="E297" s="689"/>
      <c r="F297"/>
      <c r="G297" s="245"/>
      <c r="H297" s="245"/>
      <c r="I297" s="684"/>
      <c r="J297"/>
      <c r="K297"/>
      <c r="L297"/>
      <c r="M297"/>
      <c r="N297"/>
      <c r="O297"/>
      <c r="P297"/>
      <c r="Q297"/>
      <c r="R297"/>
      <c r="S297"/>
      <c r="T297"/>
      <c r="U297"/>
      <c r="X297"/>
      <c r="AB297"/>
      <c r="AC297"/>
      <c r="AF297" s="327">
        <f t="shared" si="24"/>
        <v>1</v>
      </c>
      <c r="AG297" s="34"/>
      <c r="AH297" s="34" t="s">
        <v>0</v>
      </c>
      <c r="AI297" s="59"/>
      <c r="AJ297" s="59"/>
      <c r="AK297" s="311"/>
      <c r="AL297" s="76"/>
    </row>
    <row r="298" spans="1:39" s="23" customFormat="1" ht="14.1" hidden="1" customHeight="1" outlineLevel="1" x14ac:dyDescent="0.2">
      <c r="A298" s="144"/>
      <c r="B298" s="375" t="s">
        <v>588</v>
      </c>
      <c r="C298" s="482"/>
      <c r="D298" s="248"/>
      <c r="E298" s="689"/>
      <c r="F298"/>
      <c r="G298" s="245"/>
      <c r="H298" s="245"/>
      <c r="I298" s="684"/>
      <c r="J298"/>
      <c r="K298"/>
      <c r="L298"/>
      <c r="M298"/>
      <c r="N298"/>
      <c r="O298"/>
      <c r="P298"/>
      <c r="Q298"/>
      <c r="R298"/>
      <c r="S298"/>
      <c r="T298"/>
      <c r="U298"/>
      <c r="X298"/>
      <c r="AB298"/>
      <c r="AC298"/>
      <c r="AF298" s="327" t="s">
        <v>0</v>
      </c>
      <c r="AG298" s="34"/>
      <c r="AH298" s="34" t="s">
        <v>0</v>
      </c>
      <c r="AI298" s="47"/>
      <c r="AJ298" s="43"/>
      <c r="AK298" s="311"/>
      <c r="AL298" s="76"/>
    </row>
    <row r="299" spans="1:39" ht="14.1" hidden="1" customHeight="1" outlineLevel="1" thickBot="1" x14ac:dyDescent="0.25">
      <c r="A299" s="144"/>
      <c r="B299" s="807" t="s">
        <v>586</v>
      </c>
      <c r="C299" s="447" t="str">
        <f>HYPERLINK("http://www.doj.state.or.us/pdf/public_records_and_meetings_manual.pdf","i")</f>
        <v>i</v>
      </c>
      <c r="D299" s="248"/>
      <c r="E299" s="689"/>
      <c r="F299"/>
      <c r="G299" s="245"/>
      <c r="H299" s="245"/>
      <c r="I299" s="684"/>
      <c r="AF299" s="327">
        <f t="shared" si="24"/>
        <v>1</v>
      </c>
      <c r="AG299" s="34"/>
      <c r="AH299" s="34" t="s">
        <v>0</v>
      </c>
      <c r="AI299" s="47"/>
      <c r="AJ299" s="43"/>
      <c r="AK299" s="34" t="s">
        <v>142</v>
      </c>
      <c r="AL299" s="76"/>
      <c r="AM299"/>
    </row>
    <row r="300" spans="1:39" ht="14.1" hidden="1" customHeight="1" outlineLevel="1" thickBot="1" x14ac:dyDescent="0.25">
      <c r="A300" s="144"/>
      <c r="B300" s="807" t="s">
        <v>587</v>
      </c>
      <c r="C300" s="447" t="str">
        <f>HYPERLINK("http://www.oregonlaws.org/ors/192.630","i")</f>
        <v>i</v>
      </c>
      <c r="D300" s="248"/>
      <c r="E300" s="689"/>
      <c r="F300"/>
      <c r="G300" s="245"/>
      <c r="H300" s="245"/>
      <c r="I300" s="684"/>
      <c r="AF300" s="327">
        <f t="shared" si="24"/>
        <v>1</v>
      </c>
      <c r="AG300" s="34"/>
      <c r="AH300" s="34" t="s">
        <v>0</v>
      </c>
      <c r="AI300" s="47"/>
      <c r="AJ300" s="43"/>
      <c r="AK300" s="385" t="s">
        <v>136</v>
      </c>
      <c r="AL300" s="321" t="s">
        <v>37</v>
      </c>
      <c r="AM300"/>
    </row>
    <row r="301" spans="1:39" s="23" customFormat="1" ht="14.1" hidden="1" customHeight="1" outlineLevel="1" x14ac:dyDescent="0.2">
      <c r="A301" s="144"/>
      <c r="B301" s="807" t="s">
        <v>589</v>
      </c>
      <c r="C301" s="483"/>
      <c r="D301" s="248"/>
      <c r="E301" s="689"/>
      <c r="F301"/>
      <c r="G301" s="245"/>
      <c r="H301" s="245"/>
      <c r="I301" s="684"/>
      <c r="J301"/>
      <c r="K301"/>
      <c r="L301"/>
      <c r="M301"/>
      <c r="N301"/>
      <c r="O301"/>
      <c r="P301"/>
      <c r="Q301"/>
      <c r="R301"/>
      <c r="S301"/>
      <c r="T301"/>
      <c r="U301"/>
      <c r="X301"/>
      <c r="AB301"/>
      <c r="AC301"/>
      <c r="AF301" s="327">
        <f t="shared" si="24"/>
        <v>1</v>
      </c>
      <c r="AG301" s="34"/>
      <c r="AH301" s="34" t="s">
        <v>0</v>
      </c>
      <c r="AI301" s="47"/>
      <c r="AJ301" s="43"/>
      <c r="AK301" s="311"/>
      <c r="AL301" s="76"/>
    </row>
    <row r="302" spans="1:39" s="23" customFormat="1" ht="14.1" hidden="1" customHeight="1" outlineLevel="1" x14ac:dyDescent="0.2">
      <c r="A302" s="144"/>
      <c r="B302" s="807" t="s">
        <v>590</v>
      </c>
      <c r="C302" s="483"/>
      <c r="D302" s="248"/>
      <c r="E302" s="689"/>
      <c r="F302"/>
      <c r="G302" s="245"/>
      <c r="H302" s="245"/>
      <c r="I302" s="684"/>
      <c r="J302"/>
      <c r="K302"/>
      <c r="L302"/>
      <c r="M302"/>
      <c r="N302"/>
      <c r="O302"/>
      <c r="P302"/>
      <c r="Q302"/>
      <c r="R302"/>
      <c r="S302"/>
      <c r="T302"/>
      <c r="U302"/>
      <c r="X302"/>
      <c r="AB302"/>
      <c r="AC302"/>
      <c r="AF302" s="327">
        <f t="shared" si="24"/>
        <v>1</v>
      </c>
      <c r="AG302" s="34"/>
      <c r="AH302" s="34" t="s">
        <v>0</v>
      </c>
      <c r="AI302" s="47"/>
      <c r="AJ302" s="43"/>
      <c r="AK302" s="311"/>
      <c r="AL302" s="76"/>
    </row>
    <row r="303" spans="1:39" s="23" customFormat="1" ht="14.1" hidden="1" customHeight="1" outlineLevel="1" x14ac:dyDescent="0.2">
      <c r="A303" s="144"/>
      <c r="B303" s="375" t="s">
        <v>591</v>
      </c>
      <c r="C303" s="482"/>
      <c r="D303" s="248"/>
      <c r="E303" s="689"/>
      <c r="F303"/>
      <c r="G303" s="245"/>
      <c r="H303" s="245"/>
      <c r="I303" s="684"/>
      <c r="AF303" s="327">
        <f t="shared" si="24"/>
        <v>1</v>
      </c>
      <c r="AG303" s="34"/>
      <c r="AH303" s="34" t="s">
        <v>0</v>
      </c>
      <c r="AI303" s="47"/>
      <c r="AJ303" s="43"/>
      <c r="AK303" s="311"/>
      <c r="AL303" s="76"/>
    </row>
    <row r="304" spans="1:39" s="23" customFormat="1" ht="14.1" hidden="1" customHeight="1" outlineLevel="1" x14ac:dyDescent="0.2">
      <c r="A304" s="144"/>
      <c r="B304" s="807" t="s">
        <v>598</v>
      </c>
      <c r="C304" s="482"/>
      <c r="D304" s="248"/>
      <c r="E304" s="689"/>
      <c r="F304"/>
      <c r="G304" s="245"/>
      <c r="H304" s="245"/>
      <c r="I304" s="684"/>
      <c r="J304"/>
      <c r="K304"/>
      <c r="L304"/>
      <c r="M304"/>
      <c r="N304"/>
      <c r="O304"/>
      <c r="P304"/>
      <c r="Q304"/>
      <c r="R304"/>
      <c r="S304"/>
      <c r="T304"/>
      <c r="U304"/>
      <c r="X304"/>
      <c r="AB304"/>
      <c r="AC304"/>
      <c r="AF304" s="327">
        <f>IF(S.AC.CommitteeInvolved="Y",1,0)</f>
        <v>1</v>
      </c>
      <c r="AG304" s="34"/>
      <c r="AH304" s="34" t="s">
        <v>0</v>
      </c>
      <c r="AI304" s="47"/>
      <c r="AJ304" s="43"/>
      <c r="AK304" s="311"/>
      <c r="AL304" s="76"/>
    </row>
    <row r="305" spans="1:39" s="23" customFormat="1" ht="14.1" hidden="1" customHeight="1" outlineLevel="1" x14ac:dyDescent="0.2">
      <c r="A305" s="144"/>
      <c r="B305" s="807" t="s">
        <v>599</v>
      </c>
      <c r="C305" s="483"/>
      <c r="D305" s="248"/>
      <c r="E305" s="689"/>
      <c r="F305"/>
      <c r="G305" s="245"/>
      <c r="H305" s="245"/>
      <c r="I305" s="684"/>
      <c r="J305"/>
      <c r="K305"/>
      <c r="L305"/>
      <c r="M305"/>
      <c r="N305"/>
      <c r="O305"/>
      <c r="P305"/>
      <c r="Q305"/>
      <c r="R305"/>
      <c r="S305"/>
      <c r="T305"/>
      <c r="U305"/>
      <c r="X305"/>
      <c r="AB305"/>
      <c r="AC305"/>
      <c r="AF305" s="327">
        <f>IF(S.AC.CommitteeInvolved="Y",1,0)</f>
        <v>1</v>
      </c>
      <c r="AG305" s="34"/>
      <c r="AH305" s="34" t="s">
        <v>0</v>
      </c>
      <c r="AI305" s="47"/>
      <c r="AJ305" s="43"/>
      <c r="AK305" s="311"/>
      <c r="AL305" s="76"/>
    </row>
    <row r="306" spans="1:39" s="23" customFormat="1" ht="14.1" hidden="1" customHeight="1" outlineLevel="1" x14ac:dyDescent="0.2">
      <c r="A306" s="144"/>
      <c r="B306" s="807" t="s">
        <v>592</v>
      </c>
      <c r="C306" s="483"/>
      <c r="D306" s="248"/>
      <c r="E306" s="689"/>
      <c r="F306"/>
      <c r="G306" s="245"/>
      <c r="H306" s="245"/>
      <c r="I306" s="684"/>
      <c r="J306"/>
      <c r="K306"/>
      <c r="L306"/>
      <c r="M306"/>
      <c r="N306"/>
      <c r="O306"/>
      <c r="P306"/>
      <c r="Q306"/>
      <c r="R306"/>
      <c r="S306"/>
      <c r="T306"/>
      <c r="U306"/>
      <c r="X306"/>
      <c r="AB306"/>
      <c r="AC306"/>
      <c r="AF306" s="327">
        <f t="shared" si="24"/>
        <v>1</v>
      </c>
      <c r="AG306" s="34"/>
      <c r="AH306" s="34" t="s">
        <v>0</v>
      </c>
      <c r="AI306" s="47"/>
      <c r="AJ306" s="43"/>
      <c r="AK306" s="311"/>
      <c r="AL306" s="76"/>
    </row>
    <row r="307" spans="1:39" s="23" customFormat="1" ht="14.1" hidden="1" customHeight="1" outlineLevel="1" x14ac:dyDescent="0.2">
      <c r="A307" s="144"/>
      <c r="B307" s="808" t="s">
        <v>593</v>
      </c>
      <c r="C307" s="233" t="s">
        <v>0</v>
      </c>
      <c r="D307" s="248"/>
      <c r="E307" s="689"/>
      <c r="F307"/>
      <c r="G307" s="245"/>
      <c r="H307" s="245"/>
      <c r="I307" s="684"/>
      <c r="J307"/>
      <c r="K307"/>
      <c r="L307"/>
      <c r="M307"/>
      <c r="N307"/>
      <c r="O307"/>
      <c r="P307"/>
      <c r="Q307"/>
      <c r="R307"/>
      <c r="S307"/>
      <c r="T307"/>
      <c r="U307"/>
      <c r="X307"/>
      <c r="AB307"/>
      <c r="AC307"/>
      <c r="AF307" s="327">
        <f t="shared" si="24"/>
        <v>1</v>
      </c>
      <c r="AG307" s="34"/>
      <c r="AH307" s="34" t="s">
        <v>0</v>
      </c>
      <c r="AI307" s="59"/>
      <c r="AJ307" s="59"/>
      <c r="AK307" s="311"/>
      <c r="AL307" s="76"/>
    </row>
    <row r="308" spans="1:39" s="23" customFormat="1" ht="14.1" hidden="1" customHeight="1" outlineLevel="1" x14ac:dyDescent="0.2">
      <c r="A308" s="144"/>
      <c r="B308" s="282" t="str">
        <f>AK308</f>
        <v>Jill coordinates with team to:</v>
      </c>
      <c r="C308" s="233" t="s">
        <v>0</v>
      </c>
      <c r="D308" s="248"/>
      <c r="E308" s="248"/>
      <c r="F308"/>
      <c r="G308" s="511">
        <f>AG308</f>
        <v>41641</v>
      </c>
      <c r="H308" s="511">
        <f>AH308</f>
        <v>41641</v>
      </c>
      <c r="I308" s="684"/>
      <c r="J308"/>
      <c r="K308"/>
      <c r="L308"/>
      <c r="M308"/>
      <c r="N308"/>
      <c r="O308"/>
      <c r="P308"/>
      <c r="Q308"/>
      <c r="R308"/>
      <c r="S308"/>
      <c r="T308"/>
      <c r="U308"/>
      <c r="X308"/>
      <c r="AB308"/>
      <c r="AC308"/>
      <c r="AF308" s="327">
        <f t="shared" si="24"/>
        <v>1</v>
      </c>
      <c r="AG308" s="60">
        <f>S.AC.BANNER.Begin</f>
        <v>41641</v>
      </c>
      <c r="AH308" s="60">
        <f>G308</f>
        <v>41641</v>
      </c>
      <c r="AI308" s="59"/>
      <c r="AJ308" s="59"/>
      <c r="AK308" s="78" t="str">
        <f>S.Staff.Subject.Expert.FirstName&amp;" coordinates with team to:"</f>
        <v>Jill coordinates with team to:</v>
      </c>
      <c r="AL308" s="76"/>
    </row>
    <row r="309" spans="1:39" ht="14.1" hidden="1" customHeight="1" outlineLevel="1" x14ac:dyDescent="0.2">
      <c r="A309" s="144"/>
      <c r="B309" s="376" t="s">
        <v>138</v>
      </c>
      <c r="C309" s="233" t="s">
        <v>0</v>
      </c>
      <c r="D309" s="248"/>
      <c r="E309" s="689"/>
      <c r="F309"/>
      <c r="I309" s="684"/>
      <c r="AF309" s="327">
        <f t="shared" si="24"/>
        <v>1</v>
      </c>
      <c r="AG309" s="34"/>
      <c r="AH309" s="34" t="s">
        <v>0</v>
      </c>
      <c r="AI309" s="59"/>
      <c r="AJ309" s="59"/>
      <c r="AK309" s="311"/>
      <c r="AL309" s="76"/>
      <c r="AM309"/>
    </row>
    <row r="310" spans="1:39" s="23" customFormat="1" ht="14.1" hidden="1" customHeight="1" outlineLevel="1" x14ac:dyDescent="0.2">
      <c r="A310" s="144"/>
      <c r="B310" s="376" t="s">
        <v>227</v>
      </c>
      <c r="C310" s="233" t="s">
        <v>0</v>
      </c>
      <c r="D310" s="248"/>
      <c r="E310" s="689"/>
      <c r="F310"/>
      <c r="G310" s="244"/>
      <c r="H310" s="244"/>
      <c r="I310" s="684"/>
      <c r="J310"/>
      <c r="K310"/>
      <c r="L310"/>
      <c r="M310"/>
      <c r="N310"/>
      <c r="O310"/>
      <c r="P310"/>
      <c r="Q310"/>
      <c r="R310"/>
      <c r="S310"/>
      <c r="T310"/>
      <c r="U310"/>
      <c r="X310"/>
      <c r="AB310"/>
      <c r="AC310"/>
      <c r="AF310" s="327">
        <f t="shared" si="24"/>
        <v>1</v>
      </c>
      <c r="AG310" s="34"/>
      <c r="AH310" s="34" t="s">
        <v>0</v>
      </c>
      <c r="AI310" s="59"/>
      <c r="AJ310" s="59"/>
      <c r="AK310" s="311"/>
      <c r="AL310" s="76"/>
    </row>
    <row r="311" spans="1:39" s="23" customFormat="1" ht="14.1" hidden="1" customHeight="1" outlineLevel="1" x14ac:dyDescent="0.2">
      <c r="A311" s="144"/>
      <c r="B311" s="508" t="s">
        <v>276</v>
      </c>
      <c r="C311" s="484"/>
      <c r="D311" s="644"/>
      <c r="E311" s="644"/>
      <c r="F311"/>
      <c r="I311" s="684"/>
      <c r="J311"/>
      <c r="K311"/>
      <c r="L311"/>
      <c r="M311"/>
      <c r="N311"/>
      <c r="O311"/>
      <c r="P311"/>
      <c r="Q311"/>
      <c r="R311"/>
      <c r="S311"/>
      <c r="T311"/>
      <c r="U311"/>
      <c r="X311"/>
      <c r="AB311"/>
      <c r="AC311"/>
      <c r="AF311" s="327">
        <f t="shared" si="24"/>
        <v>1</v>
      </c>
      <c r="AG311" s="80"/>
      <c r="AH311" s="80"/>
      <c r="AI311" s="59"/>
      <c r="AJ311" s="44"/>
      <c r="AK311" s="44"/>
      <c r="AL311" s="76"/>
    </row>
    <row r="312" spans="1:39" s="23" customFormat="1" ht="14.1" hidden="1" customHeight="1" outlineLevel="1" x14ac:dyDescent="0.2">
      <c r="A312" s="144"/>
      <c r="B312" s="508" t="s">
        <v>223</v>
      </c>
      <c r="C312" s="484"/>
      <c r="D312" s="644"/>
      <c r="E312" s="644"/>
      <c r="F312"/>
      <c r="I312" s="684"/>
      <c r="J312"/>
      <c r="K312"/>
      <c r="L312"/>
      <c r="M312"/>
      <c r="N312"/>
      <c r="O312"/>
      <c r="P312"/>
      <c r="Q312"/>
      <c r="R312"/>
      <c r="S312"/>
      <c r="T312"/>
      <c r="U312"/>
      <c r="X312"/>
      <c r="AB312"/>
      <c r="AC312"/>
      <c r="AF312" s="327">
        <f t="shared" si="24"/>
        <v>1</v>
      </c>
      <c r="AG312" s="80"/>
      <c r="AH312" s="80"/>
      <c r="AI312" s="59"/>
      <c r="AJ312" s="44"/>
      <c r="AK312" s="44"/>
      <c r="AL312" s="76"/>
    </row>
    <row r="313" spans="1:39" s="23" customFormat="1" ht="14.1" hidden="1" customHeight="1" outlineLevel="1" x14ac:dyDescent="0.2">
      <c r="A313" s="144"/>
      <c r="B313" s="508" t="s">
        <v>224</v>
      </c>
      <c r="C313" s="484"/>
      <c r="D313" s="644"/>
      <c r="E313" s="644"/>
      <c r="F313"/>
      <c r="I313" s="684"/>
      <c r="J313"/>
      <c r="K313"/>
      <c r="L313"/>
      <c r="M313"/>
      <c r="N313"/>
      <c r="O313"/>
      <c r="P313"/>
      <c r="Q313"/>
      <c r="R313"/>
      <c r="S313"/>
      <c r="T313"/>
      <c r="U313"/>
      <c r="X313"/>
      <c r="AB313"/>
      <c r="AC313"/>
      <c r="AF313" s="327">
        <f t="shared" si="24"/>
        <v>1</v>
      </c>
      <c r="AG313" s="80"/>
      <c r="AH313" s="80"/>
      <c r="AI313" s="59"/>
      <c r="AJ313" s="44"/>
      <c r="AK313" s="44"/>
      <c r="AL313" s="76"/>
    </row>
    <row r="314" spans="1:39" s="23" customFormat="1" ht="14.1" hidden="1" customHeight="1" outlineLevel="1" x14ac:dyDescent="0.2">
      <c r="A314" s="144"/>
      <c r="B314" s="508" t="s">
        <v>225</v>
      </c>
      <c r="C314" s="484"/>
      <c r="D314" s="644"/>
      <c r="E314" s="644"/>
      <c r="F314"/>
      <c r="I314" s="684"/>
      <c r="J314"/>
      <c r="K314"/>
      <c r="L314"/>
      <c r="M314"/>
      <c r="N314"/>
      <c r="O314"/>
      <c r="P314"/>
      <c r="Q314"/>
      <c r="R314"/>
      <c r="S314"/>
      <c r="T314"/>
      <c r="U314"/>
      <c r="X314"/>
      <c r="AB314"/>
      <c r="AC314"/>
      <c r="AF314" s="327">
        <f t="shared" si="24"/>
        <v>1</v>
      </c>
      <c r="AG314" s="80"/>
      <c r="AH314" s="80"/>
      <c r="AI314" s="59"/>
      <c r="AJ314" s="44"/>
      <c r="AK314" s="44"/>
      <c r="AL314" s="76"/>
    </row>
    <row r="315" spans="1:39" s="23" customFormat="1" ht="14.1" hidden="1" customHeight="1" outlineLevel="1" x14ac:dyDescent="0.2">
      <c r="A315" s="144"/>
      <c r="B315" s="508" t="s">
        <v>226</v>
      </c>
      <c r="C315" s="484"/>
      <c r="D315" s="644"/>
      <c r="E315" s="644"/>
      <c r="F315"/>
      <c r="I315" s="684"/>
      <c r="J315"/>
      <c r="K315"/>
      <c r="L315"/>
      <c r="M315"/>
      <c r="N315"/>
      <c r="O315"/>
      <c r="P315"/>
      <c r="Q315"/>
      <c r="R315"/>
      <c r="S315"/>
      <c r="T315"/>
      <c r="U315"/>
      <c r="X315"/>
      <c r="AB315"/>
      <c r="AC315"/>
      <c r="AF315" s="327">
        <f t="shared" si="24"/>
        <v>1</v>
      </c>
      <c r="AG315" s="80"/>
      <c r="AH315" s="80"/>
      <c r="AI315" s="59"/>
      <c r="AJ315" s="44"/>
      <c r="AK315" s="44"/>
      <c r="AL315" s="76"/>
    </row>
    <row r="316" spans="1:39" ht="14.1" hidden="1" customHeight="1" outlineLevel="1" x14ac:dyDescent="0.2">
      <c r="A316" s="144"/>
      <c r="B316" s="377" t="s">
        <v>139</v>
      </c>
      <c r="C316" s="233" t="s">
        <v>0</v>
      </c>
      <c r="D316" s="248"/>
      <c r="E316" s="689"/>
      <c r="F316"/>
      <c r="G316" s="23"/>
      <c r="H316" s="23"/>
      <c r="I316" s="684"/>
      <c r="AF316" s="327">
        <f t="shared" si="24"/>
        <v>1</v>
      </c>
      <c r="AG316" s="80"/>
      <c r="AH316" s="80"/>
      <c r="AI316" s="59"/>
      <c r="AJ316" s="59"/>
      <c r="AK316" s="311"/>
      <c r="AL316" s="76"/>
      <c r="AM316"/>
    </row>
    <row r="317" spans="1:39" ht="14.1" hidden="1" customHeight="1" outlineLevel="1" thickBot="1" x14ac:dyDescent="0.25">
      <c r="A317" s="144"/>
      <c r="B317" s="377" t="s">
        <v>140</v>
      </c>
      <c r="C317" s="233" t="s">
        <v>0</v>
      </c>
      <c r="D317" s="248"/>
      <c r="E317" s="248"/>
      <c r="F317"/>
      <c r="G317" s="288">
        <f t="shared" ref="G317:H319" si="25">AG317</f>
        <v>41641</v>
      </c>
      <c r="H317" s="221">
        <f t="shared" si="25"/>
        <v>41641</v>
      </c>
      <c r="I317" s="684"/>
      <c r="AF317" s="327">
        <f t="shared" si="24"/>
        <v>1</v>
      </c>
      <c r="AG317" s="60">
        <f>H308</f>
        <v>41641</v>
      </c>
      <c r="AH317" s="60">
        <f>G317</f>
        <v>41641</v>
      </c>
      <c r="AI317" s="59"/>
      <c r="AJ317" s="59"/>
      <c r="AK317" s="311"/>
      <c r="AL317" s="76"/>
      <c r="AM317"/>
    </row>
    <row r="318" spans="1:39" ht="14.1" hidden="1" customHeight="1" outlineLevel="1" thickBot="1" x14ac:dyDescent="0.25">
      <c r="A318" s="144"/>
      <c r="B318" s="384" t="s">
        <v>177</v>
      </c>
      <c r="C318" s="478" t="s">
        <v>16</v>
      </c>
      <c r="D318" s="248"/>
      <c r="E318" s="248"/>
      <c r="F318"/>
      <c r="G318" s="287">
        <f t="shared" si="25"/>
        <v>41641</v>
      </c>
      <c r="H318" s="224">
        <f t="shared" si="25"/>
        <v>41641</v>
      </c>
      <c r="I318" s="684"/>
      <c r="AF318" s="327">
        <f>IF(AND(S.AC.WebPage="Y",S.AC.CommitteeInvolved="Y"),1,0)</f>
        <v>1</v>
      </c>
      <c r="AG318" s="60">
        <f>G317</f>
        <v>41641</v>
      </c>
      <c r="AH318" s="60">
        <f>G318</f>
        <v>41641</v>
      </c>
      <c r="AI318" s="59"/>
      <c r="AJ318" s="59"/>
      <c r="AK318" s="311"/>
      <c r="AL318" s="76"/>
      <c r="AM318"/>
    </row>
    <row r="319" spans="1:39" ht="14.1" hidden="1" customHeight="1" outlineLevel="1" thickBot="1" x14ac:dyDescent="0.25">
      <c r="A319" s="144"/>
      <c r="B319" s="454" t="s">
        <v>141</v>
      </c>
      <c r="C319" s="478" t="s">
        <v>16</v>
      </c>
      <c r="D319" s="248"/>
      <c r="E319" s="248"/>
      <c r="F319"/>
      <c r="G319" s="287">
        <f t="shared" si="25"/>
        <v>41641</v>
      </c>
      <c r="H319" s="224">
        <f t="shared" si="25"/>
        <v>41641</v>
      </c>
      <c r="I319" s="684"/>
      <c r="AF319" s="327">
        <f>IF(AND(S.AC.Charter="Y",S.AC.CommitteeInvolved="Y"),1,0)</f>
        <v>1</v>
      </c>
      <c r="AG319" s="60">
        <f>G318</f>
        <v>41641</v>
      </c>
      <c r="AH319" s="60">
        <f>G319</f>
        <v>41641</v>
      </c>
      <c r="AI319" s="59"/>
      <c r="AJ319" s="59"/>
      <c r="AK319" s="311"/>
      <c r="AL319" s="76"/>
      <c r="AM319"/>
    </row>
    <row r="320" spans="1:39" s="23" customFormat="1" ht="14.1" hidden="1" customHeight="1" outlineLevel="1" x14ac:dyDescent="0.25">
      <c r="A320" s="144"/>
      <c r="B320" s="384" t="s">
        <v>275</v>
      </c>
      <c r="C320" s="955" t="str">
        <f>HYPERLINK("http://www.oregon.gov/deq/RulesandRegulations/Pages/advisorycom.aspx","i")</f>
        <v>i</v>
      </c>
      <c r="D320" s="248"/>
      <c r="E320" s="689"/>
      <c r="F320"/>
      <c r="I320" s="684"/>
      <c r="J320"/>
      <c r="K320"/>
      <c r="L320"/>
      <c r="M320"/>
      <c r="N320"/>
      <c r="O320"/>
      <c r="P320"/>
      <c r="Q320"/>
      <c r="R320"/>
      <c r="S320"/>
      <c r="T320"/>
      <c r="U320"/>
      <c r="X320"/>
      <c r="AB320"/>
      <c r="AC320"/>
      <c r="AF320" s="327">
        <f>IF(AND(S.AC.WebPage="Y",S.AC.CommitteeInvolved="Y"),1,0)</f>
        <v>1</v>
      </c>
      <c r="AG320" s="58"/>
      <c r="AH320" s="58"/>
      <c r="AI320" s="47"/>
      <c r="AJ320" s="43"/>
      <c r="AK320" s="34" t="s">
        <v>0</v>
      </c>
      <c r="AL320" s="76"/>
    </row>
    <row r="321" spans="1:39" s="23" customFormat="1" ht="14.1" hidden="1" customHeight="1" outlineLevel="1" x14ac:dyDescent="0.2">
      <c r="A321" s="144"/>
      <c r="B321" s="308" t="str">
        <f>AK321</f>
        <v>Leah shares draft roster and invitation with Lydia</v>
      </c>
      <c r="C321" s="233" t="s">
        <v>0</v>
      </c>
      <c r="D321" s="248"/>
      <c r="E321" s="248"/>
      <c r="F321"/>
      <c r="G321" s="221">
        <f t="shared" ref="G321:H323" si="26">AG321</f>
        <v>41641</v>
      </c>
      <c r="H321" s="221">
        <f t="shared" si="26"/>
        <v>41641</v>
      </c>
      <c r="I321" s="684"/>
      <c r="J321"/>
      <c r="K321"/>
      <c r="L321"/>
      <c r="M321"/>
      <c r="N321"/>
      <c r="O321"/>
      <c r="P321"/>
      <c r="Q321"/>
      <c r="R321"/>
      <c r="S321"/>
      <c r="T321"/>
      <c r="U321"/>
      <c r="X321"/>
      <c r="AB321"/>
      <c r="AC321"/>
      <c r="AF321" s="327">
        <f t="shared" ref="AF321:AF327" si="27">IF(S.AC.CommitteeInvolved="Y",1,0)</f>
        <v>1</v>
      </c>
      <c r="AG321" s="60">
        <f>S.AC.BANNER.Begin</f>
        <v>41641</v>
      </c>
      <c r="AH321" s="60">
        <f>G321</f>
        <v>41641</v>
      </c>
      <c r="AI321" s="47"/>
      <c r="AJ321" s="43"/>
      <c r="AK321" s="78" t="str">
        <f>S.Staff.Program.Mgr.FirstName&amp;" shares draft roster and invitation with "&amp;S.Staff.Assistant.DA.ShortName</f>
        <v>Leah shares draft roster and invitation with Lydia</v>
      </c>
      <c r="AL321" s="76"/>
    </row>
    <row r="322" spans="1:39" s="23" customFormat="1" ht="14.1" hidden="1" customHeight="1" outlineLevel="1" x14ac:dyDescent="0.2">
      <c r="A322" s="144"/>
      <c r="B322" s="308" t="s">
        <v>110</v>
      </c>
      <c r="C322" s="233" t="s">
        <v>0</v>
      </c>
      <c r="D322" s="248"/>
      <c r="E322" s="248"/>
      <c r="F322"/>
      <c r="G322" s="288">
        <f t="shared" si="26"/>
        <v>41641</v>
      </c>
      <c r="H322" s="221">
        <f t="shared" si="26"/>
        <v>41641</v>
      </c>
      <c r="I322" s="684"/>
      <c r="J322"/>
      <c r="K322"/>
      <c r="L322"/>
      <c r="M322"/>
      <c r="N322"/>
      <c r="O322"/>
      <c r="P322"/>
      <c r="Q322"/>
      <c r="R322"/>
      <c r="S322"/>
      <c r="T322"/>
      <c r="U322"/>
      <c r="X322"/>
      <c r="AB322"/>
      <c r="AC322"/>
      <c r="AF322" s="327">
        <f t="shared" si="27"/>
        <v>1</v>
      </c>
      <c r="AG322" s="60">
        <f>H321</f>
        <v>41641</v>
      </c>
      <c r="AH322" s="60">
        <f>G322</f>
        <v>41641</v>
      </c>
      <c r="AI322" s="47"/>
      <c r="AJ322" s="43"/>
      <c r="AK322" s="34"/>
      <c r="AL322" s="76"/>
    </row>
    <row r="323" spans="1:39" s="23" customFormat="1" ht="14.1" hidden="1" customHeight="1" outlineLevel="1" x14ac:dyDescent="0.25">
      <c r="A323" s="144"/>
      <c r="B323" s="308" t="str">
        <f>AK323</f>
        <v>Leah approves potential advisory committee roster</v>
      </c>
      <c r="C323" s="183"/>
      <c r="D323" s="248"/>
      <c r="E323" s="248"/>
      <c r="F323"/>
      <c r="G323" s="288">
        <f t="shared" si="26"/>
        <v>41641</v>
      </c>
      <c r="H323" s="221">
        <f t="shared" si="26"/>
        <v>41641</v>
      </c>
      <c r="I323" s="684"/>
      <c r="J323"/>
      <c r="K323"/>
      <c r="L323"/>
      <c r="M323"/>
      <c r="N323"/>
      <c r="O323"/>
      <c r="P323"/>
      <c r="Q323"/>
      <c r="R323"/>
      <c r="S323"/>
      <c r="T323"/>
      <c r="U323"/>
      <c r="X323"/>
      <c r="AB323"/>
      <c r="AC323"/>
      <c r="AF323" s="327">
        <f t="shared" si="27"/>
        <v>1</v>
      </c>
      <c r="AG323" s="60">
        <f>H321</f>
        <v>41641</v>
      </c>
      <c r="AH323" s="60">
        <f>G323</f>
        <v>41641</v>
      </c>
      <c r="AI323" s="59"/>
      <c r="AJ323" s="43"/>
      <c r="AK323" s="78" t="str">
        <f>S.Staff.Program.Mgr.FirstName&amp;" approves potential advisory committee roster"</f>
        <v>Leah approves potential advisory committee roster</v>
      </c>
      <c r="AL323" s="76"/>
    </row>
    <row r="324" spans="1:39" s="23" customFormat="1" ht="14.1" hidden="1" customHeight="1" outlineLevel="1" x14ac:dyDescent="0.25">
      <c r="A324" s="144"/>
      <c r="B324" s="308" t="s">
        <v>88</v>
      </c>
      <c r="C324" s="183"/>
      <c r="D324" s="645"/>
      <c r="E324" s="645"/>
      <c r="F324"/>
      <c r="G324" s="179"/>
      <c r="H324" s="180"/>
      <c r="I324" s="684"/>
      <c r="J324"/>
      <c r="K324"/>
      <c r="L324"/>
      <c r="M324"/>
      <c r="N324"/>
      <c r="O324"/>
      <c r="P324"/>
      <c r="Q324"/>
      <c r="R324"/>
      <c r="S324"/>
      <c r="T324"/>
      <c r="U324"/>
      <c r="X324"/>
      <c r="AB324"/>
      <c r="AC324"/>
      <c r="AF324" s="327">
        <f t="shared" si="27"/>
        <v>1</v>
      </c>
      <c r="AG324" s="58"/>
      <c r="AH324" s="58"/>
      <c r="AI324" s="59"/>
      <c r="AJ324" s="43"/>
      <c r="AK324" s="34"/>
      <c r="AL324" s="76"/>
    </row>
    <row r="325" spans="1:39" ht="14.1" hidden="1" customHeight="1" outlineLevel="1" x14ac:dyDescent="0.2">
      <c r="A325" s="144"/>
      <c r="B325" s="284" t="s">
        <v>109</v>
      </c>
      <c r="C325" s="233" t="s">
        <v>0</v>
      </c>
      <c r="D325" s="248"/>
      <c r="E325" s="248"/>
      <c r="F325"/>
      <c r="G325" s="288">
        <f>AG325</f>
        <v>41641</v>
      </c>
      <c r="H325" s="221">
        <f>AH325</f>
        <v>41641</v>
      </c>
      <c r="I325" s="684"/>
      <c r="AF325" s="327">
        <f t="shared" si="27"/>
        <v>1</v>
      </c>
      <c r="AG325" s="60">
        <f>H323</f>
        <v>41641</v>
      </c>
      <c r="AH325" s="60">
        <f>G325</f>
        <v>41641</v>
      </c>
      <c r="AI325" s="47"/>
      <c r="AJ325" s="43"/>
      <c r="AK325" s="34"/>
      <c r="AL325" s="76"/>
      <c r="AM325"/>
    </row>
    <row r="326" spans="1:39" s="23" customFormat="1" ht="14.1" hidden="1" customHeight="1" outlineLevel="1" x14ac:dyDescent="0.2">
      <c r="A326" s="144"/>
      <c r="B326" s="284" t="s">
        <v>137</v>
      </c>
      <c r="C326" s="233" t="s">
        <v>0</v>
      </c>
      <c r="D326" s="248"/>
      <c r="E326" s="248"/>
      <c r="F326"/>
      <c r="G326" s="288">
        <f>AG326</f>
        <v>41641</v>
      </c>
      <c r="H326" s="221">
        <f>AH326</f>
        <v>41641</v>
      </c>
      <c r="I326" s="684"/>
      <c r="J326"/>
      <c r="K326"/>
      <c r="L326"/>
      <c r="M326"/>
      <c r="N326"/>
      <c r="O326"/>
      <c r="P326"/>
      <c r="Q326"/>
      <c r="R326"/>
      <c r="S326"/>
      <c r="T326"/>
      <c r="U326"/>
      <c r="X326"/>
      <c r="AB326"/>
      <c r="AC326"/>
      <c r="AF326" s="327">
        <f t="shared" si="27"/>
        <v>1</v>
      </c>
      <c r="AG326" s="60">
        <f>H325</f>
        <v>41641</v>
      </c>
      <c r="AH326" s="60">
        <f>G326</f>
        <v>41641</v>
      </c>
      <c r="AI326" s="47"/>
      <c r="AJ326" s="43"/>
      <c r="AK326" s="34"/>
      <c r="AL326" s="76"/>
    </row>
    <row r="327" spans="1:39" s="23" customFormat="1" ht="14.1" hidden="1" customHeight="1" outlineLevel="1" x14ac:dyDescent="0.2">
      <c r="A327" s="144"/>
      <c r="B327" s="360" t="str">
        <f>AK327</f>
        <v>Jill:</v>
      </c>
      <c r="C327" s="233" t="s">
        <v>0</v>
      </c>
      <c r="D327" s="647"/>
      <c r="E327" s="647"/>
      <c r="F327"/>
      <c r="G327" s="244"/>
      <c r="H327" s="244"/>
      <c r="I327" s="684"/>
      <c r="J327"/>
      <c r="K327"/>
      <c r="L327"/>
      <c r="M327"/>
      <c r="N327"/>
      <c r="O327"/>
      <c r="P327"/>
      <c r="Q327"/>
      <c r="R327"/>
      <c r="S327"/>
      <c r="T327"/>
      <c r="U327"/>
      <c r="X327"/>
      <c r="AB327"/>
      <c r="AC327"/>
      <c r="AF327" s="327">
        <f t="shared" si="27"/>
        <v>1</v>
      </c>
      <c r="AG327" s="34"/>
      <c r="AH327" s="34" t="s">
        <v>0</v>
      </c>
      <c r="AI327" s="59"/>
      <c r="AJ327" s="59"/>
      <c r="AK327" s="78" t="str">
        <f>S.Staff.Subject.Expert.FirstName&amp;":"</f>
        <v>Jill:</v>
      </c>
      <c r="AL327" s="76"/>
    </row>
    <row r="328" spans="1:39" s="23" customFormat="1" ht="14.1" hidden="1" customHeight="1" outlineLevel="1" x14ac:dyDescent="0.2">
      <c r="A328" s="144"/>
      <c r="B328" s="283" t="s">
        <v>600</v>
      </c>
      <c r="C328" s="450" t="str">
        <f>HYPERLINK("http://deq05/intranet/communication/WebRequests.htm","i")</f>
        <v>i</v>
      </c>
      <c r="D328" s="248"/>
      <c r="E328" s="248"/>
      <c r="F328"/>
      <c r="G328" s="288">
        <f>AG328</f>
        <v>41641</v>
      </c>
      <c r="H328" s="221">
        <f>AH328</f>
        <v>41641</v>
      </c>
      <c r="I328" s="684"/>
      <c r="J328"/>
      <c r="K328"/>
      <c r="L328"/>
      <c r="M328"/>
      <c r="N328"/>
      <c r="O328"/>
      <c r="P328"/>
      <c r="Q328"/>
      <c r="R328"/>
      <c r="S328"/>
      <c r="T328"/>
      <c r="U328"/>
      <c r="X328"/>
      <c r="AB328"/>
      <c r="AC328"/>
      <c r="AF328" s="327">
        <f>IF(AND(S.AC.WebPage="Y",S.AC.CommitteeInvolved="Y"),1,0)</f>
        <v>1</v>
      </c>
      <c r="AG328" s="60">
        <f>S.AC.BANNER.Begin</f>
        <v>41641</v>
      </c>
      <c r="AH328" s="60">
        <f>G328</f>
        <v>41641</v>
      </c>
      <c r="AI328" s="47"/>
      <c r="AJ328" s="43"/>
      <c r="AK328" s="34" t="s">
        <v>0</v>
      </c>
      <c r="AL328" s="76"/>
    </row>
    <row r="329" spans="1:39" ht="14.1" hidden="1" customHeight="1" outlineLevel="1" x14ac:dyDescent="0.2">
      <c r="A329" s="144"/>
      <c r="B329" s="281" t="s">
        <v>601</v>
      </c>
      <c r="C329" s="233" t="s">
        <v>0</v>
      </c>
      <c r="D329" s="647"/>
      <c r="E329" s="647"/>
      <c r="F329"/>
      <c r="G329"/>
      <c r="H329"/>
      <c r="I329" s="684"/>
      <c r="AF329" s="327">
        <f>IF(AND(S.AC.WebPage="Y",S.AC.CommitteeInvolved="Y"),1,0)</f>
        <v>1</v>
      </c>
      <c r="AG329" s="34"/>
      <c r="AH329" s="34" t="s">
        <v>0</v>
      </c>
      <c r="AI329" s="47"/>
      <c r="AJ329" s="43"/>
      <c r="AK329" s="34" t="s">
        <v>0</v>
      </c>
      <c r="AL329" s="76"/>
      <c r="AM329"/>
    </row>
    <row r="330" spans="1:39" ht="14.1" hidden="1" customHeight="1" outlineLevel="1" x14ac:dyDescent="0.2">
      <c r="A330" s="144"/>
      <c r="B330" s="283" t="s">
        <v>73</v>
      </c>
      <c r="C330" s="233" t="s">
        <v>0</v>
      </c>
      <c r="D330" s="248"/>
      <c r="E330" s="248"/>
      <c r="F330"/>
      <c r="G330" s="288">
        <f>AG330</f>
        <v>41641</v>
      </c>
      <c r="H330" s="221">
        <f>AH330</f>
        <v>41641</v>
      </c>
      <c r="I330" s="684"/>
      <c r="AF330" s="327">
        <f>IF(S.AC.CommitteeInvolved="Y",1,0)</f>
        <v>1</v>
      </c>
      <c r="AG330" s="60">
        <f>S.AC.BANNER.Begin</f>
        <v>41641</v>
      </c>
      <c r="AH330" s="60">
        <f>G330</f>
        <v>41641</v>
      </c>
      <c r="AI330" s="47"/>
      <c r="AJ330" s="43"/>
      <c r="AK330" s="34" t="s">
        <v>0</v>
      </c>
      <c r="AL330" s="76"/>
      <c r="AM330"/>
    </row>
    <row r="331" spans="1:39" s="23" customFormat="1" ht="14.1" hidden="1" customHeight="1" outlineLevel="1" thickBot="1" x14ac:dyDescent="0.25">
      <c r="A331" s="144"/>
      <c r="B331" s="190" t="s">
        <v>74</v>
      </c>
      <c r="C331" s="233" t="s">
        <v>0</v>
      </c>
      <c r="D331" s="248"/>
      <c r="E331" s="689"/>
      <c r="F331"/>
      <c r="I331" s="684"/>
      <c r="J331"/>
      <c r="K331"/>
      <c r="L331"/>
      <c r="M331"/>
      <c r="N331"/>
      <c r="O331"/>
      <c r="P331"/>
      <c r="Q331"/>
      <c r="R331"/>
      <c r="S331"/>
      <c r="T331"/>
      <c r="U331"/>
      <c r="X331"/>
      <c r="AB331"/>
      <c r="AC331"/>
      <c r="AF331" s="327">
        <f>IF(S.AC.CommitteeInvolved="Y",1,0)</f>
        <v>1</v>
      </c>
      <c r="AG331" s="34"/>
      <c r="AH331" s="34" t="s">
        <v>0</v>
      </c>
      <c r="AI331" s="47"/>
      <c r="AJ331" s="43"/>
      <c r="AK331" s="34"/>
      <c r="AL331" s="76"/>
    </row>
    <row r="332" spans="1:39" ht="14.1" hidden="1" customHeight="1" outlineLevel="1" thickBot="1" x14ac:dyDescent="0.25">
      <c r="A332" s="144"/>
      <c r="B332" s="333" t="s">
        <v>24</v>
      </c>
      <c r="C332" s="478" t="s">
        <v>16</v>
      </c>
      <c r="D332" s="647"/>
      <c r="E332" s="647"/>
      <c r="F332"/>
      <c r="G332" s="219">
        <v>41795</v>
      </c>
      <c r="H332" s="218" t="s">
        <v>722</v>
      </c>
      <c r="I332" s="684"/>
      <c r="AF332" s="327">
        <f t="shared" ref="AF332:AF345" si="28">IF(AND(S.AC.InvolveMeeting1="Y",S.AC.CommitteeInvolved="Y"),1,0)</f>
        <v>1</v>
      </c>
      <c r="AG332" s="60">
        <f>WORKDAY(S.AC.SendInvitation+13,1,S.DDL_DEQClosed)</f>
        <v>41655</v>
      </c>
      <c r="AH332" s="34" t="s">
        <v>0</v>
      </c>
      <c r="AI332" s="34"/>
      <c r="AJ332" s="43"/>
      <c r="AK332" s="34"/>
      <c r="AL332" s="76"/>
      <c r="AM332"/>
    </row>
    <row r="333" spans="1:39" ht="14.1" hidden="1" customHeight="1" outlineLevel="2" x14ac:dyDescent="0.2">
      <c r="A333" s="144"/>
      <c r="B333" s="359" t="s">
        <v>75</v>
      </c>
      <c r="C333" s="891"/>
      <c r="D333" s="248"/>
      <c r="E333" s="689"/>
      <c r="F333"/>
      <c r="G333" s="223"/>
      <c r="H333" s="265"/>
      <c r="I333" s="684"/>
      <c r="AF333" s="327">
        <f t="shared" si="28"/>
        <v>1</v>
      </c>
      <c r="AG333" s="34"/>
      <c r="AH333" s="34" t="s">
        <v>0</v>
      </c>
      <c r="AI333" s="47"/>
      <c r="AJ333" s="43"/>
      <c r="AK333" s="34"/>
      <c r="AL333" s="76"/>
      <c r="AM333"/>
    </row>
    <row r="334" spans="1:39" s="23" customFormat="1" ht="14.1" hidden="1" customHeight="1" outlineLevel="2" x14ac:dyDescent="0.2">
      <c r="A334" s="144"/>
      <c r="B334" s="249" t="str">
        <f>AK334</f>
        <v>Jill coordinates or drafts:</v>
      </c>
      <c r="C334" s="891"/>
      <c r="D334" s="248"/>
      <c r="E334" s="248"/>
      <c r="F334"/>
      <c r="G334" s="288">
        <f>AG334</f>
        <v>41641</v>
      </c>
      <c r="H334" s="221">
        <f>AH334</f>
        <v>41641</v>
      </c>
      <c r="I334" s="684"/>
      <c r="J334"/>
      <c r="K334"/>
      <c r="L334"/>
      <c r="M334"/>
      <c r="N334"/>
      <c r="O334"/>
      <c r="P334"/>
      <c r="Q334"/>
      <c r="R334"/>
      <c r="S334"/>
      <c r="T334"/>
      <c r="U334"/>
      <c r="X334"/>
      <c r="AB334"/>
      <c r="AC334"/>
      <c r="AF334" s="327">
        <f t="shared" si="28"/>
        <v>1</v>
      </c>
      <c r="AG334" s="60">
        <f>S.AC.SendInvitation</f>
        <v>41641</v>
      </c>
      <c r="AH334" s="60">
        <f>G334</f>
        <v>41641</v>
      </c>
      <c r="AI334" s="58"/>
      <c r="AJ334" s="43"/>
      <c r="AK334" s="67" t="str">
        <f>S.Staff.Subject.Expert.FirstName&amp;" coordinates or drafts:"</f>
        <v>Jill coordinates or drafts:</v>
      </c>
      <c r="AL334" s="76"/>
    </row>
    <row r="335" spans="1:39" ht="14.1" hidden="1" customHeight="1" outlineLevel="2" x14ac:dyDescent="0.2">
      <c r="A335" s="144"/>
      <c r="B335" s="281" t="str">
        <f>AK335</f>
        <v>* AC.AGENDA.06.05.14</v>
      </c>
      <c r="C335" s="892" t="str">
        <f>HYPERLINK("\\deq000\templates\General\Agenda Template.dotx","i")</f>
        <v>i</v>
      </c>
      <c r="D335" s="322"/>
      <c r="E335" s="689"/>
      <c r="F335"/>
      <c r="G335" s="223"/>
      <c r="H335" s="265"/>
      <c r="I335" s="684"/>
      <c r="AF335" s="327">
        <f t="shared" si="28"/>
        <v>1</v>
      </c>
      <c r="AG335" s="34"/>
      <c r="AH335" s="34" t="s">
        <v>0</v>
      </c>
      <c r="AI335" s="59"/>
      <c r="AJ335" s="61"/>
      <c r="AK335" s="67" t="str">
        <f>"* AC.AGENDA."&amp;TEXT(S.AC.DateMeeting1,"mm.dd.yy")</f>
        <v>* AC.AGENDA.06.05.14</v>
      </c>
      <c r="AL335" s="76"/>
      <c r="AM335"/>
    </row>
    <row r="336" spans="1:39" ht="14.1" hidden="1" customHeight="1" outlineLevel="2" x14ac:dyDescent="0.2">
      <c r="A336" s="144"/>
      <c r="B336" s="281" t="str">
        <f>AK336</f>
        <v>* AC.NOTIFICATION.06.05.14</v>
      </c>
      <c r="C336" s="893" t="s">
        <v>0</v>
      </c>
      <c r="D336" s="248"/>
      <c r="E336" s="689"/>
      <c r="F336"/>
      <c r="G336" s="223"/>
      <c r="H336" s="265"/>
      <c r="I336" s="684"/>
      <c r="AF336" s="327">
        <f t="shared" si="28"/>
        <v>1</v>
      </c>
      <c r="AG336" s="34"/>
      <c r="AH336" s="34" t="s">
        <v>0</v>
      </c>
      <c r="AI336" s="59"/>
      <c r="AJ336" s="59"/>
      <c r="AK336" s="67" t="str">
        <f>"* AC.NOTIFICATION."&amp;TEXT(S.AC.DateMeeting1,"mm.dd.yy")</f>
        <v>* AC.NOTIFICATION.06.05.14</v>
      </c>
      <c r="AL336" s="76"/>
      <c r="AM336"/>
    </row>
    <row r="337" spans="1:39" s="23" customFormat="1" ht="14.1" hidden="1" customHeight="1" outlineLevel="2" x14ac:dyDescent="0.2">
      <c r="A337" s="144"/>
      <c r="B337" s="249" t="str">
        <f>AK337</f>
        <v>Jill obtains team approval of agenda and notification</v>
      </c>
      <c r="C337" s="891"/>
      <c r="D337" s="248"/>
      <c r="E337" s="248"/>
      <c r="F337"/>
      <c r="G337" s="288">
        <f>AG337</f>
        <v>41641</v>
      </c>
      <c r="H337" s="221">
        <f>AH337</f>
        <v>41641</v>
      </c>
      <c r="I337" s="684"/>
      <c r="J337"/>
      <c r="K337"/>
      <c r="L337"/>
      <c r="M337"/>
      <c r="N337"/>
      <c r="O337"/>
      <c r="P337"/>
      <c r="Q337"/>
      <c r="R337"/>
      <c r="S337"/>
      <c r="T337"/>
      <c r="U337"/>
      <c r="X337"/>
      <c r="AB337"/>
      <c r="AC337"/>
      <c r="AF337" s="327">
        <f t="shared" si="28"/>
        <v>1</v>
      </c>
      <c r="AG337" s="60">
        <f>S.AC.SendInvitation</f>
        <v>41641</v>
      </c>
      <c r="AH337" s="60">
        <f>G337</f>
        <v>41641</v>
      </c>
      <c r="AI337" s="58"/>
      <c r="AJ337" s="43"/>
      <c r="AK337" s="67" t="str">
        <f>S.Staff.Subject.Expert.FirstName&amp;" obtains team approval of agenda and notification"</f>
        <v>Jill obtains team approval of agenda and notification</v>
      </c>
      <c r="AL337" s="76"/>
    </row>
    <row r="338" spans="1:39" s="23" customFormat="1" ht="14.1" hidden="1" customHeight="1" outlineLevel="2" x14ac:dyDescent="0.2">
      <c r="A338" s="144"/>
      <c r="B338" s="249" t="str">
        <f>AK338</f>
        <v>Jill (about 14 working days before meeting:)</v>
      </c>
      <c r="C338" s="891"/>
      <c r="D338" s="248"/>
      <c r="E338" s="248"/>
      <c r="F338"/>
      <c r="G338" s="288">
        <f>AG338</f>
        <v>41641</v>
      </c>
      <c r="H338" s="221">
        <f>AH338</f>
        <v>41641</v>
      </c>
      <c r="I338" s="684"/>
      <c r="J338"/>
      <c r="K338"/>
      <c r="L338"/>
      <c r="M338"/>
      <c r="N338"/>
      <c r="O338"/>
      <c r="P338"/>
      <c r="Q338"/>
      <c r="R338"/>
      <c r="S338"/>
      <c r="T338"/>
      <c r="U338"/>
      <c r="X338"/>
      <c r="AB338"/>
      <c r="AC338"/>
      <c r="AF338" s="327">
        <f t="shared" si="28"/>
        <v>1</v>
      </c>
      <c r="AG338" s="60">
        <f>S.AC.SendInvitation</f>
        <v>41641</v>
      </c>
      <c r="AH338" s="60">
        <f>G338</f>
        <v>41641</v>
      </c>
      <c r="AI338" s="58"/>
      <c r="AJ338" s="43"/>
      <c r="AK338" s="67" t="str">
        <f>S.Staff.Support&amp;" (about 14 working days before meeting:)"</f>
        <v>Jill (about 14 working days before meeting:)</v>
      </c>
      <c r="AL338" s="76"/>
    </row>
    <row r="339" spans="1:39" ht="14.1" hidden="1" customHeight="1" outlineLevel="2" x14ac:dyDescent="0.2">
      <c r="A339" s="144"/>
      <c r="B339" s="503" t="s">
        <v>143</v>
      </c>
      <c r="C339" s="892" t="str">
        <f>HYPERLINK("http://deq05/intranet/contentmanagement/login.asp","i")</f>
        <v>i</v>
      </c>
      <c r="D339" s="648"/>
      <c r="E339" s="822"/>
      <c r="F339"/>
      <c r="G339" s="223"/>
      <c r="H339" s="265"/>
      <c r="I339" s="684"/>
      <c r="AF339" s="327">
        <f t="shared" si="28"/>
        <v>1</v>
      </c>
      <c r="AG339" s="34"/>
      <c r="AH339" s="34" t="s">
        <v>0</v>
      </c>
      <c r="AI339" s="47"/>
      <c r="AJ339" s="43"/>
      <c r="AK339" s="43"/>
      <c r="AL339" s="76"/>
      <c r="AM339"/>
    </row>
    <row r="340" spans="1:39" s="23" customFormat="1" ht="14.1" hidden="1" customHeight="1" outlineLevel="2" x14ac:dyDescent="0.2">
      <c r="A340" s="144"/>
      <c r="B340" s="503" t="s">
        <v>578</v>
      </c>
      <c r="C340" s="893" t="s">
        <v>0</v>
      </c>
      <c r="D340" s="648"/>
      <c r="E340" s="822"/>
      <c r="F340"/>
      <c r="G340" s="223"/>
      <c r="H340" s="265"/>
      <c r="I340" s="684"/>
      <c r="J340"/>
      <c r="K340"/>
      <c r="L340"/>
      <c r="M340"/>
      <c r="N340"/>
      <c r="O340"/>
      <c r="P340"/>
      <c r="Q340"/>
      <c r="R340"/>
      <c r="S340"/>
      <c r="T340"/>
      <c r="U340"/>
      <c r="X340"/>
      <c r="AB340"/>
      <c r="AC340"/>
      <c r="AF340" s="327">
        <f t="shared" si="28"/>
        <v>1</v>
      </c>
      <c r="AG340" s="34"/>
      <c r="AH340" s="34" t="s">
        <v>0</v>
      </c>
      <c r="AI340" s="47"/>
      <c r="AJ340" s="43"/>
      <c r="AK340" s="43"/>
      <c r="AL340" s="76"/>
    </row>
    <row r="341" spans="1:39" ht="14.1" hidden="1" customHeight="1" outlineLevel="2" x14ac:dyDescent="0.2">
      <c r="A341" s="144"/>
      <c r="B341" s="263" t="s">
        <v>112</v>
      </c>
      <c r="C341" s="893" t="s">
        <v>0</v>
      </c>
      <c r="D341" s="248"/>
      <c r="E341" s="689"/>
      <c r="F341"/>
      <c r="G341" s="223"/>
      <c r="H341" s="265"/>
      <c r="I341" s="684"/>
      <c r="AF341" s="327">
        <f t="shared" si="28"/>
        <v>1</v>
      </c>
      <c r="AG341" s="34"/>
      <c r="AH341" s="34" t="s">
        <v>0</v>
      </c>
      <c r="AI341" s="47"/>
      <c r="AJ341" s="43"/>
      <c r="AK341" s="43" t="s">
        <v>274</v>
      </c>
      <c r="AL341" s="76"/>
      <c r="AM341"/>
    </row>
    <row r="342" spans="1:39" ht="14.1" hidden="1" customHeight="1" outlineLevel="2" x14ac:dyDescent="0.2">
      <c r="A342" s="144"/>
      <c r="B342" s="361" t="s">
        <v>76</v>
      </c>
      <c r="C342" s="893" t="s">
        <v>0</v>
      </c>
      <c r="D342" s="248"/>
      <c r="E342" s="248"/>
      <c r="F342"/>
      <c r="G342" s="288">
        <f t="shared" ref="G342:H345" si="29">AG342</f>
        <v>41641</v>
      </c>
      <c r="H342" s="221">
        <f t="shared" si="29"/>
        <v>41641</v>
      </c>
      <c r="I342" s="684"/>
      <c r="AF342" s="327">
        <f t="shared" si="28"/>
        <v>1</v>
      </c>
      <c r="AG342" s="60">
        <f>S.AC.SendInvitation</f>
        <v>41641</v>
      </c>
      <c r="AH342" s="60">
        <f>G342</f>
        <v>41641</v>
      </c>
      <c r="AI342" s="47"/>
      <c r="AJ342" s="43"/>
      <c r="AK342" s="43"/>
      <c r="AL342" s="76"/>
      <c r="AM342"/>
    </row>
    <row r="343" spans="1:39" ht="14.1" hidden="1" customHeight="1" outlineLevel="2" x14ac:dyDescent="0.2">
      <c r="A343" s="144"/>
      <c r="B343" s="361" t="s">
        <v>76</v>
      </c>
      <c r="C343" s="893" t="s">
        <v>0</v>
      </c>
      <c r="D343" s="248"/>
      <c r="E343" s="248"/>
      <c r="F343"/>
      <c r="G343" s="288">
        <f t="shared" si="29"/>
        <v>41641</v>
      </c>
      <c r="H343" s="221">
        <f t="shared" si="29"/>
        <v>41641</v>
      </c>
      <c r="I343" s="684"/>
      <c r="AF343" s="327">
        <f t="shared" si="28"/>
        <v>1</v>
      </c>
      <c r="AG343" s="60">
        <f>S.AC.SendInvitation</f>
        <v>41641</v>
      </c>
      <c r="AH343" s="60">
        <f>G343</f>
        <v>41641</v>
      </c>
      <c r="AI343" s="47"/>
      <c r="AJ343" s="43"/>
      <c r="AK343" s="43"/>
      <c r="AL343" s="76"/>
      <c r="AM343"/>
    </row>
    <row r="344" spans="1:39" ht="14.1" hidden="1" customHeight="1" outlineLevel="2" x14ac:dyDescent="0.2">
      <c r="A344" s="144"/>
      <c r="B344" s="361" t="s">
        <v>76</v>
      </c>
      <c r="C344" s="893" t="s">
        <v>0</v>
      </c>
      <c r="D344" s="248"/>
      <c r="E344" s="248"/>
      <c r="F344"/>
      <c r="G344" s="288">
        <f t="shared" si="29"/>
        <v>41641</v>
      </c>
      <c r="H344" s="221">
        <f t="shared" si="29"/>
        <v>41641</v>
      </c>
      <c r="I344" s="684"/>
      <c r="AF344" s="327">
        <f t="shared" si="28"/>
        <v>1</v>
      </c>
      <c r="AG344" s="60">
        <f>S.AC.SendInvitation</f>
        <v>41641</v>
      </c>
      <c r="AH344" s="60">
        <f>G344</f>
        <v>41641</v>
      </c>
      <c r="AI344" s="47"/>
      <c r="AJ344" s="43"/>
      <c r="AK344" s="43"/>
      <c r="AL344" s="76"/>
      <c r="AM344"/>
    </row>
    <row r="345" spans="1:39" ht="14.1" hidden="1" customHeight="1" outlineLevel="2" thickBot="1" x14ac:dyDescent="0.25">
      <c r="A345" s="144"/>
      <c r="B345" s="361" t="s">
        <v>76</v>
      </c>
      <c r="C345" s="893" t="s">
        <v>0</v>
      </c>
      <c r="D345" s="248"/>
      <c r="E345" s="248"/>
      <c r="F345"/>
      <c r="G345" s="288">
        <f t="shared" si="29"/>
        <v>41641</v>
      </c>
      <c r="H345" s="221">
        <f t="shared" si="29"/>
        <v>41641</v>
      </c>
      <c r="I345" s="684"/>
      <c r="AF345" s="327">
        <f t="shared" si="28"/>
        <v>1</v>
      </c>
      <c r="AG345" s="60">
        <f>S.AC.SendInvitation</f>
        <v>41641</v>
      </c>
      <c r="AH345" s="60">
        <f>G345</f>
        <v>41641</v>
      </c>
      <c r="AI345" s="47"/>
      <c r="AJ345" s="43"/>
      <c r="AK345" s="43"/>
      <c r="AL345" s="76"/>
      <c r="AM345"/>
    </row>
    <row r="346" spans="1:39" s="23" customFormat="1" ht="14.1" hidden="1" customHeight="1" outlineLevel="2" thickBot="1" x14ac:dyDescent="0.25">
      <c r="A346" s="144"/>
      <c r="B346" s="386" t="s">
        <v>97</v>
      </c>
      <c r="C346" s="478" t="s">
        <v>16</v>
      </c>
      <c r="D346" s="649"/>
      <c r="E346" s="649"/>
      <c r="F346"/>
      <c r="G346" s="289"/>
      <c r="H346" s="289"/>
      <c r="I346" s="684"/>
      <c r="J346"/>
      <c r="K346"/>
      <c r="L346"/>
      <c r="M346"/>
      <c r="N346"/>
      <c r="O346"/>
      <c r="P346"/>
      <c r="Q346"/>
      <c r="R346"/>
      <c r="S346"/>
      <c r="T346"/>
      <c r="U346"/>
      <c r="X346"/>
      <c r="AB346"/>
      <c r="AC346"/>
      <c r="AF346" s="327">
        <f t="shared" ref="AF346:AF353" si="30">IF(AND(S.AC.InvolveMeeting1="Y",S.AC.CommitteeInvolved="Y",S.AC.Presentation1="Y"),1,0)</f>
        <v>1</v>
      </c>
      <c r="AG346" s="34"/>
      <c r="AH346" s="34"/>
      <c r="AI346" s="34"/>
      <c r="AJ346" s="43"/>
      <c r="AK346" s="43"/>
      <c r="AL346" s="76"/>
    </row>
    <row r="347" spans="1:39" s="23" customFormat="1" ht="14.1" hidden="1" customHeight="1" outlineLevel="2" x14ac:dyDescent="0.2">
      <c r="A347" s="144"/>
      <c r="B347" s="387" t="s">
        <v>77</v>
      </c>
      <c r="C347" s="893" t="s">
        <v>0</v>
      </c>
      <c r="D347" s="290"/>
      <c r="E347" s="290"/>
      <c r="F347"/>
      <c r="G347" s="286"/>
      <c r="H347" s="286"/>
      <c r="I347" s="684"/>
      <c r="J347"/>
      <c r="K347"/>
      <c r="L347"/>
      <c r="M347"/>
      <c r="N347"/>
      <c r="O347"/>
      <c r="P347"/>
      <c r="Q347"/>
      <c r="R347"/>
      <c r="S347"/>
      <c r="T347"/>
      <c r="U347"/>
      <c r="X347"/>
      <c r="AB347"/>
      <c r="AC347"/>
      <c r="AF347" s="327">
        <f t="shared" si="30"/>
        <v>1</v>
      </c>
      <c r="AG347" s="34"/>
      <c r="AH347" s="34"/>
      <c r="AI347" s="47"/>
      <c r="AJ347" s="43"/>
      <c r="AK347" s="43"/>
      <c r="AL347" s="76"/>
    </row>
    <row r="348" spans="1:39" ht="14.1" hidden="1" customHeight="1" outlineLevel="2" x14ac:dyDescent="0.2">
      <c r="A348" s="144"/>
      <c r="B348" s="388" t="str">
        <f>AK348</f>
        <v>* drafts optional AC.PRESENTATION.06.05.14</v>
      </c>
      <c r="C348" s="893" t="s">
        <v>0</v>
      </c>
      <c r="D348" s="322"/>
      <c r="E348" s="322"/>
      <c r="F348"/>
      <c r="G348" s="288">
        <f>AG348</f>
        <v>41641</v>
      </c>
      <c r="H348" s="221">
        <f>AH348</f>
        <v>41641</v>
      </c>
      <c r="I348" s="684"/>
      <c r="AF348" s="327">
        <f t="shared" si="30"/>
        <v>1</v>
      </c>
      <c r="AG348" s="60">
        <f>G345</f>
        <v>41641</v>
      </c>
      <c r="AH348" s="60">
        <f>G348</f>
        <v>41641</v>
      </c>
      <c r="AI348" s="47"/>
      <c r="AJ348" s="43"/>
      <c r="AK348" s="78" t="str">
        <f>"* drafts optional AC.PRESENTATION."&amp;TEXT($G$332,"mm.dd.yy")</f>
        <v>* drafts optional AC.PRESENTATION.06.05.14</v>
      </c>
      <c r="AL348" s="76"/>
      <c r="AM348"/>
    </row>
    <row r="349" spans="1:39" s="23" customFormat="1" ht="14.1" hidden="1" customHeight="1" outlineLevel="2" x14ac:dyDescent="0.2">
      <c r="A349" s="144"/>
      <c r="B349" s="387" t="s">
        <v>77</v>
      </c>
      <c r="C349" s="893" t="s">
        <v>0</v>
      </c>
      <c r="D349" s="290"/>
      <c r="E349" s="290"/>
      <c r="F349"/>
      <c r="G349" s="289"/>
      <c r="H349" s="289"/>
      <c r="I349" s="684"/>
      <c r="J349"/>
      <c r="K349"/>
      <c r="L349"/>
      <c r="M349"/>
      <c r="N349"/>
      <c r="O349"/>
      <c r="P349"/>
      <c r="Q349"/>
      <c r="R349"/>
      <c r="S349"/>
      <c r="T349"/>
      <c r="U349"/>
      <c r="X349"/>
      <c r="AB349"/>
      <c r="AC349"/>
      <c r="AF349" s="327">
        <f t="shared" si="30"/>
        <v>1</v>
      </c>
      <c r="AG349" s="34"/>
      <c r="AH349" s="34"/>
      <c r="AI349" s="47"/>
      <c r="AJ349" s="43"/>
      <c r="AK349" s="43"/>
      <c r="AL349" s="76"/>
    </row>
    <row r="350" spans="1:39" s="23" customFormat="1" ht="14.1" hidden="1" customHeight="1" outlineLevel="2" x14ac:dyDescent="0.2">
      <c r="A350" s="144"/>
      <c r="B350" s="389" t="s">
        <v>111</v>
      </c>
      <c r="C350" s="893" t="s">
        <v>0</v>
      </c>
      <c r="D350" s="248"/>
      <c r="E350" s="248"/>
      <c r="F350"/>
      <c r="G350" s="288">
        <f>AG350</f>
        <v>41641</v>
      </c>
      <c r="H350" s="221">
        <f>AH350</f>
        <v>41641</v>
      </c>
      <c r="I350" s="684"/>
      <c r="J350"/>
      <c r="K350"/>
      <c r="L350"/>
      <c r="M350"/>
      <c r="N350"/>
      <c r="O350"/>
      <c r="P350"/>
      <c r="Q350"/>
      <c r="R350"/>
      <c r="S350"/>
      <c r="T350"/>
      <c r="U350"/>
      <c r="X350"/>
      <c r="AB350"/>
      <c r="AC350"/>
      <c r="AF350" s="327">
        <f t="shared" si="30"/>
        <v>1</v>
      </c>
      <c r="AG350" s="60">
        <f>G348</f>
        <v>41641</v>
      </c>
      <c r="AH350" s="60">
        <f>G350</f>
        <v>41641</v>
      </c>
      <c r="AI350" s="47"/>
      <c r="AJ350" s="43"/>
      <c r="AK350" s="43"/>
      <c r="AL350" s="76"/>
    </row>
    <row r="351" spans="1:39" ht="14.1" hidden="1" customHeight="1" outlineLevel="2" x14ac:dyDescent="0.2">
      <c r="A351" s="144"/>
      <c r="B351" s="390" t="s">
        <v>144</v>
      </c>
      <c r="C351" s="893" t="s">
        <v>0</v>
      </c>
      <c r="D351" s="248"/>
      <c r="E351" s="248"/>
      <c r="F351"/>
      <c r="G351" s="288">
        <f>AG351</f>
        <v>41641</v>
      </c>
      <c r="H351" s="221">
        <f>AH351</f>
        <v>41641</v>
      </c>
      <c r="I351" s="684"/>
      <c r="AF351" s="327">
        <f t="shared" si="30"/>
        <v>1</v>
      </c>
      <c r="AG351" s="60">
        <f>G350</f>
        <v>41641</v>
      </c>
      <c r="AH351" s="60">
        <f>G351</f>
        <v>41641</v>
      </c>
      <c r="AI351" s="47" t="s">
        <v>0</v>
      </c>
      <c r="AJ351" s="43"/>
      <c r="AK351" s="43"/>
      <c r="AL351" s="76"/>
      <c r="AM351"/>
    </row>
    <row r="352" spans="1:39" ht="14.1" hidden="1" customHeight="1" outlineLevel="2" x14ac:dyDescent="0.2">
      <c r="A352" s="144"/>
      <c r="B352" s="391" t="str">
        <f>AK352</f>
        <v>Jill submits Web Request to post materials</v>
      </c>
      <c r="C352" s="894" t="str">
        <f>HYPERLINK("http://deq05/intranet/communication/WebRequests.htm","i")</f>
        <v>i</v>
      </c>
      <c r="D352" s="248"/>
      <c r="E352" s="689"/>
      <c r="F352"/>
      <c r="G352"/>
      <c r="H352"/>
      <c r="I352" s="684"/>
      <c r="AF352" s="327">
        <f t="shared" si="30"/>
        <v>1</v>
      </c>
      <c r="AG352" s="34"/>
      <c r="AH352" s="34"/>
      <c r="AI352" s="47"/>
      <c r="AJ352" s="43"/>
      <c r="AK352" s="78" t="str">
        <f>S.Staff.Subject.Expert.FirstName&amp;" submits Web Request to post materials"</f>
        <v>Jill submits Web Request to post materials</v>
      </c>
      <c r="AL352" s="76"/>
      <c r="AM352"/>
    </row>
    <row r="353" spans="1:39" s="23" customFormat="1" ht="14.1" hidden="1" customHeight="1" outlineLevel="2" x14ac:dyDescent="0.2">
      <c r="A353" s="144"/>
      <c r="B353" s="390" t="s">
        <v>80</v>
      </c>
      <c r="C353" s="893" t="s">
        <v>0</v>
      </c>
      <c r="D353" s="248"/>
      <c r="E353" s="689"/>
      <c r="F353"/>
      <c r="I353" s="684"/>
      <c r="J353"/>
      <c r="K353"/>
      <c r="L353"/>
      <c r="M353"/>
      <c r="N353"/>
      <c r="O353"/>
      <c r="P353"/>
      <c r="Q353"/>
      <c r="R353"/>
      <c r="S353"/>
      <c r="T353"/>
      <c r="U353"/>
      <c r="X353"/>
      <c r="AB353"/>
      <c r="AC353"/>
      <c r="AF353" s="327">
        <f t="shared" si="30"/>
        <v>1</v>
      </c>
      <c r="AG353" s="34"/>
      <c r="AH353" s="34"/>
      <c r="AI353" s="59"/>
      <c r="AJ353" s="59"/>
      <c r="AK353" s="43"/>
      <c r="AL353" s="76"/>
    </row>
    <row r="354" spans="1:39" ht="14.1" hidden="1" customHeight="1" outlineLevel="2" x14ac:dyDescent="0.2">
      <c r="A354" s="144"/>
      <c r="B354" s="362" t="s">
        <v>78</v>
      </c>
      <c r="C354" s="893" t="s">
        <v>0</v>
      </c>
      <c r="D354"/>
      <c r="E354"/>
      <c r="F354"/>
      <c r="G354"/>
      <c r="H354" s="228">
        <f>AH354</f>
        <v>41795</v>
      </c>
      <c r="I354" s="684"/>
      <c r="AF354" s="327">
        <f>IF(AND(S.AC.InvolveMeeting1="Y",S.AC.CommitteeInvolved="Y"),1,0)</f>
        <v>1</v>
      </c>
      <c r="AG354" s="59"/>
      <c r="AH354" s="60">
        <f>S.AC.DateMeeting1</f>
        <v>41795</v>
      </c>
      <c r="AI354" s="59"/>
      <c r="AJ354" s="59"/>
      <c r="AK354" s="43"/>
      <c r="AL354" s="76"/>
      <c r="AM354"/>
    </row>
    <row r="355" spans="1:39" ht="14.1" hidden="1" customHeight="1" outlineLevel="2" x14ac:dyDescent="0.2">
      <c r="A355" s="144"/>
      <c r="B355" s="308" t="str">
        <f>AK355</f>
        <v>Jill drafts AC.MINUTES 06.05.14</v>
      </c>
      <c r="C355" s="892" t="str">
        <f>HYPERLINK("\\deq000\templates\General\Minutes Template.dotx","i")</f>
        <v>i</v>
      </c>
      <c r="D355" s="322"/>
      <c r="E355" s="322"/>
      <c r="F355"/>
      <c r="G355" s="288">
        <f>AG355</f>
        <v>41795</v>
      </c>
      <c r="H355" s="221">
        <f>AH355</f>
        <v>41795</v>
      </c>
      <c r="I355" s="684"/>
      <c r="AF355" s="327">
        <f>IF(AND(S.AC.InvolveMeeting1="Y",S.AC.CommitteeInvolved="Y"),1,0)</f>
        <v>1</v>
      </c>
      <c r="AG355" s="60">
        <f>S.AC.DateMeeting1</f>
        <v>41795</v>
      </c>
      <c r="AH355" s="60">
        <f>G355</f>
        <v>41795</v>
      </c>
      <c r="AI355" s="59"/>
      <c r="AJ355" s="59"/>
      <c r="AK355" s="67" t="str">
        <f>S.Staff.Subject.Expert.FirstName&amp;" drafts AC.MINUTES "&amp;TEXT(S.AC.DateMeeting1,"mm.dd.yy")</f>
        <v>Jill drafts AC.MINUTES 06.05.14</v>
      </c>
      <c r="AL355" s="76"/>
      <c r="AM355"/>
    </row>
    <row r="356" spans="1:39" ht="14.1" hidden="1" customHeight="1" outlineLevel="2" thickBot="1" x14ac:dyDescent="0.25">
      <c r="A356" s="144"/>
      <c r="B356" s="362" t="s">
        <v>79</v>
      </c>
      <c r="C356" s="893" t="s">
        <v>0</v>
      </c>
      <c r="D356" s="248"/>
      <c r="E356" s="248"/>
      <c r="F356"/>
      <c r="G356" s="288">
        <f>AG356</f>
        <v>41795</v>
      </c>
      <c r="H356" s="221">
        <f>AH356</f>
        <v>41795</v>
      </c>
      <c r="I356" s="684"/>
      <c r="AF356" s="327">
        <f>IF(AND(S.AC.InvolveMeeting1="Y",S.AC.CommitteeInvolved="Y"),1,0)</f>
        <v>1</v>
      </c>
      <c r="AG356" s="60">
        <f>S.AC.DateMeeting1</f>
        <v>41795</v>
      </c>
      <c r="AH356" s="60">
        <f>G356</f>
        <v>41795</v>
      </c>
      <c r="AI356" s="59"/>
      <c r="AJ356" s="59"/>
      <c r="AK356" s="43"/>
      <c r="AL356" s="76"/>
      <c r="AM356"/>
    </row>
    <row r="357" spans="1:39" s="23" customFormat="1" ht="14.1" hidden="1" customHeight="1" outlineLevel="1" thickBot="1" x14ac:dyDescent="0.25">
      <c r="A357" s="144"/>
      <c r="B357" s="333" t="s">
        <v>23</v>
      </c>
      <c r="C357" s="478" t="s">
        <v>134</v>
      </c>
      <c r="D357" s="650"/>
      <c r="E357" s="650"/>
      <c r="F357" s="271"/>
      <c r="G357" s="217">
        <v>41816</v>
      </c>
      <c r="H357" s="330" t="s">
        <v>647</v>
      </c>
      <c r="I357" s="684"/>
      <c r="J357"/>
      <c r="K357"/>
      <c r="L357"/>
      <c r="M357"/>
      <c r="N357"/>
      <c r="O357"/>
      <c r="P357"/>
      <c r="Q357"/>
      <c r="R357"/>
      <c r="S357"/>
      <c r="T357"/>
      <c r="U357"/>
      <c r="X357"/>
      <c r="AB357"/>
      <c r="AC357"/>
      <c r="AF357" s="327">
        <f t="shared" ref="AF357:AF367" si="31">IF(AND(S.AC.InvolveMeeting2="Y",S.AC.CommitteeInvolved="Y"),1,0)</f>
        <v>0</v>
      </c>
      <c r="AG357" s="60">
        <f>S.AC.DateMeeting1</f>
        <v>41795</v>
      </c>
      <c r="AH357" s="34" t="s">
        <v>0</v>
      </c>
      <c r="AI357" s="34"/>
      <c r="AJ357" s="43"/>
      <c r="AK357" s="43"/>
      <c r="AL357" s="76"/>
    </row>
    <row r="358" spans="1:39" s="23" customFormat="1" ht="14.1" hidden="1" customHeight="1" outlineLevel="2" x14ac:dyDescent="0.2">
      <c r="A358" s="144"/>
      <c r="B358" s="359" t="s">
        <v>75</v>
      </c>
      <c r="C358" s="891"/>
      <c r="D358" s="248"/>
      <c r="E358" s="248"/>
      <c r="F358" s="220">
        <f>NETWORKDAYS(G358,H358,S.DDL_DEQClosed)</f>
        <v>1</v>
      </c>
      <c r="G358" s="288">
        <f>AG358</f>
        <v>41802</v>
      </c>
      <c r="H358" s="221">
        <f>AH358</f>
        <v>41802</v>
      </c>
      <c r="I358" s="684"/>
      <c r="J358"/>
      <c r="K358"/>
      <c r="L358"/>
      <c r="M358"/>
      <c r="N358"/>
      <c r="O358"/>
      <c r="P358"/>
      <c r="Q358"/>
      <c r="R358"/>
      <c r="S358"/>
      <c r="T358"/>
      <c r="U358"/>
      <c r="X358"/>
      <c r="AB358"/>
      <c r="AC358"/>
      <c r="AF358" s="327">
        <f t="shared" si="31"/>
        <v>0</v>
      </c>
      <c r="AG358" s="60">
        <f>WORKDAY(S.AC.DateMeeting2-13,-1,S.DDL_DEQClosed)</f>
        <v>41802</v>
      </c>
      <c r="AH358" s="60">
        <f>G358</f>
        <v>41802</v>
      </c>
      <c r="AI358" s="47"/>
      <c r="AJ358" s="43"/>
      <c r="AK358" s="34"/>
      <c r="AL358" s="76"/>
    </row>
    <row r="359" spans="1:39" s="23" customFormat="1" ht="14.1" hidden="1" customHeight="1" outlineLevel="2" x14ac:dyDescent="0.2">
      <c r="A359" s="144"/>
      <c r="B359" s="249" t="str">
        <f>AK359</f>
        <v>Jill coordinates or drafts:</v>
      </c>
      <c r="C359" s="891"/>
      <c r="D359" s="647"/>
      <c r="E359" s="647"/>
      <c r="F359" s="227"/>
      <c r="G359" s="223"/>
      <c r="H359" s="265"/>
      <c r="I359" s="684"/>
      <c r="J359"/>
      <c r="K359"/>
      <c r="L359"/>
      <c r="M359"/>
      <c r="N359"/>
      <c r="O359"/>
      <c r="P359"/>
      <c r="Q359"/>
      <c r="R359"/>
      <c r="S359"/>
      <c r="T359"/>
      <c r="U359"/>
      <c r="X359"/>
      <c r="AB359"/>
      <c r="AC359"/>
      <c r="AF359" s="327">
        <f t="shared" si="31"/>
        <v>0</v>
      </c>
      <c r="AG359" s="47"/>
      <c r="AH359" s="58"/>
      <c r="AI359" s="58"/>
      <c r="AJ359" s="43"/>
      <c r="AK359" s="67" t="str">
        <f>S.Staff.Subject.Expert.FirstName&amp;" coordinates or drafts:"</f>
        <v>Jill coordinates or drafts:</v>
      </c>
      <c r="AL359" s="76"/>
    </row>
    <row r="360" spans="1:39" s="23" customFormat="1" ht="14.1" hidden="1" customHeight="1" outlineLevel="2" x14ac:dyDescent="0.2">
      <c r="A360" s="144"/>
      <c r="B360" s="281" t="str">
        <f>AK360</f>
        <v>* AC.AGENDA.06.05.14, gets team agreement</v>
      </c>
      <c r="C360" s="892" t="str">
        <f>HYPERLINK("\\deq000\templates\General\Agenda Template.dotx","i")</f>
        <v>i</v>
      </c>
      <c r="D360" s="322"/>
      <c r="E360" s="322"/>
      <c r="F360" s="220">
        <f t="shared" ref="F360:F367" si="32">NETWORKDAYS(G360,H360,S.DDL_DEQClosed)</f>
        <v>1</v>
      </c>
      <c r="G360" s="288">
        <f t="shared" ref="G360:H367" si="33">AG360</f>
        <v>41802</v>
      </c>
      <c r="H360" s="221">
        <f t="shared" si="33"/>
        <v>41802</v>
      </c>
      <c r="I360" s="684"/>
      <c r="J360"/>
      <c r="K360"/>
      <c r="L360"/>
      <c r="M360"/>
      <c r="N360"/>
      <c r="O360"/>
      <c r="P360"/>
      <c r="Q360"/>
      <c r="R360"/>
      <c r="S360"/>
      <c r="T360"/>
      <c r="U360"/>
      <c r="X360"/>
      <c r="AB360"/>
      <c r="AC360"/>
      <c r="AF360" s="327">
        <f t="shared" si="31"/>
        <v>0</v>
      </c>
      <c r="AG360" s="60">
        <f>G358</f>
        <v>41802</v>
      </c>
      <c r="AH360" s="60">
        <f t="shared" ref="AH360:AH367" si="34">G360</f>
        <v>41802</v>
      </c>
      <c r="AI360" s="59"/>
      <c r="AJ360" s="61"/>
      <c r="AK360" s="67" t="str">
        <f>"* AC.AGENDA."&amp; TEXT(S.AC.DateMeeting1,"mm.dd.yy")&amp;", gets team agreement"</f>
        <v>* AC.AGENDA.06.05.14, gets team agreement</v>
      </c>
      <c r="AL360" s="76"/>
    </row>
    <row r="361" spans="1:39" s="23" customFormat="1" ht="14.1" hidden="1" customHeight="1" outlineLevel="2" x14ac:dyDescent="0.2">
      <c r="A361" s="144"/>
      <c r="B361" s="281" t="str">
        <f>AK361</f>
        <v>* AC.NOTIFICATION.06.05.14</v>
      </c>
      <c r="C361" s="893" t="s">
        <v>0</v>
      </c>
      <c r="D361" s="248"/>
      <c r="E361" s="248"/>
      <c r="F361" s="220">
        <f t="shared" si="32"/>
        <v>1</v>
      </c>
      <c r="G361" s="288">
        <f t="shared" si="33"/>
        <v>41802</v>
      </c>
      <c r="H361" s="221">
        <f t="shared" si="33"/>
        <v>41802</v>
      </c>
      <c r="I361" s="684"/>
      <c r="J361"/>
      <c r="K361"/>
      <c r="L361"/>
      <c r="M361"/>
      <c r="N361"/>
      <c r="O361"/>
      <c r="P361"/>
      <c r="Q361"/>
      <c r="R361"/>
      <c r="S361"/>
      <c r="T361"/>
      <c r="U361"/>
      <c r="X361"/>
      <c r="AB361"/>
      <c r="AC361"/>
      <c r="AF361" s="327">
        <f t="shared" si="31"/>
        <v>0</v>
      </c>
      <c r="AG361" s="60">
        <f t="shared" ref="AG361:AG367" si="35">G360</f>
        <v>41802</v>
      </c>
      <c r="AH361" s="60">
        <f t="shared" si="34"/>
        <v>41802</v>
      </c>
      <c r="AI361" s="59"/>
      <c r="AJ361" s="59"/>
      <c r="AK361" s="67" t="str">
        <f>"* AC.NOTIFICATION."&amp;TEXT(S.AC.DateMeeting1,"mm.dd.yy")</f>
        <v>* AC.NOTIFICATION.06.05.14</v>
      </c>
      <c r="AL361" s="76"/>
    </row>
    <row r="362" spans="1:39" s="23" customFormat="1" ht="14.1" hidden="1" customHeight="1" outlineLevel="2" x14ac:dyDescent="0.2">
      <c r="A362" s="144"/>
      <c r="B362" s="285" t="s">
        <v>143</v>
      </c>
      <c r="C362" s="892" t="str">
        <f>HYPERLINK("http://deq05/intranet/contentmanagement/login.asp","i")</f>
        <v>i</v>
      </c>
      <c r="D362" s="648"/>
      <c r="E362" s="648"/>
      <c r="F362" s="220">
        <f t="shared" si="32"/>
        <v>1</v>
      </c>
      <c r="G362" s="288">
        <f t="shared" si="33"/>
        <v>41802</v>
      </c>
      <c r="H362" s="221">
        <f t="shared" si="33"/>
        <v>41802</v>
      </c>
      <c r="I362" s="684"/>
      <c r="J362"/>
      <c r="K362"/>
      <c r="L362"/>
      <c r="M362"/>
      <c r="N362"/>
      <c r="O362"/>
      <c r="P362"/>
      <c r="Q362"/>
      <c r="R362"/>
      <c r="S362"/>
      <c r="T362"/>
      <c r="U362"/>
      <c r="X362"/>
      <c r="AB362"/>
      <c r="AC362"/>
      <c r="AF362" s="327">
        <f t="shared" si="31"/>
        <v>0</v>
      </c>
      <c r="AG362" s="60">
        <f t="shared" si="35"/>
        <v>41802</v>
      </c>
      <c r="AH362" s="60">
        <f t="shared" si="34"/>
        <v>41802</v>
      </c>
      <c r="AI362" s="47"/>
      <c r="AJ362" s="43"/>
      <c r="AK362" s="43"/>
      <c r="AL362" s="76"/>
    </row>
    <row r="363" spans="1:39" s="23" customFormat="1" ht="14.1" hidden="1" customHeight="1" outlineLevel="2" x14ac:dyDescent="0.2">
      <c r="A363" s="144"/>
      <c r="B363" s="263" t="s">
        <v>112</v>
      </c>
      <c r="C363" s="893" t="s">
        <v>0</v>
      </c>
      <c r="D363" s="248"/>
      <c r="E363" s="248"/>
      <c r="F363" s="220">
        <f t="shared" si="32"/>
        <v>1</v>
      </c>
      <c r="G363" s="288">
        <f t="shared" si="33"/>
        <v>41802</v>
      </c>
      <c r="H363" s="221">
        <f t="shared" si="33"/>
        <v>41802</v>
      </c>
      <c r="I363" s="684"/>
      <c r="J363"/>
      <c r="K363"/>
      <c r="L363"/>
      <c r="M363"/>
      <c r="N363"/>
      <c r="O363"/>
      <c r="P363"/>
      <c r="Q363"/>
      <c r="R363"/>
      <c r="S363"/>
      <c r="T363"/>
      <c r="U363"/>
      <c r="X363"/>
      <c r="AB363"/>
      <c r="AC363"/>
      <c r="AF363" s="327">
        <f t="shared" si="31"/>
        <v>0</v>
      </c>
      <c r="AG363" s="60">
        <f t="shared" si="35"/>
        <v>41802</v>
      </c>
      <c r="AH363" s="60">
        <f t="shared" si="34"/>
        <v>41802</v>
      </c>
      <c r="AI363" s="47"/>
      <c r="AJ363" s="43"/>
      <c r="AK363" s="43"/>
      <c r="AL363" s="76"/>
    </row>
    <row r="364" spans="1:39" s="23" customFormat="1" ht="14.1" hidden="1" customHeight="1" outlineLevel="2" x14ac:dyDescent="0.2">
      <c r="A364" s="144"/>
      <c r="B364" s="361" t="s">
        <v>76</v>
      </c>
      <c r="C364" s="893" t="s">
        <v>0</v>
      </c>
      <c r="D364" s="248"/>
      <c r="E364" s="248"/>
      <c r="F364" s="220">
        <f t="shared" si="32"/>
        <v>1</v>
      </c>
      <c r="G364" s="288">
        <f t="shared" si="33"/>
        <v>41802</v>
      </c>
      <c r="H364" s="221">
        <f t="shared" si="33"/>
        <v>41802</v>
      </c>
      <c r="I364" s="684"/>
      <c r="J364"/>
      <c r="K364"/>
      <c r="L364"/>
      <c r="M364"/>
      <c r="N364"/>
      <c r="O364"/>
      <c r="P364"/>
      <c r="Q364"/>
      <c r="R364"/>
      <c r="S364"/>
      <c r="T364"/>
      <c r="U364"/>
      <c r="X364"/>
      <c r="AB364"/>
      <c r="AC364"/>
      <c r="AF364" s="327">
        <f t="shared" si="31"/>
        <v>0</v>
      </c>
      <c r="AG364" s="60">
        <f t="shared" si="35"/>
        <v>41802</v>
      </c>
      <c r="AH364" s="60">
        <f t="shared" si="34"/>
        <v>41802</v>
      </c>
      <c r="AI364" s="47"/>
      <c r="AJ364" s="43"/>
      <c r="AK364" s="43"/>
      <c r="AL364" s="76"/>
    </row>
    <row r="365" spans="1:39" s="23" customFormat="1" ht="14.1" hidden="1" customHeight="1" outlineLevel="2" x14ac:dyDescent="0.2">
      <c r="A365" s="144"/>
      <c r="B365" s="361" t="s">
        <v>76</v>
      </c>
      <c r="C365" s="893" t="s">
        <v>0</v>
      </c>
      <c r="D365" s="248"/>
      <c r="E365" s="248"/>
      <c r="F365" s="220">
        <f t="shared" si="32"/>
        <v>1</v>
      </c>
      <c r="G365" s="288">
        <f t="shared" si="33"/>
        <v>41802</v>
      </c>
      <c r="H365" s="221">
        <f t="shared" si="33"/>
        <v>41802</v>
      </c>
      <c r="I365" s="684"/>
      <c r="J365"/>
      <c r="K365"/>
      <c r="L365"/>
      <c r="M365"/>
      <c r="N365"/>
      <c r="O365"/>
      <c r="P365"/>
      <c r="Q365"/>
      <c r="R365"/>
      <c r="S365"/>
      <c r="T365"/>
      <c r="U365"/>
      <c r="X365"/>
      <c r="AB365"/>
      <c r="AC365"/>
      <c r="AF365" s="327">
        <f t="shared" si="31"/>
        <v>0</v>
      </c>
      <c r="AG365" s="60">
        <f t="shared" si="35"/>
        <v>41802</v>
      </c>
      <c r="AH365" s="60">
        <f t="shared" si="34"/>
        <v>41802</v>
      </c>
      <c r="AI365" s="47"/>
      <c r="AJ365" s="43"/>
      <c r="AK365" s="43"/>
      <c r="AL365" s="76"/>
    </row>
    <row r="366" spans="1:39" s="23" customFormat="1" ht="14.1" hidden="1" customHeight="1" outlineLevel="2" x14ac:dyDescent="0.2">
      <c r="A366" s="144"/>
      <c r="B366" s="361" t="s">
        <v>76</v>
      </c>
      <c r="C366" s="893" t="s">
        <v>0</v>
      </c>
      <c r="D366" s="248"/>
      <c r="E366" s="248"/>
      <c r="F366" s="220">
        <f t="shared" si="32"/>
        <v>1</v>
      </c>
      <c r="G366" s="288">
        <f t="shared" si="33"/>
        <v>41802</v>
      </c>
      <c r="H366" s="221">
        <f t="shared" si="33"/>
        <v>41802</v>
      </c>
      <c r="I366" s="684"/>
      <c r="J366"/>
      <c r="K366"/>
      <c r="L366"/>
      <c r="M366"/>
      <c r="N366"/>
      <c r="O366"/>
      <c r="P366"/>
      <c r="Q366"/>
      <c r="R366"/>
      <c r="S366"/>
      <c r="T366"/>
      <c r="U366"/>
      <c r="X366"/>
      <c r="AB366"/>
      <c r="AC366"/>
      <c r="AF366" s="327">
        <f t="shared" si="31"/>
        <v>0</v>
      </c>
      <c r="AG366" s="60">
        <f t="shared" si="35"/>
        <v>41802</v>
      </c>
      <c r="AH366" s="60">
        <f t="shared" si="34"/>
        <v>41802</v>
      </c>
      <c r="AI366" s="47"/>
      <c r="AJ366" s="43"/>
      <c r="AK366" s="43"/>
      <c r="AL366" s="76"/>
    </row>
    <row r="367" spans="1:39" s="23" customFormat="1" ht="14.1" hidden="1" customHeight="1" outlineLevel="2" thickBot="1" x14ac:dyDescent="0.25">
      <c r="A367" s="144"/>
      <c r="B367" s="361" t="s">
        <v>76</v>
      </c>
      <c r="C367" s="893" t="s">
        <v>0</v>
      </c>
      <c r="D367" s="248"/>
      <c r="E367" s="248"/>
      <c r="F367" s="220">
        <f t="shared" si="32"/>
        <v>1</v>
      </c>
      <c r="G367" s="288">
        <f t="shared" si="33"/>
        <v>41802</v>
      </c>
      <c r="H367" s="221">
        <f t="shared" si="33"/>
        <v>41802</v>
      </c>
      <c r="I367" s="684"/>
      <c r="J367"/>
      <c r="K367"/>
      <c r="L367"/>
      <c r="M367"/>
      <c r="N367"/>
      <c r="O367"/>
      <c r="P367"/>
      <c r="Q367"/>
      <c r="R367"/>
      <c r="S367"/>
      <c r="T367"/>
      <c r="U367"/>
      <c r="X367"/>
      <c r="AB367"/>
      <c r="AC367"/>
      <c r="AF367" s="327">
        <f t="shared" si="31"/>
        <v>0</v>
      </c>
      <c r="AG367" s="60">
        <f t="shared" si="35"/>
        <v>41802</v>
      </c>
      <c r="AH367" s="60">
        <f t="shared" si="34"/>
        <v>41802</v>
      </c>
      <c r="AI367" s="47"/>
      <c r="AJ367" s="43"/>
      <c r="AK367" s="43"/>
      <c r="AL367" s="76"/>
    </row>
    <row r="368" spans="1:39" s="23" customFormat="1" ht="14.1" hidden="1" customHeight="1" outlineLevel="2" thickBot="1" x14ac:dyDescent="0.25">
      <c r="A368" s="144"/>
      <c r="B368" s="386" t="s">
        <v>97</v>
      </c>
      <c r="C368" s="478" t="s">
        <v>16</v>
      </c>
      <c r="D368" s="649"/>
      <c r="E368" s="649"/>
      <c r="F368" s="289"/>
      <c r="G368" s="289"/>
      <c r="H368" s="289"/>
      <c r="I368" s="684"/>
      <c r="J368"/>
      <c r="K368"/>
      <c r="L368"/>
      <c r="M368"/>
      <c r="N368"/>
      <c r="O368"/>
      <c r="P368"/>
      <c r="Q368"/>
      <c r="R368"/>
      <c r="S368"/>
      <c r="T368"/>
      <c r="U368"/>
      <c r="X368"/>
      <c r="AB368"/>
      <c r="AC368"/>
      <c r="AF368" s="327">
        <f t="shared" ref="AF368:AF375" si="36">IF(AND(S.AC.InvolveMeeting2="Y",S.AC.CommitteeInvolved="Y",S.AC.Presentation2="Y"),1,0)</f>
        <v>0</v>
      </c>
      <c r="AG368" s="34"/>
      <c r="AH368" s="34"/>
      <c r="AI368" s="34"/>
      <c r="AJ368" s="43"/>
      <c r="AK368" s="43"/>
      <c r="AL368" s="76"/>
    </row>
    <row r="369" spans="1:38" s="23" customFormat="1" ht="14.1" hidden="1" customHeight="1" outlineLevel="2" x14ac:dyDescent="0.2">
      <c r="A369" s="144"/>
      <c r="B369" s="387" t="s">
        <v>77</v>
      </c>
      <c r="C369" s="893" t="s">
        <v>0</v>
      </c>
      <c r="D369" s="290"/>
      <c r="E369" s="290"/>
      <c r="F369" s="286"/>
      <c r="G369" s="286"/>
      <c r="H369" s="286"/>
      <c r="I369" s="684"/>
      <c r="J369"/>
      <c r="K369"/>
      <c r="L369"/>
      <c r="M369"/>
      <c r="N369"/>
      <c r="O369"/>
      <c r="P369"/>
      <c r="Q369"/>
      <c r="R369"/>
      <c r="S369"/>
      <c r="T369"/>
      <c r="U369"/>
      <c r="X369"/>
      <c r="AB369"/>
      <c r="AC369"/>
      <c r="AF369" s="327">
        <f t="shared" si="36"/>
        <v>0</v>
      </c>
      <c r="AG369" s="34"/>
      <c r="AH369" s="34"/>
      <c r="AI369" s="47"/>
      <c r="AJ369" s="43"/>
      <c r="AK369" s="43"/>
      <c r="AL369" s="76"/>
    </row>
    <row r="370" spans="1:38" s="23" customFormat="1" ht="14.1" hidden="1" customHeight="1" outlineLevel="2" x14ac:dyDescent="0.2">
      <c r="A370" s="144"/>
      <c r="B370" s="388" t="str">
        <f>AK370</f>
        <v>* drafts optional AC.PRESENTATION.06.05.14</v>
      </c>
      <c r="C370" s="892" t="str">
        <f>HYPERLINK("http://deq05/intranet/communication/docs/DEQAgencyTemplate1.potx","i")</f>
        <v>i</v>
      </c>
      <c r="D370" s="322"/>
      <c r="E370" s="322"/>
      <c r="F370" s="220">
        <f>NETWORKDAYS(G370,H370,S.DDL_DEQClosed)</f>
        <v>1</v>
      </c>
      <c r="G370" s="288">
        <f>AG370</f>
        <v>41802</v>
      </c>
      <c r="H370" s="221">
        <f>AH370</f>
        <v>41802</v>
      </c>
      <c r="I370" s="684"/>
      <c r="J370"/>
      <c r="K370"/>
      <c r="L370"/>
      <c r="M370"/>
      <c r="N370"/>
      <c r="O370"/>
      <c r="P370"/>
      <c r="Q370"/>
      <c r="R370"/>
      <c r="S370"/>
      <c r="T370"/>
      <c r="U370"/>
      <c r="X370"/>
      <c r="AB370"/>
      <c r="AC370"/>
      <c r="AF370" s="327">
        <f t="shared" si="36"/>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x14ac:dyDescent="0.2">
      <c r="A371" s="144"/>
      <c r="B371" s="387" t="s">
        <v>77</v>
      </c>
      <c r="C371" s="893" t="s">
        <v>0</v>
      </c>
      <c r="D371" s="290"/>
      <c r="E371" s="290"/>
      <c r="F371" s="289"/>
      <c r="G371" s="289"/>
      <c r="H371" s="289"/>
      <c r="I371" s="684"/>
      <c r="J371"/>
      <c r="K371"/>
      <c r="L371"/>
      <c r="M371"/>
      <c r="N371"/>
      <c r="O371"/>
      <c r="P371"/>
      <c r="Q371"/>
      <c r="R371"/>
      <c r="S371"/>
      <c r="T371"/>
      <c r="U371"/>
      <c r="X371"/>
      <c r="AB371"/>
      <c r="AC371"/>
      <c r="AF371" s="327">
        <f t="shared" si="36"/>
        <v>0</v>
      </c>
      <c r="AG371" s="34"/>
      <c r="AH371" s="34"/>
      <c r="AI371" s="47"/>
      <c r="AJ371" s="43"/>
      <c r="AK371" s="43"/>
      <c r="AL371" s="76"/>
    </row>
    <row r="372" spans="1:38" s="23" customFormat="1" ht="14.1" hidden="1" customHeight="1" outlineLevel="2" x14ac:dyDescent="0.2">
      <c r="A372" s="144"/>
      <c r="B372" s="389" t="s">
        <v>111</v>
      </c>
      <c r="C372" s="893" t="s">
        <v>0</v>
      </c>
      <c r="D372" s="248"/>
      <c r="E372" s="248"/>
      <c r="F372" s="220">
        <f>NETWORKDAYS(G372,H372,S.DDL_DEQClosed)</f>
        <v>1</v>
      </c>
      <c r="G372" s="288">
        <f t="shared" ref="G372:H376" si="37">AG372</f>
        <v>41802</v>
      </c>
      <c r="H372" s="221">
        <f t="shared" si="37"/>
        <v>41802</v>
      </c>
      <c r="I372" s="684"/>
      <c r="J372"/>
      <c r="K372"/>
      <c r="L372"/>
      <c r="M372"/>
      <c r="N372"/>
      <c r="O372"/>
      <c r="P372"/>
      <c r="Q372"/>
      <c r="R372"/>
      <c r="S372"/>
      <c r="T372"/>
      <c r="U372"/>
      <c r="X372"/>
      <c r="AB372"/>
      <c r="AC372"/>
      <c r="AF372" s="327">
        <f t="shared" si="36"/>
        <v>0</v>
      </c>
      <c r="AG372" s="60">
        <f>G370</f>
        <v>41802</v>
      </c>
      <c r="AH372" s="60">
        <f>G372</f>
        <v>41802</v>
      </c>
      <c r="AI372" s="47"/>
      <c r="AJ372" s="43"/>
      <c r="AK372" s="43"/>
      <c r="AL372" s="76"/>
    </row>
    <row r="373" spans="1:38" s="23" customFormat="1" ht="14.1" hidden="1" customHeight="1" outlineLevel="2" x14ac:dyDescent="0.2">
      <c r="A373" s="144"/>
      <c r="B373" s="390" t="s">
        <v>144</v>
      </c>
      <c r="C373" s="893" t="s">
        <v>0</v>
      </c>
      <c r="D373" s="248"/>
      <c r="E373" s="248"/>
      <c r="F373" s="220">
        <f>NETWORKDAYS(G373,H373,S.DDL_DEQClosed)</f>
        <v>1</v>
      </c>
      <c r="G373" s="288">
        <f t="shared" si="37"/>
        <v>41802</v>
      </c>
      <c r="H373" s="221">
        <f t="shared" si="37"/>
        <v>41802</v>
      </c>
      <c r="I373" s="684"/>
      <c r="J373"/>
      <c r="K373"/>
      <c r="L373"/>
      <c r="M373"/>
      <c r="N373"/>
      <c r="O373"/>
      <c r="P373"/>
      <c r="Q373"/>
      <c r="R373"/>
      <c r="S373"/>
      <c r="T373"/>
      <c r="U373"/>
      <c r="X373"/>
      <c r="AB373"/>
      <c r="AC373"/>
      <c r="AF373" s="327">
        <f t="shared" si="36"/>
        <v>0</v>
      </c>
      <c r="AG373" s="60">
        <f>G372</f>
        <v>41802</v>
      </c>
      <c r="AH373" s="60">
        <f>G373</f>
        <v>41802</v>
      </c>
      <c r="AI373" s="47" t="s">
        <v>0</v>
      </c>
      <c r="AJ373" s="43"/>
      <c r="AK373" s="43"/>
      <c r="AL373" s="76"/>
    </row>
    <row r="374" spans="1:38" s="23" customFormat="1" ht="14.1" hidden="1" customHeight="1" outlineLevel="2" x14ac:dyDescent="0.2">
      <c r="A374" s="144"/>
      <c r="B374" s="391" t="str">
        <f>AK374</f>
        <v>Jill submits Web Request to post materials</v>
      </c>
      <c r="C374" s="894" t="str">
        <f>HYPERLINK("http://deq05/intranet/communication/WebRequests.htm","i")</f>
        <v>i</v>
      </c>
      <c r="D374" s="248"/>
      <c r="E374" s="248"/>
      <c r="F374" s="220">
        <f>NETWORKDAYS(G374,H374,S.DDL_DEQClosed)</f>
        <v>1</v>
      </c>
      <c r="G374" s="288">
        <f t="shared" si="37"/>
        <v>41802</v>
      </c>
      <c r="H374" s="221">
        <f t="shared" si="37"/>
        <v>41802</v>
      </c>
      <c r="I374" s="684"/>
      <c r="J374"/>
      <c r="K374"/>
      <c r="L374"/>
      <c r="M374"/>
      <c r="N374"/>
      <c r="O374"/>
      <c r="P374"/>
      <c r="Q374"/>
      <c r="R374"/>
      <c r="S374"/>
      <c r="T374"/>
      <c r="U374"/>
      <c r="X374"/>
      <c r="AB374"/>
      <c r="AC374"/>
      <c r="AF374" s="327">
        <f t="shared" si="36"/>
        <v>0</v>
      </c>
      <c r="AG374" s="60">
        <f>G373</f>
        <v>41802</v>
      </c>
      <c r="AH374" s="60">
        <f>G374</f>
        <v>41802</v>
      </c>
      <c r="AI374" s="47"/>
      <c r="AJ374" s="43"/>
      <c r="AK374" s="78" t="str">
        <f>S.Staff.Subject.Expert.FirstName&amp;" submits Web Request to post materials"</f>
        <v>Jill submits Web Request to post materials</v>
      </c>
      <c r="AL374" s="76"/>
    </row>
    <row r="375" spans="1:38" s="23" customFormat="1" ht="14.1" hidden="1" customHeight="1" outlineLevel="2" x14ac:dyDescent="0.2">
      <c r="A375" s="144"/>
      <c r="B375" s="390" t="s">
        <v>80</v>
      </c>
      <c r="C375" s="893" t="s">
        <v>0</v>
      </c>
      <c r="D375" s="248"/>
      <c r="E375" s="248"/>
      <c r="F375" s="220">
        <f>NETWORKDAYS(G375,H375,S.DDL_DEQClosed)</f>
        <v>1</v>
      </c>
      <c r="G375" s="288">
        <f t="shared" si="37"/>
        <v>41802</v>
      </c>
      <c r="H375" s="221">
        <f t="shared" si="37"/>
        <v>41802</v>
      </c>
      <c r="I375" s="684"/>
      <c r="J375"/>
      <c r="K375"/>
      <c r="L375"/>
      <c r="M375"/>
      <c r="N375"/>
      <c r="O375"/>
      <c r="P375"/>
      <c r="Q375"/>
      <c r="R375"/>
      <c r="S375"/>
      <c r="T375"/>
      <c r="U375"/>
      <c r="X375"/>
      <c r="AB375"/>
      <c r="AC375"/>
      <c r="AF375" s="327">
        <f t="shared" si="36"/>
        <v>0</v>
      </c>
      <c r="AG375" s="60">
        <f>G374</f>
        <v>41802</v>
      </c>
      <c r="AH375" s="60">
        <f>G375</f>
        <v>41802</v>
      </c>
      <c r="AI375" s="59"/>
      <c r="AJ375" s="59"/>
      <c r="AK375" s="43"/>
      <c r="AL375" s="76"/>
    </row>
    <row r="376" spans="1:38" s="23" customFormat="1" ht="14.1" hidden="1" customHeight="1" outlineLevel="2" x14ac:dyDescent="0.2">
      <c r="A376" s="144"/>
      <c r="B376" s="308" t="str">
        <f>AK376</f>
        <v>Jill sends meeting notice with link to Web page</v>
      </c>
      <c r="C376" s="893" t="s">
        <v>0</v>
      </c>
      <c r="D376" s="248"/>
      <c r="E376" s="248"/>
      <c r="F376" s="220">
        <f>NETWORKDAYS(G376,H376,S.DDL_DEQClosed)</f>
        <v>1</v>
      </c>
      <c r="G376" s="288">
        <f t="shared" si="37"/>
        <v>41802</v>
      </c>
      <c r="H376" s="221">
        <f t="shared" si="37"/>
        <v>41802</v>
      </c>
      <c r="I376" s="684"/>
      <c r="J376"/>
      <c r="K376"/>
      <c r="L376"/>
      <c r="M376"/>
      <c r="N376"/>
      <c r="O376"/>
      <c r="P376"/>
      <c r="Q376"/>
      <c r="R376"/>
      <c r="S376"/>
      <c r="T376"/>
      <c r="U376"/>
      <c r="X376"/>
      <c r="AB376"/>
      <c r="AC376"/>
      <c r="AF376" s="327">
        <f>IF(AND(S.AC.InvolveMeeting2="Y",S.AC.CommitteeInvolved="Y"),1,0)</f>
        <v>0</v>
      </c>
      <c r="AG376" s="60">
        <f>G375</f>
        <v>41802</v>
      </c>
      <c r="AH376" s="60">
        <f>G376</f>
        <v>41802</v>
      </c>
      <c r="AI376" s="59"/>
      <c r="AJ376" s="59"/>
      <c r="AK376" s="78" t="str">
        <f>S.Staff.Subject.Expert.FirstName&amp;" sends meeting notice with link to Web page"</f>
        <v>Jill sends meeting notice with link to Web page</v>
      </c>
      <c r="AL376" s="76"/>
    </row>
    <row r="377" spans="1:38" s="23" customFormat="1" ht="14.1" hidden="1" customHeight="1" outlineLevel="2" x14ac:dyDescent="0.2">
      <c r="A377" s="144"/>
      <c r="B377" s="362" t="s">
        <v>78</v>
      </c>
      <c r="C377" s="893" t="s">
        <v>0</v>
      </c>
      <c r="D377" s="962" t="s">
        <v>147</v>
      </c>
      <c r="E377" s="962"/>
      <c r="F377" s="962"/>
      <c r="G377" s="963"/>
      <c r="H377" s="228">
        <f>AH377</f>
        <v>41816</v>
      </c>
      <c r="I377" s="684"/>
      <c r="J377"/>
      <c r="K377"/>
      <c r="L377"/>
      <c r="M377"/>
      <c r="N377"/>
      <c r="O377"/>
      <c r="P377"/>
      <c r="Q377"/>
      <c r="R377"/>
      <c r="S377"/>
      <c r="T377"/>
      <c r="U377"/>
      <c r="X377"/>
      <c r="AB377"/>
      <c r="AC377"/>
      <c r="AF377" s="327">
        <f>IF(AND(S.AC.InvolveMeeting2="Y",S.AC.CommitteeInvolved="Y"),1,0)</f>
        <v>0</v>
      </c>
      <c r="AG377" s="59"/>
      <c r="AH377" s="60">
        <f>S.AC.DateMeeting2</f>
        <v>41816</v>
      </c>
      <c r="AI377" s="59"/>
      <c r="AJ377" s="59"/>
      <c r="AK377" s="43"/>
      <c r="AL377" s="76"/>
    </row>
    <row r="378" spans="1:38" s="23" customFormat="1" ht="14.1" hidden="1" customHeight="1" outlineLevel="2" x14ac:dyDescent="0.2">
      <c r="A378" s="144"/>
      <c r="B378" s="308" t="str">
        <f>AK378</f>
        <v>Jill drafts AC.MINUTES 06.05.14</v>
      </c>
      <c r="C378" s="892" t="str">
        <f>HYPERLINK("\\deq000\templates\General\Minutes Template.dotx","i")</f>
        <v>i</v>
      </c>
      <c r="D378" s="322"/>
      <c r="E378" s="322"/>
      <c r="F378" s="220">
        <f>NETWORKDAYS(G378,H378,S.DDL_DEQClosed)</f>
        <v>1</v>
      </c>
      <c r="G378" s="288">
        <f>AG378</f>
        <v>41816</v>
      </c>
      <c r="H378" s="221">
        <f>AH378</f>
        <v>41816</v>
      </c>
      <c r="I378" s="684"/>
      <c r="J378"/>
      <c r="K378"/>
      <c r="L378"/>
      <c r="M378"/>
      <c r="N378"/>
      <c r="O378"/>
      <c r="P378"/>
      <c r="Q378"/>
      <c r="R378"/>
      <c r="S378"/>
      <c r="T378"/>
      <c r="U378"/>
      <c r="X378"/>
      <c r="AB378"/>
      <c r="AC378"/>
      <c r="AF378" s="327">
        <f>IF(AND(S.AC.InvolveMeeting2="Y",S.AC.CommitteeInvolved="Y"),1,0)</f>
        <v>0</v>
      </c>
      <c r="AG378" s="60">
        <f>S.AC.DateMeeting2</f>
        <v>41816</v>
      </c>
      <c r="AH378" s="60">
        <f>G378</f>
        <v>41816</v>
      </c>
      <c r="AI378" s="59"/>
      <c r="AJ378" s="59"/>
      <c r="AK378" s="67" t="str">
        <f>S.Staff.Subject.Expert.FirstName&amp;" drafts AC.MINUTES "&amp;TEXT(S.AC.DateMeeting1,"mm.dd.yy")</f>
        <v>Jill drafts AC.MINUTES 06.05.14</v>
      </c>
      <c r="AL378" s="76"/>
    </row>
    <row r="379" spans="1:38" s="23" customFormat="1" ht="14.1" hidden="1" customHeight="1" outlineLevel="2" thickBot="1" x14ac:dyDescent="0.25">
      <c r="A379" s="144"/>
      <c r="B379" s="362" t="s">
        <v>79</v>
      </c>
      <c r="C379" s="893" t="s">
        <v>0</v>
      </c>
      <c r="D379" s="248"/>
      <c r="E379" s="248"/>
      <c r="F379" s="220">
        <f>NETWORKDAYS(G379,H379,S.DDL_DEQClosed)</f>
        <v>1</v>
      </c>
      <c r="G379" s="288">
        <f>AG379</f>
        <v>41816</v>
      </c>
      <c r="H379" s="221">
        <f>AH379</f>
        <v>41816</v>
      </c>
      <c r="I379" s="684"/>
      <c r="J379"/>
      <c r="K379"/>
      <c r="L379"/>
      <c r="M379"/>
      <c r="N379"/>
      <c r="O379"/>
      <c r="P379"/>
      <c r="Q379"/>
      <c r="R379"/>
      <c r="S379"/>
      <c r="T379"/>
      <c r="U379"/>
      <c r="X379"/>
      <c r="AB379"/>
      <c r="AC379"/>
      <c r="AF379" s="327">
        <f>IF(AND(S.AC.InvolveMeeting2="Y",S.AC.CommitteeInvolved="Y"),1,0)</f>
        <v>0</v>
      </c>
      <c r="AG379" s="60">
        <f>S.AC.DateMeeting2</f>
        <v>41816</v>
      </c>
      <c r="AH379" s="60">
        <f>G379</f>
        <v>41816</v>
      </c>
      <c r="AI379" s="59"/>
      <c r="AJ379" s="59"/>
      <c r="AK379" s="43"/>
      <c r="AL379" s="76"/>
    </row>
    <row r="380" spans="1:38" s="23" customFormat="1" ht="14.1" hidden="1" customHeight="1" outlineLevel="1" thickBot="1" x14ac:dyDescent="0.25">
      <c r="A380" s="144"/>
      <c r="B380" s="333" t="s">
        <v>22</v>
      </c>
      <c r="C380" s="478" t="s">
        <v>134</v>
      </c>
      <c r="D380" s="650"/>
      <c r="E380" s="650"/>
      <c r="F380" s="271"/>
      <c r="G380" s="217">
        <v>41850</v>
      </c>
      <c r="H380" s="219" t="s">
        <v>647</v>
      </c>
      <c r="I380" s="684"/>
      <c r="J380"/>
      <c r="K380"/>
      <c r="L380"/>
      <c r="M380"/>
      <c r="N380"/>
      <c r="O380"/>
      <c r="P380"/>
      <c r="Q380"/>
      <c r="R380"/>
      <c r="S380"/>
      <c r="T380"/>
      <c r="U380"/>
      <c r="X380"/>
      <c r="AB380"/>
      <c r="AC380"/>
      <c r="AF380" s="327">
        <f t="shared" ref="AF380:AF390" si="38">IF(AND(S.AC.InvolveMeeting3="Y",S.AC.CommitteeInvolved="Y"),1,0)</f>
        <v>0</v>
      </c>
      <c r="AG380" s="60">
        <f>S.AC.DateMeeting2</f>
        <v>41816</v>
      </c>
      <c r="AH380" s="34" t="s">
        <v>0</v>
      </c>
      <c r="AI380" s="59"/>
      <c r="AJ380" s="59"/>
      <c r="AK380" s="43"/>
      <c r="AL380" s="76"/>
    </row>
    <row r="381" spans="1:38" s="23" customFormat="1" ht="14.1" hidden="1" customHeight="1" outlineLevel="2" x14ac:dyDescent="0.2">
      <c r="A381" s="144"/>
      <c r="B381" s="359" t="s">
        <v>75</v>
      </c>
      <c r="C381" s="891"/>
      <c r="D381" s="248"/>
      <c r="E381" s="248"/>
      <c r="F381" s="220">
        <f>NETWORKDAYS(G381,H381,S.DDL_DEQClosed)</f>
        <v>1</v>
      </c>
      <c r="G381" s="288">
        <f>AG381</f>
        <v>41836</v>
      </c>
      <c r="H381" s="221">
        <f>AH381</f>
        <v>41836</v>
      </c>
      <c r="I381" s="684"/>
      <c r="J381"/>
      <c r="K381"/>
      <c r="L381"/>
      <c r="M381"/>
      <c r="N381"/>
      <c r="O381"/>
      <c r="P381"/>
      <c r="Q381"/>
      <c r="R381"/>
      <c r="S381"/>
      <c r="T381"/>
      <c r="U381"/>
      <c r="X381"/>
      <c r="AB381"/>
      <c r="AC381"/>
      <c r="AF381" s="327">
        <f t="shared" si="38"/>
        <v>0</v>
      </c>
      <c r="AG381" s="60">
        <f>WORKDAY(S.AC.DateMeeting3-13,-1,S.DDL_DEQClosed)</f>
        <v>41836</v>
      </c>
      <c r="AH381" s="60">
        <f>G381</f>
        <v>41836</v>
      </c>
      <c r="AI381" s="47"/>
      <c r="AJ381" s="43"/>
      <c r="AK381" s="34"/>
      <c r="AL381" s="76"/>
    </row>
    <row r="382" spans="1:38" s="23" customFormat="1" ht="14.1" hidden="1" customHeight="1" outlineLevel="2" x14ac:dyDescent="0.2">
      <c r="A382" s="144"/>
      <c r="B382" s="249" t="str">
        <f>AK382</f>
        <v>Jill coordinates or drafts:</v>
      </c>
      <c r="C382" s="891"/>
      <c r="D382" s="647"/>
      <c r="E382" s="647"/>
      <c r="F382" s="227"/>
      <c r="G382" s="223"/>
      <c r="H382" s="265"/>
      <c r="I382" s="684"/>
      <c r="J382"/>
      <c r="K382"/>
      <c r="L382"/>
      <c r="M382"/>
      <c r="N382"/>
      <c r="O382"/>
      <c r="P382"/>
      <c r="Q382"/>
      <c r="R382"/>
      <c r="S382"/>
      <c r="T382"/>
      <c r="U382"/>
      <c r="X382"/>
      <c r="AB382"/>
      <c r="AC382"/>
      <c r="AF382" s="327">
        <f t="shared" si="38"/>
        <v>0</v>
      </c>
      <c r="AG382" s="47"/>
      <c r="AH382" s="58"/>
      <c r="AI382" s="58"/>
      <c r="AJ382" s="43"/>
      <c r="AK382" s="67" t="str">
        <f>S.Staff.Subject.Expert.FirstName&amp;" coordinates or drafts:"</f>
        <v>Jill coordinates or drafts:</v>
      </c>
      <c r="AL382" s="76"/>
    </row>
    <row r="383" spans="1:38" s="23" customFormat="1" ht="14.1" hidden="1" customHeight="1" outlineLevel="2" x14ac:dyDescent="0.2">
      <c r="A383" s="144"/>
      <c r="B383" s="281" t="str">
        <f>AK383</f>
        <v>* AC.AGENDA.06.05.14, gets team agreement</v>
      </c>
      <c r="C383" s="892" t="str">
        <f>HYPERLINK("\\deq000\templates\General\Agenda Template.dotx","i")</f>
        <v>i</v>
      </c>
      <c r="D383" s="322"/>
      <c r="E383" s="322"/>
      <c r="F383" s="220">
        <f t="shared" ref="F383:F390" si="39">NETWORKDAYS(G383,H383,S.DDL_DEQClosed)</f>
        <v>1</v>
      </c>
      <c r="G383" s="288">
        <f t="shared" ref="G383:H390" si="40">AG383</f>
        <v>41836</v>
      </c>
      <c r="H383" s="221">
        <f t="shared" si="40"/>
        <v>41836</v>
      </c>
      <c r="I383" s="684"/>
      <c r="J383"/>
      <c r="K383"/>
      <c r="L383"/>
      <c r="M383"/>
      <c r="N383"/>
      <c r="O383"/>
      <c r="P383"/>
      <c r="Q383"/>
      <c r="R383"/>
      <c r="S383"/>
      <c r="T383"/>
      <c r="U383"/>
      <c r="X383"/>
      <c r="AB383"/>
      <c r="AC383"/>
      <c r="AF383" s="327">
        <f t="shared" si="38"/>
        <v>0</v>
      </c>
      <c r="AG383" s="60">
        <f>G381</f>
        <v>41836</v>
      </c>
      <c r="AH383" s="60">
        <f t="shared" ref="AH383:AH390" si="41">G383</f>
        <v>41836</v>
      </c>
      <c r="AI383" s="59"/>
      <c r="AJ383" s="61"/>
      <c r="AK383" s="67" t="str">
        <f>"* AC.AGENDA."&amp; TEXT(S.AC.DateMeeting1,"mm.dd.yy")&amp;", gets team agreement"</f>
        <v>* AC.AGENDA.06.05.14, gets team agreement</v>
      </c>
      <c r="AL383" s="76"/>
    </row>
    <row r="384" spans="1:38" s="23" customFormat="1" ht="14.1" hidden="1" customHeight="1" outlineLevel="2" x14ac:dyDescent="0.2">
      <c r="A384" s="144"/>
      <c r="B384" s="281" t="str">
        <f>AK384</f>
        <v>* AC.NOTIFICATION.06.05.14</v>
      </c>
      <c r="C384" s="893" t="s">
        <v>0</v>
      </c>
      <c r="D384" s="248"/>
      <c r="E384" s="248"/>
      <c r="F384" s="220">
        <f t="shared" si="39"/>
        <v>1</v>
      </c>
      <c r="G384" s="288">
        <f t="shared" si="40"/>
        <v>41836</v>
      </c>
      <c r="H384" s="221">
        <f t="shared" si="40"/>
        <v>41836</v>
      </c>
      <c r="I384" s="684"/>
      <c r="J384"/>
      <c r="K384"/>
      <c r="L384"/>
      <c r="M384"/>
      <c r="N384"/>
      <c r="O384"/>
      <c r="P384"/>
      <c r="Q384"/>
      <c r="R384"/>
      <c r="S384"/>
      <c r="T384"/>
      <c r="U384"/>
      <c r="X384"/>
      <c r="AB384"/>
      <c r="AC384"/>
      <c r="AF384" s="327">
        <f t="shared" si="38"/>
        <v>0</v>
      </c>
      <c r="AG384" s="60">
        <f t="shared" ref="AG384:AG390" si="42">G383</f>
        <v>41836</v>
      </c>
      <c r="AH384" s="60">
        <f t="shared" si="41"/>
        <v>41836</v>
      </c>
      <c r="AI384" s="59"/>
      <c r="AJ384" s="59"/>
      <c r="AK384" s="67" t="str">
        <f>"* AC.NOTIFICATION."&amp;TEXT(S.AC.DateMeeting1,"mm.dd.yy")</f>
        <v>* AC.NOTIFICATION.06.05.14</v>
      </c>
      <c r="AL384" s="76"/>
    </row>
    <row r="385" spans="1:38" s="23" customFormat="1" ht="14.1" hidden="1" customHeight="1" outlineLevel="2" x14ac:dyDescent="0.2">
      <c r="A385" s="144"/>
      <c r="B385" s="285" t="s">
        <v>143</v>
      </c>
      <c r="C385" s="892" t="str">
        <f>HYPERLINK("http://deq05/intranet/contentmanagement/login.asp","i")</f>
        <v>i</v>
      </c>
      <c r="D385" s="648"/>
      <c r="E385" s="648"/>
      <c r="F385" s="220">
        <f t="shared" si="39"/>
        <v>1</v>
      </c>
      <c r="G385" s="288">
        <f t="shared" si="40"/>
        <v>41836</v>
      </c>
      <c r="H385" s="221">
        <f t="shared" si="40"/>
        <v>41836</v>
      </c>
      <c r="I385" s="684"/>
      <c r="J385"/>
      <c r="K385"/>
      <c r="L385"/>
      <c r="M385"/>
      <c r="N385"/>
      <c r="O385"/>
      <c r="P385"/>
      <c r="Q385"/>
      <c r="R385"/>
      <c r="S385"/>
      <c r="T385"/>
      <c r="U385"/>
      <c r="X385"/>
      <c r="AB385"/>
      <c r="AC385"/>
      <c r="AF385" s="327">
        <f t="shared" si="38"/>
        <v>0</v>
      </c>
      <c r="AG385" s="60">
        <f t="shared" si="42"/>
        <v>41836</v>
      </c>
      <c r="AH385" s="60">
        <f t="shared" si="41"/>
        <v>41836</v>
      </c>
      <c r="AI385" s="47"/>
      <c r="AJ385" s="43"/>
      <c r="AK385" s="43"/>
      <c r="AL385" s="76"/>
    </row>
    <row r="386" spans="1:38" s="23" customFormat="1" ht="14.1" hidden="1" customHeight="1" outlineLevel="2" x14ac:dyDescent="0.2">
      <c r="A386" s="144"/>
      <c r="B386" s="263" t="s">
        <v>112</v>
      </c>
      <c r="C386" s="893" t="s">
        <v>0</v>
      </c>
      <c r="D386" s="248"/>
      <c r="E386" s="248"/>
      <c r="F386" s="220">
        <f t="shared" si="39"/>
        <v>1</v>
      </c>
      <c r="G386" s="288">
        <f t="shared" si="40"/>
        <v>41836</v>
      </c>
      <c r="H386" s="221">
        <f t="shared" si="40"/>
        <v>41836</v>
      </c>
      <c r="I386" s="684"/>
      <c r="J386"/>
      <c r="K386"/>
      <c r="L386"/>
      <c r="M386"/>
      <c r="N386"/>
      <c r="O386"/>
      <c r="P386"/>
      <c r="Q386"/>
      <c r="R386"/>
      <c r="S386"/>
      <c r="T386"/>
      <c r="U386"/>
      <c r="X386"/>
      <c r="AB386"/>
      <c r="AC386"/>
      <c r="AF386" s="327">
        <f t="shared" si="38"/>
        <v>0</v>
      </c>
      <c r="AG386" s="60">
        <f t="shared" si="42"/>
        <v>41836</v>
      </c>
      <c r="AH386" s="60">
        <f t="shared" si="41"/>
        <v>41836</v>
      </c>
      <c r="AI386" s="47"/>
      <c r="AJ386" s="43"/>
      <c r="AK386" s="43"/>
      <c r="AL386" s="76"/>
    </row>
    <row r="387" spans="1:38" s="23" customFormat="1" ht="14.1" hidden="1" customHeight="1" outlineLevel="2" x14ac:dyDescent="0.2">
      <c r="A387" s="144"/>
      <c r="B387" s="361" t="s">
        <v>76</v>
      </c>
      <c r="C387" s="893" t="s">
        <v>0</v>
      </c>
      <c r="D387" s="248"/>
      <c r="E387" s="248"/>
      <c r="F387" s="220">
        <f t="shared" si="39"/>
        <v>1</v>
      </c>
      <c r="G387" s="288">
        <f t="shared" si="40"/>
        <v>41836</v>
      </c>
      <c r="H387" s="221">
        <f t="shared" si="40"/>
        <v>41836</v>
      </c>
      <c r="I387" s="684"/>
      <c r="J387"/>
      <c r="K387"/>
      <c r="L387"/>
      <c r="M387"/>
      <c r="N387"/>
      <c r="O387"/>
      <c r="P387"/>
      <c r="Q387"/>
      <c r="R387"/>
      <c r="S387"/>
      <c r="T387"/>
      <c r="U387"/>
      <c r="X387"/>
      <c r="AB387"/>
      <c r="AC387"/>
      <c r="AF387" s="327">
        <f t="shared" si="38"/>
        <v>0</v>
      </c>
      <c r="AG387" s="60">
        <f t="shared" si="42"/>
        <v>41836</v>
      </c>
      <c r="AH387" s="60">
        <f t="shared" si="41"/>
        <v>41836</v>
      </c>
      <c r="AI387" s="47"/>
      <c r="AJ387" s="43"/>
      <c r="AK387" s="43"/>
      <c r="AL387" s="76"/>
    </row>
    <row r="388" spans="1:38" s="23" customFormat="1" ht="14.1" hidden="1" customHeight="1" outlineLevel="2" x14ac:dyDescent="0.2">
      <c r="A388" s="144"/>
      <c r="B388" s="361" t="s">
        <v>76</v>
      </c>
      <c r="C388" s="893" t="s">
        <v>0</v>
      </c>
      <c r="D388" s="248"/>
      <c r="E388" s="248"/>
      <c r="F388" s="220">
        <f t="shared" si="39"/>
        <v>1</v>
      </c>
      <c r="G388" s="288">
        <f t="shared" si="40"/>
        <v>41836</v>
      </c>
      <c r="H388" s="221">
        <f t="shared" si="40"/>
        <v>41836</v>
      </c>
      <c r="I388" s="684"/>
      <c r="J388"/>
      <c r="K388"/>
      <c r="L388"/>
      <c r="M388"/>
      <c r="N388"/>
      <c r="O388"/>
      <c r="P388"/>
      <c r="Q388"/>
      <c r="R388"/>
      <c r="S388"/>
      <c r="T388"/>
      <c r="U388"/>
      <c r="X388"/>
      <c r="AB388"/>
      <c r="AC388"/>
      <c r="AF388" s="327">
        <f t="shared" si="38"/>
        <v>0</v>
      </c>
      <c r="AG388" s="60">
        <f t="shared" si="42"/>
        <v>41836</v>
      </c>
      <c r="AH388" s="60">
        <f t="shared" si="41"/>
        <v>41836</v>
      </c>
      <c r="AI388" s="47"/>
      <c r="AJ388" s="43"/>
      <c r="AK388" s="43"/>
      <c r="AL388" s="76"/>
    </row>
    <row r="389" spans="1:38" s="23" customFormat="1" ht="14.1" hidden="1" customHeight="1" outlineLevel="2" x14ac:dyDescent="0.2">
      <c r="A389" s="144"/>
      <c r="B389" s="361" t="s">
        <v>76</v>
      </c>
      <c r="C389" s="893" t="s">
        <v>0</v>
      </c>
      <c r="D389" s="248"/>
      <c r="E389" s="248"/>
      <c r="F389" s="220">
        <f t="shared" si="39"/>
        <v>1</v>
      </c>
      <c r="G389" s="288">
        <f t="shared" si="40"/>
        <v>41836</v>
      </c>
      <c r="H389" s="221">
        <f t="shared" si="40"/>
        <v>41836</v>
      </c>
      <c r="I389" s="684"/>
      <c r="J389"/>
      <c r="K389"/>
      <c r="L389"/>
      <c r="M389"/>
      <c r="N389"/>
      <c r="O389"/>
      <c r="P389"/>
      <c r="Q389"/>
      <c r="R389"/>
      <c r="S389"/>
      <c r="T389"/>
      <c r="U389"/>
      <c r="X389"/>
      <c r="AB389"/>
      <c r="AC389"/>
      <c r="AF389" s="327">
        <f t="shared" si="38"/>
        <v>0</v>
      </c>
      <c r="AG389" s="60">
        <f t="shared" si="42"/>
        <v>41836</v>
      </c>
      <c r="AH389" s="60">
        <f t="shared" si="41"/>
        <v>41836</v>
      </c>
      <c r="AI389" s="47"/>
      <c r="AJ389" s="43"/>
      <c r="AK389" s="43"/>
      <c r="AL389" s="76"/>
    </row>
    <row r="390" spans="1:38" s="23" customFormat="1" ht="14.1" hidden="1" customHeight="1" outlineLevel="2" thickBot="1" x14ac:dyDescent="0.25">
      <c r="A390" s="144"/>
      <c r="B390" s="361" t="s">
        <v>76</v>
      </c>
      <c r="C390" s="893" t="s">
        <v>0</v>
      </c>
      <c r="D390" s="248"/>
      <c r="E390" s="248"/>
      <c r="F390" s="220">
        <f t="shared" si="39"/>
        <v>1</v>
      </c>
      <c r="G390" s="288">
        <f t="shared" si="40"/>
        <v>41836</v>
      </c>
      <c r="H390" s="221">
        <f t="shared" si="40"/>
        <v>41836</v>
      </c>
      <c r="I390" s="684"/>
      <c r="J390"/>
      <c r="K390"/>
      <c r="L390"/>
      <c r="M390"/>
      <c r="N390"/>
      <c r="O390"/>
      <c r="P390"/>
      <c r="Q390"/>
      <c r="R390"/>
      <c r="S390"/>
      <c r="T390"/>
      <c r="U390"/>
      <c r="X390"/>
      <c r="AB390"/>
      <c r="AC390"/>
      <c r="AF390" s="327">
        <f t="shared" si="38"/>
        <v>0</v>
      </c>
      <c r="AG390" s="60">
        <f t="shared" si="42"/>
        <v>41836</v>
      </c>
      <c r="AH390" s="60">
        <f t="shared" si="41"/>
        <v>41836</v>
      </c>
      <c r="AI390" s="47"/>
      <c r="AJ390" s="43"/>
      <c r="AK390" s="43"/>
      <c r="AL390" s="76"/>
    </row>
    <row r="391" spans="1:38" s="23" customFormat="1" ht="14.1" hidden="1" customHeight="1" outlineLevel="2" thickBot="1" x14ac:dyDescent="0.25">
      <c r="A391" s="144"/>
      <c r="B391" s="386" t="s">
        <v>97</v>
      </c>
      <c r="C391" s="478" t="s">
        <v>16</v>
      </c>
      <c r="D391" s="649"/>
      <c r="E391" s="649"/>
      <c r="F391" s="289"/>
      <c r="G391" s="289"/>
      <c r="H391" s="289"/>
      <c r="I391" s="684"/>
      <c r="J391"/>
      <c r="K391"/>
      <c r="L391"/>
      <c r="M391"/>
      <c r="N391"/>
      <c r="O391"/>
      <c r="P391"/>
      <c r="Q391"/>
      <c r="R391"/>
      <c r="S391"/>
      <c r="T391"/>
      <c r="U391"/>
      <c r="X391"/>
      <c r="AB391"/>
      <c r="AC391"/>
      <c r="AF391" s="327">
        <f t="shared" ref="AF391:AF398" si="43">IF(AND(S.AC.InvolveMeeting3="Y",S.AC.CommitteeInvolved="Y",S.AC.Presentation3="Y"),1,0)</f>
        <v>0</v>
      </c>
      <c r="AG391" s="34"/>
      <c r="AH391" s="34"/>
      <c r="AI391" s="34"/>
      <c r="AJ391" s="43"/>
      <c r="AK391" s="43"/>
      <c r="AL391" s="76"/>
    </row>
    <row r="392" spans="1:38" s="23" customFormat="1" ht="14.1" hidden="1" customHeight="1" outlineLevel="2" x14ac:dyDescent="0.2">
      <c r="A392" s="144"/>
      <c r="B392" s="387" t="s">
        <v>77</v>
      </c>
      <c r="C392" s="893" t="s">
        <v>0</v>
      </c>
      <c r="D392" s="290"/>
      <c r="E392" s="290"/>
      <c r="F392" s="286"/>
      <c r="G392" s="286"/>
      <c r="H392" s="286"/>
      <c r="I392" s="684"/>
      <c r="J392"/>
      <c r="K392"/>
      <c r="L392"/>
      <c r="M392"/>
      <c r="N392"/>
      <c r="O392"/>
      <c r="P392"/>
      <c r="Q392"/>
      <c r="R392"/>
      <c r="S392"/>
      <c r="T392"/>
      <c r="U392"/>
      <c r="X392"/>
      <c r="AB392"/>
      <c r="AC392"/>
      <c r="AF392" s="327">
        <f t="shared" si="43"/>
        <v>0</v>
      </c>
      <c r="AG392" s="34"/>
      <c r="AH392" s="34"/>
      <c r="AI392" s="47"/>
      <c r="AJ392" s="43"/>
      <c r="AK392" s="43"/>
      <c r="AL392" s="76"/>
    </row>
    <row r="393" spans="1:38" s="23" customFormat="1" ht="14.1" hidden="1" customHeight="1" outlineLevel="2" x14ac:dyDescent="0.2">
      <c r="A393" s="144"/>
      <c r="B393" s="388" t="str">
        <f>AK393</f>
        <v>* drafts optional AC.PRESENTATION.06.05.14</v>
      </c>
      <c r="C393" s="892" t="str">
        <f>HYPERLINK("http://deq05/intranet/communication/docs/DEQAgencyTemplate1.potx","i")</f>
        <v>i</v>
      </c>
      <c r="D393" s="322"/>
      <c r="E393" s="322"/>
      <c r="F393" s="220">
        <f>NETWORKDAYS(G393,H393,S.DDL_DEQClosed)</f>
        <v>1</v>
      </c>
      <c r="G393" s="288">
        <f>AG393</f>
        <v>41836</v>
      </c>
      <c r="H393" s="221">
        <f>AH393</f>
        <v>41836</v>
      </c>
      <c r="I393" s="684"/>
      <c r="J393"/>
      <c r="K393"/>
      <c r="L393"/>
      <c r="M393"/>
      <c r="N393"/>
      <c r="O393"/>
      <c r="P393"/>
      <c r="Q393"/>
      <c r="R393"/>
      <c r="S393"/>
      <c r="T393"/>
      <c r="U393"/>
      <c r="X393"/>
      <c r="AB393"/>
      <c r="AC393"/>
      <c r="AF393" s="327">
        <f t="shared" si="43"/>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x14ac:dyDescent="0.2">
      <c r="A394" s="144"/>
      <c r="B394" s="387" t="s">
        <v>77</v>
      </c>
      <c r="C394" s="893" t="s">
        <v>0</v>
      </c>
      <c r="D394" s="290"/>
      <c r="E394" s="290"/>
      <c r="F394" s="289"/>
      <c r="G394" s="289"/>
      <c r="H394" s="289"/>
      <c r="I394" s="684"/>
      <c r="J394"/>
      <c r="K394"/>
      <c r="L394"/>
      <c r="M394"/>
      <c r="N394"/>
      <c r="O394"/>
      <c r="P394"/>
      <c r="Q394"/>
      <c r="R394"/>
      <c r="S394"/>
      <c r="T394"/>
      <c r="U394"/>
      <c r="X394"/>
      <c r="AB394"/>
      <c r="AC394"/>
      <c r="AF394" s="327">
        <f t="shared" si="43"/>
        <v>0</v>
      </c>
      <c r="AG394" s="34"/>
      <c r="AH394" s="34"/>
      <c r="AI394" s="47"/>
      <c r="AJ394" s="43"/>
      <c r="AK394" s="43"/>
      <c r="AL394" s="76"/>
    </row>
    <row r="395" spans="1:38" s="23" customFormat="1" ht="14.1" hidden="1" customHeight="1" outlineLevel="2" x14ac:dyDescent="0.2">
      <c r="A395" s="144"/>
      <c r="B395" s="389" t="s">
        <v>111</v>
      </c>
      <c r="C395" s="893" t="s">
        <v>0</v>
      </c>
      <c r="D395" s="248"/>
      <c r="E395" s="248"/>
      <c r="F395" s="220">
        <f>NETWORKDAYS(G395,H395,S.DDL_DEQClosed)</f>
        <v>1</v>
      </c>
      <c r="G395" s="288">
        <f t="shared" ref="G395:H399" si="44">AG395</f>
        <v>41836</v>
      </c>
      <c r="H395" s="221">
        <f t="shared" si="44"/>
        <v>41836</v>
      </c>
      <c r="I395" s="684"/>
      <c r="J395"/>
      <c r="K395"/>
      <c r="L395"/>
      <c r="M395"/>
      <c r="N395"/>
      <c r="O395"/>
      <c r="P395"/>
      <c r="Q395"/>
      <c r="R395"/>
      <c r="S395"/>
      <c r="T395"/>
      <c r="U395"/>
      <c r="X395"/>
      <c r="AB395"/>
      <c r="AC395"/>
      <c r="AF395" s="327">
        <f t="shared" si="43"/>
        <v>0</v>
      </c>
      <c r="AG395" s="60">
        <f>G393</f>
        <v>41836</v>
      </c>
      <c r="AH395" s="60">
        <f>G395</f>
        <v>41836</v>
      </c>
      <c r="AI395" s="47"/>
      <c r="AJ395" s="43"/>
      <c r="AK395" s="43"/>
      <c r="AL395" s="76"/>
    </row>
    <row r="396" spans="1:38" s="23" customFormat="1" ht="14.1" hidden="1" customHeight="1" outlineLevel="2" x14ac:dyDescent="0.2">
      <c r="A396" s="144"/>
      <c r="B396" s="390" t="s">
        <v>144</v>
      </c>
      <c r="C396" s="893" t="s">
        <v>0</v>
      </c>
      <c r="D396" s="248"/>
      <c r="E396" s="248"/>
      <c r="F396" s="220">
        <f>NETWORKDAYS(G396,H396,S.DDL_DEQClosed)</f>
        <v>1</v>
      </c>
      <c r="G396" s="288">
        <f t="shared" si="44"/>
        <v>41836</v>
      </c>
      <c r="H396" s="221">
        <f t="shared" si="44"/>
        <v>41836</v>
      </c>
      <c r="I396" s="684"/>
      <c r="J396"/>
      <c r="K396"/>
      <c r="L396"/>
      <c r="M396"/>
      <c r="N396"/>
      <c r="O396"/>
      <c r="P396"/>
      <c r="Q396"/>
      <c r="R396"/>
      <c r="S396"/>
      <c r="T396"/>
      <c r="U396"/>
      <c r="X396"/>
      <c r="AB396"/>
      <c r="AC396"/>
      <c r="AF396" s="327">
        <f t="shared" si="43"/>
        <v>0</v>
      </c>
      <c r="AG396" s="60">
        <f>G395</f>
        <v>41836</v>
      </c>
      <c r="AH396" s="60">
        <f>G396</f>
        <v>41836</v>
      </c>
      <c r="AI396" s="47" t="s">
        <v>0</v>
      </c>
      <c r="AJ396" s="43"/>
      <c r="AK396" s="43"/>
      <c r="AL396" s="76"/>
    </row>
    <row r="397" spans="1:38" s="23" customFormat="1" ht="14.1" hidden="1" customHeight="1" outlineLevel="2" x14ac:dyDescent="0.2">
      <c r="A397" s="144"/>
      <c r="B397" s="391" t="str">
        <f>AK397</f>
        <v>Jill submits Web Request to post materials</v>
      </c>
      <c r="C397" s="894" t="str">
        <f>HYPERLINK("http://deq05/intranet/communication/WebRequests.htm","i")</f>
        <v>i</v>
      </c>
      <c r="D397" s="248"/>
      <c r="E397" s="248"/>
      <c r="F397" s="220">
        <f>NETWORKDAYS(G397,H397,S.DDL_DEQClosed)</f>
        <v>1</v>
      </c>
      <c r="G397" s="288">
        <f t="shared" si="44"/>
        <v>41836</v>
      </c>
      <c r="H397" s="221">
        <f t="shared" si="44"/>
        <v>41836</v>
      </c>
      <c r="I397" s="684"/>
      <c r="J397"/>
      <c r="K397"/>
      <c r="L397"/>
      <c r="M397"/>
      <c r="N397"/>
      <c r="O397"/>
      <c r="P397"/>
      <c r="Q397"/>
      <c r="R397"/>
      <c r="S397"/>
      <c r="T397"/>
      <c r="U397"/>
      <c r="X397"/>
      <c r="AB397"/>
      <c r="AC397"/>
      <c r="AF397" s="327">
        <f t="shared" si="43"/>
        <v>0</v>
      </c>
      <c r="AG397" s="60">
        <f>G396</f>
        <v>41836</v>
      </c>
      <c r="AH397" s="60">
        <f>G397</f>
        <v>41836</v>
      </c>
      <c r="AI397" s="47"/>
      <c r="AJ397" s="43"/>
      <c r="AK397" s="78" t="str">
        <f>S.Staff.Subject.Expert.FirstName&amp;" submits Web Request to post materials"</f>
        <v>Jill submits Web Request to post materials</v>
      </c>
      <c r="AL397" s="76"/>
    </row>
    <row r="398" spans="1:38" s="23" customFormat="1" ht="14.1" hidden="1" customHeight="1" outlineLevel="2" x14ac:dyDescent="0.2">
      <c r="A398" s="144"/>
      <c r="B398" s="390" t="s">
        <v>80</v>
      </c>
      <c r="C398" s="893" t="s">
        <v>0</v>
      </c>
      <c r="D398" s="248"/>
      <c r="E398" s="248"/>
      <c r="F398" s="220">
        <f>NETWORKDAYS(G398,H398,S.DDL_DEQClosed)</f>
        <v>1</v>
      </c>
      <c r="G398" s="288">
        <f t="shared" si="44"/>
        <v>41836</v>
      </c>
      <c r="H398" s="221">
        <f t="shared" si="44"/>
        <v>41836</v>
      </c>
      <c r="I398" s="684"/>
      <c r="J398"/>
      <c r="K398"/>
      <c r="L398"/>
      <c r="M398"/>
      <c r="N398"/>
      <c r="O398"/>
      <c r="P398"/>
      <c r="Q398"/>
      <c r="R398"/>
      <c r="S398"/>
      <c r="T398"/>
      <c r="U398"/>
      <c r="X398"/>
      <c r="AB398"/>
      <c r="AC398"/>
      <c r="AF398" s="327">
        <f t="shared" si="43"/>
        <v>0</v>
      </c>
      <c r="AG398" s="60">
        <f>G397</f>
        <v>41836</v>
      </c>
      <c r="AH398" s="60">
        <f>G398</f>
        <v>41836</v>
      </c>
      <c r="AI398" s="59"/>
      <c r="AJ398" s="59"/>
      <c r="AK398" s="43"/>
      <c r="AL398" s="76"/>
    </row>
    <row r="399" spans="1:38" s="23" customFormat="1" ht="14.1" hidden="1" customHeight="1" outlineLevel="2" x14ac:dyDescent="0.2">
      <c r="A399" s="144"/>
      <c r="B399" s="308" t="str">
        <f>AK399</f>
        <v>Jill sends meeting notice with link to Web page</v>
      </c>
      <c r="C399" s="893" t="s">
        <v>0</v>
      </c>
      <c r="D399" s="248"/>
      <c r="E399" s="248"/>
      <c r="F399" s="220">
        <f>NETWORKDAYS(G399,H399,S.DDL_DEQClosed)</f>
        <v>1</v>
      </c>
      <c r="G399" s="288">
        <f t="shared" si="44"/>
        <v>41836</v>
      </c>
      <c r="H399" s="221">
        <f t="shared" si="44"/>
        <v>41836</v>
      </c>
      <c r="I399" s="684"/>
      <c r="J399"/>
      <c r="K399"/>
      <c r="L399"/>
      <c r="M399"/>
      <c r="N399"/>
      <c r="O399"/>
      <c r="P399"/>
      <c r="Q399"/>
      <c r="R399"/>
      <c r="S399"/>
      <c r="T399"/>
      <c r="U399"/>
      <c r="X399"/>
      <c r="AB399"/>
      <c r="AC399"/>
      <c r="AF399" s="327">
        <f>IF(AND(S.AC.InvolveMeeting3="Y",S.AC.CommitteeInvolved="Y"),1,0)</f>
        <v>0</v>
      </c>
      <c r="AG399" s="60">
        <f>G398</f>
        <v>41836</v>
      </c>
      <c r="AH399" s="60">
        <f>G399</f>
        <v>41836</v>
      </c>
      <c r="AI399" s="59"/>
      <c r="AJ399" s="59"/>
      <c r="AK399" s="78" t="str">
        <f>S.Staff.Subject.Expert.FirstName&amp;" sends meeting notice with link to Web page"</f>
        <v>Jill sends meeting notice with link to Web page</v>
      </c>
      <c r="AL399" s="76"/>
    </row>
    <row r="400" spans="1:38" s="23" customFormat="1" ht="14.1" hidden="1" customHeight="1" outlineLevel="2" x14ac:dyDescent="0.2">
      <c r="A400" s="144"/>
      <c r="B400" s="362" t="s">
        <v>78</v>
      </c>
      <c r="C400" s="893" t="s">
        <v>0</v>
      </c>
      <c r="D400" s="962" t="s">
        <v>146</v>
      </c>
      <c r="E400" s="962"/>
      <c r="F400" s="962"/>
      <c r="G400" s="963"/>
      <c r="H400" s="228">
        <f>AH400</f>
        <v>41850</v>
      </c>
      <c r="I400" s="684"/>
      <c r="J400"/>
      <c r="K400"/>
      <c r="L400"/>
      <c r="M400"/>
      <c r="N400"/>
      <c r="O400"/>
      <c r="P400"/>
      <c r="Q400"/>
      <c r="R400"/>
      <c r="S400"/>
      <c r="T400"/>
      <c r="U400"/>
      <c r="X400"/>
      <c r="AB400"/>
      <c r="AC400"/>
      <c r="AF400" s="327">
        <f>IF(AND(S.AC.InvolveMeeting3="Y",S.AC.CommitteeInvolved="Y"),1,0)</f>
        <v>0</v>
      </c>
      <c r="AG400" s="59"/>
      <c r="AH400" s="60">
        <f>S.AC.DateMeeting3</f>
        <v>41850</v>
      </c>
      <c r="AI400" s="59"/>
      <c r="AJ400" s="59"/>
      <c r="AK400" s="43"/>
      <c r="AL400" s="76"/>
    </row>
    <row r="401" spans="1:38" s="23" customFormat="1" ht="14.1" hidden="1" customHeight="1" outlineLevel="2" x14ac:dyDescent="0.2">
      <c r="A401" s="144"/>
      <c r="B401" s="308" t="str">
        <f>AK401</f>
        <v>Jill drafts AC.MINUTES06.05.14</v>
      </c>
      <c r="C401" s="892" t="str">
        <f>HYPERLINK("\\deq000\templates\General\Minutes Template.dotx","i")</f>
        <v>i</v>
      </c>
      <c r="D401" s="322"/>
      <c r="E401" s="322"/>
      <c r="F401" s="220">
        <f>NETWORKDAYS(G401,H401,S.DDL_DEQClosed)</f>
        <v>1</v>
      </c>
      <c r="G401" s="288">
        <f>S.AC.DateMeeting1</f>
        <v>41795</v>
      </c>
      <c r="H401" s="221">
        <f>AH401</f>
        <v>41795</v>
      </c>
      <c r="I401" s="684"/>
      <c r="J401"/>
      <c r="K401"/>
      <c r="L401"/>
      <c r="M401"/>
      <c r="N401"/>
      <c r="O401"/>
      <c r="P401"/>
      <c r="Q401"/>
      <c r="R401"/>
      <c r="S401"/>
      <c r="T401"/>
      <c r="U401"/>
      <c r="X401"/>
      <c r="AB401"/>
      <c r="AC401"/>
      <c r="AF401" s="327">
        <f>IF(AND(S.AC.InvolveMeeting3="Y",S.AC.CommitteeInvolved="Y"),1,0)</f>
        <v>0</v>
      </c>
      <c r="AG401" s="60">
        <f>S.AC.DateMeeting3</f>
        <v>41850</v>
      </c>
      <c r="AH401" s="60">
        <f>G401</f>
        <v>41795</v>
      </c>
      <c r="AI401" s="59"/>
      <c r="AJ401" s="59"/>
      <c r="AK401" s="67" t="str">
        <f>S.Staff.Subject.Expert.FirstName&amp;" drafts AC.MINUTES"&amp;TEXT(S.AC.DateMeeting1,"mm.dd.yy")</f>
        <v>Jill drafts AC.MINUTES06.05.14</v>
      </c>
      <c r="AL401" s="76"/>
    </row>
    <row r="402" spans="1:38" s="23" customFormat="1" ht="14.1" hidden="1" customHeight="1" outlineLevel="2" thickBot="1" x14ac:dyDescent="0.25">
      <c r="A402" s="144"/>
      <c r="B402" s="362" t="s">
        <v>79</v>
      </c>
      <c r="C402" s="893" t="s">
        <v>0</v>
      </c>
      <c r="D402" s="248"/>
      <c r="E402" s="248"/>
      <c r="F402" s="220">
        <f>NETWORKDAYS(G402,H402,S.DDL_DEQClosed)</f>
        <v>1</v>
      </c>
      <c r="G402" s="288">
        <f>S.AC.DateMeeting1</f>
        <v>41795</v>
      </c>
      <c r="H402" s="221">
        <f>AH402</f>
        <v>41795</v>
      </c>
      <c r="I402" s="684"/>
      <c r="J402"/>
      <c r="K402"/>
      <c r="L402"/>
      <c r="M402"/>
      <c r="N402"/>
      <c r="O402"/>
      <c r="P402"/>
      <c r="Q402"/>
      <c r="R402"/>
      <c r="S402"/>
      <c r="T402"/>
      <c r="U402"/>
      <c r="X402"/>
      <c r="AB402"/>
      <c r="AC402"/>
      <c r="AF402" s="327">
        <f>IF(AND(S.AC.InvolveMeeting3="Y",S.AC.CommitteeInvolved="Y"),1,0)</f>
        <v>0</v>
      </c>
      <c r="AG402" s="60">
        <f>S.AC.DateMeeting3</f>
        <v>41850</v>
      </c>
      <c r="AH402" s="60">
        <f>G402</f>
        <v>41795</v>
      </c>
      <c r="AI402" s="59"/>
      <c r="AJ402" s="59"/>
      <c r="AK402" s="43"/>
      <c r="AL402" s="76"/>
    </row>
    <row r="403" spans="1:38" s="23" customFormat="1" ht="14.1" hidden="1" customHeight="1" outlineLevel="1" thickBot="1" x14ac:dyDescent="0.25">
      <c r="A403" s="144"/>
      <c r="B403" s="333" t="s">
        <v>29</v>
      </c>
      <c r="C403" s="478" t="s">
        <v>134</v>
      </c>
      <c r="D403" s="650"/>
      <c r="E403" s="650"/>
      <c r="F403" s="271"/>
      <c r="G403" s="217">
        <f>AG403</f>
        <v>41850</v>
      </c>
      <c r="H403" s="331" t="s">
        <v>38</v>
      </c>
      <c r="I403" s="684"/>
      <c r="J403"/>
      <c r="K403"/>
      <c r="L403"/>
      <c r="M403"/>
      <c r="N403"/>
      <c r="O403"/>
      <c r="P403"/>
      <c r="Q403"/>
      <c r="R403"/>
      <c r="S403"/>
      <c r="T403"/>
      <c r="U403"/>
      <c r="X403"/>
      <c r="AB403"/>
      <c r="AC403"/>
      <c r="AF403" s="327">
        <f t="shared" ref="AF403:AF413" si="45">IF(AND(S.AC.InvolveMeeting4="Y",S.AC.CommitteeInvolved="Y"),1,0)</f>
        <v>0</v>
      </c>
      <c r="AG403" s="60">
        <f>S.AC.DateMeeting3</f>
        <v>41850</v>
      </c>
      <c r="AH403" s="34" t="s">
        <v>0</v>
      </c>
      <c r="AI403" s="34"/>
      <c r="AJ403" s="43"/>
      <c r="AK403" s="43"/>
      <c r="AL403" s="76"/>
    </row>
    <row r="404" spans="1:38" s="23" customFormat="1" ht="14.1" hidden="1" customHeight="1" outlineLevel="2" x14ac:dyDescent="0.2">
      <c r="A404" s="144"/>
      <c r="B404" s="359" t="s">
        <v>75</v>
      </c>
      <c r="C404" s="223"/>
      <c r="D404" s="248"/>
      <c r="E404" s="248"/>
      <c r="F404" s="220">
        <f>NETWORKDAYS(G404,H404,S.DDL_DEQClosed)</f>
        <v>1</v>
      </c>
      <c r="G404" s="288">
        <f>AG404</f>
        <v>41836</v>
      </c>
      <c r="H404" s="221">
        <f>AH404</f>
        <v>41836</v>
      </c>
      <c r="I404" s="684"/>
      <c r="J404"/>
      <c r="K404"/>
      <c r="L404"/>
      <c r="M404"/>
      <c r="N404"/>
      <c r="O404"/>
      <c r="P404"/>
      <c r="Q404"/>
      <c r="R404"/>
      <c r="S404"/>
      <c r="T404"/>
      <c r="U404"/>
      <c r="X404"/>
      <c r="AB404"/>
      <c r="AC404"/>
      <c r="AF404" s="327">
        <f t="shared" si="45"/>
        <v>0</v>
      </c>
      <c r="AG404" s="60">
        <f>WORKDAY(S.AC.DateMeeting4-13,-1,S.DDL_DEQClosed)</f>
        <v>41836</v>
      </c>
      <c r="AH404" s="60">
        <f>G404</f>
        <v>41836</v>
      </c>
      <c r="AI404" s="47"/>
      <c r="AJ404" s="43"/>
      <c r="AK404" s="34"/>
      <c r="AL404" s="76"/>
    </row>
    <row r="405" spans="1:38" s="23" customFormat="1" ht="14.1" hidden="1" customHeight="1" outlineLevel="2" x14ac:dyDescent="0.2">
      <c r="A405" s="144"/>
      <c r="B405" s="249" t="str">
        <f>AK405</f>
        <v>Jill coordinates or drafts:</v>
      </c>
      <c r="C405" s="223"/>
      <c r="D405" s="647"/>
      <c r="E405" s="647"/>
      <c r="F405" s="227"/>
      <c r="G405" s="223"/>
      <c r="H405" s="265"/>
      <c r="I405" s="684"/>
      <c r="J405"/>
      <c r="K405"/>
      <c r="L405"/>
      <c r="M405"/>
      <c r="N405"/>
      <c r="O405"/>
      <c r="P405"/>
      <c r="Q405"/>
      <c r="R405"/>
      <c r="S405"/>
      <c r="T405"/>
      <c r="U405"/>
      <c r="X405"/>
      <c r="AB405"/>
      <c r="AC405"/>
      <c r="AF405" s="327">
        <f t="shared" si="45"/>
        <v>0</v>
      </c>
      <c r="AG405" s="47"/>
      <c r="AH405" s="58"/>
      <c r="AI405" s="58"/>
      <c r="AJ405" s="43"/>
      <c r="AK405" s="67" t="str">
        <f>S.Staff.Subject.Expert.FirstName&amp;" coordinates or drafts:"</f>
        <v>Jill coordinates or drafts:</v>
      </c>
      <c r="AL405" s="76"/>
    </row>
    <row r="406" spans="1:38" s="23" customFormat="1" ht="14.1" hidden="1" customHeight="1" outlineLevel="2" x14ac:dyDescent="0.2">
      <c r="A406" s="144"/>
      <c r="B406" s="281" t="str">
        <f>AK406</f>
        <v>* AC.AGENDA.06.05.14, gets team agreement</v>
      </c>
      <c r="C406" s="448" t="str">
        <f>HYPERLINK("\\deq000\templates\General\Agenda Template.dotx","i")</f>
        <v>i</v>
      </c>
      <c r="D406" s="322"/>
      <c r="E406" s="322"/>
      <c r="F406" s="220">
        <f t="shared" ref="F406:F413" si="46">NETWORKDAYS(G406,H406,S.DDL_DEQClosed)</f>
        <v>1</v>
      </c>
      <c r="G406" s="288">
        <f t="shared" ref="G406:H413" si="47">AG406</f>
        <v>41836</v>
      </c>
      <c r="H406" s="221">
        <f t="shared" si="47"/>
        <v>41836</v>
      </c>
      <c r="I406" s="684"/>
      <c r="J406"/>
      <c r="K406"/>
      <c r="L406"/>
      <c r="M406"/>
      <c r="N406"/>
      <c r="O406"/>
      <c r="P406"/>
      <c r="Q406"/>
      <c r="R406"/>
      <c r="S406"/>
      <c r="T406"/>
      <c r="U406"/>
      <c r="X406"/>
      <c r="AB406"/>
      <c r="AC406"/>
      <c r="AF406" s="327">
        <f t="shared" si="45"/>
        <v>0</v>
      </c>
      <c r="AG406" s="60">
        <f>G404</f>
        <v>41836</v>
      </c>
      <c r="AH406" s="60">
        <f t="shared" ref="AH406:AH413" si="48">G406</f>
        <v>41836</v>
      </c>
      <c r="AI406" s="59"/>
      <c r="AJ406" s="61"/>
      <c r="AK406" s="67" t="str">
        <f>"* AC.AGENDA."&amp; TEXT(S.AC.DateMeeting1,"mm.dd.yy")&amp;", gets team agreement"</f>
        <v>* AC.AGENDA.06.05.14, gets team agreement</v>
      </c>
      <c r="AL406" s="76"/>
    </row>
    <row r="407" spans="1:38" s="23" customFormat="1" ht="14.1" hidden="1" customHeight="1" outlineLevel="2" x14ac:dyDescent="0.2">
      <c r="A407" s="144"/>
      <c r="B407" s="281" t="str">
        <f>AK407</f>
        <v>* AC.NOTIFICATION.06.05.14</v>
      </c>
      <c r="C407" s="233" t="s">
        <v>0</v>
      </c>
      <c r="D407" s="248"/>
      <c r="E407" s="248"/>
      <c r="F407" s="220">
        <f t="shared" si="46"/>
        <v>1</v>
      </c>
      <c r="G407" s="288">
        <f t="shared" si="47"/>
        <v>41836</v>
      </c>
      <c r="H407" s="221">
        <f t="shared" si="47"/>
        <v>41836</v>
      </c>
      <c r="I407" s="684"/>
      <c r="J407"/>
      <c r="K407"/>
      <c r="L407"/>
      <c r="M407"/>
      <c r="N407"/>
      <c r="O407"/>
      <c r="P407"/>
      <c r="Q407"/>
      <c r="R407"/>
      <c r="S407"/>
      <c r="T407"/>
      <c r="U407"/>
      <c r="X407"/>
      <c r="AB407"/>
      <c r="AC407"/>
      <c r="AF407" s="327">
        <f t="shared" si="45"/>
        <v>0</v>
      </c>
      <c r="AG407" s="60">
        <f t="shared" ref="AG407:AG413" si="49">G406</f>
        <v>41836</v>
      </c>
      <c r="AH407" s="60">
        <f t="shared" si="48"/>
        <v>41836</v>
      </c>
      <c r="AI407" s="59"/>
      <c r="AJ407" s="59"/>
      <c r="AK407" s="67" t="str">
        <f>"* AC.NOTIFICATION."&amp;TEXT(S.AC.DateMeeting1,"mm.dd.yy")</f>
        <v>* AC.NOTIFICATION.06.05.14</v>
      </c>
      <c r="AL407" s="76"/>
    </row>
    <row r="408" spans="1:38" s="23" customFormat="1" ht="14.1" hidden="1" customHeight="1" outlineLevel="2" x14ac:dyDescent="0.2">
      <c r="A408" s="144"/>
      <c r="B408" s="285" t="s">
        <v>143</v>
      </c>
      <c r="C408" s="448" t="str">
        <f>HYPERLINK("http://deq05/intranet/contentmanagement/login.asp","i")</f>
        <v>i</v>
      </c>
      <c r="D408" s="648"/>
      <c r="E408" s="648"/>
      <c r="F408" s="220">
        <f t="shared" si="46"/>
        <v>1</v>
      </c>
      <c r="G408" s="288">
        <f t="shared" si="47"/>
        <v>41836</v>
      </c>
      <c r="H408" s="221">
        <f t="shared" si="47"/>
        <v>41836</v>
      </c>
      <c r="I408" s="684"/>
      <c r="J408"/>
      <c r="K408"/>
      <c r="L408"/>
      <c r="M408"/>
      <c r="N408"/>
      <c r="O408"/>
      <c r="P408"/>
      <c r="Q408"/>
      <c r="R408"/>
      <c r="S408"/>
      <c r="T408"/>
      <c r="U408"/>
      <c r="X408"/>
      <c r="AB408"/>
      <c r="AC408"/>
      <c r="AF408" s="327">
        <f t="shared" si="45"/>
        <v>0</v>
      </c>
      <c r="AG408" s="60">
        <f t="shared" si="49"/>
        <v>41836</v>
      </c>
      <c r="AH408" s="60">
        <f t="shared" si="48"/>
        <v>41836</v>
      </c>
      <c r="AI408" s="47"/>
      <c r="AJ408" s="43"/>
      <c r="AK408" s="43"/>
      <c r="AL408" s="76"/>
    </row>
    <row r="409" spans="1:38" s="23" customFormat="1" ht="14.1" hidden="1" customHeight="1" outlineLevel="2" x14ac:dyDescent="0.2">
      <c r="A409" s="144"/>
      <c r="B409" s="263" t="s">
        <v>112</v>
      </c>
      <c r="C409" s="233" t="s">
        <v>0</v>
      </c>
      <c r="D409" s="248"/>
      <c r="E409" s="248"/>
      <c r="F409" s="220">
        <f t="shared" si="46"/>
        <v>1</v>
      </c>
      <c r="G409" s="288">
        <f t="shared" si="47"/>
        <v>41836</v>
      </c>
      <c r="H409" s="221">
        <f t="shared" si="47"/>
        <v>41836</v>
      </c>
      <c r="I409" s="684"/>
      <c r="J409"/>
      <c r="K409"/>
      <c r="L409"/>
      <c r="M409"/>
      <c r="N409"/>
      <c r="O409"/>
      <c r="P409"/>
      <c r="Q409"/>
      <c r="R409"/>
      <c r="S409"/>
      <c r="T409"/>
      <c r="U409"/>
      <c r="X409"/>
      <c r="AB409"/>
      <c r="AC409"/>
      <c r="AF409" s="327">
        <f t="shared" si="45"/>
        <v>0</v>
      </c>
      <c r="AG409" s="60">
        <f t="shared" si="49"/>
        <v>41836</v>
      </c>
      <c r="AH409" s="60">
        <f t="shared" si="48"/>
        <v>41836</v>
      </c>
      <c r="AI409" s="47"/>
      <c r="AJ409" s="43"/>
      <c r="AK409" s="43"/>
      <c r="AL409" s="76"/>
    </row>
    <row r="410" spans="1:38" s="23" customFormat="1" ht="14.1" hidden="1" customHeight="1" outlineLevel="2" x14ac:dyDescent="0.2">
      <c r="A410" s="144"/>
      <c r="B410" s="361" t="s">
        <v>76</v>
      </c>
      <c r="C410" s="233" t="s">
        <v>0</v>
      </c>
      <c r="D410" s="248"/>
      <c r="E410" s="248"/>
      <c r="F410" s="220">
        <f t="shared" si="46"/>
        <v>1</v>
      </c>
      <c r="G410" s="288">
        <f t="shared" si="47"/>
        <v>41836</v>
      </c>
      <c r="H410" s="221">
        <f t="shared" si="47"/>
        <v>41836</v>
      </c>
      <c r="I410" s="684"/>
      <c r="J410"/>
      <c r="K410"/>
      <c r="L410"/>
      <c r="M410"/>
      <c r="N410"/>
      <c r="O410"/>
      <c r="P410"/>
      <c r="Q410"/>
      <c r="R410"/>
      <c r="S410"/>
      <c r="T410"/>
      <c r="U410"/>
      <c r="X410"/>
      <c r="AB410"/>
      <c r="AC410"/>
      <c r="AF410" s="327">
        <f t="shared" si="45"/>
        <v>0</v>
      </c>
      <c r="AG410" s="60">
        <f t="shared" si="49"/>
        <v>41836</v>
      </c>
      <c r="AH410" s="60">
        <f t="shared" si="48"/>
        <v>41836</v>
      </c>
      <c r="AI410" s="47"/>
      <c r="AJ410" s="43"/>
      <c r="AK410" s="43"/>
      <c r="AL410" s="76"/>
    </row>
    <row r="411" spans="1:38" s="23" customFormat="1" ht="14.1" hidden="1" customHeight="1" outlineLevel="2" x14ac:dyDescent="0.2">
      <c r="A411" s="144"/>
      <c r="B411" s="361" t="s">
        <v>76</v>
      </c>
      <c r="C411" s="233" t="s">
        <v>0</v>
      </c>
      <c r="D411" s="248"/>
      <c r="E411" s="248"/>
      <c r="F411" s="220">
        <f t="shared" si="46"/>
        <v>1</v>
      </c>
      <c r="G411" s="288">
        <f t="shared" si="47"/>
        <v>41836</v>
      </c>
      <c r="H411" s="221">
        <f t="shared" si="47"/>
        <v>41836</v>
      </c>
      <c r="I411" s="684"/>
      <c r="J411"/>
      <c r="K411"/>
      <c r="L411"/>
      <c r="M411"/>
      <c r="N411"/>
      <c r="O411"/>
      <c r="P411"/>
      <c r="Q411"/>
      <c r="R411"/>
      <c r="S411"/>
      <c r="T411"/>
      <c r="U411"/>
      <c r="X411"/>
      <c r="AB411"/>
      <c r="AC411"/>
      <c r="AF411" s="327">
        <f t="shared" si="45"/>
        <v>0</v>
      </c>
      <c r="AG411" s="60">
        <f t="shared" si="49"/>
        <v>41836</v>
      </c>
      <c r="AH411" s="60">
        <f t="shared" si="48"/>
        <v>41836</v>
      </c>
      <c r="AI411" s="47"/>
      <c r="AJ411" s="43"/>
      <c r="AK411" s="43"/>
      <c r="AL411" s="76"/>
    </row>
    <row r="412" spans="1:38" s="23" customFormat="1" ht="14.1" hidden="1" customHeight="1" outlineLevel="2" x14ac:dyDescent="0.2">
      <c r="A412" s="144"/>
      <c r="B412" s="361" t="s">
        <v>76</v>
      </c>
      <c r="C412" s="233" t="s">
        <v>0</v>
      </c>
      <c r="D412" s="248"/>
      <c r="E412" s="248"/>
      <c r="F412" s="220">
        <f t="shared" si="46"/>
        <v>1</v>
      </c>
      <c r="G412" s="288">
        <f t="shared" si="47"/>
        <v>41836</v>
      </c>
      <c r="H412" s="221">
        <f t="shared" si="47"/>
        <v>41836</v>
      </c>
      <c r="I412" s="684"/>
      <c r="J412"/>
      <c r="K412"/>
      <c r="L412"/>
      <c r="M412"/>
      <c r="N412"/>
      <c r="O412"/>
      <c r="P412"/>
      <c r="Q412"/>
      <c r="R412"/>
      <c r="S412"/>
      <c r="T412"/>
      <c r="U412"/>
      <c r="X412"/>
      <c r="AB412"/>
      <c r="AC412"/>
      <c r="AF412" s="327">
        <f t="shared" si="45"/>
        <v>0</v>
      </c>
      <c r="AG412" s="60">
        <f t="shared" si="49"/>
        <v>41836</v>
      </c>
      <c r="AH412" s="60">
        <f t="shared" si="48"/>
        <v>41836</v>
      </c>
      <c r="AI412" s="47"/>
      <c r="AJ412" s="43"/>
      <c r="AK412" s="43"/>
      <c r="AL412" s="76"/>
    </row>
    <row r="413" spans="1:38" s="23" customFormat="1" ht="14.1" hidden="1" customHeight="1" outlineLevel="2" thickBot="1" x14ac:dyDescent="0.25">
      <c r="A413" s="144"/>
      <c r="B413" s="361" t="s">
        <v>76</v>
      </c>
      <c r="C413" s="233" t="s">
        <v>0</v>
      </c>
      <c r="D413" s="248"/>
      <c r="E413" s="248"/>
      <c r="F413" s="220">
        <f t="shared" si="46"/>
        <v>1</v>
      </c>
      <c r="G413" s="288">
        <f t="shared" si="47"/>
        <v>41836</v>
      </c>
      <c r="H413" s="221">
        <f t="shared" si="47"/>
        <v>41836</v>
      </c>
      <c r="I413" s="684"/>
      <c r="J413"/>
      <c r="K413"/>
      <c r="L413"/>
      <c r="M413"/>
      <c r="N413"/>
      <c r="O413"/>
      <c r="P413"/>
      <c r="Q413"/>
      <c r="R413"/>
      <c r="S413"/>
      <c r="T413"/>
      <c r="U413"/>
      <c r="X413"/>
      <c r="AB413"/>
      <c r="AC413"/>
      <c r="AF413" s="327">
        <f t="shared" si="45"/>
        <v>0</v>
      </c>
      <c r="AG413" s="60">
        <f t="shared" si="49"/>
        <v>41836</v>
      </c>
      <c r="AH413" s="60">
        <f t="shared" si="48"/>
        <v>41836</v>
      </c>
      <c r="AI413" s="47"/>
      <c r="AJ413" s="43"/>
      <c r="AK413" s="43"/>
      <c r="AL413" s="76"/>
    </row>
    <row r="414" spans="1:38" s="23" customFormat="1" ht="14.1" hidden="1" customHeight="1" outlineLevel="2" thickBot="1" x14ac:dyDescent="0.25">
      <c r="A414" s="144"/>
      <c r="B414" s="386" t="s">
        <v>97</v>
      </c>
      <c r="C414" s="478" t="s">
        <v>16</v>
      </c>
      <c r="D414" s="649"/>
      <c r="E414" s="649"/>
      <c r="F414" s="289"/>
      <c r="G414" s="289"/>
      <c r="H414" s="289"/>
      <c r="I414" s="684"/>
      <c r="J414"/>
      <c r="K414"/>
      <c r="L414"/>
      <c r="M414"/>
      <c r="N414"/>
      <c r="O414"/>
      <c r="P414"/>
      <c r="Q414"/>
      <c r="R414"/>
      <c r="S414"/>
      <c r="T414"/>
      <c r="U414"/>
      <c r="X414"/>
      <c r="AB414"/>
      <c r="AC414"/>
      <c r="AF414" s="327">
        <f t="shared" ref="AF414:AF421" si="50">IF(AND(S.AC.InvolveMeeting4="Y",S.AC.CommitteeInvolved="Y",S.AC.Presentation4="Y"),1,0)</f>
        <v>0</v>
      </c>
      <c r="AG414" s="34"/>
      <c r="AH414" s="34"/>
      <c r="AI414" s="34"/>
      <c r="AJ414" s="43"/>
      <c r="AK414" s="43"/>
      <c r="AL414" s="76"/>
    </row>
    <row r="415" spans="1:38" s="23" customFormat="1" ht="14.1" hidden="1" customHeight="1" outlineLevel="2" x14ac:dyDescent="0.2">
      <c r="A415" s="144"/>
      <c r="B415" s="387" t="s">
        <v>77</v>
      </c>
      <c r="C415" s="233" t="s">
        <v>0</v>
      </c>
      <c r="D415" s="290"/>
      <c r="E415" s="290"/>
      <c r="F415" s="286"/>
      <c r="G415" s="286"/>
      <c r="H415" s="286"/>
      <c r="I415" s="684"/>
      <c r="J415"/>
      <c r="K415"/>
      <c r="L415"/>
      <c r="M415"/>
      <c r="N415"/>
      <c r="O415"/>
      <c r="P415"/>
      <c r="Q415"/>
      <c r="R415"/>
      <c r="S415"/>
      <c r="T415"/>
      <c r="U415"/>
      <c r="X415"/>
      <c r="AB415"/>
      <c r="AC415"/>
      <c r="AF415" s="327">
        <f t="shared" si="50"/>
        <v>0</v>
      </c>
      <c r="AG415" s="34"/>
      <c r="AH415" s="34"/>
      <c r="AI415" s="47"/>
      <c r="AJ415" s="43"/>
      <c r="AK415" s="43"/>
      <c r="AL415" s="76"/>
    </row>
    <row r="416" spans="1:38" s="23" customFormat="1" ht="14.1" hidden="1" customHeight="1" outlineLevel="2" x14ac:dyDescent="0.2">
      <c r="A416" s="144"/>
      <c r="B416" s="388" t="str">
        <f>AK416</f>
        <v>* drafts optional AC.PRESENTATION.06.05.14</v>
      </c>
      <c r="C416" s="448" t="str">
        <f>HYPERLINK("http://deq05/intranet/communication/docs/DEQAgencyTemplate1.potx","i")</f>
        <v>i</v>
      </c>
      <c r="D416" s="322"/>
      <c r="E416" s="322"/>
      <c r="F416" s="220">
        <f>NETWORKDAYS(G416,H416,S.DDL_DEQClosed)</f>
        <v>1</v>
      </c>
      <c r="G416" s="288">
        <f>AG416</f>
        <v>41836</v>
      </c>
      <c r="H416" s="221">
        <f>AH416</f>
        <v>41836</v>
      </c>
      <c r="I416" s="684"/>
      <c r="J416"/>
      <c r="K416"/>
      <c r="L416"/>
      <c r="M416"/>
      <c r="N416"/>
      <c r="O416"/>
      <c r="P416"/>
      <c r="Q416"/>
      <c r="R416"/>
      <c r="S416"/>
      <c r="T416"/>
      <c r="U416"/>
      <c r="X416"/>
      <c r="AB416"/>
      <c r="AC416"/>
      <c r="AF416" s="327">
        <f t="shared" si="50"/>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x14ac:dyDescent="0.2">
      <c r="A417" s="144"/>
      <c r="B417" s="387" t="s">
        <v>77</v>
      </c>
      <c r="C417" s="233" t="s">
        <v>0</v>
      </c>
      <c r="D417" s="290"/>
      <c r="E417" s="290"/>
      <c r="F417" s="289"/>
      <c r="G417" s="289"/>
      <c r="H417" s="289"/>
      <c r="I417" s="684"/>
      <c r="J417"/>
      <c r="K417"/>
      <c r="L417"/>
      <c r="M417"/>
      <c r="N417"/>
      <c r="O417"/>
      <c r="P417"/>
      <c r="Q417"/>
      <c r="R417"/>
      <c r="S417"/>
      <c r="T417"/>
      <c r="U417"/>
      <c r="X417"/>
      <c r="AB417"/>
      <c r="AC417"/>
      <c r="AF417" s="327">
        <f t="shared" si="50"/>
        <v>0</v>
      </c>
      <c r="AG417" s="34"/>
      <c r="AH417" s="34"/>
      <c r="AI417" s="47"/>
      <c r="AJ417" s="43"/>
      <c r="AK417" s="43"/>
      <c r="AL417" s="76"/>
    </row>
    <row r="418" spans="1:38" s="23" customFormat="1" ht="14.1" hidden="1" customHeight="1" outlineLevel="2" x14ac:dyDescent="0.2">
      <c r="A418" s="144"/>
      <c r="B418" s="389" t="s">
        <v>111</v>
      </c>
      <c r="C418" s="233" t="s">
        <v>0</v>
      </c>
      <c r="D418" s="248"/>
      <c r="E418" s="248"/>
      <c r="F418" s="220">
        <f>NETWORKDAYS(G418,H418,S.DDL_DEQClosed)</f>
        <v>1</v>
      </c>
      <c r="G418" s="288">
        <f t="shared" ref="G418:H422" si="51">AG418</f>
        <v>41836</v>
      </c>
      <c r="H418" s="221">
        <f t="shared" si="51"/>
        <v>41836</v>
      </c>
      <c r="I418" s="684"/>
      <c r="J418"/>
      <c r="K418"/>
      <c r="L418"/>
      <c r="M418"/>
      <c r="N418"/>
      <c r="O418"/>
      <c r="P418"/>
      <c r="Q418"/>
      <c r="R418"/>
      <c r="S418"/>
      <c r="T418"/>
      <c r="U418"/>
      <c r="X418"/>
      <c r="AB418"/>
      <c r="AC418"/>
      <c r="AF418" s="327">
        <f t="shared" si="50"/>
        <v>0</v>
      </c>
      <c r="AG418" s="60">
        <f>G416</f>
        <v>41836</v>
      </c>
      <c r="AH418" s="60">
        <f>G418</f>
        <v>41836</v>
      </c>
      <c r="AI418" s="47"/>
      <c r="AJ418" s="43"/>
      <c r="AK418" s="43"/>
      <c r="AL418" s="76"/>
    </row>
    <row r="419" spans="1:38" s="23" customFormat="1" ht="14.1" hidden="1" customHeight="1" outlineLevel="2" x14ac:dyDescent="0.2">
      <c r="A419" s="144"/>
      <c r="B419" s="390" t="s">
        <v>144</v>
      </c>
      <c r="C419" s="233" t="s">
        <v>0</v>
      </c>
      <c r="D419" s="248"/>
      <c r="E419" s="248"/>
      <c r="F419" s="220">
        <f>NETWORKDAYS(G419,H419,S.DDL_DEQClosed)</f>
        <v>1</v>
      </c>
      <c r="G419" s="288">
        <f t="shared" si="51"/>
        <v>41836</v>
      </c>
      <c r="H419" s="221">
        <f t="shared" si="51"/>
        <v>41836</v>
      </c>
      <c r="I419" s="684"/>
      <c r="J419"/>
      <c r="K419"/>
      <c r="L419"/>
      <c r="M419"/>
      <c r="N419"/>
      <c r="O419"/>
      <c r="P419"/>
      <c r="Q419"/>
      <c r="R419"/>
      <c r="S419"/>
      <c r="T419"/>
      <c r="U419"/>
      <c r="X419"/>
      <c r="AB419"/>
      <c r="AC419"/>
      <c r="AF419" s="327">
        <f t="shared" si="50"/>
        <v>0</v>
      </c>
      <c r="AG419" s="60">
        <f>G418</f>
        <v>41836</v>
      </c>
      <c r="AH419" s="60">
        <f>G419</f>
        <v>41836</v>
      </c>
      <c r="AI419" s="47" t="s">
        <v>0</v>
      </c>
      <c r="AJ419" s="43"/>
      <c r="AK419" s="43"/>
      <c r="AL419" s="76"/>
    </row>
    <row r="420" spans="1:38" s="23" customFormat="1" ht="14.1" hidden="1" customHeight="1" outlineLevel="2" x14ac:dyDescent="0.2">
      <c r="A420" s="144"/>
      <c r="B420" s="391" t="str">
        <f>AK420</f>
        <v>Jill submits Web Request to post materials</v>
      </c>
      <c r="C420" s="450" t="str">
        <f>HYPERLINK("http://deq05/intranet/communication/WebRequests.htm","i")</f>
        <v>i</v>
      </c>
      <c r="D420" s="248"/>
      <c r="E420" s="248"/>
      <c r="F420" s="220">
        <f>NETWORKDAYS(G420,H420,S.DDL_DEQClosed)</f>
        <v>1</v>
      </c>
      <c r="G420" s="288">
        <f t="shared" si="51"/>
        <v>41836</v>
      </c>
      <c r="H420" s="221">
        <f t="shared" si="51"/>
        <v>41836</v>
      </c>
      <c r="I420" s="684"/>
      <c r="J420"/>
      <c r="K420"/>
      <c r="L420"/>
      <c r="M420"/>
      <c r="N420"/>
      <c r="O420"/>
      <c r="P420"/>
      <c r="Q420"/>
      <c r="R420"/>
      <c r="S420"/>
      <c r="T420"/>
      <c r="U420"/>
      <c r="X420"/>
      <c r="AB420"/>
      <c r="AC420"/>
      <c r="AF420" s="327">
        <f t="shared" si="50"/>
        <v>0</v>
      </c>
      <c r="AG420" s="60">
        <f>G419</f>
        <v>41836</v>
      </c>
      <c r="AH420" s="60">
        <f>G420</f>
        <v>41836</v>
      </c>
      <c r="AI420" s="47"/>
      <c r="AJ420" s="43"/>
      <c r="AK420" s="78" t="str">
        <f>S.Staff.Subject.Expert.FirstName&amp;" submits Web Request to post materials"</f>
        <v>Jill submits Web Request to post materials</v>
      </c>
      <c r="AL420" s="76"/>
    </row>
    <row r="421" spans="1:38" s="23" customFormat="1" ht="14.1" hidden="1" customHeight="1" outlineLevel="2" x14ac:dyDescent="0.2">
      <c r="A421" s="144"/>
      <c r="B421" s="390" t="s">
        <v>80</v>
      </c>
      <c r="C421" s="233" t="s">
        <v>0</v>
      </c>
      <c r="D421" s="248"/>
      <c r="E421" s="248"/>
      <c r="F421" s="220">
        <f>NETWORKDAYS(G421,H421,S.DDL_DEQClosed)</f>
        <v>1</v>
      </c>
      <c r="G421" s="288">
        <f t="shared" si="51"/>
        <v>41836</v>
      </c>
      <c r="H421" s="221">
        <f t="shared" si="51"/>
        <v>41836</v>
      </c>
      <c r="I421" s="684"/>
      <c r="J421"/>
      <c r="K421"/>
      <c r="L421"/>
      <c r="M421"/>
      <c r="N421"/>
      <c r="O421"/>
      <c r="P421"/>
      <c r="Q421"/>
      <c r="R421"/>
      <c r="S421"/>
      <c r="T421"/>
      <c r="U421"/>
      <c r="X421"/>
      <c r="AB421"/>
      <c r="AC421"/>
      <c r="AF421" s="327">
        <f t="shared" si="50"/>
        <v>0</v>
      </c>
      <c r="AG421" s="60">
        <f>G420</f>
        <v>41836</v>
      </c>
      <c r="AH421" s="60">
        <f>G421</f>
        <v>41836</v>
      </c>
      <c r="AI421" s="59"/>
      <c r="AJ421" s="59"/>
      <c r="AK421" s="43"/>
      <c r="AL421" s="76"/>
    </row>
    <row r="422" spans="1:38" s="23" customFormat="1" ht="14.1" hidden="1" customHeight="1" outlineLevel="2" x14ac:dyDescent="0.2">
      <c r="A422" s="144"/>
      <c r="B422" s="308" t="str">
        <f>AK422</f>
        <v>Jill sends meeting notice with link to Web page</v>
      </c>
      <c r="C422" s="233" t="s">
        <v>0</v>
      </c>
      <c r="D422" s="248"/>
      <c r="E422" s="248"/>
      <c r="F422" s="220">
        <f>NETWORKDAYS(G422,H422,S.DDL_DEQClosed)</f>
        <v>1</v>
      </c>
      <c r="G422" s="288">
        <f t="shared" si="51"/>
        <v>41836</v>
      </c>
      <c r="H422" s="221">
        <f t="shared" si="51"/>
        <v>41836</v>
      </c>
      <c r="I422" s="684"/>
      <c r="J422"/>
      <c r="K422"/>
      <c r="L422"/>
      <c r="M422"/>
      <c r="N422"/>
      <c r="O422"/>
      <c r="P422"/>
      <c r="Q422"/>
      <c r="R422"/>
      <c r="S422"/>
      <c r="T422"/>
      <c r="U422"/>
      <c r="X422"/>
      <c r="AB422"/>
      <c r="AC422"/>
      <c r="AF422" s="327">
        <f>IF(AND(S.AC.InvolveMeeting4="Y",S.AC.CommitteeInvolved="Y"),1,0)</f>
        <v>0</v>
      </c>
      <c r="AG422" s="60">
        <f>G421</f>
        <v>41836</v>
      </c>
      <c r="AH422" s="60">
        <f>G422</f>
        <v>41836</v>
      </c>
      <c r="AI422" s="59"/>
      <c r="AJ422" s="59"/>
      <c r="AK422" s="78" t="str">
        <f>S.Staff.Subject.Expert.FirstName&amp;" sends meeting notice with link to Web page"</f>
        <v>Jill sends meeting notice with link to Web page</v>
      </c>
      <c r="AL422" s="76"/>
    </row>
    <row r="423" spans="1:38" s="23" customFormat="1" ht="14.1" hidden="1" customHeight="1" outlineLevel="2" x14ac:dyDescent="0.2">
      <c r="A423" s="144"/>
      <c r="B423" s="362" t="s">
        <v>78</v>
      </c>
      <c r="C423" s="233" t="s">
        <v>0</v>
      </c>
      <c r="D423" s="962" t="s">
        <v>145</v>
      </c>
      <c r="E423" s="962"/>
      <c r="F423" s="962"/>
      <c r="G423" s="963"/>
      <c r="H423" s="228">
        <f>AH423</f>
        <v>41850</v>
      </c>
      <c r="I423" s="684"/>
      <c r="J423"/>
      <c r="K423"/>
      <c r="L423"/>
      <c r="M423"/>
      <c r="N423"/>
      <c r="O423"/>
      <c r="P423"/>
      <c r="Q423"/>
      <c r="R423"/>
      <c r="S423"/>
      <c r="T423"/>
      <c r="U423"/>
      <c r="X423"/>
      <c r="AB423"/>
      <c r="AC423"/>
      <c r="AF423" s="327">
        <f>IF(AND(S.AC.InvolveMeeting4="Y",S.AC.CommitteeInvolved="Y"),1,0)</f>
        <v>0</v>
      </c>
      <c r="AG423" s="34" t="s">
        <v>0</v>
      </c>
      <c r="AH423" s="60">
        <f>S.AC.DateMeeting4</f>
        <v>41850</v>
      </c>
      <c r="AI423" s="59"/>
      <c r="AJ423" s="59"/>
      <c r="AK423" s="43"/>
      <c r="AL423" s="76"/>
    </row>
    <row r="424" spans="1:38" s="23" customFormat="1" ht="14.1" hidden="1" customHeight="1" outlineLevel="2" x14ac:dyDescent="0.2">
      <c r="A424" s="144"/>
      <c r="B424" s="308" t="str">
        <f>AK424</f>
        <v>Jill drafts AC.MINUTES06.05.14</v>
      </c>
      <c r="C424" s="448" t="str">
        <f>HYPERLINK("\\deq000\templates\General\Minutes Template.dotx","i")</f>
        <v>i</v>
      </c>
      <c r="D424" s="322"/>
      <c r="E424" s="322"/>
      <c r="F424" s="220">
        <f>NETWORKDAYS(G424,H424,S.DDL_DEQClosed)</f>
        <v>1</v>
      </c>
      <c r="G424" s="288">
        <f>AG424</f>
        <v>41850</v>
      </c>
      <c r="H424" s="221">
        <f>AH424</f>
        <v>41850</v>
      </c>
      <c r="I424" s="684"/>
      <c r="J424"/>
      <c r="K424"/>
      <c r="L424"/>
      <c r="M424"/>
      <c r="N424"/>
      <c r="O424"/>
      <c r="P424"/>
      <c r="Q424"/>
      <c r="R424"/>
      <c r="S424"/>
      <c r="T424"/>
      <c r="U424"/>
      <c r="X424"/>
      <c r="AB424"/>
      <c r="AC424"/>
      <c r="AF424" s="327">
        <f>IF(AND(S.AC.InvolveMeeting4="Y",S.AC.CommitteeInvolved="Y"),1,0)</f>
        <v>0</v>
      </c>
      <c r="AG424" s="60">
        <f>S.AC.DateMeeting4</f>
        <v>41850</v>
      </c>
      <c r="AH424" s="60">
        <f>G424</f>
        <v>41850</v>
      </c>
      <c r="AI424" s="59"/>
      <c r="AJ424" s="59"/>
      <c r="AK424" s="67" t="str">
        <f>S.Staff.Subject.Expert.FirstName&amp;" drafts AC.MINUTES"&amp;TEXT(S.AC.DateMeeting1,"mm.dd.yy")</f>
        <v>Jill drafts AC.MINUTES06.05.14</v>
      </c>
      <c r="AL424" s="76"/>
    </row>
    <row r="425" spans="1:38" s="23" customFormat="1" ht="14.1" hidden="1" customHeight="1" outlineLevel="2" thickBot="1" x14ac:dyDescent="0.25">
      <c r="A425" s="144"/>
      <c r="B425" s="362" t="s">
        <v>79</v>
      </c>
      <c r="C425" s="233" t="s">
        <v>0</v>
      </c>
      <c r="D425" s="248"/>
      <c r="E425" s="248"/>
      <c r="F425" s="220">
        <f>NETWORKDAYS(G425,H425,S.DDL_DEQClosed)</f>
        <v>1</v>
      </c>
      <c r="G425" s="288">
        <f>AG425</f>
        <v>41850</v>
      </c>
      <c r="H425" s="221">
        <f>AH425</f>
        <v>41850</v>
      </c>
      <c r="I425" s="684"/>
      <c r="J425"/>
      <c r="K425"/>
      <c r="L425"/>
      <c r="M425"/>
      <c r="N425"/>
      <c r="O425"/>
      <c r="P425"/>
      <c r="Q425"/>
      <c r="R425"/>
      <c r="S425"/>
      <c r="T425"/>
      <c r="U425"/>
      <c r="X425"/>
      <c r="AB425"/>
      <c r="AC425"/>
      <c r="AF425" s="327">
        <f>IF(AND(S.AC.InvolveMeeting4="Y",S.AC.CommitteeInvolved="Y"),1,0)</f>
        <v>0</v>
      </c>
      <c r="AG425" s="60">
        <f>S.AC.DateMeeting4</f>
        <v>41850</v>
      </c>
      <c r="AH425" s="60">
        <f>G425</f>
        <v>41850</v>
      </c>
      <c r="AI425" s="59"/>
      <c r="AJ425" s="59"/>
      <c r="AK425" s="43"/>
      <c r="AL425" s="76"/>
    </row>
    <row r="426" spans="1:38" s="23" customFormat="1" ht="14.1" hidden="1" customHeight="1" outlineLevel="2" thickBot="1" x14ac:dyDescent="0.25">
      <c r="A426" s="144"/>
      <c r="B426" s="333" t="s">
        <v>98</v>
      </c>
      <c r="C426" s="478" t="s">
        <v>134</v>
      </c>
      <c r="D426" s="650"/>
      <c r="E426" s="650"/>
      <c r="F426" s="271"/>
      <c r="G426" s="217">
        <f>AG426</f>
        <v>41850</v>
      </c>
      <c r="H426" s="291" t="s">
        <v>38</v>
      </c>
      <c r="I426" s="684"/>
      <c r="J426"/>
      <c r="K426"/>
      <c r="L426"/>
      <c r="M426"/>
      <c r="N426"/>
      <c r="O426"/>
      <c r="P426"/>
      <c r="Q426"/>
      <c r="R426"/>
      <c r="S426"/>
      <c r="T426"/>
      <c r="U426"/>
      <c r="X426"/>
      <c r="AB426"/>
      <c r="AC426"/>
      <c r="AF426" s="327">
        <f t="shared" ref="AF426:AF436" si="52">IF(AND(S.AC.InvolveMeeting5="Y",S.AC.CommitteeInvolved="Y"),1,0)</f>
        <v>0</v>
      </c>
      <c r="AG426" s="60">
        <f>S.AC.DateMeeting4</f>
        <v>41850</v>
      </c>
      <c r="AH426" s="34" t="s">
        <v>0</v>
      </c>
      <c r="AI426" s="34"/>
      <c r="AJ426" s="43"/>
      <c r="AK426" s="43"/>
      <c r="AL426" s="76"/>
    </row>
    <row r="427" spans="1:38" s="23" customFormat="1" ht="14.1" hidden="1" customHeight="1" outlineLevel="2" x14ac:dyDescent="0.2">
      <c r="A427" s="144"/>
      <c r="B427" s="359" t="s">
        <v>75</v>
      </c>
      <c r="C427" s="223"/>
      <c r="D427" s="248"/>
      <c r="E427" s="248"/>
      <c r="F427" s="220">
        <f>NETWORKDAYS(G427,H427,S.DDL_DEQClosed)</f>
        <v>1</v>
      </c>
      <c r="G427" s="288">
        <f>AG427</f>
        <v>41836</v>
      </c>
      <c r="H427" s="221">
        <f>AH427</f>
        <v>41836</v>
      </c>
      <c r="I427" s="684"/>
      <c r="J427"/>
      <c r="K427"/>
      <c r="L427"/>
      <c r="M427"/>
      <c r="N427"/>
      <c r="O427"/>
      <c r="P427"/>
      <c r="Q427"/>
      <c r="R427"/>
      <c r="S427"/>
      <c r="T427"/>
      <c r="U427"/>
      <c r="X427"/>
      <c r="AB427"/>
      <c r="AC427"/>
      <c r="AF427" s="327">
        <f t="shared" si="52"/>
        <v>0</v>
      </c>
      <c r="AG427" s="60">
        <f>WORKDAY(S.AC.DateMeeting5-13,-1,S.DDL_DEQClosed)</f>
        <v>41836</v>
      </c>
      <c r="AH427" s="60">
        <f>G427</f>
        <v>41836</v>
      </c>
      <c r="AI427" s="47"/>
      <c r="AJ427" s="43"/>
      <c r="AK427" s="34"/>
      <c r="AL427" s="76"/>
    </row>
    <row r="428" spans="1:38" s="23" customFormat="1" ht="14.1" hidden="1" customHeight="1" outlineLevel="2" x14ac:dyDescent="0.2">
      <c r="A428" s="144"/>
      <c r="B428" s="249" t="str">
        <f>AK428</f>
        <v>Jill coordinates or drafts:</v>
      </c>
      <c r="C428" s="223"/>
      <c r="D428" s="647"/>
      <c r="E428" s="647"/>
      <c r="F428" s="227"/>
      <c r="G428" s="223"/>
      <c r="H428" s="265"/>
      <c r="I428" s="684"/>
      <c r="J428"/>
      <c r="K428"/>
      <c r="L428"/>
      <c r="M428"/>
      <c r="N428"/>
      <c r="O428"/>
      <c r="P428"/>
      <c r="Q428"/>
      <c r="R428"/>
      <c r="S428"/>
      <c r="T428"/>
      <c r="U428"/>
      <c r="X428"/>
      <c r="AB428"/>
      <c r="AC428"/>
      <c r="AF428" s="327">
        <f t="shared" si="52"/>
        <v>0</v>
      </c>
      <c r="AG428" s="47"/>
      <c r="AH428" s="58"/>
      <c r="AI428" s="58"/>
      <c r="AJ428" s="43"/>
      <c r="AK428" s="67" t="str">
        <f>S.Staff.Subject.Expert.FirstName&amp;" coordinates or drafts:"</f>
        <v>Jill coordinates or drafts:</v>
      </c>
      <c r="AL428" s="76"/>
    </row>
    <row r="429" spans="1:38" s="23" customFormat="1" ht="14.1" hidden="1" customHeight="1" outlineLevel="2" x14ac:dyDescent="0.2">
      <c r="A429" s="144"/>
      <c r="B429" s="281" t="str">
        <f>AK429</f>
        <v>* AC.AGENDA.06.05.14, gets team agreement</v>
      </c>
      <c r="C429" s="448" t="str">
        <f>HYPERLINK("\\deq000\templates\General\Agenda Template.dotx","i")</f>
        <v>i</v>
      </c>
      <c r="D429" s="322"/>
      <c r="E429" s="322"/>
      <c r="F429" s="220">
        <f t="shared" ref="F429:F436" si="53">NETWORKDAYS(G429,H429,S.DDL_DEQClosed)</f>
        <v>1</v>
      </c>
      <c r="G429" s="288">
        <f t="shared" ref="G429:H436" si="54">AG429</f>
        <v>41836</v>
      </c>
      <c r="H429" s="221">
        <f t="shared" si="54"/>
        <v>41836</v>
      </c>
      <c r="I429" s="684"/>
      <c r="J429"/>
      <c r="K429"/>
      <c r="L429"/>
      <c r="M429"/>
      <c r="N429"/>
      <c r="O429"/>
      <c r="P429"/>
      <c r="Q429"/>
      <c r="R429"/>
      <c r="S429"/>
      <c r="T429"/>
      <c r="U429"/>
      <c r="X429"/>
      <c r="AB429"/>
      <c r="AC429"/>
      <c r="AF429" s="327">
        <f t="shared" si="52"/>
        <v>0</v>
      </c>
      <c r="AG429" s="60">
        <f>G427</f>
        <v>41836</v>
      </c>
      <c r="AH429" s="60">
        <f t="shared" ref="AH429:AH436" si="55">G429</f>
        <v>41836</v>
      </c>
      <c r="AI429" s="59"/>
      <c r="AJ429" s="61"/>
      <c r="AK429" s="67" t="str">
        <f>"* AC.AGENDA."&amp; TEXT(S.AC.DateMeeting1,"mm.dd.yy")&amp;", gets team agreement"</f>
        <v>* AC.AGENDA.06.05.14, gets team agreement</v>
      </c>
      <c r="AL429" s="76"/>
    </row>
    <row r="430" spans="1:38" s="23" customFormat="1" ht="14.1" hidden="1" customHeight="1" outlineLevel="2" x14ac:dyDescent="0.2">
      <c r="A430" s="144"/>
      <c r="B430" s="281" t="str">
        <f>AK430</f>
        <v>* AC.NOTIFICATION.06.05.14</v>
      </c>
      <c r="C430" s="233" t="s">
        <v>0</v>
      </c>
      <c r="D430" s="248"/>
      <c r="E430" s="248"/>
      <c r="F430" s="220">
        <f t="shared" si="53"/>
        <v>1</v>
      </c>
      <c r="G430" s="288">
        <f t="shared" si="54"/>
        <v>41836</v>
      </c>
      <c r="H430" s="221">
        <f t="shared" si="54"/>
        <v>41836</v>
      </c>
      <c r="I430" s="684"/>
      <c r="J430"/>
      <c r="K430"/>
      <c r="L430"/>
      <c r="M430"/>
      <c r="N430"/>
      <c r="O430"/>
      <c r="P430"/>
      <c r="Q430"/>
      <c r="R430"/>
      <c r="S430"/>
      <c r="T430"/>
      <c r="U430"/>
      <c r="X430"/>
      <c r="AB430"/>
      <c r="AC430"/>
      <c r="AF430" s="327">
        <f t="shared" si="52"/>
        <v>0</v>
      </c>
      <c r="AG430" s="60">
        <f t="shared" ref="AG430:AG436" si="56">G429</f>
        <v>41836</v>
      </c>
      <c r="AH430" s="60">
        <f t="shared" si="55"/>
        <v>41836</v>
      </c>
      <c r="AI430" s="59"/>
      <c r="AJ430" s="59"/>
      <c r="AK430" s="67" t="str">
        <f>"* AC.NOTIFICATION."&amp;TEXT(S.AC.DateMeeting1,"mm.dd.yy")</f>
        <v>* AC.NOTIFICATION.06.05.14</v>
      </c>
      <c r="AL430" s="76"/>
    </row>
    <row r="431" spans="1:38" s="23" customFormat="1" ht="14.1" hidden="1" customHeight="1" outlineLevel="2" x14ac:dyDescent="0.2">
      <c r="A431" s="144"/>
      <c r="B431" s="285" t="s">
        <v>143</v>
      </c>
      <c r="C431" s="448" t="str">
        <f>HYPERLINK("http://deq05/intranet/contentmanagement/login.asp","i")</f>
        <v>i</v>
      </c>
      <c r="D431" s="648"/>
      <c r="E431" s="648"/>
      <c r="F431" s="220">
        <f t="shared" si="53"/>
        <v>1</v>
      </c>
      <c r="G431" s="288">
        <f t="shared" si="54"/>
        <v>41836</v>
      </c>
      <c r="H431" s="221">
        <f t="shared" si="54"/>
        <v>41836</v>
      </c>
      <c r="I431" s="684"/>
      <c r="J431"/>
      <c r="K431"/>
      <c r="L431"/>
      <c r="M431"/>
      <c r="N431"/>
      <c r="O431"/>
      <c r="P431"/>
      <c r="Q431"/>
      <c r="R431"/>
      <c r="S431"/>
      <c r="T431"/>
      <c r="U431"/>
      <c r="X431"/>
      <c r="AB431"/>
      <c r="AC431"/>
      <c r="AF431" s="327">
        <f t="shared" si="52"/>
        <v>0</v>
      </c>
      <c r="AG431" s="60">
        <f t="shared" si="56"/>
        <v>41836</v>
      </c>
      <c r="AH431" s="60">
        <f t="shared" si="55"/>
        <v>41836</v>
      </c>
      <c r="AI431" s="47"/>
      <c r="AJ431" s="43"/>
      <c r="AK431" s="43"/>
      <c r="AL431" s="76"/>
    </row>
    <row r="432" spans="1:38" s="23" customFormat="1" ht="14.1" hidden="1" customHeight="1" outlineLevel="2" x14ac:dyDescent="0.2">
      <c r="A432" s="144"/>
      <c r="B432" s="263" t="s">
        <v>112</v>
      </c>
      <c r="C432" s="233" t="s">
        <v>0</v>
      </c>
      <c r="D432" s="248"/>
      <c r="E432" s="248"/>
      <c r="F432" s="220">
        <f t="shared" si="53"/>
        <v>1</v>
      </c>
      <c r="G432" s="288">
        <f t="shared" si="54"/>
        <v>41836</v>
      </c>
      <c r="H432" s="221">
        <f t="shared" si="54"/>
        <v>41836</v>
      </c>
      <c r="I432" s="684"/>
      <c r="J432"/>
      <c r="K432"/>
      <c r="L432"/>
      <c r="M432"/>
      <c r="N432"/>
      <c r="O432"/>
      <c r="P432"/>
      <c r="Q432"/>
      <c r="R432"/>
      <c r="S432"/>
      <c r="T432"/>
      <c r="U432"/>
      <c r="X432"/>
      <c r="AB432"/>
      <c r="AC432"/>
      <c r="AF432" s="327">
        <f t="shared" si="52"/>
        <v>0</v>
      </c>
      <c r="AG432" s="60">
        <f t="shared" si="56"/>
        <v>41836</v>
      </c>
      <c r="AH432" s="60">
        <f t="shared" si="55"/>
        <v>41836</v>
      </c>
      <c r="AI432" s="47"/>
      <c r="AJ432" s="43"/>
      <c r="AK432" s="43"/>
      <c r="AL432" s="76"/>
    </row>
    <row r="433" spans="1:38" s="23" customFormat="1" ht="14.1" hidden="1" customHeight="1" outlineLevel="2" x14ac:dyDescent="0.2">
      <c r="A433" s="144"/>
      <c r="B433" s="361" t="s">
        <v>76</v>
      </c>
      <c r="C433" s="233" t="s">
        <v>0</v>
      </c>
      <c r="D433" s="248"/>
      <c r="E433" s="248"/>
      <c r="F433" s="220">
        <f t="shared" si="53"/>
        <v>1</v>
      </c>
      <c r="G433" s="288">
        <f t="shared" si="54"/>
        <v>41836</v>
      </c>
      <c r="H433" s="221">
        <f t="shared" si="54"/>
        <v>41836</v>
      </c>
      <c r="I433" s="684"/>
      <c r="J433"/>
      <c r="K433"/>
      <c r="L433"/>
      <c r="M433"/>
      <c r="N433"/>
      <c r="O433"/>
      <c r="P433"/>
      <c r="Q433"/>
      <c r="R433"/>
      <c r="S433"/>
      <c r="T433"/>
      <c r="U433"/>
      <c r="X433"/>
      <c r="AB433"/>
      <c r="AC433"/>
      <c r="AF433" s="327">
        <f t="shared" si="52"/>
        <v>0</v>
      </c>
      <c r="AG433" s="60">
        <f t="shared" si="56"/>
        <v>41836</v>
      </c>
      <c r="AH433" s="60">
        <f t="shared" si="55"/>
        <v>41836</v>
      </c>
      <c r="AI433" s="47"/>
      <c r="AJ433" s="43"/>
      <c r="AK433" s="43"/>
      <c r="AL433" s="76"/>
    </row>
    <row r="434" spans="1:38" s="23" customFormat="1" ht="14.1" hidden="1" customHeight="1" outlineLevel="2" x14ac:dyDescent="0.2">
      <c r="A434" s="144"/>
      <c r="B434" s="361" t="s">
        <v>76</v>
      </c>
      <c r="C434" s="233" t="s">
        <v>0</v>
      </c>
      <c r="D434" s="248"/>
      <c r="E434" s="248"/>
      <c r="F434" s="220">
        <f t="shared" si="53"/>
        <v>1</v>
      </c>
      <c r="G434" s="288">
        <f t="shared" si="54"/>
        <v>41836</v>
      </c>
      <c r="H434" s="221">
        <f t="shared" si="54"/>
        <v>41836</v>
      </c>
      <c r="I434" s="684"/>
      <c r="J434"/>
      <c r="K434"/>
      <c r="L434"/>
      <c r="M434"/>
      <c r="N434"/>
      <c r="O434"/>
      <c r="P434"/>
      <c r="Q434"/>
      <c r="R434"/>
      <c r="S434"/>
      <c r="T434"/>
      <c r="U434"/>
      <c r="X434"/>
      <c r="AB434"/>
      <c r="AC434"/>
      <c r="AF434" s="327">
        <f t="shared" si="52"/>
        <v>0</v>
      </c>
      <c r="AG434" s="60">
        <f t="shared" si="56"/>
        <v>41836</v>
      </c>
      <c r="AH434" s="60">
        <f t="shared" si="55"/>
        <v>41836</v>
      </c>
      <c r="AI434" s="47"/>
      <c r="AJ434" s="43"/>
      <c r="AK434" s="43"/>
      <c r="AL434" s="76"/>
    </row>
    <row r="435" spans="1:38" s="23" customFormat="1" ht="14.1" hidden="1" customHeight="1" outlineLevel="2" x14ac:dyDescent="0.2">
      <c r="A435" s="144"/>
      <c r="B435" s="361" t="s">
        <v>76</v>
      </c>
      <c r="C435" s="233" t="s">
        <v>0</v>
      </c>
      <c r="D435" s="248"/>
      <c r="E435" s="248"/>
      <c r="F435" s="220">
        <f t="shared" si="53"/>
        <v>1</v>
      </c>
      <c r="G435" s="288">
        <f t="shared" si="54"/>
        <v>41836</v>
      </c>
      <c r="H435" s="221">
        <f t="shared" si="54"/>
        <v>41836</v>
      </c>
      <c r="I435" s="684"/>
      <c r="J435"/>
      <c r="K435"/>
      <c r="L435"/>
      <c r="M435"/>
      <c r="N435"/>
      <c r="O435"/>
      <c r="P435"/>
      <c r="Q435"/>
      <c r="R435"/>
      <c r="S435"/>
      <c r="T435"/>
      <c r="U435"/>
      <c r="X435"/>
      <c r="AB435"/>
      <c r="AC435"/>
      <c r="AF435" s="327">
        <f t="shared" si="52"/>
        <v>0</v>
      </c>
      <c r="AG435" s="60">
        <f t="shared" si="56"/>
        <v>41836</v>
      </c>
      <c r="AH435" s="60">
        <f t="shared" si="55"/>
        <v>41836</v>
      </c>
      <c r="AI435" s="47"/>
      <c r="AJ435" s="43"/>
      <c r="AK435" s="43"/>
      <c r="AL435" s="76"/>
    </row>
    <row r="436" spans="1:38" s="23" customFormat="1" ht="14.1" hidden="1" customHeight="1" outlineLevel="2" thickBot="1" x14ac:dyDescent="0.25">
      <c r="A436" s="144"/>
      <c r="B436" s="361" t="s">
        <v>76</v>
      </c>
      <c r="C436" s="233" t="s">
        <v>0</v>
      </c>
      <c r="D436" s="248"/>
      <c r="E436" s="248"/>
      <c r="F436" s="220">
        <f t="shared" si="53"/>
        <v>1</v>
      </c>
      <c r="G436" s="288">
        <f t="shared" si="54"/>
        <v>41836</v>
      </c>
      <c r="H436" s="221">
        <f t="shared" si="54"/>
        <v>41836</v>
      </c>
      <c r="I436" s="684"/>
      <c r="J436"/>
      <c r="K436"/>
      <c r="L436"/>
      <c r="M436"/>
      <c r="N436"/>
      <c r="O436"/>
      <c r="P436"/>
      <c r="Q436"/>
      <c r="R436"/>
      <c r="S436"/>
      <c r="T436"/>
      <c r="U436"/>
      <c r="X436"/>
      <c r="AB436"/>
      <c r="AC436"/>
      <c r="AF436" s="327">
        <f t="shared" si="52"/>
        <v>0</v>
      </c>
      <c r="AG436" s="60">
        <f t="shared" si="56"/>
        <v>41836</v>
      </c>
      <c r="AH436" s="60">
        <f t="shared" si="55"/>
        <v>41836</v>
      </c>
      <c r="AI436" s="47"/>
      <c r="AJ436" s="43"/>
      <c r="AK436" s="43"/>
      <c r="AL436" s="76"/>
    </row>
    <row r="437" spans="1:38" s="23" customFormat="1" ht="14.1" hidden="1" customHeight="1" outlineLevel="2" thickBot="1" x14ac:dyDescent="0.25">
      <c r="A437" s="144"/>
      <c r="B437" s="386" t="s">
        <v>97</v>
      </c>
      <c r="C437" s="478" t="s">
        <v>16</v>
      </c>
      <c r="D437" s="649"/>
      <c r="E437" s="649"/>
      <c r="F437" s="289"/>
      <c r="G437" s="289"/>
      <c r="H437" s="289"/>
      <c r="I437" s="684"/>
      <c r="J437"/>
      <c r="K437"/>
      <c r="L437"/>
      <c r="M437"/>
      <c r="N437"/>
      <c r="O437"/>
      <c r="P437"/>
      <c r="Q437"/>
      <c r="R437"/>
      <c r="S437"/>
      <c r="T437"/>
      <c r="U437"/>
      <c r="X437"/>
      <c r="AB437"/>
      <c r="AC437"/>
      <c r="AF437" s="327">
        <f t="shared" ref="AF437:AF444" si="57">IF(AND(S.AC.InvolveMeeting5="Y",S.AC.CommitteeInvolved="Y",S.AC.Presentation5="Y"),1,0)</f>
        <v>0</v>
      </c>
      <c r="AG437" s="34"/>
      <c r="AH437" s="34"/>
      <c r="AI437" s="34"/>
      <c r="AJ437" s="43"/>
      <c r="AK437" s="43"/>
      <c r="AL437" s="76"/>
    </row>
    <row r="438" spans="1:38" s="23" customFormat="1" ht="14.1" hidden="1" customHeight="1" outlineLevel="2" x14ac:dyDescent="0.2">
      <c r="A438" s="144"/>
      <c r="B438" s="387" t="s">
        <v>77</v>
      </c>
      <c r="C438" s="233" t="s">
        <v>0</v>
      </c>
      <c r="D438" s="290"/>
      <c r="E438" s="290"/>
      <c r="F438" s="286"/>
      <c r="G438" s="286"/>
      <c r="H438" s="286"/>
      <c r="I438" s="684"/>
      <c r="J438"/>
      <c r="K438"/>
      <c r="L438"/>
      <c r="M438"/>
      <c r="N438"/>
      <c r="O438"/>
      <c r="P438"/>
      <c r="Q438"/>
      <c r="R438"/>
      <c r="S438"/>
      <c r="T438"/>
      <c r="U438"/>
      <c r="X438"/>
      <c r="AB438"/>
      <c r="AC438"/>
      <c r="AF438" s="327">
        <f t="shared" si="57"/>
        <v>0</v>
      </c>
      <c r="AG438" s="34"/>
      <c r="AH438" s="34"/>
      <c r="AI438" s="47"/>
      <c r="AJ438" s="43"/>
      <c r="AK438" s="43"/>
      <c r="AL438" s="76"/>
    </row>
    <row r="439" spans="1:38" s="23" customFormat="1" ht="14.1" hidden="1" customHeight="1" outlineLevel="2" x14ac:dyDescent="0.2">
      <c r="A439" s="144"/>
      <c r="B439" s="388" t="str">
        <f>AK439</f>
        <v>* drafts optional AC.PRESENTATION.06.05.14</v>
      </c>
      <c r="C439" s="448" t="str">
        <f>HYPERLINK("http://deq05/intranet/communication/docs/DEQAgencyTemplate1.potx","i")</f>
        <v>i</v>
      </c>
      <c r="D439" s="322"/>
      <c r="E439" s="322"/>
      <c r="F439" s="220">
        <f>NETWORKDAYS(G439,H439,S.DDL_DEQClosed)</f>
        <v>1</v>
      </c>
      <c r="G439" s="288">
        <f>AG439</f>
        <v>41836</v>
      </c>
      <c r="H439" s="221">
        <f>AH439</f>
        <v>41836</v>
      </c>
      <c r="I439" s="684"/>
      <c r="J439"/>
      <c r="K439"/>
      <c r="L439"/>
      <c r="M439"/>
      <c r="N439"/>
      <c r="O439"/>
      <c r="P439"/>
      <c r="Q439"/>
      <c r="R439"/>
      <c r="S439"/>
      <c r="T439"/>
      <c r="U439"/>
      <c r="X439"/>
      <c r="AB439"/>
      <c r="AC439"/>
      <c r="AF439" s="327">
        <f t="shared" si="57"/>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x14ac:dyDescent="0.2">
      <c r="A440" s="144"/>
      <c r="B440" s="387" t="s">
        <v>77</v>
      </c>
      <c r="C440" s="233" t="s">
        <v>0</v>
      </c>
      <c r="D440" s="290"/>
      <c r="E440" s="290"/>
      <c r="F440" s="289"/>
      <c r="G440" s="289"/>
      <c r="H440" s="289"/>
      <c r="I440" s="684"/>
      <c r="J440"/>
      <c r="K440"/>
      <c r="L440"/>
      <c r="M440"/>
      <c r="N440"/>
      <c r="O440"/>
      <c r="P440"/>
      <c r="Q440"/>
      <c r="R440"/>
      <c r="S440"/>
      <c r="T440"/>
      <c r="U440"/>
      <c r="X440"/>
      <c r="AB440"/>
      <c r="AC440"/>
      <c r="AF440" s="327">
        <f t="shared" si="57"/>
        <v>0</v>
      </c>
      <c r="AG440" s="34"/>
      <c r="AH440" s="34"/>
      <c r="AI440" s="47"/>
      <c r="AJ440" s="43"/>
      <c r="AK440" s="43"/>
      <c r="AL440" s="76"/>
    </row>
    <row r="441" spans="1:38" s="23" customFormat="1" ht="14.1" hidden="1" customHeight="1" outlineLevel="2" x14ac:dyDescent="0.2">
      <c r="A441" s="144"/>
      <c r="B441" s="389" t="s">
        <v>111</v>
      </c>
      <c r="C441" s="233" t="s">
        <v>0</v>
      </c>
      <c r="D441" s="248"/>
      <c r="E441" s="248"/>
      <c r="F441" s="220">
        <f>NETWORKDAYS(G441,H441,S.DDL_DEQClosed)</f>
        <v>1</v>
      </c>
      <c r="G441" s="288">
        <f t="shared" ref="G441:H445" si="58">AG441</f>
        <v>41836</v>
      </c>
      <c r="H441" s="221">
        <f t="shared" si="58"/>
        <v>41836</v>
      </c>
      <c r="I441" s="684"/>
      <c r="J441"/>
      <c r="K441"/>
      <c r="L441"/>
      <c r="M441"/>
      <c r="N441"/>
      <c r="O441"/>
      <c r="P441"/>
      <c r="Q441"/>
      <c r="R441"/>
      <c r="S441"/>
      <c r="T441"/>
      <c r="U441"/>
      <c r="X441"/>
      <c r="AB441"/>
      <c r="AC441"/>
      <c r="AF441" s="327">
        <f t="shared" si="57"/>
        <v>0</v>
      </c>
      <c r="AG441" s="60">
        <f>G439</f>
        <v>41836</v>
      </c>
      <c r="AH441" s="60">
        <f>G441</f>
        <v>41836</v>
      </c>
      <c r="AI441" s="47"/>
      <c r="AJ441" s="43"/>
      <c r="AK441" s="43"/>
      <c r="AL441" s="76"/>
    </row>
    <row r="442" spans="1:38" s="23" customFormat="1" ht="14.1" hidden="1" customHeight="1" outlineLevel="2" x14ac:dyDescent="0.2">
      <c r="A442" s="144"/>
      <c r="B442" s="390" t="s">
        <v>144</v>
      </c>
      <c r="C442" s="233" t="s">
        <v>0</v>
      </c>
      <c r="D442" s="248"/>
      <c r="E442" s="248"/>
      <c r="F442" s="220">
        <f>NETWORKDAYS(G442,H442,S.DDL_DEQClosed)</f>
        <v>1</v>
      </c>
      <c r="G442" s="288">
        <f t="shared" si="58"/>
        <v>41836</v>
      </c>
      <c r="H442" s="221">
        <f t="shared" si="58"/>
        <v>41836</v>
      </c>
      <c r="I442" s="684"/>
      <c r="J442"/>
      <c r="K442"/>
      <c r="L442"/>
      <c r="M442"/>
      <c r="N442"/>
      <c r="O442"/>
      <c r="P442"/>
      <c r="Q442"/>
      <c r="R442"/>
      <c r="S442"/>
      <c r="T442"/>
      <c r="U442"/>
      <c r="X442"/>
      <c r="AB442"/>
      <c r="AC442"/>
      <c r="AF442" s="327">
        <f t="shared" si="57"/>
        <v>0</v>
      </c>
      <c r="AG442" s="60">
        <f>G441</f>
        <v>41836</v>
      </c>
      <c r="AH442" s="60">
        <f>G442</f>
        <v>41836</v>
      </c>
      <c r="AI442" s="47" t="s">
        <v>0</v>
      </c>
      <c r="AJ442" s="43"/>
      <c r="AK442" s="43"/>
      <c r="AL442" s="76"/>
    </row>
    <row r="443" spans="1:38" s="23" customFormat="1" ht="14.1" hidden="1" customHeight="1" outlineLevel="2" x14ac:dyDescent="0.2">
      <c r="A443" s="144"/>
      <c r="B443" s="391" t="str">
        <f>AK443</f>
        <v>Jill submits Web Request to post materials</v>
      </c>
      <c r="C443" s="450" t="str">
        <f>HYPERLINK("http://deq05/intranet/communication/WebRequests.htm","i")</f>
        <v>i</v>
      </c>
      <c r="D443" s="248"/>
      <c r="E443" s="248"/>
      <c r="F443" s="220">
        <f>NETWORKDAYS(G443,H443,S.DDL_DEQClosed)</f>
        <v>1</v>
      </c>
      <c r="G443" s="288">
        <f t="shared" si="58"/>
        <v>41836</v>
      </c>
      <c r="H443" s="221">
        <f t="shared" si="58"/>
        <v>41836</v>
      </c>
      <c r="I443" s="684"/>
      <c r="J443"/>
      <c r="K443"/>
      <c r="L443"/>
      <c r="M443"/>
      <c r="N443"/>
      <c r="O443"/>
      <c r="P443"/>
      <c r="Q443"/>
      <c r="R443"/>
      <c r="S443"/>
      <c r="T443"/>
      <c r="U443"/>
      <c r="X443"/>
      <c r="AB443"/>
      <c r="AC443"/>
      <c r="AF443" s="327">
        <f t="shared" si="57"/>
        <v>0</v>
      </c>
      <c r="AG443" s="60">
        <f>G442</f>
        <v>41836</v>
      </c>
      <c r="AH443" s="60">
        <f>G443</f>
        <v>41836</v>
      </c>
      <c r="AI443" s="47"/>
      <c r="AJ443" s="43"/>
      <c r="AK443" s="78" t="str">
        <f>S.Staff.Subject.Expert.FirstName&amp;" submits Web Request to post materials"</f>
        <v>Jill submits Web Request to post materials</v>
      </c>
      <c r="AL443" s="76"/>
    </row>
    <row r="444" spans="1:38" s="23" customFormat="1" ht="14.1" hidden="1" customHeight="1" outlineLevel="2" x14ac:dyDescent="0.2">
      <c r="A444" s="144"/>
      <c r="B444" s="390" t="s">
        <v>80</v>
      </c>
      <c r="C444" s="233" t="s">
        <v>0</v>
      </c>
      <c r="D444" s="248"/>
      <c r="E444" s="248"/>
      <c r="F444" s="220">
        <f>NETWORKDAYS(G444,H444,S.DDL_DEQClosed)</f>
        <v>1</v>
      </c>
      <c r="G444" s="288">
        <f t="shared" si="58"/>
        <v>41836</v>
      </c>
      <c r="H444" s="221">
        <f t="shared" si="58"/>
        <v>41836</v>
      </c>
      <c r="I444" s="684"/>
      <c r="J444"/>
      <c r="K444"/>
      <c r="L444"/>
      <c r="M444"/>
      <c r="N444"/>
      <c r="O444"/>
      <c r="P444"/>
      <c r="Q444"/>
      <c r="R444"/>
      <c r="S444"/>
      <c r="T444"/>
      <c r="U444"/>
      <c r="X444"/>
      <c r="AB444"/>
      <c r="AC444"/>
      <c r="AF444" s="327">
        <f t="shared" si="57"/>
        <v>0</v>
      </c>
      <c r="AG444" s="60">
        <f>G443</f>
        <v>41836</v>
      </c>
      <c r="AH444" s="60">
        <f>G444</f>
        <v>41836</v>
      </c>
      <c r="AI444" s="59"/>
      <c r="AJ444" s="59"/>
      <c r="AK444" s="43"/>
      <c r="AL444" s="76"/>
    </row>
    <row r="445" spans="1:38" s="23" customFormat="1" ht="14.1" hidden="1" customHeight="1" outlineLevel="2" x14ac:dyDescent="0.2">
      <c r="A445" s="144"/>
      <c r="B445" s="308" t="str">
        <f>AK445</f>
        <v>Jill sends meeting notice with link to Web page</v>
      </c>
      <c r="C445" s="233" t="s">
        <v>0</v>
      </c>
      <c r="D445" s="248"/>
      <c r="E445" s="248"/>
      <c r="F445" s="220">
        <f>NETWORKDAYS(G445,H445,S.DDL_DEQClosed)</f>
        <v>1</v>
      </c>
      <c r="G445" s="288">
        <f t="shared" si="58"/>
        <v>41836</v>
      </c>
      <c r="H445" s="221">
        <f t="shared" si="58"/>
        <v>41836</v>
      </c>
      <c r="I445" s="684"/>
      <c r="J445"/>
      <c r="K445"/>
      <c r="L445"/>
      <c r="M445"/>
      <c r="N445"/>
      <c r="O445"/>
      <c r="P445"/>
      <c r="Q445"/>
      <c r="R445"/>
      <c r="S445"/>
      <c r="T445"/>
      <c r="U445"/>
      <c r="X445"/>
      <c r="AB445"/>
      <c r="AC445"/>
      <c r="AF445" s="327">
        <f t="shared" ref="AF445:AF450" si="59">IF(AND(S.AC.InvolveMeeting5="Y",S.AC.CommitteeInvolved="Y"),1,0)</f>
        <v>0</v>
      </c>
      <c r="AG445" s="60">
        <f>G444</f>
        <v>41836</v>
      </c>
      <c r="AH445" s="60">
        <f>G445</f>
        <v>41836</v>
      </c>
      <c r="AI445" s="59"/>
      <c r="AJ445" s="59"/>
      <c r="AK445" s="78" t="str">
        <f>S.Staff.Subject.Expert.FirstName&amp;" sends meeting notice with link to Web page"</f>
        <v>Jill sends meeting notice with link to Web page</v>
      </c>
      <c r="AL445" s="76"/>
    </row>
    <row r="446" spans="1:38" s="23" customFormat="1" ht="14.1" hidden="1" customHeight="1" outlineLevel="2" x14ac:dyDescent="0.2">
      <c r="A446" s="144"/>
      <c r="B446" s="362" t="s">
        <v>78</v>
      </c>
      <c r="C446" s="233" t="s">
        <v>0</v>
      </c>
      <c r="D446" s="962" t="s">
        <v>724</v>
      </c>
      <c r="E446" s="964"/>
      <c r="F446" s="964"/>
      <c r="G446" s="965"/>
      <c r="H446" s="228">
        <f>AH446</f>
        <v>41850</v>
      </c>
      <c r="I446" s="684"/>
      <c r="J446"/>
      <c r="K446"/>
      <c r="L446"/>
      <c r="M446"/>
      <c r="N446"/>
      <c r="O446"/>
      <c r="P446"/>
      <c r="Q446"/>
      <c r="R446"/>
      <c r="S446"/>
      <c r="T446"/>
      <c r="U446"/>
      <c r="X446"/>
      <c r="AB446"/>
      <c r="AC446"/>
      <c r="AF446" s="327">
        <f t="shared" si="59"/>
        <v>0</v>
      </c>
      <c r="AG446" s="59"/>
      <c r="AH446" s="60">
        <f>S.AC.DateMeeting5</f>
        <v>41850</v>
      </c>
      <c r="AI446" s="59"/>
      <c r="AJ446" s="59"/>
      <c r="AK446" s="43"/>
      <c r="AL446" s="76"/>
    </row>
    <row r="447" spans="1:38" s="23" customFormat="1" ht="14.1" hidden="1" customHeight="1" outlineLevel="2" x14ac:dyDescent="0.2">
      <c r="A447" s="144"/>
      <c r="B447" s="308" t="str">
        <f>AK447</f>
        <v>Jill drafts AC.MINUTES06.05.14</v>
      </c>
      <c r="C447" s="448" t="str">
        <f>HYPERLINK("\\deq000\templates\General\Minutes Template.dotx","i")</f>
        <v>i</v>
      </c>
      <c r="D447" s="322"/>
      <c r="E447" s="322"/>
      <c r="F447" s="220">
        <f>NETWORKDAYS(G447,H447,S.DDL_DEQClosed)</f>
        <v>1</v>
      </c>
      <c r="G447" s="288">
        <f>AG447</f>
        <v>41850</v>
      </c>
      <c r="H447" s="221">
        <f>AH447</f>
        <v>41850</v>
      </c>
      <c r="I447" s="684"/>
      <c r="J447"/>
      <c r="K447"/>
      <c r="L447"/>
      <c r="M447"/>
      <c r="N447"/>
      <c r="O447"/>
      <c r="P447"/>
      <c r="Q447"/>
      <c r="R447"/>
      <c r="S447"/>
      <c r="T447"/>
      <c r="U447"/>
      <c r="X447"/>
      <c r="AB447"/>
      <c r="AC447"/>
      <c r="AF447" s="327">
        <f t="shared" si="59"/>
        <v>0</v>
      </c>
      <c r="AG447" s="60">
        <f>S.AC.DateMeeting5</f>
        <v>41850</v>
      </c>
      <c r="AH447" s="60">
        <f>G447</f>
        <v>41850</v>
      </c>
      <c r="AI447" s="59"/>
      <c r="AJ447" s="59"/>
      <c r="AK447" s="67" t="str">
        <f>S.Staff.Subject.Expert.FirstName&amp;" drafts AC.MINUTES"&amp;TEXT(S.AC.DateMeeting1,"mm.dd.yy")</f>
        <v>Jill drafts AC.MINUTES06.05.14</v>
      </c>
      <c r="AL447" s="76"/>
    </row>
    <row r="448" spans="1:38" s="23" customFormat="1" ht="14.1" hidden="1" customHeight="1" outlineLevel="2" x14ac:dyDescent="0.2">
      <c r="A448" s="144"/>
      <c r="B448" s="362" t="s">
        <v>79</v>
      </c>
      <c r="C448" s="233" t="s">
        <v>0</v>
      </c>
      <c r="D448" s="248"/>
      <c r="E448" s="248"/>
      <c r="F448" s="220">
        <f>NETWORKDAYS(G448,H448,S.DDL_DEQClosed)</f>
        <v>1</v>
      </c>
      <c r="G448" s="288">
        <f>AG448</f>
        <v>41850</v>
      </c>
      <c r="H448" s="221">
        <f>AH448</f>
        <v>41850</v>
      </c>
      <c r="I448" s="684"/>
      <c r="J448"/>
      <c r="K448"/>
      <c r="L448"/>
      <c r="M448"/>
      <c r="N448"/>
      <c r="O448"/>
      <c r="P448"/>
      <c r="Q448"/>
      <c r="R448"/>
      <c r="S448"/>
      <c r="T448"/>
      <c r="U448"/>
      <c r="X448"/>
      <c r="AB448"/>
      <c r="AC448"/>
      <c r="AF448" s="327">
        <f t="shared" si="59"/>
        <v>0</v>
      </c>
      <c r="AG448" s="60">
        <f>S.AC.DateMeeting5</f>
        <v>41850</v>
      </c>
      <c r="AH448" s="60">
        <f>G448</f>
        <v>41850</v>
      </c>
      <c r="AI448" s="59"/>
      <c r="AJ448" s="59"/>
      <c r="AK448" s="43"/>
      <c r="AL448" s="76"/>
    </row>
    <row r="449" spans="1:39" s="23" customFormat="1" ht="14.1" hidden="1" customHeight="1" outlineLevel="1" x14ac:dyDescent="0.2">
      <c r="A449" s="144"/>
      <c r="B449" s="192" t="str">
        <f>AK449</f>
        <v>Jill gathers all advisory committee emails for the Rule Record and saves as:</v>
      </c>
      <c r="C449" s="447" t="str">
        <f>HYPERLINK("\\deqhq1\Rule_Development\Currrent Plan","i")</f>
        <v>i</v>
      </c>
      <c r="D449" s="248"/>
      <c r="E449" s="248"/>
      <c r="F449"/>
      <c r="G449" s="256">
        <f>AG449</f>
        <v>41641</v>
      </c>
      <c r="H449" s="221">
        <f>AH449</f>
        <v>42033</v>
      </c>
      <c r="I449" s="684"/>
      <c r="J449"/>
      <c r="K449"/>
      <c r="L449"/>
      <c r="M449"/>
      <c r="N449"/>
      <c r="O449"/>
      <c r="P449"/>
      <c r="Q449"/>
      <c r="R449"/>
      <c r="S449"/>
      <c r="T449"/>
      <c r="U449"/>
      <c r="X449"/>
      <c r="AB449"/>
      <c r="AC449"/>
      <c r="AF449" s="327">
        <f t="shared" si="59"/>
        <v>0</v>
      </c>
      <c r="AG449" s="60">
        <f>S.AC.BANNER.Begin</f>
        <v>41641</v>
      </c>
      <c r="AH449" s="60">
        <f>S.AC.BANNER.End</f>
        <v>42033</v>
      </c>
      <c r="AI449" s="58"/>
      <c r="AJ449" s="66"/>
      <c r="AK449" s="67" t="str">
        <f>S.Staff.Subject.Expert.FirstName&amp;" gathers all advisory committee emails for the Rule Record and saves as:"</f>
        <v>Jill gathers all advisory committee emails for the Rule Record and saves as:</v>
      </c>
      <c r="AL449" s="76"/>
    </row>
    <row r="450" spans="1:39" s="23" customFormat="1" ht="14.1" hidden="1" customHeight="1" outlineLevel="1" x14ac:dyDescent="0.2">
      <c r="A450" s="144"/>
      <c r="B450" s="242" t="s">
        <v>90</v>
      </c>
      <c r="C450" s="233"/>
      <c r="D450" s="233"/>
      <c r="E450" s="233"/>
      <c r="F450" s="227"/>
      <c r="G450" s="223"/>
      <c r="H450" s="223"/>
      <c r="I450" s="684"/>
      <c r="J450"/>
      <c r="K450"/>
      <c r="L450"/>
      <c r="M450"/>
      <c r="N450"/>
      <c r="O450"/>
      <c r="P450"/>
      <c r="Q450"/>
      <c r="R450"/>
      <c r="S450"/>
      <c r="T450"/>
      <c r="U450"/>
      <c r="X450"/>
      <c r="AB450"/>
      <c r="AC450"/>
      <c r="AF450" s="327">
        <f t="shared" si="59"/>
        <v>0</v>
      </c>
      <c r="AG450" s="58"/>
      <c r="AH450" s="58"/>
      <c r="AI450" s="58"/>
      <c r="AJ450" s="44"/>
      <c r="AK450" s="58" t="s">
        <v>0</v>
      </c>
      <c r="AL450" s="76"/>
    </row>
    <row r="451" spans="1:39" ht="6" customHeight="1" collapsed="1" x14ac:dyDescent="0.2">
      <c r="A451" s="144"/>
      <c r="B451" s="116"/>
      <c r="C451" s="94"/>
      <c r="D451" s="93"/>
      <c r="E451" s="93"/>
      <c r="F451" s="95"/>
      <c r="G451" s="94"/>
      <c r="H451" s="94"/>
      <c r="I451" s="684"/>
      <c r="AF451" s="326" t="s">
        <v>0</v>
      </c>
      <c r="AG451" s="47"/>
      <c r="AH451" s="47"/>
      <c r="AI451" s="59"/>
      <c r="AJ451" s="59"/>
      <c r="AK451" s="43"/>
      <c r="AL451" s="76"/>
      <c r="AM451"/>
    </row>
    <row r="452" spans="1:39" s="23" customFormat="1" ht="20.25" customHeight="1" x14ac:dyDescent="0.3">
      <c r="A452" s="144"/>
      <c r="B452" s="992" t="str">
        <f>AK14</f>
        <v>Fees - not involved</v>
      </c>
      <c r="C452" s="992"/>
      <c r="D452" s="992"/>
      <c r="E452" s="992"/>
      <c r="F452" s="992"/>
      <c r="G452" s="992"/>
      <c r="H452" s="992"/>
      <c r="I452" s="684"/>
      <c r="J452"/>
      <c r="K452"/>
      <c r="L452"/>
      <c r="M452"/>
      <c r="N452"/>
      <c r="O452"/>
      <c r="P452"/>
      <c r="Q452"/>
      <c r="R452"/>
      <c r="S452"/>
      <c r="T452"/>
      <c r="U452"/>
      <c r="X452"/>
      <c r="AB452"/>
      <c r="AC452"/>
      <c r="AF452" s="326" t="s">
        <v>0</v>
      </c>
      <c r="AG452" s="76"/>
      <c r="AH452" s="76"/>
      <c r="AI452" s="59"/>
      <c r="AJ452" s="68"/>
      <c r="AK452" s="63" t="str">
        <f>AK14</f>
        <v>Fees - not involved</v>
      </c>
      <c r="AL452" s="76"/>
    </row>
    <row r="453" spans="1:39" s="341" customFormat="1" ht="14.1" hidden="1" customHeight="1" outlineLevel="1" x14ac:dyDescent="0.2">
      <c r="A453" s="338"/>
      <c r="B453" s="397" t="s">
        <v>0</v>
      </c>
      <c r="C453" s="339" t="s">
        <v>0</v>
      </c>
      <c r="D453" s="339"/>
      <c r="E453" s="339"/>
      <c r="F453" s="347" t="s">
        <v>0</v>
      </c>
      <c r="G453" s="340" t="s">
        <v>45</v>
      </c>
      <c r="H453" s="340" t="s">
        <v>100</v>
      </c>
      <c r="I453" s="684"/>
      <c r="J453"/>
      <c r="K453"/>
      <c r="L453"/>
      <c r="M453"/>
      <c r="N453"/>
      <c r="O453"/>
      <c r="P453"/>
      <c r="Q453"/>
      <c r="R453"/>
      <c r="S453"/>
      <c r="T453"/>
      <c r="U453"/>
      <c r="V453" s="23"/>
      <c r="W453" s="23"/>
      <c r="X453"/>
      <c r="Y453" s="23"/>
      <c r="Z453" s="23"/>
      <c r="AA453" s="23"/>
      <c r="AB453"/>
      <c r="AC453"/>
      <c r="AD453" s="23"/>
      <c r="AE453" s="23"/>
      <c r="AF453" s="343" t="s">
        <v>0</v>
      </c>
      <c r="AG453" s="342"/>
      <c r="AH453" s="342"/>
      <c r="AI453" s="344"/>
      <c r="AJ453" s="345"/>
      <c r="AK453" s="346"/>
      <c r="AL453" s="342"/>
    </row>
    <row r="454" spans="1:39" ht="14.1" hidden="1" customHeight="1" outlineLevel="1" x14ac:dyDescent="0.25">
      <c r="A454" s="144"/>
      <c r="B454" s="348" t="s">
        <v>0</v>
      </c>
      <c r="C454" s="117"/>
      <c r="D454" s="113"/>
      <c r="E454" s="113"/>
      <c r="F454" s="118"/>
      <c r="G454" s="167">
        <f>AG454</f>
        <v>0</v>
      </c>
      <c r="H454" s="173">
        <f>AH454</f>
        <v>0</v>
      </c>
      <c r="I454" s="684"/>
      <c r="AF454" s="326" t="s">
        <v>0</v>
      </c>
      <c r="AG454" s="60">
        <f>G14</f>
        <v>0</v>
      </c>
      <c r="AH454" s="60">
        <f>IF(S.Fee.Involved="N",,S.Notice.SubmitToSOS)</f>
        <v>0</v>
      </c>
      <c r="AI454" s="59"/>
      <c r="AJ454" s="59"/>
      <c r="AK454" s="66"/>
      <c r="AL454" s="76"/>
      <c r="AM454"/>
    </row>
    <row r="455" spans="1:39" ht="6" hidden="1" customHeight="1" outlineLevel="1" x14ac:dyDescent="0.2">
      <c r="A455" s="144"/>
      <c r="B455" s="105"/>
      <c r="C455" s="97"/>
      <c r="D455" s="630"/>
      <c r="E455" s="630"/>
      <c r="F455" s="98"/>
      <c r="G455" s="97"/>
      <c r="H455" s="97"/>
      <c r="I455" s="684"/>
      <c r="AF455" s="327" t="s">
        <v>0</v>
      </c>
      <c r="AG455" s="47"/>
      <c r="AH455" s="47"/>
      <c r="AI455" s="59"/>
      <c r="AJ455" s="59"/>
      <c r="AK455" s="62"/>
      <c r="AL455" s="76"/>
      <c r="AM455"/>
    </row>
    <row r="456" spans="1:39" s="23" customFormat="1" ht="14.1" hidden="1" customHeight="1" outlineLevel="1" x14ac:dyDescent="0.2">
      <c r="A456" s="144"/>
      <c r="B456" s="477" t="s">
        <v>234</v>
      </c>
      <c r="C456" s="447" t="str">
        <f>HYPERLINK("\\deqhq1\Rule_Resources\i\0-VersionHistory.pdf","i")</f>
        <v>i</v>
      </c>
      <c r="D456" s="631"/>
      <c r="E456" s="631"/>
      <c r="F456" s="83"/>
      <c r="G456" s="82"/>
      <c r="H456" s="82"/>
      <c r="I456" s="684"/>
      <c r="J456"/>
      <c r="K456"/>
      <c r="L456"/>
      <c r="M456"/>
      <c r="N456"/>
      <c r="O456"/>
      <c r="P456"/>
      <c r="Q456"/>
      <c r="R456"/>
      <c r="S456"/>
      <c r="T456"/>
      <c r="U456"/>
      <c r="X456"/>
      <c r="AB456"/>
      <c r="AC456"/>
      <c r="AF456" s="327" t="s">
        <v>0</v>
      </c>
      <c r="AG456" s="47"/>
      <c r="AH456" s="47"/>
      <c r="AI456" s="69"/>
      <c r="AJ456" s="69"/>
      <c r="AK456" s="35"/>
      <c r="AL456" s="76"/>
    </row>
    <row r="457" spans="1:39" s="23" customFormat="1" ht="14.1" hidden="1" customHeight="1" outlineLevel="1" x14ac:dyDescent="0.25">
      <c r="A457" s="144"/>
      <c r="B457" s="308" t="str">
        <f>AK457</f>
        <v>Jill:</v>
      </c>
      <c r="C457" s="183"/>
      <c r="D457" s="645"/>
      <c r="E457" s="645"/>
      <c r="F457" s="178"/>
      <c r="G457" s="179"/>
      <c r="H457" s="180"/>
      <c r="I457" s="684"/>
      <c r="J457"/>
      <c r="K457"/>
      <c r="L457"/>
      <c r="M457"/>
      <c r="N457"/>
      <c r="O457"/>
      <c r="P457"/>
      <c r="Q457"/>
      <c r="R457"/>
      <c r="S457"/>
      <c r="T457"/>
      <c r="U457"/>
      <c r="X457"/>
      <c r="AB457"/>
      <c r="AC457"/>
      <c r="AF457" s="326">
        <f t="shared" ref="AF457:AF463" si="60">IF(S.Fee.Involved="N",0,1)</f>
        <v>0</v>
      </c>
      <c r="AG457" s="58"/>
      <c r="AH457" s="58"/>
      <c r="AI457" s="59"/>
      <c r="AJ457" s="43"/>
      <c r="AK457" s="78" t="str">
        <f>S.Staff.Subject.Expert.FirstName&amp;":"</f>
        <v>Jill:</v>
      </c>
      <c r="AL457" s="76"/>
    </row>
    <row r="458" spans="1:39" s="23" customFormat="1" ht="14.1" hidden="1" customHeight="1" outlineLevel="1" x14ac:dyDescent="0.2">
      <c r="A458" s="144"/>
      <c r="B458" s="234" t="str">
        <f>AK458</f>
        <v>* devlopes Fee Approval Packet, resources: team and Maggie</v>
      </c>
      <c r="C458" s="450" t="str">
        <f>HYPERLINK("\\deqhq1\Rule_Resources\i\3-FeeApproval.pdf","i")</f>
        <v>i</v>
      </c>
      <c r="D458" s="248"/>
      <c r="E458" s="248"/>
      <c r="F458" s="516">
        <f>NETWORKDAYS(G458,H458,S.DDL_DEQClosed)</f>
        <v>0</v>
      </c>
      <c r="G458" s="464">
        <f>AG458</f>
        <v>0</v>
      </c>
      <c r="H458" s="464">
        <f>AH458</f>
        <v>0</v>
      </c>
      <c r="I458" s="684"/>
      <c r="J458"/>
      <c r="K458"/>
      <c r="L458"/>
      <c r="M458"/>
      <c r="N458"/>
      <c r="O458"/>
      <c r="P458"/>
      <c r="Q458"/>
      <c r="R458"/>
      <c r="S458"/>
      <c r="T458"/>
      <c r="U458"/>
      <c r="X458"/>
      <c r="AB458"/>
      <c r="AC458"/>
      <c r="AF458" s="326">
        <f t="shared" si="60"/>
        <v>0</v>
      </c>
      <c r="AG458" s="60">
        <f>S.Fee.BANNER.Begin</f>
        <v>0</v>
      </c>
      <c r="AH458" s="60">
        <f>G458</f>
        <v>0</v>
      </c>
      <c r="AI458" s="59"/>
      <c r="AJ458" s="59"/>
      <c r="AK458" s="78" t="str">
        <f>"* devlopes Fee Approval Packet, resources: team and "&amp;S.Staff.Budget</f>
        <v>* devlopes Fee Approval Packet, resources: team and Maggie</v>
      </c>
      <c r="AL458" s="76"/>
    </row>
    <row r="459" spans="1:39" s="23" customFormat="1" ht="14.1" hidden="1" customHeight="1" outlineLevel="1" x14ac:dyDescent="0.25">
      <c r="A459" s="144"/>
      <c r="B459" s="373" t="s">
        <v>115</v>
      </c>
      <c r="C459" s="183"/>
      <c r="D459" s="645"/>
      <c r="E459" s="645"/>
      <c r="F459" s="517"/>
      <c r="G459" s="519"/>
      <c r="H459" s="518"/>
      <c r="I459" s="684"/>
      <c r="J459"/>
      <c r="K459"/>
      <c r="L459"/>
      <c r="M459"/>
      <c r="N459"/>
      <c r="O459"/>
      <c r="P459"/>
      <c r="Q459"/>
      <c r="R459"/>
      <c r="S459"/>
      <c r="T459"/>
      <c r="U459"/>
      <c r="X459"/>
      <c r="AB459"/>
      <c r="AC459"/>
      <c r="AF459" s="326">
        <f t="shared" si="60"/>
        <v>0</v>
      </c>
      <c r="AG459" s="58"/>
      <c r="AH459" s="58"/>
      <c r="AI459" s="59"/>
      <c r="AJ459" s="43"/>
      <c r="AK459" s="66"/>
      <c r="AL459" s="76"/>
    </row>
    <row r="460" spans="1:39" s="23" customFormat="1" ht="14.1" hidden="1" customHeight="1" outlineLevel="1" x14ac:dyDescent="0.2">
      <c r="A460" s="144"/>
      <c r="B460" s="374" t="str">
        <f>AK460</f>
        <v>a. FEE.ANALYSIS (blank in folder 3)</v>
      </c>
      <c r="C460" s="485" t="s">
        <v>0</v>
      </c>
      <c r="D460" s="248"/>
      <c r="E460" s="689"/>
      <c r="F460" s="439"/>
      <c r="G460" s="439"/>
      <c r="H460" s="520"/>
      <c r="I460" s="684"/>
      <c r="J460"/>
      <c r="K460"/>
      <c r="L460"/>
      <c r="M460"/>
      <c r="N460"/>
      <c r="O460"/>
      <c r="P460"/>
      <c r="Q460"/>
      <c r="R460"/>
      <c r="S460"/>
      <c r="T460"/>
      <c r="U460"/>
      <c r="X460"/>
      <c r="AB460"/>
      <c r="AC460"/>
      <c r="AF460" s="326">
        <f t="shared" si="60"/>
        <v>0</v>
      </c>
      <c r="AG460" s="58"/>
      <c r="AH460" s="58"/>
      <c r="AI460" s="59"/>
      <c r="AJ460" s="59"/>
      <c r="AK460" s="67" t="str">
        <f>IF(S.Fee.DASApprovalRequired="Y","a. FEE.ANALYSIS (blank in folder 3)",IF(S.Fee.Involved="Y","a. FEE.ANALYSIS (blank in folder 3)"," blank row"))</f>
        <v>a. FEE.ANALYSIS (blank in folder 3)</v>
      </c>
      <c r="AL460" s="76"/>
    </row>
    <row r="461" spans="1:39" s="23" customFormat="1" ht="14.1" hidden="1" customHeight="1" outlineLevel="1" x14ac:dyDescent="0.2">
      <c r="A461" s="144"/>
      <c r="B461" s="374" t="str">
        <f>AK461</f>
        <v>b. FEE.SUPPORT.DOCS</v>
      </c>
      <c r="C461" s="485" t="s">
        <v>0</v>
      </c>
      <c r="D461" s="248"/>
      <c r="E461" s="689"/>
      <c r="F461" s="439"/>
      <c r="G461" s="439"/>
      <c r="H461" s="520"/>
      <c r="I461" s="684"/>
      <c r="J461"/>
      <c r="K461"/>
      <c r="L461"/>
      <c r="M461"/>
      <c r="N461"/>
      <c r="O461"/>
      <c r="P461"/>
      <c r="Q461"/>
      <c r="R461"/>
      <c r="S461"/>
      <c r="T461"/>
      <c r="U461"/>
      <c r="X461"/>
      <c r="AB461"/>
      <c r="AC461"/>
      <c r="AF461" s="326">
        <f t="shared" si="60"/>
        <v>0</v>
      </c>
      <c r="AG461" s="58"/>
      <c r="AH461" s="58"/>
      <c r="AI461" s="59"/>
      <c r="AJ461" s="59"/>
      <c r="AK461" s="67" t="str">
        <f>IF(S.Fee.DASApprovalRequired="Y","b. FEE.SUPPORT.DOCS",IF(S.Fee.Involved="Y","b. FEE.SUPPORT.DOCS","  blank row"))</f>
        <v>b. FEE.SUPPORT.DOCS</v>
      </c>
      <c r="AL461" s="76"/>
    </row>
    <row r="462" spans="1:39" s="23" customFormat="1" ht="14.1" hidden="1" customHeight="1" outlineLevel="1" x14ac:dyDescent="0.2">
      <c r="A462" s="144"/>
      <c r="B462" s="374" t="str">
        <f>AK462</f>
        <v>c. FEE.APPROVAL</v>
      </c>
      <c r="C462" s="450" t="str">
        <f>HYPERLINK("http://www.oregon.gov/DAS/CFO/budgetkickoffmeetings/march2012/107bf21_feeapproval.doc","i")</f>
        <v>i</v>
      </c>
      <c r="D462" s="248"/>
      <c r="E462" s="689"/>
      <c r="F462" s="439"/>
      <c r="G462" s="439"/>
      <c r="H462" s="520"/>
      <c r="I462" s="684"/>
      <c r="J462"/>
      <c r="K462"/>
      <c r="L462"/>
      <c r="M462"/>
      <c r="N462"/>
      <c r="O462"/>
      <c r="P462"/>
      <c r="Q462"/>
      <c r="R462"/>
      <c r="S462"/>
      <c r="T462"/>
      <c r="U462"/>
      <c r="X462"/>
      <c r="AB462"/>
      <c r="AC462"/>
      <c r="AF462" s="326">
        <f t="shared" si="60"/>
        <v>0</v>
      </c>
      <c r="AG462" s="58"/>
      <c r="AH462" s="58"/>
      <c r="AI462" s="59"/>
      <c r="AJ462" s="59"/>
      <c r="AK462" s="67" t="str">
        <f>IF(S.Fee.DASApprovalRequired="Y","c. FEE.APPROVAL",IF(S.Fee.Involved="Y","      After completing task at bottom of Fee Approval section, "," blank line"))</f>
        <v>c. FEE.APPROVAL</v>
      </c>
      <c r="AL462" s="76"/>
    </row>
    <row r="463" spans="1:39" s="23" customFormat="1" ht="14.1" hidden="1" customHeight="1" outlineLevel="1" x14ac:dyDescent="0.2">
      <c r="A463" s="144"/>
      <c r="B463" s="374" t="str">
        <f>AK463</f>
        <v>d. FEE.DETAIL</v>
      </c>
      <c r="C463" s="450" t="str">
        <f>HYPERLINK("http://www.oregon.gov/DAS/CFO/budgetkickoffmeetings/march2012/107bf22feechangedetail.xls","i")</f>
        <v>i</v>
      </c>
      <c r="D463" s="248"/>
      <c r="E463" s="689"/>
      <c r="F463" s="439"/>
      <c r="G463" s="439"/>
      <c r="H463" s="521"/>
      <c r="I463" s="684"/>
      <c r="J463"/>
      <c r="K463"/>
      <c r="L463"/>
      <c r="M463"/>
      <c r="N463"/>
      <c r="O463"/>
      <c r="P463"/>
      <c r="Q463"/>
      <c r="R463"/>
      <c r="S463"/>
      <c r="T463"/>
      <c r="U463"/>
      <c r="X463"/>
      <c r="AB463"/>
      <c r="AC463"/>
      <c r="AF463" s="326">
        <f t="shared" si="60"/>
        <v>0</v>
      </c>
      <c r="AG463" s="58"/>
      <c r="AH463" s="58"/>
      <c r="AI463" s="59"/>
      <c r="AJ463" s="59"/>
      <c r="AK463" s="67" t="str">
        <f>IF(S.Fee.DASApprovalRequired="Y","d. FEE.DETAIL",IF(S.Fee.Involved="Y","            the next DAS fee notification task is under 4-Notice"," blank row"))</f>
        <v>d. FEE.DETAIL</v>
      </c>
      <c r="AL463" s="76"/>
    </row>
    <row r="464" spans="1:39" s="23" customFormat="1" ht="14.1" hidden="1" customHeight="1" outlineLevel="1" x14ac:dyDescent="0.2">
      <c r="A464" s="144"/>
      <c r="B464" s="234" t="str">
        <f>AK464</f>
        <v>* requests Maggie's review for sufficiency, tone, plain English, style guide</v>
      </c>
      <c r="C464" s="486" t="s">
        <v>0</v>
      </c>
      <c r="D464" s="248"/>
      <c r="E464" s="248"/>
      <c r="F464" s="516">
        <f>NETWORKDAYS(G464,H464,S.DDL_DEQClosed)</f>
        <v>4</v>
      </c>
      <c r="G464" s="464">
        <f>AG464</f>
        <v>0</v>
      </c>
      <c r="H464" s="464">
        <f>AH464</f>
        <v>5</v>
      </c>
      <c r="I464" s="684"/>
      <c r="J464"/>
      <c r="K464"/>
      <c r="L464"/>
      <c r="M464"/>
      <c r="N464"/>
      <c r="O464"/>
      <c r="P464"/>
      <c r="Q464"/>
      <c r="R464"/>
      <c r="S464"/>
      <c r="T464"/>
      <c r="U464"/>
      <c r="X464"/>
      <c r="AB464"/>
      <c r="AC464"/>
      <c r="AF464" s="326">
        <f>IF(AND(S.Fee.Involved="Y",S.Fee.DASApprovalRequired="Y"),1,0)</f>
        <v>0</v>
      </c>
      <c r="AG464" s="60">
        <f>H458</f>
        <v>0</v>
      </c>
      <c r="AH464" s="60">
        <f>WORKDAY(G464+4,1,S.DDL_DEQClosed)</f>
        <v>5</v>
      </c>
      <c r="AI464" s="59"/>
      <c r="AJ464" s="59"/>
      <c r="AK464" s="169" t="str">
        <f>"* requests "&amp;S.Staff.AgencyRulesCoordinator&amp;"'s review for sufficiency, tone, plain English, style guide"</f>
        <v>* requests Maggie's review for sufficiency, tone, plain English, style guide</v>
      </c>
      <c r="AL464" s="76"/>
    </row>
    <row r="465" spans="1:39" s="23" customFormat="1" ht="14.1" hidden="1" customHeight="1" outlineLevel="1" x14ac:dyDescent="0.2">
      <c r="A465" s="144" t="s">
        <v>0</v>
      </c>
      <c r="B465" s="515" t="s">
        <v>278</v>
      </c>
      <c r="C465" s="286"/>
      <c r="D465" s="651"/>
      <c r="E465" s="651"/>
      <c r="F465" s="252"/>
      <c r="G465" s="253"/>
      <c r="H465" s="253"/>
      <c r="I465" s="684"/>
      <c r="J465"/>
      <c r="K465"/>
      <c r="L465"/>
      <c r="M465"/>
      <c r="N465"/>
      <c r="O465"/>
      <c r="P465"/>
      <c r="Q465"/>
      <c r="R465"/>
      <c r="S465"/>
      <c r="T465"/>
      <c r="U465"/>
      <c r="X465"/>
      <c r="AB465"/>
      <c r="AC465"/>
      <c r="AF465" s="326">
        <f>IF(S.Fee.Involved="Y",1,0)</f>
        <v>0</v>
      </c>
      <c r="AG465" s="58"/>
      <c r="AH465" s="58"/>
      <c r="AI465" s="59"/>
      <c r="AJ465" s="59"/>
      <c r="AK465" s="74"/>
      <c r="AL465" s="76"/>
    </row>
    <row r="466" spans="1:39" ht="14.1" hidden="1" customHeight="1" outlineLevel="1" x14ac:dyDescent="0.2">
      <c r="A466" s="144"/>
      <c r="B466" s="234" t="str">
        <f t="shared" ref="B466:B471" si="61">AK466</f>
        <v>* initiates Leah's Fee Approval Packet review, addresses suggestions</v>
      </c>
      <c r="C466" s="486" t="s">
        <v>0</v>
      </c>
      <c r="D466" s="248"/>
      <c r="E466" s="689"/>
      <c r="F466"/>
      <c r="G466"/>
      <c r="H466" s="221">
        <f>AH466</f>
        <v>5</v>
      </c>
      <c r="I466" s="684"/>
      <c r="AF466" s="326">
        <f>IF(AND(S.Fee.Involved="Y",S.Fee.DASApprovalRequired="Y"),1,0)</f>
        <v>0</v>
      </c>
      <c r="AG466" s="58"/>
      <c r="AH466" s="60">
        <f>H464</f>
        <v>5</v>
      </c>
      <c r="AI466" s="59"/>
      <c r="AJ466" s="59"/>
      <c r="AK466" s="169" t="str">
        <f>"* initiates "&amp;S.Staff.Program.Mgr.FirstName&amp;"'s Fee Approval Packet review, addresses suggestions"</f>
        <v>* initiates Leah's Fee Approval Packet review, addresses suggestions</v>
      </c>
      <c r="AL466" s="76"/>
      <c r="AM466"/>
    </row>
    <row r="467" spans="1:39" ht="14.1" hidden="1" customHeight="1" outlineLevel="1" thickBot="1" x14ac:dyDescent="0.25">
      <c r="A467" s="144"/>
      <c r="B467" s="307" t="str">
        <f t="shared" si="61"/>
        <v>1st loop of Leah's Fee Approval Packet review and approval</v>
      </c>
      <c r="C467" s="487"/>
      <c r="D467" s="248"/>
      <c r="E467" s="248"/>
      <c r="F467" s="226">
        <f>NETWORKDAYS(G467,H467,S.DDL_DEQClosed)</f>
        <v>-4</v>
      </c>
      <c r="G467" s="221">
        <f>AG467</f>
        <v>5</v>
      </c>
      <c r="H467" s="221">
        <f>AH467</f>
        <v>0</v>
      </c>
      <c r="I467" s="684"/>
      <c r="AF467" s="326">
        <f>IF(AND(S.Fee.Involved="Y",S.Fee.DASApprovalRequired="Y"),1,0)</f>
        <v>0</v>
      </c>
      <c r="AG467" s="60">
        <f>H466</f>
        <v>5</v>
      </c>
      <c r="AH467" s="60">
        <f>S.Fee.BANNER.End</f>
        <v>0</v>
      </c>
      <c r="AI467" s="59"/>
      <c r="AJ467" s="59"/>
      <c r="AK467" s="169" t="str">
        <f>"1st loop of "&amp;S.Staff.Program.Mgr.FirstName&amp;"'s Fee Approval Packet review and approval"</f>
        <v>1st loop of Leah's Fee Approval Packet review and approval</v>
      </c>
      <c r="AL467" s="76"/>
      <c r="AM467"/>
    </row>
    <row r="468" spans="1:39" ht="14.1" hidden="1" customHeight="1" outlineLevel="1" thickBot="1" x14ac:dyDescent="0.25">
      <c r="A468" s="144"/>
      <c r="B468" s="324" t="str">
        <f t="shared" si="61"/>
        <v>2nd loop of Leah's Fee Approval Packet review and approval</v>
      </c>
      <c r="C468" s="420" t="s">
        <v>134</v>
      </c>
      <c r="D468" s="248"/>
      <c r="E468" s="248"/>
      <c r="F468" s="226">
        <f>NETWORKDAYS(G468,H468,S.DDL_DEQClosed)</f>
        <v>0</v>
      </c>
      <c r="G468" s="221">
        <f>AG468</f>
        <v>0</v>
      </c>
      <c r="H468" s="221">
        <f>AH468</f>
        <v>0</v>
      </c>
      <c r="I468" s="684"/>
      <c r="AF468" s="326">
        <f>IF(AND(S.Fee.ApprovePacketLoop2="Y",S.Fee.Involved="Y",S.Fee.DASApprovalRequired="Y"),1,0)</f>
        <v>0</v>
      </c>
      <c r="AG468" s="60">
        <f>IF(S.Fee.ApprovePacketLoop2="N",,H467)</f>
        <v>0</v>
      </c>
      <c r="AH468" s="60">
        <f>IF(S.Fee.ApprovePacketLoop2="N",,S.Notice.SubmitToSOS)</f>
        <v>0</v>
      </c>
      <c r="AI468" s="59" t="s">
        <v>0</v>
      </c>
      <c r="AJ468" s="59"/>
      <c r="AK468" s="169" t="str">
        <f>"2nd loop of "&amp;S.Staff.Program.Mgr.FirstName&amp;"'s Fee Approval Packet review and approval"</f>
        <v>2nd loop of Leah's Fee Approval Packet review and approval</v>
      </c>
      <c r="AL468" s="76"/>
      <c r="AM468"/>
    </row>
    <row r="469" spans="1:39" ht="14.1" hidden="1" customHeight="1" outlineLevel="1" thickBot="1" x14ac:dyDescent="0.25">
      <c r="A469" s="144"/>
      <c r="B469" s="304" t="str">
        <f t="shared" si="61"/>
        <v>3rd loop of Leah's Fee Approval Packet review and approval</v>
      </c>
      <c r="C469" s="478" t="s">
        <v>134</v>
      </c>
      <c r="D469" s="248"/>
      <c r="E469" s="248"/>
      <c r="F469" s="226">
        <f>NETWORKDAYS(G469,H469,S.DDL_DEQClosed)</f>
        <v>0</v>
      </c>
      <c r="G469" s="221">
        <f>AG469</f>
        <v>0</v>
      </c>
      <c r="H469" s="221">
        <f>AH469</f>
        <v>0</v>
      </c>
      <c r="I469" s="684"/>
      <c r="AF469" s="326">
        <f>IF(AND(S.Fee.ApprovePacketLoop3="Y",S.Fee.Involved="Y",S.Fee.DASApprovalRequired="Y"),1,0)</f>
        <v>0</v>
      </c>
      <c r="AG469" s="60">
        <f>IF(S.Fee.ApprovePacketLoop3="N",,H468)</f>
        <v>0</v>
      </c>
      <c r="AH469" s="60">
        <f>IF(S.Fee.ApprovePacketLoop3="N",,S.Notice.SubmitToSOS)</f>
        <v>0</v>
      </c>
      <c r="AI469" s="59" t="s">
        <v>0</v>
      </c>
      <c r="AJ469" s="59"/>
      <c r="AK469" s="169" t="str">
        <f>"3rd loop of "&amp;S.Staff.Program.Mgr.FirstName&amp;"'s Fee Approval Packet review and approval"</f>
        <v>3rd loop of Leah's Fee Approval Packet review and approval</v>
      </c>
      <c r="AL469" s="76"/>
      <c r="AM469"/>
    </row>
    <row r="470" spans="1:39" ht="14.1" hidden="1" customHeight="1" outlineLevel="1" thickBot="1" x14ac:dyDescent="0.25">
      <c r="A470" s="144"/>
      <c r="B470" s="383" t="str">
        <f t="shared" si="61"/>
        <v>4th loop of Leah's Fee Approval Packet review and approval</v>
      </c>
      <c r="C470" s="478" t="s">
        <v>134</v>
      </c>
      <c r="D470" s="248"/>
      <c r="E470" s="248"/>
      <c r="F470" s="226">
        <f>NETWORKDAYS(G470,H470,S.DDL_DEQClosed)</f>
        <v>0</v>
      </c>
      <c r="G470" s="221">
        <f>AG470</f>
        <v>0</v>
      </c>
      <c r="H470" s="221">
        <f>AH470</f>
        <v>0</v>
      </c>
      <c r="I470" s="684"/>
      <c r="AF470" s="326">
        <f>IF(AND(S.Fee.ApprovePacketLoop4="Y",S.Fee.Involved="Y",S.Fee.DASApprovalRequired="Y"),1,0)</f>
        <v>0</v>
      </c>
      <c r="AG470" s="60">
        <f>IF(S.Fee.ApprovePacketLoop4="N",,H469)</f>
        <v>0</v>
      </c>
      <c r="AH470" s="60">
        <f>IF(S.Fee.ApprovePacketLoop4="N",,S.Notice.SubmitToSOS)</f>
        <v>0</v>
      </c>
      <c r="AI470" s="59"/>
      <c r="AJ470" s="59"/>
      <c r="AK470" s="169" t="str">
        <f>"4th loop of "&amp;S.Staff.Program.Mgr.FirstName&amp;"'s Fee Approval Packet review and approval"</f>
        <v>4th loop of Leah's Fee Approval Packet review and approval</v>
      </c>
      <c r="AL470" s="76"/>
      <c r="AM470"/>
    </row>
    <row r="471" spans="1:39" ht="14.1" hidden="1" customHeight="1" outlineLevel="1" x14ac:dyDescent="0.2">
      <c r="A471" s="144"/>
      <c r="B471" s="232" t="str">
        <f t="shared" si="61"/>
        <v>AndreaG coordinates:</v>
      </c>
      <c r="C471" s="233"/>
      <c r="D471" s="233"/>
      <c r="E471" s="233"/>
      <c r="F471" s="227"/>
      <c r="G471" s="223"/>
      <c r="H471" s="223"/>
      <c r="I471" s="684"/>
      <c r="AF471" s="326">
        <f t="shared" ref="AF471:AF478" si="62">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x14ac:dyDescent="0.2">
      <c r="A472" s="157"/>
      <c r="B472" s="234" t="s">
        <v>81</v>
      </c>
      <c r="C472" s="247" t="s">
        <v>0</v>
      </c>
      <c r="D472" s="248"/>
      <c r="E472" s="689"/>
      <c r="F472"/>
      <c r="G472" s="403"/>
      <c r="H472" s="228">
        <f>AH472</f>
        <v>0</v>
      </c>
      <c r="I472" s="684"/>
      <c r="J472"/>
      <c r="K472"/>
      <c r="L472"/>
      <c r="M472"/>
      <c r="N472"/>
      <c r="O472"/>
      <c r="P472"/>
      <c r="Q472"/>
      <c r="R472"/>
      <c r="S472"/>
      <c r="T472"/>
      <c r="U472"/>
      <c r="V472" s="23"/>
      <c r="W472" s="23"/>
      <c r="X472"/>
      <c r="Y472" s="23"/>
      <c r="Z472" s="23"/>
      <c r="AA472" s="23"/>
      <c r="AB472"/>
      <c r="AC472"/>
      <c r="AD472" s="23"/>
      <c r="AE472" s="23"/>
      <c r="AF472" s="326">
        <f t="shared" si="62"/>
        <v>0</v>
      </c>
      <c r="AG472" s="58"/>
      <c r="AH472" s="60">
        <f>S.Fee.SubmitToDAS</f>
        <v>0</v>
      </c>
      <c r="AI472" s="59"/>
      <c r="AJ472" s="59"/>
      <c r="AK472" s="62"/>
      <c r="AL472" s="76"/>
    </row>
    <row r="473" spans="1:39" s="23" customFormat="1" ht="14.1" hidden="1" customHeight="1" outlineLevel="1" x14ac:dyDescent="0.2">
      <c r="A473" s="144"/>
      <c r="B473" s="235" t="s">
        <v>82</v>
      </c>
      <c r="C473" s="233" t="s">
        <v>0</v>
      </c>
      <c r="D473" s="236"/>
      <c r="E473" s="236"/>
      <c r="F473" s="222" t="s">
        <v>0</v>
      </c>
      <c r="G473" s="223"/>
      <c r="H473" s="223"/>
      <c r="I473" s="684"/>
      <c r="J473"/>
      <c r="K473"/>
      <c r="L473"/>
      <c r="M473"/>
      <c r="N473"/>
      <c r="O473"/>
      <c r="P473"/>
      <c r="Q473"/>
      <c r="R473"/>
      <c r="S473"/>
      <c r="T473"/>
      <c r="U473"/>
      <c r="X473"/>
      <c r="AB473"/>
      <c r="AC473"/>
      <c r="AF473" s="326">
        <f t="shared" si="62"/>
        <v>0</v>
      </c>
      <c r="AG473" s="58" t="s">
        <v>0</v>
      </c>
      <c r="AH473" s="58"/>
      <c r="AI473" s="58"/>
      <c r="AJ473" s="66"/>
      <c r="AK473" s="44"/>
      <c r="AL473" s="76"/>
    </row>
    <row r="474" spans="1:39" s="23" customFormat="1" ht="14.1" hidden="1" customHeight="1" outlineLevel="1" x14ac:dyDescent="0.2">
      <c r="A474" s="144"/>
      <c r="B474" s="237" t="s">
        <v>89</v>
      </c>
      <c r="C474" s="233" t="s">
        <v>0</v>
      </c>
      <c r="D474" s="236"/>
      <c r="E474" s="236"/>
      <c r="F474" s="222" t="s">
        <v>0</v>
      </c>
      <c r="G474" s="223"/>
      <c r="H474" s="223"/>
      <c r="I474" s="684"/>
      <c r="J474"/>
      <c r="K474"/>
      <c r="L474"/>
      <c r="M474"/>
      <c r="N474"/>
      <c r="O474"/>
      <c r="P474"/>
      <c r="Q474"/>
      <c r="R474"/>
      <c r="S474"/>
      <c r="T474"/>
      <c r="U474"/>
      <c r="X474"/>
      <c r="AB474"/>
      <c r="AC474"/>
      <c r="AF474" s="326">
        <f t="shared" si="62"/>
        <v>0</v>
      </c>
      <c r="AG474" s="58" t="s">
        <v>0</v>
      </c>
      <c r="AH474" s="58"/>
      <c r="AI474" s="58"/>
      <c r="AJ474" s="66"/>
      <c r="AK474" s="44"/>
      <c r="AL474" s="76"/>
    </row>
    <row r="475" spans="1:39" ht="14.1" hidden="1" customHeight="1" outlineLevel="1" x14ac:dyDescent="0.2">
      <c r="A475" s="144"/>
      <c r="B475" s="190" t="s">
        <v>148</v>
      </c>
      <c r="C475" s="247" t="s">
        <v>0</v>
      </c>
      <c r="D475" s="248"/>
      <c r="E475" s="689"/>
      <c r="F475"/>
      <c r="G475"/>
      <c r="H475" s="221">
        <f t="shared" ref="H475:H482" si="63">AH475</f>
        <v>0</v>
      </c>
      <c r="I475" s="684"/>
      <c r="AF475" s="326">
        <f t="shared" si="62"/>
        <v>0</v>
      </c>
      <c r="AG475" s="58" t="s">
        <v>0</v>
      </c>
      <c r="AH475" s="60">
        <f>IF(AF475=0,,WORKDAY(H472+9,1,S.DDL_DEQClosed))</f>
        <v>0</v>
      </c>
      <c r="AI475" s="59"/>
      <c r="AJ475" s="59"/>
      <c r="AK475" s="62"/>
      <c r="AL475" s="76"/>
      <c r="AM475"/>
    </row>
    <row r="476" spans="1:39" s="23" customFormat="1" ht="14.1" hidden="1" customHeight="1" outlineLevel="1" x14ac:dyDescent="0.2">
      <c r="A476" s="144"/>
      <c r="B476" s="195" t="str">
        <f t="shared" ref="B476:B482" si="64">AK476</f>
        <v>DAS sends Jill response</v>
      </c>
      <c r="C476" s="247" t="s">
        <v>0</v>
      </c>
      <c r="D476" s="248"/>
      <c r="E476" s="689"/>
      <c r="F476"/>
      <c r="G476"/>
      <c r="H476" s="230">
        <f t="shared" si="63"/>
        <v>0</v>
      </c>
      <c r="I476" s="684"/>
      <c r="J476"/>
      <c r="K476"/>
      <c r="L476"/>
      <c r="M476"/>
      <c r="N476"/>
      <c r="O476"/>
      <c r="P476"/>
      <c r="Q476"/>
      <c r="R476"/>
      <c r="S476"/>
      <c r="T476"/>
      <c r="U476"/>
      <c r="X476"/>
      <c r="AB476"/>
      <c r="AC476"/>
      <c r="AF476" s="326">
        <f t="shared" si="62"/>
        <v>0</v>
      </c>
      <c r="AG476" s="58" t="s">
        <v>0</v>
      </c>
      <c r="AH476" s="60">
        <f>H475</f>
        <v>0</v>
      </c>
      <c r="AI476" s="59"/>
      <c r="AJ476" s="59"/>
      <c r="AK476" s="78" t="str">
        <f>"DAS sends "&amp;S.Staff.Subject.Expert.FirstName&amp;" response"</f>
        <v>DAS sends Jill response</v>
      </c>
      <c r="AL476" s="76"/>
    </row>
    <row r="477" spans="1:39" s="23" customFormat="1" ht="14.1" hidden="1" customHeight="1" outlineLevel="1" x14ac:dyDescent="0.2">
      <c r="A477" s="144"/>
      <c r="B477" s="191" t="str">
        <f t="shared" si="64"/>
        <v>If denied, Jill coordinates addressing DAS response</v>
      </c>
      <c r="C477" s="247" t="s">
        <v>0</v>
      </c>
      <c r="D477" s="248"/>
      <c r="E477" s="248"/>
      <c r="F477" s="226">
        <f>NETWORKDAYS(G477,H477,S.DDL_DEQClosed)</f>
        <v>0</v>
      </c>
      <c r="G477" s="221">
        <f t="shared" ref="G477:G482" si="65">AG477</f>
        <v>0</v>
      </c>
      <c r="H477" s="228">
        <f t="shared" si="63"/>
        <v>0</v>
      </c>
      <c r="I477" s="684"/>
      <c r="J477"/>
      <c r="K477"/>
      <c r="L477"/>
      <c r="M477"/>
      <c r="N477"/>
      <c r="O477"/>
      <c r="P477"/>
      <c r="Q477"/>
      <c r="R477"/>
      <c r="S477"/>
      <c r="T477"/>
      <c r="U477"/>
      <c r="X477"/>
      <c r="AB477"/>
      <c r="AC477"/>
      <c r="AF477" s="326">
        <f t="shared" si="62"/>
        <v>0</v>
      </c>
      <c r="AG477" s="60">
        <f>H476</f>
        <v>0</v>
      </c>
      <c r="AH477" s="60">
        <f t="shared" ref="AH477:AH482" si="66">G477</f>
        <v>0</v>
      </c>
      <c r="AI477" s="59"/>
      <c r="AJ477" s="59"/>
      <c r="AK477" s="78" t="str">
        <f>"If denied, "&amp;S.Staff.Subject.Expert.FirstName&amp;" coordinates addressing DAS response"</f>
        <v>If denied, Jill coordinates addressing DAS response</v>
      </c>
      <c r="AL477" s="76"/>
    </row>
    <row r="478" spans="1:39" ht="14.1" hidden="1" customHeight="1" outlineLevel="1" thickBot="1" x14ac:dyDescent="0.25">
      <c r="A478" s="144"/>
      <c r="B478" s="307" t="str">
        <f t="shared" si="64"/>
        <v>1st loop of Leah's approval of response to DAS denial</v>
      </c>
      <c r="C478" s="480" t="s">
        <v>0</v>
      </c>
      <c r="D478" s="248"/>
      <c r="E478" s="248"/>
      <c r="F478" s="226">
        <f>NETWORKDAYS(G478,H478,S.DDL_DEQClosed)</f>
        <v>0</v>
      </c>
      <c r="G478" s="221">
        <f t="shared" si="65"/>
        <v>0</v>
      </c>
      <c r="H478" s="221">
        <f t="shared" si="63"/>
        <v>0</v>
      </c>
      <c r="I478" s="684"/>
      <c r="AF478" s="326">
        <f t="shared" si="62"/>
        <v>0</v>
      </c>
      <c r="AG478" s="60">
        <f>H476</f>
        <v>0</v>
      </c>
      <c r="AH478" s="60">
        <f t="shared" si="66"/>
        <v>0</v>
      </c>
      <c r="AI478" s="59"/>
      <c r="AJ478" s="59"/>
      <c r="AK478" s="169" t="str">
        <f>"1st loop of "&amp;S.Staff.Program.Mgr.FirstName&amp;"'s approval of response to DAS denial"</f>
        <v>1st loop of Leah's approval of response to DAS denial</v>
      </c>
      <c r="AL478" s="76"/>
      <c r="AM478"/>
    </row>
    <row r="479" spans="1:39" ht="14.1" hidden="1" customHeight="1" outlineLevel="1" thickBot="1" x14ac:dyDescent="0.25">
      <c r="A479" s="144"/>
      <c r="B479" s="324" t="str">
        <f t="shared" si="64"/>
        <v>2nd loop of Leah's approval of response to DAS denial</v>
      </c>
      <c r="C479" s="420" t="s">
        <v>134</v>
      </c>
      <c r="D479" s="248"/>
      <c r="E479" s="248"/>
      <c r="F479" s="226">
        <f>NETWORKDAYS(G479,H479,S.DDL_DEQClosed)</f>
        <v>0</v>
      </c>
      <c r="G479" s="221">
        <f t="shared" si="65"/>
        <v>0</v>
      </c>
      <c r="H479" s="221">
        <f t="shared" si="63"/>
        <v>0</v>
      </c>
      <c r="I479" s="684"/>
      <c r="AF479" s="326">
        <f>IF(AND(S.Fee.ApproveDASdenialResponseLoop1="Y",S.Fee.Involved="Y",S.Fee.DASApprovalRequired="Y"),1,0)</f>
        <v>0</v>
      </c>
      <c r="AG479" s="60">
        <f>IF(S.Fee.ApproveDASdenialResponseLoop1="N",,H478)</f>
        <v>0</v>
      </c>
      <c r="AH479" s="60">
        <f t="shared" si="66"/>
        <v>0</v>
      </c>
      <c r="AI479" s="59"/>
      <c r="AJ479" s="59"/>
      <c r="AK479" s="169" t="str">
        <f>"2nd loop of "&amp;S.Staff.Program.Mgr.FirstName&amp;"'s approval of response to DAS denial"</f>
        <v>2nd loop of Leah's approval of response to DAS denial</v>
      </c>
      <c r="AL479" s="76"/>
      <c r="AM479"/>
    </row>
    <row r="480" spans="1:39" ht="14.1" hidden="1" customHeight="1" outlineLevel="1" thickBot="1" x14ac:dyDescent="0.25">
      <c r="A480" s="144"/>
      <c r="B480" s="304" t="str">
        <f t="shared" si="64"/>
        <v>3rd loop of Leah's approval of response to DAS denial</v>
      </c>
      <c r="C480" s="420" t="s">
        <v>134</v>
      </c>
      <c r="D480" s="248"/>
      <c r="E480" s="248"/>
      <c r="F480" s="226">
        <f>NETWORKDAYS(G480,H480,S.DDL_DEQClosed)</f>
        <v>0</v>
      </c>
      <c r="G480" s="221">
        <f t="shared" si="65"/>
        <v>0</v>
      </c>
      <c r="H480" s="221">
        <f t="shared" si="63"/>
        <v>0</v>
      </c>
      <c r="I480" s="684"/>
      <c r="AF480" s="326">
        <f>IF(AND(S.Fee.ApproveDASdenialResponseLoop2="Y",S.Fee.Involved="Y",S.Fee.DASApprovalRequired="Y"),1,0)</f>
        <v>0</v>
      </c>
      <c r="AG480" s="60">
        <f>IF(S.Fee.ApproveDASdenialResponseLoop2="N",,H479)</f>
        <v>0</v>
      </c>
      <c r="AH480" s="60">
        <f t="shared" si="66"/>
        <v>0</v>
      </c>
      <c r="AI480" s="59"/>
      <c r="AJ480" s="59"/>
      <c r="AK480" s="169" t="str">
        <f>"3rd loop of "&amp;S.Staff.Program.Mgr.FirstName&amp;"'s approval of response to DAS denial"</f>
        <v>3rd loop of Leah's approval of response to DAS denial</v>
      </c>
      <c r="AL480" s="76"/>
      <c r="AM480"/>
    </row>
    <row r="481" spans="1:39" ht="14.1" hidden="1" customHeight="1" outlineLevel="1" thickBot="1" x14ac:dyDescent="0.25">
      <c r="A481" s="144"/>
      <c r="B481" s="383" t="str">
        <f t="shared" si="64"/>
        <v>4th loop of Leah's approval of response to DAS denial</v>
      </c>
      <c r="C481" s="420" t="s">
        <v>134</v>
      </c>
      <c r="D481" s="248"/>
      <c r="E481" s="248"/>
      <c r="F481" s="226">
        <f>NETWORKDAYS(G481,H481,S.DDL_DEQClosed)</f>
        <v>0</v>
      </c>
      <c r="G481" s="221">
        <f t="shared" si="65"/>
        <v>0</v>
      </c>
      <c r="H481" s="221">
        <f t="shared" si="63"/>
        <v>0</v>
      </c>
      <c r="I481" s="684"/>
      <c r="AF481" s="326">
        <f>IF(AND(S.Fee.ApproveDASdenialResponseLoop4="Y",S.Fee.Involved="Y",S.Fee.DASApprovalRequired="Y"),1,0)</f>
        <v>0</v>
      </c>
      <c r="AG481" s="60">
        <f>IF(S.Fee.ApproveDASdenialResponseLoop4="N",,H480)</f>
        <v>0</v>
      </c>
      <c r="AH481" s="60">
        <f t="shared" si="66"/>
        <v>0</v>
      </c>
      <c r="AI481" s="59"/>
      <c r="AJ481" s="59"/>
      <c r="AK481" s="169" t="str">
        <f>"4th loop of "&amp;S.Staff.Program.Mgr.FirstName&amp;"'s approval of response to DAS denial"</f>
        <v>4th loop of Leah's approval of response to DAS denial</v>
      </c>
      <c r="AL481" s="76"/>
      <c r="AM481"/>
    </row>
    <row r="482" spans="1:39" s="23" customFormat="1" ht="14.1" hidden="1" customHeight="1" outlineLevel="1" x14ac:dyDescent="0.2">
      <c r="A482" s="144"/>
      <c r="B482" s="241" t="str">
        <f t="shared" si="64"/>
        <v>If approved, Jill scans and files DAS.PART1.pdf</v>
      </c>
      <c r="C482" s="247" t="s">
        <v>0</v>
      </c>
      <c r="D482" s="248"/>
      <c r="E482" s="689"/>
      <c r="F482"/>
      <c r="G482" s="497">
        <f t="shared" si="65"/>
        <v>0</v>
      </c>
      <c r="H482" s="230">
        <f t="shared" si="63"/>
        <v>0</v>
      </c>
      <c r="I482" s="684"/>
      <c r="J482"/>
      <c r="K482"/>
      <c r="L482"/>
      <c r="M482"/>
      <c r="N482"/>
      <c r="O482"/>
      <c r="P482"/>
      <c r="Q482"/>
      <c r="R482"/>
      <c r="S482"/>
      <c r="T482"/>
      <c r="U482"/>
      <c r="X482"/>
      <c r="AB482"/>
      <c r="AC482"/>
      <c r="AF482" s="326">
        <f>IF(AND(S.Fee.Involved="Y",S.Fee.DASApprovalRequired="Y"),1,0)</f>
        <v>0</v>
      </c>
      <c r="AG482" s="60">
        <f>H476</f>
        <v>0</v>
      </c>
      <c r="AH482" s="60">
        <f t="shared" si="66"/>
        <v>0</v>
      </c>
      <c r="AI482" s="59"/>
      <c r="AJ482" s="59"/>
      <c r="AK482" s="63" t="str">
        <f>"If approved, "&amp;S.Staff.Subject.Expert.FirstName&amp;" scans and files DAS.PART1.pdf"</f>
        <v>If approved, Jill scans and files DAS.PART1.pdf</v>
      </c>
      <c r="AL482" s="76"/>
    </row>
    <row r="483" spans="1:39" s="23" customFormat="1" ht="14.1" hidden="1" customHeight="1" outlineLevel="1" x14ac:dyDescent="0.2">
      <c r="A483" s="144"/>
      <c r="B483" s="238" t="s">
        <v>83</v>
      </c>
      <c r="C483" s="233" t="s">
        <v>0</v>
      </c>
      <c r="D483" s="239"/>
      <c r="E483" s="239"/>
      <c r="F483" s="222" t="s">
        <v>0</v>
      </c>
      <c r="G483" s="223"/>
      <c r="H483" s="223"/>
      <c r="I483" s="684"/>
      <c r="J483"/>
      <c r="K483"/>
      <c r="L483"/>
      <c r="M483"/>
      <c r="N483"/>
      <c r="O483"/>
      <c r="P483"/>
      <c r="Q483"/>
      <c r="R483"/>
      <c r="S483"/>
      <c r="T483"/>
      <c r="U483"/>
      <c r="X483"/>
      <c r="AB483"/>
      <c r="AC483"/>
      <c r="AF483" s="326">
        <f>IF(AND(S.Fee.Involved="Y",S.Fee.DASApprovalRequired="Y"),1,0)</f>
        <v>0</v>
      </c>
      <c r="AG483" s="58" t="s">
        <v>0</v>
      </c>
      <c r="AH483" s="58"/>
      <c r="AI483" s="58"/>
      <c r="AJ483" s="66"/>
      <c r="AK483" s="44"/>
      <c r="AL483" s="76"/>
    </row>
    <row r="484" spans="1:39" s="23" customFormat="1" ht="14.1" hidden="1" customHeight="1" outlineLevel="1" x14ac:dyDescent="0.2">
      <c r="A484" s="144"/>
      <c r="B484" s="192" t="str">
        <f>AK484</f>
        <v>Jill gathers all fee emails for the Rule Record and saves as:</v>
      </c>
      <c r="C484" s="447" t="str">
        <f>HYPERLINK("\\deqhq1\Rule_Development\Currrent Plan","i")</f>
        <v>i</v>
      </c>
      <c r="D484" s="248"/>
      <c r="E484" s="248"/>
      <c r="F484" s="226">
        <f>NETWORKDAYS(G484,H484,S.DDL_DEQClosed)</f>
        <v>0</v>
      </c>
      <c r="G484" s="221">
        <f>AG484</f>
        <v>0</v>
      </c>
      <c r="H484" s="221">
        <f>AH484</f>
        <v>0</v>
      </c>
      <c r="I484" s="684"/>
      <c r="J484"/>
      <c r="K484"/>
      <c r="L484"/>
      <c r="M484"/>
      <c r="N484"/>
      <c r="O484"/>
      <c r="P484"/>
      <c r="Q484"/>
      <c r="R484"/>
      <c r="S484"/>
      <c r="T484"/>
      <c r="U484"/>
      <c r="X484"/>
      <c r="AB484"/>
      <c r="AC484"/>
      <c r="AF484" s="326">
        <f>IF(AND(S.Fee.Involved="Y",S.Fee.DASApprovalRequired="Y"),1,0)</f>
        <v>0</v>
      </c>
      <c r="AG484" s="60">
        <f>H478</f>
        <v>0</v>
      </c>
      <c r="AH484" s="60">
        <f>G484</f>
        <v>0</v>
      </c>
      <c r="AI484" s="58"/>
      <c r="AJ484" s="66"/>
      <c r="AK484" s="63" t="str">
        <f>S.Staff.Subject.Expert.FirstName&amp;" gathers all fee emails for the Rule Record and saves as:"</f>
        <v>Jill gathers all fee emails for the Rule Record and saves as:</v>
      </c>
      <c r="AL484" s="76"/>
    </row>
    <row r="485" spans="1:39" s="23" customFormat="1" ht="14.1" hidden="1" customHeight="1" outlineLevel="1" x14ac:dyDescent="0.2">
      <c r="A485" s="144"/>
      <c r="B485" s="242" t="s">
        <v>90</v>
      </c>
      <c r="C485" s="233"/>
      <c r="D485" s="233"/>
      <c r="E485" s="233"/>
      <c r="F485" s="227"/>
      <c r="G485" s="223"/>
      <c r="H485" s="223"/>
      <c r="I485" s="684"/>
      <c r="J485"/>
      <c r="K485"/>
      <c r="L485"/>
      <c r="M485"/>
      <c r="N485"/>
      <c r="O485"/>
      <c r="P485"/>
      <c r="Q485"/>
      <c r="R485"/>
      <c r="S485"/>
      <c r="T485"/>
      <c r="U485"/>
      <c r="X485"/>
      <c r="AB485"/>
      <c r="AC485"/>
      <c r="AF485" s="326">
        <f>IF(S.Fee.Involved="Y",1,0)</f>
        <v>0</v>
      </c>
      <c r="AG485" s="58"/>
      <c r="AH485" s="58"/>
      <c r="AI485" s="58"/>
      <c r="AJ485" s="44"/>
      <c r="AK485" s="58" t="s">
        <v>0</v>
      </c>
      <c r="AL485" s="76"/>
    </row>
    <row r="486" spans="1:39" ht="6" customHeight="1" collapsed="1" x14ac:dyDescent="0.2">
      <c r="A486" s="144"/>
      <c r="B486" s="119"/>
      <c r="C486" s="99"/>
      <c r="D486" s="120"/>
      <c r="E486" s="120"/>
      <c r="F486" s="83"/>
      <c r="G486" s="121"/>
      <c r="H486" s="122"/>
      <c r="I486" s="684"/>
      <c r="AF486" s="326" t="s">
        <v>0</v>
      </c>
      <c r="AG486" s="47"/>
      <c r="AH486" s="47"/>
      <c r="AI486" s="59"/>
      <c r="AJ486" s="59"/>
      <c r="AK486" s="62"/>
      <c r="AL486" s="76"/>
      <c r="AM486"/>
    </row>
    <row r="487" spans="1:39" s="23" customFormat="1" ht="20.25" customHeight="1" x14ac:dyDescent="0.3">
      <c r="A487" s="144"/>
      <c r="B487" s="997" t="str">
        <f>AK22</f>
        <v>Public Notice</v>
      </c>
      <c r="C487" s="997"/>
      <c r="D487" s="997"/>
      <c r="E487" s="997"/>
      <c r="F487" s="997"/>
      <c r="G487" s="997"/>
      <c r="H487" s="997"/>
      <c r="I487" s="684"/>
      <c r="J487"/>
      <c r="K487"/>
      <c r="L487"/>
      <c r="M487"/>
      <c r="N487"/>
      <c r="O487"/>
      <c r="P487"/>
      <c r="Q487"/>
      <c r="R487"/>
      <c r="S487"/>
      <c r="T487"/>
      <c r="U487"/>
      <c r="X487"/>
      <c r="AB487"/>
      <c r="AC487"/>
      <c r="AF487" s="326" t="s">
        <v>0</v>
      </c>
      <c r="AG487" s="76"/>
      <c r="AH487" s="76"/>
      <c r="AI487" s="59"/>
      <c r="AJ487" s="68"/>
      <c r="AK487" s="58"/>
      <c r="AL487" s="76"/>
    </row>
    <row r="488" spans="1:39" s="23" customFormat="1" ht="14.1" customHeight="1" x14ac:dyDescent="0.2">
      <c r="A488" s="144"/>
      <c r="B488" s="896" t="str">
        <f>S.General.CodeName</f>
        <v>AQPerm</v>
      </c>
      <c r="C488" s="86" t="s">
        <v>0</v>
      </c>
      <c r="D488" s="163"/>
      <c r="E488" s="163"/>
      <c r="F488" s="163"/>
      <c r="G488" s="340" t="s">
        <v>45</v>
      </c>
      <c r="H488" s="340" t="s">
        <v>100</v>
      </c>
      <c r="I488" s="684"/>
      <c r="J488"/>
      <c r="K488"/>
      <c r="L488"/>
      <c r="M488"/>
      <c r="N488"/>
      <c r="O488"/>
      <c r="P488"/>
      <c r="Q488"/>
      <c r="R488"/>
      <c r="S488"/>
      <c r="T488"/>
      <c r="U488"/>
      <c r="X488"/>
      <c r="AB488"/>
      <c r="AC488"/>
      <c r="AF488" s="326" t="s">
        <v>0</v>
      </c>
      <c r="AG488" s="76"/>
      <c r="AH488" s="76"/>
      <c r="AI488" s="59"/>
      <c r="AJ488" s="68"/>
      <c r="AK488" s="58"/>
      <c r="AL488" s="76"/>
    </row>
    <row r="489" spans="1:39" ht="14.1" customHeight="1" x14ac:dyDescent="0.25">
      <c r="A489" s="144"/>
      <c r="B489" s="987" t="s">
        <v>0</v>
      </c>
      <c r="C489" s="987"/>
      <c r="D489" s="987"/>
      <c r="E489" s="987"/>
      <c r="F489" s="987"/>
      <c r="G489" s="167">
        <f>AG489</f>
        <v>41641</v>
      </c>
      <c r="H489" s="125">
        <f>AH489</f>
        <v>41897</v>
      </c>
      <c r="I489" s="684"/>
      <c r="AF489" s="326" t="s">
        <v>0</v>
      </c>
      <c r="AG489" s="60">
        <f>S.Notice.BANNER.Begin</f>
        <v>41641</v>
      </c>
      <c r="AH489" s="60">
        <f>S.Notice.BANNER.End</f>
        <v>41897</v>
      </c>
      <c r="AI489" s="59"/>
      <c r="AJ489" s="59"/>
      <c r="AK489" s="62"/>
      <c r="AL489" s="76"/>
      <c r="AM489"/>
    </row>
    <row r="490" spans="1:39" ht="6" customHeight="1" x14ac:dyDescent="0.2">
      <c r="A490" s="144">
        <v>111</v>
      </c>
      <c r="B490" s="123"/>
      <c r="C490" s="97"/>
      <c r="D490" s="630"/>
      <c r="E490" s="630"/>
      <c r="F490" s="98"/>
      <c r="G490" s="97"/>
      <c r="H490" s="97"/>
      <c r="I490" s="684"/>
      <c r="AF490" s="326" t="s">
        <v>0</v>
      </c>
      <c r="AG490" s="47"/>
      <c r="AH490" s="47"/>
      <c r="AI490" s="47"/>
      <c r="AJ490" s="44"/>
      <c r="AK490" s="44"/>
      <c r="AL490" s="76"/>
      <c r="AM490"/>
    </row>
    <row r="491" spans="1:39" s="23" customFormat="1" ht="14.1" hidden="1" customHeight="1" x14ac:dyDescent="0.2">
      <c r="A491" s="144"/>
      <c r="B491" s="477" t="s">
        <v>659</v>
      </c>
      <c r="C491" s="447" t="str">
        <f>HYPERLINK("\\deqhq1\Rule_Resources\i\0-VersionHistory.pdf","i")</f>
        <v>i</v>
      </c>
      <c r="D491" s="631"/>
      <c r="E491" s="631"/>
      <c r="F491" s="83"/>
      <c r="G491" s="82"/>
      <c r="H491" s="82"/>
      <c r="I491" s="684"/>
      <c r="J491"/>
      <c r="K491"/>
      <c r="L491"/>
      <c r="M491"/>
      <c r="N491"/>
      <c r="O491"/>
      <c r="P491"/>
      <c r="Q491"/>
      <c r="R491"/>
      <c r="S491"/>
      <c r="T491"/>
      <c r="U491"/>
      <c r="X491"/>
      <c r="AB491"/>
      <c r="AC491"/>
      <c r="AF491" s="327" t="s">
        <v>0</v>
      </c>
      <c r="AG491" s="47"/>
      <c r="AH491" s="59"/>
      <c r="AI491" s="69"/>
      <c r="AJ491" s="69"/>
      <c r="AK491" s="35"/>
      <c r="AL491" s="76"/>
    </row>
    <row r="492" spans="1:39" s="23" customFormat="1" ht="20.25" hidden="1" customHeight="1" thickBot="1" x14ac:dyDescent="0.25">
      <c r="A492" s="144"/>
      <c r="B492" s="461" t="s">
        <v>475</v>
      </c>
      <c r="D492" s="644"/>
      <c r="E492" s="644"/>
      <c r="I492" s="684"/>
      <c r="AF492" s="326">
        <f t="shared" ref="AF492:AF511" si="67">IF(S.Notice.Involved="Y",1,0)</f>
        <v>1</v>
      </c>
      <c r="AG492" s="59"/>
      <c r="AH492" s="59"/>
      <c r="AI492" s="59"/>
      <c r="AJ492" s="62"/>
      <c r="AK492" s="311"/>
      <c r="AL492" s="76"/>
    </row>
    <row r="493" spans="1:39" ht="14.1" hidden="1" customHeight="1" thickBot="1" x14ac:dyDescent="0.25">
      <c r="A493" s="144"/>
      <c r="B493" s="208" t="str">
        <f>AK493</f>
        <v xml:space="preserve">Jill leads drafting of Notice Packet with core team adhering to plain language </v>
      </c>
      <c r="C493" s="484" t="s">
        <v>0</v>
      </c>
      <c r="D493" s="653"/>
      <c r="E493" s="823"/>
      <c r="F493" s="23"/>
      <c r="G493" s="870">
        <f t="shared" ref="G493" si="68">AG493</f>
        <v>41641</v>
      </c>
      <c r="H493" s="871">
        <f t="shared" ref="H493" si="69">AH493</f>
        <v>41731</v>
      </c>
      <c r="I493" s="684"/>
      <c r="AF493" s="326">
        <f t="shared" si="67"/>
        <v>1</v>
      </c>
      <c r="AG493" s="505">
        <f>IF(AF493=0,,S.Notice.BANNER.Begin)</f>
        <v>41641</v>
      </c>
      <c r="AH493" s="505">
        <f>IF(AF493=0,,WORKDAY(S.Notice.Submit.ToSponsoringMgr-1,-1,S.DDL_DEQClosed))</f>
        <v>41731</v>
      </c>
      <c r="AI493" s="47"/>
      <c r="AJ493" s="44"/>
      <c r="AK493" s="169" t="str">
        <f>S.Staff.Subject.Expert.FirstName&amp;" leads drafting of Notice Packet with core team adhering to plain language "</f>
        <v xml:space="preserve">Jill leads drafting of Notice Packet with core team adhering to plain language </v>
      </c>
      <c r="AL493" s="76"/>
      <c r="AM493"/>
    </row>
    <row r="494" spans="1:39" s="928" customFormat="1" ht="13.7" hidden="1" customHeight="1" thickBot="1" x14ac:dyDescent="0.25">
      <c r="A494" s="144"/>
      <c r="B494" s="935" t="s">
        <v>700</v>
      </c>
      <c r="C494" s="450" t="str">
        <f>HYPERLINK("\\deqhq1\Rule_Resources\0.IndividualRulemaking\0-General\CoeName.CHECKLIST.PublicDocumentReview.docx","i")</f>
        <v>i</v>
      </c>
      <c r="D494" s="40"/>
      <c r="E494" s="40"/>
      <c r="F494" s="40"/>
      <c r="G494" s="40"/>
      <c r="H494" s="40"/>
      <c r="I494" s="684"/>
      <c r="AF494" s="326">
        <f t="shared" si="67"/>
        <v>1</v>
      </c>
      <c r="AG494" s="58"/>
      <c r="AH494" s="58"/>
      <c r="AI494" s="59"/>
      <c r="AJ494" s="59"/>
      <c r="AK494" s="44"/>
      <c r="AL494" s="76"/>
    </row>
    <row r="495" spans="1:39" s="23" customFormat="1" ht="14.1" hidden="1" customHeight="1" outlineLevel="1" x14ac:dyDescent="0.2">
      <c r="A495" s="144"/>
      <c r="B495" s="690" t="s">
        <v>476</v>
      </c>
      <c r="D495" s="644"/>
      <c r="E495" s="644"/>
      <c r="G495" s="40"/>
      <c r="H495" s="40"/>
      <c r="I495" s="684"/>
      <c r="AF495" s="326">
        <f t="shared" si="67"/>
        <v>1</v>
      </c>
      <c r="AG495" s="59"/>
      <c r="AH495" s="59"/>
      <c r="AI495" s="59"/>
      <c r="AJ495" s="62"/>
      <c r="AK495" s="311"/>
      <c r="AL495" s="76"/>
    </row>
    <row r="496" spans="1:39" s="23" customFormat="1" ht="14.1" hidden="1" customHeight="1" outlineLevel="1" x14ac:dyDescent="0.2">
      <c r="A496" s="144"/>
      <c r="B496" s="367" t="s">
        <v>494</v>
      </c>
      <c r="D496" s="644"/>
      <c r="E496" s="644"/>
      <c r="G496" s="40"/>
      <c r="H496" s="40"/>
      <c r="I496" s="684"/>
      <c r="AF496" s="326">
        <f t="shared" si="67"/>
        <v>1</v>
      </c>
      <c r="AG496" s="59"/>
      <c r="AH496" s="59"/>
      <c r="AI496" s="59"/>
      <c r="AJ496" s="62"/>
      <c r="AK496" s="311"/>
      <c r="AL496" s="76"/>
    </row>
    <row r="497" spans="1:38" s="23" customFormat="1" ht="14.1" hidden="1" customHeight="1" outlineLevel="1" x14ac:dyDescent="0.2">
      <c r="A497" s="144"/>
      <c r="B497" s="207" t="s">
        <v>482</v>
      </c>
      <c r="C497" s="484" t="s">
        <v>0</v>
      </c>
      <c r="D497"/>
      <c r="F497"/>
      <c r="G497" s="40"/>
      <c r="H497" s="40"/>
      <c r="I497" s="684"/>
      <c r="AF497" s="326">
        <f t="shared" si="67"/>
        <v>1</v>
      </c>
      <c r="AG497" s="58"/>
      <c r="AH497" s="58"/>
      <c r="AI497" s="59"/>
      <c r="AJ497" s="59"/>
      <c r="AK497" s="311"/>
      <c r="AL497" s="76"/>
    </row>
    <row r="498" spans="1:38" s="23" customFormat="1" ht="14.1" hidden="1" customHeight="1" outlineLevel="1" x14ac:dyDescent="0.2">
      <c r="A498" s="144"/>
      <c r="B498" s="267" t="s">
        <v>483</v>
      </c>
      <c r="C498" s="481"/>
      <c r="D498"/>
      <c r="F498"/>
      <c r="G498" s="40"/>
      <c r="H498" s="40"/>
      <c r="I498" s="684"/>
      <c r="AF498" s="326">
        <f t="shared" si="67"/>
        <v>1</v>
      </c>
      <c r="AG498" s="58"/>
      <c r="AH498" s="58"/>
      <c r="AI498" s="59"/>
      <c r="AJ498" s="59"/>
      <c r="AK498" s="44"/>
      <c r="AL498" s="76"/>
    </row>
    <row r="499" spans="1:38" s="23" customFormat="1" ht="14.1" hidden="1" customHeight="1" outlineLevel="1" x14ac:dyDescent="0.2">
      <c r="A499" s="144"/>
      <c r="B499" s="710" t="s">
        <v>518</v>
      </c>
      <c r="C499" s="247" t="s">
        <v>0</v>
      </c>
      <c r="D499"/>
      <c r="G499" s="40"/>
      <c r="H499" s="40"/>
      <c r="I499" s="684"/>
      <c r="AF499" s="326">
        <f t="shared" si="67"/>
        <v>1</v>
      </c>
      <c r="AG499" s="58"/>
      <c r="AH499" s="58"/>
      <c r="AI499" s="59"/>
      <c r="AJ499" s="59"/>
      <c r="AK499" s="44"/>
      <c r="AL499" s="76"/>
    </row>
    <row r="500" spans="1:38" s="23" customFormat="1" ht="14.1" hidden="1" customHeight="1" outlineLevel="1" x14ac:dyDescent="0.2">
      <c r="A500" s="144"/>
      <c r="B500" s="710" t="s">
        <v>519</v>
      </c>
      <c r="C500" s="247" t="s">
        <v>0</v>
      </c>
      <c r="D500"/>
      <c r="G500" s="40"/>
      <c r="H500" s="40"/>
      <c r="I500" s="684"/>
      <c r="AF500" s="326">
        <f t="shared" si="67"/>
        <v>1</v>
      </c>
      <c r="AG500" s="58"/>
      <c r="AH500" s="58"/>
      <c r="AI500" s="59"/>
      <c r="AJ500" s="59"/>
      <c r="AK500" s="44"/>
      <c r="AL500" s="76"/>
    </row>
    <row r="501" spans="1:38" s="23" customFormat="1" ht="14.1" hidden="1" customHeight="1" outlineLevel="1" x14ac:dyDescent="0.2">
      <c r="A501" s="144"/>
      <c r="B501" s="710" t="s">
        <v>520</v>
      </c>
      <c r="C501" s="247" t="s">
        <v>0</v>
      </c>
      <c r="D501"/>
      <c r="G501" s="40"/>
      <c r="H501" s="40"/>
      <c r="I501" s="684"/>
      <c r="AF501" s="326">
        <f t="shared" si="67"/>
        <v>1</v>
      </c>
      <c r="AG501" s="58"/>
      <c r="AH501" s="58"/>
      <c r="AI501" s="59"/>
      <c r="AJ501" s="59"/>
      <c r="AK501" s="44"/>
      <c r="AL501" s="76"/>
    </row>
    <row r="502" spans="1:38" s="23" customFormat="1" ht="14.1" hidden="1" customHeight="1" outlineLevel="1" x14ac:dyDescent="0.2">
      <c r="A502" s="144"/>
      <c r="B502" s="710" t="s">
        <v>521</v>
      </c>
      <c r="C502" s="247" t="s">
        <v>0</v>
      </c>
      <c r="G502" s="40"/>
      <c r="H502" s="40"/>
      <c r="I502" s="684"/>
      <c r="AF502" s="326">
        <f t="shared" si="67"/>
        <v>1</v>
      </c>
      <c r="AG502" s="58"/>
      <c r="AH502" s="58"/>
      <c r="AI502" s="59"/>
      <c r="AJ502" s="59"/>
      <c r="AK502" s="44"/>
      <c r="AL502" s="76"/>
    </row>
    <row r="503" spans="1:38" s="23" customFormat="1" ht="14.1" hidden="1" customHeight="1" outlineLevel="1" x14ac:dyDescent="0.2">
      <c r="A503" s="144"/>
      <c r="B503" s="710" t="s">
        <v>522</v>
      </c>
      <c r="C503" s="247" t="s">
        <v>0</v>
      </c>
      <c r="G503" s="40"/>
      <c r="H503" s="40"/>
      <c r="I503" s="684"/>
      <c r="AF503" s="326">
        <f t="shared" si="67"/>
        <v>1</v>
      </c>
      <c r="AG503" s="58"/>
      <c r="AH503" s="58"/>
      <c r="AI503" s="59"/>
      <c r="AJ503" s="59"/>
      <c r="AK503" s="44"/>
      <c r="AL503" s="76"/>
    </row>
    <row r="504" spans="1:38" s="23" customFormat="1" ht="14.1" hidden="1" customHeight="1" outlineLevel="1" x14ac:dyDescent="0.2">
      <c r="A504" s="144"/>
      <c r="B504" s="710" t="s">
        <v>523</v>
      </c>
      <c r="C504" s="247" t="s">
        <v>0</v>
      </c>
      <c r="D504"/>
      <c r="G504" s="40"/>
      <c r="H504" s="40"/>
      <c r="I504" s="684"/>
      <c r="AF504" s="326">
        <f t="shared" si="67"/>
        <v>1</v>
      </c>
      <c r="AG504" s="58"/>
      <c r="AH504" s="58"/>
      <c r="AI504" s="59"/>
      <c r="AJ504" s="59"/>
      <c r="AK504" s="44"/>
      <c r="AL504" s="76"/>
    </row>
    <row r="505" spans="1:38" s="23" customFormat="1" ht="14.1" hidden="1" customHeight="1" outlineLevel="1" x14ac:dyDescent="0.2">
      <c r="A505" s="144"/>
      <c r="B505" s="710" t="s">
        <v>524</v>
      </c>
      <c r="C505" s="247" t="s">
        <v>0</v>
      </c>
      <c r="D505"/>
      <c r="G505" s="40"/>
      <c r="H505" s="40"/>
      <c r="I505" s="684"/>
      <c r="AF505" s="326">
        <f t="shared" si="67"/>
        <v>1</v>
      </c>
      <c r="AG505" s="58"/>
      <c r="AH505" s="505">
        <f>S.Notice.Submit.ToRG</f>
        <v>41754</v>
      </c>
      <c r="AI505" s="59"/>
      <c r="AJ505" s="59"/>
      <c r="AK505" s="44"/>
      <c r="AL505" s="76"/>
    </row>
    <row r="506" spans="1:38" s="23" customFormat="1" ht="14.1" hidden="1" customHeight="1" outlineLevel="1" x14ac:dyDescent="0.2">
      <c r="A506" s="144"/>
      <c r="B506" s="711" t="s">
        <v>525</v>
      </c>
      <c r="C506" s="247" t="s">
        <v>0</v>
      </c>
      <c r="D506"/>
      <c r="G506" s="40"/>
      <c r="H506" s="40"/>
      <c r="I506" s="684"/>
      <c r="AF506" s="326">
        <f t="shared" si="67"/>
        <v>1</v>
      </c>
      <c r="AG506" s="58"/>
      <c r="AH506" s="58"/>
      <c r="AI506" s="59"/>
      <c r="AJ506" s="59"/>
      <c r="AK506" s="44"/>
      <c r="AL506" s="76"/>
    </row>
    <row r="507" spans="1:38" s="23" customFormat="1" ht="14.1" hidden="1" customHeight="1" outlineLevel="1" x14ac:dyDescent="0.2">
      <c r="A507" s="144"/>
      <c r="B507" s="207" t="s">
        <v>484</v>
      </c>
      <c r="C507" s="484" t="s">
        <v>0</v>
      </c>
      <c r="D507"/>
      <c r="F507"/>
      <c r="G507" s="669"/>
      <c r="H507" s="40"/>
      <c r="I507" s="684"/>
      <c r="AF507" s="326">
        <f t="shared" si="67"/>
        <v>1</v>
      </c>
      <c r="AG507" s="58"/>
      <c r="AH507" s="58"/>
      <c r="AI507" s="59"/>
      <c r="AJ507" s="59"/>
      <c r="AK507" s="44"/>
      <c r="AL507" s="76"/>
    </row>
    <row r="508" spans="1:38" s="23" customFormat="1" ht="14.1" hidden="1" customHeight="1" x14ac:dyDescent="0.2">
      <c r="A508" s="144"/>
      <c r="B508" s="232" t="str">
        <f>AK508</f>
        <v xml:space="preserve">Jill asks RESOURCES for help and input, especially: </v>
      </c>
      <c r="C508" s="233"/>
      <c r="D508" s="653"/>
      <c r="E508" s="823"/>
      <c r="F508"/>
      <c r="G508" s="872">
        <f t="shared" ref="G508:G521" si="70">AG508</f>
        <v>41641</v>
      </c>
      <c r="H508" s="873">
        <f t="shared" ref="H508:H521" si="71">AH508</f>
        <v>41731</v>
      </c>
      <c r="I508" s="684"/>
      <c r="AF508" s="326">
        <f t="shared" si="67"/>
        <v>1</v>
      </c>
      <c r="AG508" s="505">
        <f>IF(AF508=0,,S.Notice.BANNER.Begin)</f>
        <v>41641</v>
      </c>
      <c r="AH508" s="505">
        <f>IF(AF508=0,,WORKDAY(S.Notice.Submit.ToSponsoringMgr-1,-1,S.DDL_DEQClosed))</f>
        <v>41731</v>
      </c>
      <c r="AI508" s="58"/>
      <c r="AJ508" s="44"/>
      <c r="AK508" s="169" t="str">
        <f>S.Staff.Subject.Expert.FirstName&amp;" asks RESOURCES for help and input, especially: "</f>
        <v xml:space="preserve">Jill asks RESOURCES for help and input, especially: </v>
      </c>
      <c r="AL508" s="76"/>
    </row>
    <row r="509" spans="1:38" s="23" customFormat="1" ht="14.1" hidden="1" customHeight="1" x14ac:dyDescent="0.2">
      <c r="A509" s="144"/>
      <c r="B509" s="742" t="s">
        <v>515</v>
      </c>
      <c r="C509" s="247" t="s">
        <v>0</v>
      </c>
      <c r="G509" s="874"/>
      <c r="H509" s="875"/>
      <c r="I509" s="684"/>
      <c r="AF509" s="326">
        <f t="shared" si="67"/>
        <v>1</v>
      </c>
      <c r="AG509" s="58"/>
      <c r="AH509" s="58"/>
      <c r="AI509" s="59"/>
      <c r="AJ509" s="59"/>
      <c r="AK509" s="44"/>
      <c r="AL509" s="76"/>
    </row>
    <row r="510" spans="1:38" s="23" customFormat="1" ht="14.1" hidden="1" customHeight="1" x14ac:dyDescent="0.2">
      <c r="A510" s="144"/>
      <c r="B510" s="681" t="str">
        <f>AK510</f>
        <v>* Advisory Committee-for fiscal impact</v>
      </c>
      <c r="C510" s="247" t="s">
        <v>0</v>
      </c>
      <c r="D510" s="652"/>
      <c r="E510" s="824"/>
      <c r="F510"/>
      <c r="G510" s="876">
        <f t="shared" si="70"/>
        <v>41641</v>
      </c>
      <c r="H510" s="877">
        <f t="shared" si="71"/>
        <v>41731</v>
      </c>
      <c r="I510" s="684"/>
      <c r="J510"/>
      <c r="K510"/>
      <c r="L510"/>
      <c r="M510"/>
      <c r="N510"/>
      <c r="O510"/>
      <c r="P510"/>
      <c r="Q510"/>
      <c r="R510"/>
      <c r="S510"/>
      <c r="T510"/>
      <c r="U510"/>
      <c r="X510"/>
      <c r="AB510"/>
      <c r="AC510"/>
      <c r="AF510" s="326">
        <f t="shared" si="67"/>
        <v>1</v>
      </c>
      <c r="AG510" s="505">
        <f>$G$508</f>
        <v>41641</v>
      </c>
      <c r="AH510" s="505">
        <f>$H$508</f>
        <v>41731</v>
      </c>
      <c r="AI510" s="59"/>
      <c r="AJ510" s="59"/>
      <c r="AK510" s="67" t="str">
        <f>IF(S.AC.CommitteeInvolved="Y","* Advisory Committee-for fiscal impact","* Advisory Committee not involved")</f>
        <v>* Advisory Committee-for fiscal impact</v>
      </c>
      <c r="AL510" s="76"/>
    </row>
    <row r="511" spans="1:38" s="23" customFormat="1" ht="14.1" hidden="1" customHeight="1" x14ac:dyDescent="0.2">
      <c r="A511" s="144"/>
      <c r="B511" s="285" t="s">
        <v>526</v>
      </c>
      <c r="C511" s="247" t="s">
        <v>0</v>
      </c>
      <c r="D511" s="652"/>
      <c r="E511" s="824"/>
      <c r="F511"/>
      <c r="G511" s="876">
        <f t="shared" si="70"/>
        <v>41641</v>
      </c>
      <c r="H511" s="877">
        <f t="shared" si="71"/>
        <v>41731</v>
      </c>
      <c r="I511" s="684"/>
      <c r="J511"/>
      <c r="K511"/>
      <c r="L511"/>
      <c r="M511"/>
      <c r="N511"/>
      <c r="O511"/>
      <c r="P511"/>
      <c r="Q511"/>
      <c r="R511"/>
      <c r="S511"/>
      <c r="T511"/>
      <c r="U511"/>
      <c r="X511"/>
      <c r="AB511"/>
      <c r="AC511"/>
      <c r="AF511" s="326">
        <f t="shared" si="67"/>
        <v>1</v>
      </c>
      <c r="AG511" s="505">
        <f t="shared" ref="AG511:AG513" si="72">$G$508</f>
        <v>41641</v>
      </c>
      <c r="AH511" s="505">
        <f t="shared" ref="AH511:AH513" si="73">$H$508</f>
        <v>41731</v>
      </c>
      <c r="AI511" s="59"/>
      <c r="AJ511" s="59"/>
      <c r="AK511" s="44"/>
      <c r="AL511" s="76"/>
    </row>
    <row r="512" spans="1:38" s="23" customFormat="1" ht="14.1" hidden="1" customHeight="1" x14ac:dyDescent="0.2">
      <c r="A512" s="144"/>
      <c r="B512" s="285" t="str">
        <f t="shared" ref="B512" si="74">AK512</f>
        <v>* AndreaG, for SIP consultation</v>
      </c>
      <c r="C512" s="484" t="s">
        <v>0</v>
      </c>
      <c r="D512" s="652"/>
      <c r="E512" s="824"/>
      <c r="F512"/>
      <c r="G512" s="876">
        <f t="shared" si="70"/>
        <v>41641</v>
      </c>
      <c r="H512" s="877">
        <f t="shared" si="71"/>
        <v>41731</v>
      </c>
      <c r="I512" s="684"/>
      <c r="J512"/>
      <c r="K512"/>
      <c r="L512"/>
      <c r="M512"/>
      <c r="N512"/>
      <c r="O512"/>
      <c r="P512"/>
      <c r="Q512"/>
      <c r="R512"/>
      <c r="S512"/>
      <c r="T512"/>
      <c r="U512"/>
      <c r="X512"/>
      <c r="AB512"/>
      <c r="AC512"/>
      <c r="AF512" s="326">
        <f>IF(AND(S.SIP.Involved="Y",S.Notice.Involved="Y"),1,0)</f>
        <v>1</v>
      </c>
      <c r="AG512" s="505">
        <f t="shared" si="72"/>
        <v>41641</v>
      </c>
      <c r="AH512" s="505">
        <f t="shared" si="73"/>
        <v>41731</v>
      </c>
      <c r="AI512" s="59"/>
      <c r="AJ512" s="59"/>
      <c r="AK512" s="67" t="str">
        <f>IF(S.SIP.Involved="Y","* "&amp;S.Staff.SIPCo&amp;", for SIP consultation","* SIP not involved")</f>
        <v>* AndreaG, for SIP consultation</v>
      </c>
      <c r="AL512" s="76"/>
    </row>
    <row r="513" spans="1:38" s="23" customFormat="1" ht="14.1" hidden="1" customHeight="1" x14ac:dyDescent="0.2">
      <c r="A513" s="144"/>
      <c r="B513" s="207" t="str">
        <f>AK513</f>
        <v>* Leah for direction and subject consultation, especially to ensure drafts:</v>
      </c>
      <c r="C513" s="484" t="s">
        <v>0</v>
      </c>
      <c r="D513" s="653"/>
      <c r="E513" s="823"/>
      <c r="F513"/>
      <c r="G513" s="876">
        <f t="shared" si="70"/>
        <v>41641</v>
      </c>
      <c r="H513" s="877">
        <f t="shared" si="71"/>
        <v>41731</v>
      </c>
      <c r="I513" s="684"/>
      <c r="AF513" s="326">
        <f t="shared" ref="AF513:AF540" si="75">IF(S.Notice.Involved="Y",1,0)</f>
        <v>1</v>
      </c>
      <c r="AG513" s="505">
        <f t="shared" si="72"/>
        <v>41641</v>
      </c>
      <c r="AH513" s="505">
        <f t="shared" si="73"/>
        <v>41731</v>
      </c>
      <c r="AI513" s="47"/>
      <c r="AJ513" s="44"/>
      <c r="AK513" s="169" t="str">
        <f>"* "&amp;S.Staff.Program.Mgr.FirstName&amp;" for direction and subject consultation, especially to ensure drafts:"</f>
        <v>* Leah for direction and subject consultation, especially to ensure drafts:</v>
      </c>
      <c r="AL513" s="76"/>
    </row>
    <row r="514" spans="1:38" s="23" customFormat="1" ht="14.1" hidden="1" customHeight="1" x14ac:dyDescent="0.2">
      <c r="A514" s="144"/>
      <c r="B514" s="370" t="s">
        <v>531</v>
      </c>
      <c r="C514" s="247" t="s">
        <v>0</v>
      </c>
      <c r="D514"/>
      <c r="F514"/>
      <c r="G514" s="874"/>
      <c r="H514" s="875"/>
      <c r="I514" s="684"/>
      <c r="AF514" s="326">
        <f t="shared" si="75"/>
        <v>1</v>
      </c>
      <c r="AG514" s="59"/>
      <c r="AH514" s="59"/>
      <c r="AI514" s="59"/>
      <c r="AJ514" s="59"/>
      <c r="AK514" s="44"/>
      <c r="AL514" s="76"/>
    </row>
    <row r="515" spans="1:38" s="23" customFormat="1" ht="14.1" hidden="1" customHeight="1" x14ac:dyDescent="0.2">
      <c r="A515" s="144"/>
      <c r="B515" s="370" t="s">
        <v>532</v>
      </c>
      <c r="C515" s="247" t="s">
        <v>0</v>
      </c>
      <c r="D515"/>
      <c r="F515"/>
      <c r="G515" s="874"/>
      <c r="H515" s="875"/>
      <c r="I515" s="684"/>
      <c r="AF515" s="326">
        <f t="shared" si="75"/>
        <v>1</v>
      </c>
      <c r="AG515" s="59"/>
      <c r="AH515" s="59"/>
      <c r="AI515" s="59"/>
      <c r="AJ515" s="59"/>
      <c r="AK515" s="44"/>
      <c r="AL515" s="76"/>
    </row>
    <row r="516" spans="1:38" s="23" customFormat="1" ht="14.1" hidden="1" customHeight="1" x14ac:dyDescent="0.2">
      <c r="A516" s="144"/>
      <c r="B516" s="234" t="str">
        <f t="shared" ref="B516" si="76">AK516</f>
        <v>* AndreaG for rulemaking best practices consultation</v>
      </c>
      <c r="C516" s="233"/>
      <c r="D516" s="653"/>
      <c r="E516" s="823"/>
      <c r="F516"/>
      <c r="G516" s="876">
        <f t="shared" si="70"/>
        <v>41641</v>
      </c>
      <c r="H516" s="877">
        <f t="shared" si="71"/>
        <v>41731</v>
      </c>
      <c r="I516" s="684"/>
      <c r="AF516" s="326">
        <f t="shared" si="75"/>
        <v>1</v>
      </c>
      <c r="AG516" s="505">
        <f t="shared" ref="AG516:AG531" si="77">$G$508</f>
        <v>41641</v>
      </c>
      <c r="AH516" s="505">
        <f t="shared" ref="AH516:AH531" si="78">$H$508</f>
        <v>41731</v>
      </c>
      <c r="AI516" s="58"/>
      <c r="AJ516" s="44"/>
      <c r="AK516" s="169" t="str">
        <f>"* "&amp;S.Staff.RG.Lead.FirstName&amp;" for rulemaking best practices consultation"</f>
        <v>* AndreaG for rulemaking best practices consultation</v>
      </c>
      <c r="AL516" s="76"/>
    </row>
    <row r="517" spans="1:38" s="23" customFormat="1" ht="14.1" hidden="1" customHeight="1" x14ac:dyDescent="0.2">
      <c r="A517" s="144"/>
      <c r="B517" s="234" t="str">
        <f t="shared" ref="B517" si="79">AK517</f>
        <v>-blank-</v>
      </c>
      <c r="C517" s="233"/>
      <c r="D517" s="653"/>
      <c r="E517" s="823"/>
      <c r="F517"/>
      <c r="G517" s="876">
        <f t="shared" si="70"/>
        <v>41641</v>
      </c>
      <c r="H517" s="877">
        <f t="shared" si="71"/>
        <v>41731</v>
      </c>
      <c r="I517" s="684"/>
      <c r="AF517" s="326">
        <f t="shared" si="75"/>
        <v>1</v>
      </c>
      <c r="AG517" s="505">
        <f t="shared" si="77"/>
        <v>41641</v>
      </c>
      <c r="AH517" s="505">
        <f t="shared" si="78"/>
        <v>41731</v>
      </c>
      <c r="AI517" s="58"/>
      <c r="AJ517" s="44"/>
      <c r="AK517" s="169" t="str">
        <f>IF(S.PublicInformartionOfficer.Involved="Y","* "&amp;S.Staff.PublicAffairsOfficer&amp;" for updates to communication plan, message map, news release","-blank-")</f>
        <v>-blank-</v>
      </c>
      <c r="AL517" s="76"/>
    </row>
    <row r="518" spans="1:38" s="23" customFormat="1" ht="14.1" hidden="1" customHeight="1" x14ac:dyDescent="0.2">
      <c r="A518" s="144"/>
      <c r="B518" s="285" t="str">
        <f>AK518</f>
        <v>* Paul, if needed for legal consultation</v>
      </c>
      <c r="C518" s="484" t="s">
        <v>0</v>
      </c>
      <c r="D518" s="652"/>
      <c r="E518" s="824"/>
      <c r="F518"/>
      <c r="G518" s="876">
        <f t="shared" si="70"/>
        <v>41641</v>
      </c>
      <c r="H518" s="877">
        <f t="shared" si="71"/>
        <v>41731</v>
      </c>
      <c r="I518" s="684"/>
      <c r="AF518" s="326">
        <f t="shared" si="75"/>
        <v>1</v>
      </c>
      <c r="AG518" s="505">
        <f t="shared" si="77"/>
        <v>41641</v>
      </c>
      <c r="AH518" s="505">
        <f t="shared" si="78"/>
        <v>41731</v>
      </c>
      <c r="AI518" s="59"/>
      <c r="AJ518" s="59"/>
      <c r="AK518" s="67" t="str">
        <f>"* "&amp;S.Staff.AAG&amp;", if needed for legal consultation"</f>
        <v>* Paul, if needed for legal consultation</v>
      </c>
      <c r="AL518" s="76"/>
    </row>
    <row r="519" spans="1:38" s="23" customFormat="1" ht="14.1" hidden="1" customHeight="1" outlineLevel="1" x14ac:dyDescent="0.2">
      <c r="A519" s="144"/>
      <c r="B519" s="682" t="s">
        <v>477</v>
      </c>
      <c r="C519" s="484" t="s">
        <v>0</v>
      </c>
      <c r="D519" s="652"/>
      <c r="E519" s="824"/>
      <c r="F519"/>
      <c r="G519" s="876">
        <f t="shared" si="70"/>
        <v>41641</v>
      </c>
      <c r="H519" s="877">
        <f t="shared" si="71"/>
        <v>41731</v>
      </c>
      <c r="I519" s="684"/>
      <c r="J519"/>
      <c r="K519"/>
      <c r="L519"/>
      <c r="M519"/>
      <c r="N519"/>
      <c r="O519"/>
      <c r="P519"/>
      <c r="Q519"/>
      <c r="R519"/>
      <c r="S519"/>
      <c r="T519"/>
      <c r="U519"/>
      <c r="X519"/>
      <c r="AB519"/>
      <c r="AC519"/>
      <c r="AF519" s="326">
        <f t="shared" si="75"/>
        <v>1</v>
      </c>
      <c r="AG519" s="505">
        <f t="shared" si="77"/>
        <v>41641</v>
      </c>
      <c r="AH519" s="505">
        <f t="shared" si="78"/>
        <v>41731</v>
      </c>
      <c r="AI519" s="59"/>
      <c r="AJ519" s="59"/>
      <c r="AK519" s="44"/>
      <c r="AL519" s="76"/>
    </row>
    <row r="520" spans="1:38" s="23" customFormat="1" ht="14.1" hidden="1" customHeight="1" outlineLevel="1" x14ac:dyDescent="0.2">
      <c r="A520" s="144"/>
      <c r="B520" s="682" t="s">
        <v>477</v>
      </c>
      <c r="C520" s="484" t="s">
        <v>0</v>
      </c>
      <c r="D520" s="652"/>
      <c r="E520" s="824"/>
      <c r="F520"/>
      <c r="G520" s="876">
        <f t="shared" si="70"/>
        <v>41641</v>
      </c>
      <c r="H520" s="877">
        <f t="shared" si="71"/>
        <v>41731</v>
      </c>
      <c r="I520" s="684"/>
      <c r="J520"/>
      <c r="K520"/>
      <c r="L520"/>
      <c r="M520"/>
      <c r="N520"/>
      <c r="O520"/>
      <c r="P520"/>
      <c r="Q520"/>
      <c r="R520"/>
      <c r="S520"/>
      <c r="T520"/>
      <c r="U520"/>
      <c r="X520"/>
      <c r="AB520"/>
      <c r="AC520"/>
      <c r="AF520" s="326">
        <f t="shared" si="75"/>
        <v>1</v>
      </c>
      <c r="AG520" s="505">
        <f t="shared" si="77"/>
        <v>41641</v>
      </c>
      <c r="AH520" s="505">
        <f t="shared" si="78"/>
        <v>41731</v>
      </c>
      <c r="AI520" s="59"/>
      <c r="AJ520" s="59"/>
      <c r="AK520" s="44"/>
      <c r="AL520" s="76"/>
    </row>
    <row r="521" spans="1:38" s="23" customFormat="1" ht="14.1" hidden="1" customHeight="1" outlineLevel="1" x14ac:dyDescent="0.2">
      <c r="A521" s="144"/>
      <c r="B521" s="682" t="s">
        <v>477</v>
      </c>
      <c r="C521" s="484" t="s">
        <v>0</v>
      </c>
      <c r="D521" s="652"/>
      <c r="E521" s="824"/>
      <c r="F521"/>
      <c r="G521" s="876">
        <f t="shared" si="70"/>
        <v>41641</v>
      </c>
      <c r="H521" s="877">
        <f t="shared" si="71"/>
        <v>41731</v>
      </c>
      <c r="I521" s="684"/>
      <c r="J521"/>
      <c r="K521"/>
      <c r="L521"/>
      <c r="M521"/>
      <c r="N521"/>
      <c r="O521"/>
      <c r="P521"/>
      <c r="Q521"/>
      <c r="R521"/>
      <c r="S521"/>
      <c r="T521"/>
      <c r="U521"/>
      <c r="X521"/>
      <c r="AB521"/>
      <c r="AC521"/>
      <c r="AF521" s="326">
        <f t="shared" si="75"/>
        <v>1</v>
      </c>
      <c r="AG521" s="505">
        <f t="shared" si="77"/>
        <v>41641</v>
      </c>
      <c r="AH521" s="505">
        <f t="shared" si="78"/>
        <v>41731</v>
      </c>
      <c r="AI521" s="59"/>
      <c r="AJ521" s="59"/>
      <c r="AK521" s="44"/>
      <c r="AL521" s="76"/>
    </row>
    <row r="522" spans="1:38" s="23" customFormat="1" ht="14.1" hidden="1" customHeight="1" collapsed="1" thickBot="1" x14ac:dyDescent="0.25">
      <c r="A522" s="144"/>
      <c r="B522" s="232" t="str">
        <f t="shared" ref="B522" si="80">AK522</f>
        <v>Jill continually refines draft Notice Packet to consider RESOURCES input</v>
      </c>
      <c r="C522" s="233"/>
      <c r="D522" s="653"/>
      <c r="E522" s="823"/>
      <c r="F522"/>
      <c r="G522" s="878">
        <f>AG522</f>
        <v>41641</v>
      </c>
      <c r="H522" s="879">
        <f t="shared" ref="H522" si="81">AH522</f>
        <v>41731</v>
      </c>
      <c r="I522" s="684"/>
      <c r="AF522" s="326">
        <f t="shared" ref="AF522:AF532" si="82">IF(S.Notice.Involved="Y",1,0)</f>
        <v>1</v>
      </c>
      <c r="AG522" s="505">
        <f t="shared" si="77"/>
        <v>41641</v>
      </c>
      <c r="AH522" s="505">
        <f t="shared" si="78"/>
        <v>41731</v>
      </c>
      <c r="AI522" s="58"/>
      <c r="AJ522" s="44"/>
      <c r="AK522" s="169" t="str">
        <f>S.Staff.Subject.Expert.FirstName&amp;" continually refines draft Notice Packet to consider RESOURCES input"</f>
        <v>Jill continually refines draft Notice Packet to consider RESOURCES input</v>
      </c>
      <c r="AL522" s="76"/>
    </row>
    <row r="523" spans="1:38" s="23" customFormat="1" ht="14.1" hidden="1" customHeight="1" outlineLevel="1" x14ac:dyDescent="0.2">
      <c r="A523" s="144"/>
      <c r="B523" s="285" t="s">
        <v>684</v>
      </c>
      <c r="C523" s="247" t="s">
        <v>0</v>
      </c>
      <c r="D523" s="247" t="s">
        <v>0</v>
      </c>
      <c r="E523" s="247"/>
      <c r="I523" s="684"/>
      <c r="AF523" s="326">
        <f t="shared" si="82"/>
        <v>1</v>
      </c>
      <c r="AG523" s="59"/>
      <c r="AH523" s="59"/>
      <c r="AI523" s="59"/>
      <c r="AJ523" s="59"/>
      <c r="AK523" s="44"/>
      <c r="AL523" s="76"/>
    </row>
    <row r="524" spans="1:38" s="23" customFormat="1" ht="14.1" hidden="1" customHeight="1" outlineLevel="1" x14ac:dyDescent="0.2">
      <c r="A524" s="144"/>
      <c r="B524" s="285" t="str">
        <f>AK524</f>
        <v>* verifies/adjusts previously scheduled briefing &amp; review with Lydia</v>
      </c>
      <c r="C524" s="247" t="s">
        <v>0</v>
      </c>
      <c r="D524" s="247" t="s">
        <v>0</v>
      </c>
      <c r="E524" s="247"/>
      <c r="F524"/>
      <c r="G524"/>
      <c r="H524"/>
      <c r="I524" s="684"/>
      <c r="J524"/>
      <c r="K524"/>
      <c r="L524"/>
      <c r="M524"/>
      <c r="N524"/>
      <c r="O524"/>
      <c r="P524"/>
      <c r="Q524"/>
      <c r="R524"/>
      <c r="S524"/>
      <c r="T524"/>
      <c r="U524"/>
      <c r="X524"/>
      <c r="AB524"/>
      <c r="AC524"/>
      <c r="AF524" s="326">
        <f t="shared" si="82"/>
        <v>1</v>
      </c>
      <c r="AG524" s="59"/>
      <c r="AH524" s="59"/>
      <c r="AI524" s="59"/>
      <c r="AJ524" s="59"/>
      <c r="AK524" s="169" t="str">
        <f>"* verifies/adjusts previously scheduled briefing &amp; review with "&amp;S.Staff.Assistant.DA.ShortName</f>
        <v>* verifies/adjusts previously scheduled briefing &amp; review with Lydia</v>
      </c>
      <c r="AL524" s="76"/>
    </row>
    <row r="525" spans="1:38" s="23" customFormat="1" ht="14.1" hidden="1" customHeight="1" outlineLevel="1" x14ac:dyDescent="0.2">
      <c r="A525" s="144"/>
      <c r="B525" s="234" t="str">
        <f t="shared" ref="B525" si="83">AK525</f>
        <v>* asks Paul for legal sufficiency if warranted</v>
      </c>
      <c r="C525" s="233"/>
      <c r="D525" s="247" t="s">
        <v>0</v>
      </c>
      <c r="E525" s="247"/>
      <c r="F525"/>
      <c r="I525" s="684"/>
      <c r="AF525" s="326">
        <f t="shared" si="82"/>
        <v>1</v>
      </c>
      <c r="AG525" s="59"/>
      <c r="AH525" s="59"/>
      <c r="AI525" s="58"/>
      <c r="AJ525" s="44"/>
      <c r="AK525" s="169" t="str">
        <f>"* asks "&amp;S.Staff.AAG&amp;" for legal sufficiency if warranted"</f>
        <v>* asks Paul for legal sufficiency if warranted</v>
      </c>
      <c r="AL525" s="76"/>
    </row>
    <row r="526" spans="1:38" s="23" customFormat="1" ht="14.1" hidden="1" customHeight="1" outlineLevel="1" x14ac:dyDescent="0.2">
      <c r="A526" s="144"/>
      <c r="B526" s="234" t="str">
        <f t="shared" ref="B526:B530" si="84">AK526</f>
        <v>* addresses Paul concerns and discusses with Leah as needed</v>
      </c>
      <c r="C526" s="233"/>
      <c r="D526" s="247" t="s">
        <v>0</v>
      </c>
      <c r="E526" s="247"/>
      <c r="F526"/>
      <c r="I526" s="684"/>
      <c r="AF526" s="326">
        <f t="shared" si="82"/>
        <v>1</v>
      </c>
      <c r="AG526" s="59"/>
      <c r="AH526" s="59"/>
      <c r="AI526" s="58"/>
      <c r="AJ526" s="44"/>
      <c r="AK526" s="169" t="str">
        <f>"* addresses "&amp;S.Staff.AAG&amp;" concerns and discusses with "&amp;S.Staff.Program.Mgr.FirstName&amp;" as needed"</f>
        <v>* addresses Paul concerns and discusses with Leah as needed</v>
      </c>
      <c r="AL526" s="76"/>
    </row>
    <row r="527" spans="1:38" s="23" customFormat="1" ht="14.1" hidden="1" customHeight="1" outlineLevel="1" x14ac:dyDescent="0.2">
      <c r="A527" s="144"/>
      <c r="B527" s="207" t="str">
        <f t="shared" si="84"/>
        <v>* informs Leah about the approach, issues and potential delays</v>
      </c>
      <c r="C527" s="484" t="s">
        <v>0</v>
      </c>
      <c r="I527" s="684"/>
      <c r="AF527" s="326">
        <f t="shared" si="82"/>
        <v>1</v>
      </c>
      <c r="AG527" s="59"/>
      <c r="AH527" s="59"/>
      <c r="AI527" s="47"/>
      <c r="AJ527" s="44"/>
      <c r="AK527" s="169" t="str">
        <f>"* informs "&amp;S.Staff.Program.Mgr.FirstName&amp;" about the approach, issues and potential delays"</f>
        <v>* informs Leah about the approach, issues and potential delays</v>
      </c>
      <c r="AL527" s="76"/>
    </row>
    <row r="528" spans="1:38" s="23" customFormat="1" ht="14.1" hidden="1" customHeight="1" outlineLevel="1" x14ac:dyDescent="0.2">
      <c r="A528" s="144"/>
      <c r="B528" s="207" t="s">
        <v>550</v>
      </c>
      <c r="C528" s="207"/>
      <c r="D528" s="207"/>
      <c r="E528" s="207"/>
      <c r="F528" s="207"/>
      <c r="G528" s="40"/>
      <c r="I528" s="684"/>
      <c r="AF528" s="326">
        <f t="shared" si="82"/>
        <v>1</v>
      </c>
      <c r="AG528" s="59"/>
      <c r="AH528" s="59"/>
      <c r="AI528" s="47"/>
      <c r="AJ528" s="44"/>
      <c r="AK528" s="44"/>
      <c r="AL528" s="76"/>
    </row>
    <row r="529" spans="1:38" s="23" customFormat="1" ht="14.1" hidden="1" customHeight="1" outlineLevel="1" x14ac:dyDescent="0.2">
      <c r="A529" s="144"/>
      <c r="B529" s="207" t="s">
        <v>551</v>
      </c>
      <c r="C529" s="207"/>
      <c r="D529" s="207"/>
      <c r="E529" s="207"/>
      <c r="F529" s="207"/>
      <c r="G529" s="40"/>
      <c r="H529" s="40"/>
      <c r="I529" s="684"/>
      <c r="AF529" s="326">
        <f t="shared" si="82"/>
        <v>1</v>
      </c>
      <c r="AG529" s="59"/>
      <c r="AH529" s="59"/>
      <c r="AI529" s="47"/>
      <c r="AJ529" s="44"/>
      <c r="AK529" s="44"/>
      <c r="AL529" s="76"/>
    </row>
    <row r="530" spans="1:38" s="23" customFormat="1" ht="14.1" hidden="1" customHeight="1" outlineLevel="1" x14ac:dyDescent="0.2">
      <c r="A530" s="144"/>
      <c r="B530" s="234" t="str">
        <f t="shared" si="84"/>
        <v>* informs AndreaG about potential delays for and develop contingency, if needed</v>
      </c>
      <c r="C530" s="233"/>
      <c r="D530" s="247" t="s">
        <v>0</v>
      </c>
      <c r="E530" s="247"/>
      <c r="I530" s="684"/>
      <c r="AF530" s="326">
        <f t="shared" si="82"/>
        <v>1</v>
      </c>
      <c r="AG530" s="59"/>
      <c r="AH530" s="59"/>
      <c r="AI530" s="58"/>
      <c r="AJ530" s="44"/>
      <c r="AK530" s="169" t="str">
        <f>"* informs "&amp;S.Staff.RG.Lead.FirstName&amp;" about potential delays for and develop contingency, if needed"</f>
        <v>* informs AndreaG about potential delays for and develop contingency, if needed</v>
      </c>
      <c r="AL530" s="76"/>
    </row>
    <row r="531" spans="1:38" s="23" customFormat="1" ht="14.1" hidden="1" customHeight="1" thickBot="1" x14ac:dyDescent="0.25">
      <c r="A531" s="144"/>
      <c r="B531" s="717" t="str">
        <f>AK531</f>
        <v>Jill asks subject contributors, including Leah for consensus on</v>
      </c>
      <c r="C531" s="247" t="s">
        <v>0</v>
      </c>
      <c r="D531" s="653"/>
      <c r="E531" s="823"/>
      <c r="G531" s="878">
        <f>AG531</f>
        <v>41641</v>
      </c>
      <c r="H531" s="879">
        <f t="shared" ref="H531" si="85">AH531</f>
        <v>41731</v>
      </c>
      <c r="I531" s="684"/>
      <c r="AF531" s="326">
        <f t="shared" si="82"/>
        <v>1</v>
      </c>
      <c r="AG531" s="505">
        <f t="shared" si="77"/>
        <v>41641</v>
      </c>
      <c r="AH531" s="505">
        <f t="shared" si="78"/>
        <v>41731</v>
      </c>
      <c r="AI531" s="59"/>
      <c r="AJ531" s="59"/>
      <c r="AK531" s="169" t="str">
        <f>S.Staff.Subject.Expert.FirstName&amp;" asks subject contributors, including "&amp;S.Staff.Program.Mgr.FirstName&amp;" for consensus on"</f>
        <v>Jill asks subject contributors, including Leah for consensus on</v>
      </c>
      <c r="AL531" s="76"/>
    </row>
    <row r="532" spans="1:38" s="23" customFormat="1" ht="14.1" hidden="1" customHeight="1" x14ac:dyDescent="0.2">
      <c r="A532" s="144"/>
      <c r="B532" s="194" t="s">
        <v>646</v>
      </c>
      <c r="C532" s="207"/>
      <c r="D532" s="207"/>
      <c r="E532" s="207"/>
      <c r="F532" s="207"/>
      <c r="G532" s="40"/>
      <c r="I532" s="684"/>
      <c r="AF532" s="326">
        <f t="shared" si="82"/>
        <v>1</v>
      </c>
      <c r="AG532" s="47"/>
      <c r="AH532" s="47"/>
      <c r="AI532" s="47"/>
      <c r="AJ532" s="44"/>
      <c r="AK532" s="44"/>
      <c r="AL532" s="76"/>
    </row>
    <row r="533" spans="1:38" s="23" customFormat="1" ht="14.1" hidden="1" customHeight="1" x14ac:dyDescent="0.2">
      <c r="A533" s="144"/>
      <c r="B533" s="232" t="str">
        <f t="shared" ref="B533" si="86">AK533</f>
        <v>Jill verifies draft rules to ensure:</v>
      </c>
      <c r="C533" s="233"/>
      <c r="D533"/>
      <c r="F533"/>
      <c r="G533"/>
      <c r="H533"/>
      <c r="I533" s="684"/>
      <c r="J533"/>
      <c r="K533"/>
      <c r="L533"/>
      <c r="M533"/>
      <c r="N533"/>
      <c r="O533"/>
      <c r="P533"/>
      <c r="Q533"/>
      <c r="R533"/>
      <c r="S533"/>
      <c r="T533"/>
      <c r="U533"/>
      <c r="X533"/>
      <c r="AB533"/>
      <c r="AC533"/>
      <c r="AF533" s="326">
        <f t="shared" si="75"/>
        <v>1</v>
      </c>
      <c r="AG533" s="58"/>
      <c r="AH533" s="58"/>
      <c r="AI533" s="58"/>
      <c r="AJ533" s="44"/>
      <c r="AK533" s="169" t="str">
        <f>S.Staff.Subject.Expert.FirstName&amp;" verifies draft rules to ensure:"</f>
        <v>Jill verifies draft rules to ensure:</v>
      </c>
      <c r="AL533" s="76"/>
    </row>
    <row r="534" spans="1:38" s="23" customFormat="1" ht="14.1" hidden="1" customHeight="1" outlineLevel="1" x14ac:dyDescent="0.2">
      <c r="A534" s="144"/>
      <c r="B534" s="267" t="s">
        <v>495</v>
      </c>
      <c r="C534" s="448" t="str">
        <f>HYPERLINK("http://arcweb.sos.state.or.us/pages/rules/oars_300/oar_340/340_tofc.html","i")</f>
        <v>i</v>
      </c>
      <c r="D534" s="248"/>
      <c r="E534" s="689"/>
      <c r="F534"/>
      <c r="G534"/>
      <c r="H534"/>
      <c r="I534" s="684"/>
      <c r="J534"/>
      <c r="K534"/>
      <c r="L534"/>
      <c r="M534"/>
      <c r="N534"/>
      <c r="O534"/>
      <c r="P534"/>
      <c r="Q534"/>
      <c r="R534"/>
      <c r="S534"/>
      <c r="T534"/>
      <c r="U534"/>
      <c r="X534"/>
      <c r="AB534"/>
      <c r="AC534"/>
      <c r="AF534" s="326">
        <f t="shared" si="75"/>
        <v>1</v>
      </c>
      <c r="AG534" s="58"/>
      <c r="AH534" s="58"/>
      <c r="AI534" s="59"/>
      <c r="AJ534" s="59"/>
      <c r="AK534" s="44"/>
      <c r="AL534" s="76"/>
    </row>
    <row r="535" spans="1:38" s="23" customFormat="1" ht="14.1" hidden="1" customHeight="1" outlineLevel="1" x14ac:dyDescent="0.2">
      <c r="A535" s="144"/>
      <c r="B535" s="267" t="s">
        <v>496</v>
      </c>
      <c r="C535" s="481"/>
      <c r="D535" s="248"/>
      <c r="E535" s="689"/>
      <c r="F535"/>
      <c r="I535" s="684"/>
      <c r="AF535" s="326">
        <f t="shared" si="75"/>
        <v>1</v>
      </c>
      <c r="AG535" s="58"/>
      <c r="AH535" s="58"/>
      <c r="AI535" s="59"/>
      <c r="AJ535" s="59"/>
      <c r="AK535" s="44"/>
      <c r="AL535" s="76"/>
    </row>
    <row r="536" spans="1:38" s="23" customFormat="1" ht="14.1" hidden="1" customHeight="1" outlineLevel="1" x14ac:dyDescent="0.2">
      <c r="A536" s="144"/>
      <c r="B536" s="267" t="s">
        <v>679</v>
      </c>
      <c r="C536" s="481"/>
      <c r="D536" s="248"/>
      <c r="E536" s="689"/>
      <c r="F536"/>
      <c r="G536"/>
      <c r="H536"/>
      <c r="I536" s="684"/>
      <c r="J536"/>
      <c r="K536"/>
      <c r="L536"/>
      <c r="M536"/>
      <c r="N536"/>
      <c r="O536"/>
      <c r="P536"/>
      <c r="Q536"/>
      <c r="R536"/>
      <c r="S536"/>
      <c r="T536"/>
      <c r="U536"/>
      <c r="X536"/>
      <c r="AB536"/>
      <c r="AC536"/>
      <c r="AF536" s="326">
        <f t="shared" si="75"/>
        <v>1</v>
      </c>
      <c r="AG536" s="58"/>
      <c r="AH536" s="58"/>
      <c r="AI536" s="59"/>
      <c r="AJ536" s="59"/>
      <c r="AK536" s="44"/>
      <c r="AL536" s="76"/>
    </row>
    <row r="537" spans="1:38" s="910" customFormat="1" ht="14.1" hidden="1" customHeight="1" outlineLevel="1" x14ac:dyDescent="0.2">
      <c r="A537" s="144"/>
      <c r="B537" s="267" t="s">
        <v>478</v>
      </c>
      <c r="C537" s="481"/>
      <c r="D537" s="248"/>
      <c r="E537" s="689"/>
      <c r="I537" s="684"/>
      <c r="AF537" s="326">
        <f t="shared" si="75"/>
        <v>1</v>
      </c>
      <c r="AG537" s="58"/>
      <c r="AH537" s="58"/>
      <c r="AI537" s="59"/>
      <c r="AJ537" s="59"/>
      <c r="AK537" s="44"/>
      <c r="AL537" s="76"/>
    </row>
    <row r="538" spans="1:38" s="23" customFormat="1" ht="14.1" hidden="1" customHeight="1" outlineLevel="1" x14ac:dyDescent="0.2">
      <c r="A538" s="144"/>
      <c r="B538" s="267" t="s">
        <v>479</v>
      </c>
      <c r="C538" s="481"/>
      <c r="D538" s="248"/>
      <c r="E538" s="689"/>
      <c r="F538"/>
      <c r="G538"/>
      <c r="H538"/>
      <c r="I538" s="684"/>
      <c r="J538"/>
      <c r="K538"/>
      <c r="L538"/>
      <c r="M538"/>
      <c r="N538"/>
      <c r="O538"/>
      <c r="P538"/>
      <c r="Q538"/>
      <c r="R538"/>
      <c r="S538"/>
      <c r="T538"/>
      <c r="U538"/>
      <c r="X538"/>
      <c r="AB538"/>
      <c r="AC538"/>
      <c r="AF538" s="326">
        <f t="shared" si="75"/>
        <v>1</v>
      </c>
      <c r="AG538" s="58"/>
      <c r="AH538" s="58"/>
      <c r="AI538" s="59"/>
      <c r="AJ538" s="59"/>
      <c r="AK538" s="44"/>
      <c r="AL538" s="76"/>
    </row>
    <row r="539" spans="1:38" s="23" customFormat="1" ht="14.1" hidden="1" customHeight="1" outlineLevel="1" x14ac:dyDescent="0.2">
      <c r="A539" s="144"/>
      <c r="B539" s="680" t="str">
        <f>AK539</f>
        <v>* SIP note is at bottom of all SIP rules</v>
      </c>
      <c r="C539" s="481"/>
      <c r="D539" s="248"/>
      <c r="E539" s="689"/>
      <c r="F539"/>
      <c r="G539"/>
      <c r="H539"/>
      <c r="I539" s="684"/>
      <c r="J539"/>
      <c r="K539"/>
      <c r="L539"/>
      <c r="M539"/>
      <c r="N539"/>
      <c r="O539"/>
      <c r="P539"/>
      <c r="Q539"/>
      <c r="R539"/>
      <c r="S539"/>
      <c r="T539"/>
      <c r="U539"/>
      <c r="X539"/>
      <c r="AB539"/>
      <c r="AC539"/>
      <c r="AF539" s="326">
        <f>IF(AND(S.SIP.Involved="Y",S.Notice.Involved="Y"),1,0)</f>
        <v>1</v>
      </c>
      <c r="AG539" s="58"/>
      <c r="AH539" s="58"/>
      <c r="AI539" s="59"/>
      <c r="AJ539" s="59"/>
      <c r="AK539" s="169" t="str">
        <f>IF(S.SIP.Involved="Y","* SIP note is at bottom of all SIP rules","* SIP rules are not involved")</f>
        <v>* SIP note is at bottom of all SIP rules</v>
      </c>
      <c r="AL539" s="76"/>
    </row>
    <row r="540" spans="1:38" s="23" customFormat="1" ht="20.25" hidden="1" customHeight="1" x14ac:dyDescent="0.2">
      <c r="A540" s="144"/>
      <c r="B540" s="461" t="s">
        <v>481</v>
      </c>
      <c r="C540" s="247"/>
      <c r="I540" s="684"/>
      <c r="AF540" s="326">
        <f t="shared" si="75"/>
        <v>1</v>
      </c>
      <c r="AG540" s="58"/>
      <c r="AH540" s="58"/>
      <c r="AI540" s="59"/>
      <c r="AJ540" s="59"/>
      <c r="AK540" s="44"/>
      <c r="AL540" s="76"/>
    </row>
    <row r="541" spans="1:38" s="23" customFormat="1" ht="14.1" hidden="1" customHeight="1" x14ac:dyDescent="0.2">
      <c r="A541" s="144"/>
      <c r="B541" s="249" t="str">
        <f t="shared" ref="B541:B548" si="87">AK541</f>
        <v>Jill asks Carol to schedule future time on Lydia's calendar for:</v>
      </c>
      <c r="C541" s="1004" t="s">
        <v>529</v>
      </c>
      <c r="D541" s="1004"/>
      <c r="E541" s="1004"/>
      <c r="F541" s="1004"/>
      <c r="G541" s="1005"/>
      <c r="H541" s="221">
        <f t="shared" ref="H541" si="88">AH541</f>
        <v>41722</v>
      </c>
      <c r="I541" s="684"/>
      <c r="J541"/>
      <c r="K541"/>
      <c r="L541"/>
      <c r="M541"/>
      <c r="N541"/>
      <c r="O541"/>
      <c r="P541"/>
      <c r="Q541"/>
      <c r="R541"/>
      <c r="S541"/>
      <c r="T541"/>
      <c r="U541"/>
      <c r="X541"/>
      <c r="AB541"/>
      <c r="AC541"/>
      <c r="AF541" s="326">
        <f t="shared" ref="AF541:AF611" si="89">IF(S.Notice.Involved="Y",1,0)</f>
        <v>1</v>
      </c>
      <c r="AG541" s="58"/>
      <c r="AH541" s="60">
        <f>IF(AF541=0,,WORKDAY(S.Notice.Submit.ToADA-59,-1,S.DDL_DEQClosed))</f>
        <v>41722</v>
      </c>
      <c r="AI541" s="59"/>
      <c r="AJ541" s="59"/>
      <c r="AK541" s="169" t="str">
        <f>S.Staff.Subject.Expert.FirstName&amp;" asks "&amp;S.Staff.DA.Support.ForProgram.FirstName&amp;" to schedule future time on "&amp;S.Staff.Assistant.DA.ShortName&amp;"'s calendar for:"</f>
        <v>Jill asks Carol to schedule future time on Lydia's calendar for:</v>
      </c>
      <c r="AL541" s="76"/>
    </row>
    <row r="542" spans="1:38" s="23" customFormat="1" ht="14.1" hidden="1" customHeight="1" x14ac:dyDescent="0.2">
      <c r="A542" s="144"/>
      <c r="B542" s="285" t="str">
        <f t="shared" si="87"/>
        <v>* Lydia briefing meeting with Jill, Leah and AndreaG</v>
      </c>
      <c r="C542" s="1004" t="s">
        <v>528</v>
      </c>
      <c r="D542" s="1006"/>
      <c r="E542" s="1006"/>
      <c r="F542" s="1006"/>
      <c r="G542" s="1007"/>
      <c r="H542" s="228">
        <f>AH542</f>
        <v>41781</v>
      </c>
      <c r="I542" s="684"/>
      <c r="J542"/>
      <c r="K542"/>
      <c r="L542"/>
      <c r="M542"/>
      <c r="N542"/>
      <c r="O542"/>
      <c r="P542"/>
      <c r="Q542"/>
      <c r="R542"/>
      <c r="S542"/>
      <c r="T542"/>
      <c r="U542"/>
      <c r="X542"/>
      <c r="AB542"/>
      <c r="AC542"/>
      <c r="AF542" s="326">
        <f t="shared" si="89"/>
        <v>1</v>
      </c>
      <c r="AG542" s="58"/>
      <c r="AH542" s="60">
        <f>IF(AF542=0,,WORKDAY(S.Notice.Submit.ToADA,-1,S.DDL_DEQClosed))</f>
        <v>41781</v>
      </c>
      <c r="AI542" s="59"/>
      <c r="AJ542" s="59"/>
      <c r="AK542" s="169" t="str">
        <f>"* "&amp;S.Staff.Assistant.DA.ShortName&amp;" briefing meeting with "&amp;S.Staff.Subject.Expert.FirstName&amp;", "&amp;S.Staff.Program.Mgr.FirstName&amp;" and "&amp;S.Staff.RG.Lead.FirstName</f>
        <v>* Lydia briefing meeting with Jill, Leah and AndreaG</v>
      </c>
      <c r="AL542" s="76"/>
    </row>
    <row r="543" spans="1:38" s="23" customFormat="1" ht="14.1" hidden="1" customHeight="1" x14ac:dyDescent="0.2">
      <c r="A543" s="144"/>
      <c r="B543" s="681" t="str">
        <f t="shared" si="87"/>
        <v>* time on Lydia's calendar to review Notice Packet during preview week</v>
      </c>
      <c r="C543" s="1004" t="s">
        <v>527</v>
      </c>
      <c r="D543" s="1004"/>
      <c r="E543" s="1004"/>
      <c r="F543" s="1004"/>
      <c r="G543" s="1005"/>
      <c r="H543" s="228">
        <f>AH543</f>
        <v>41782</v>
      </c>
      <c r="I543" s="684"/>
      <c r="J543"/>
      <c r="K543"/>
      <c r="L543"/>
      <c r="M543"/>
      <c r="N543"/>
      <c r="O543"/>
      <c r="P543"/>
      <c r="Q543"/>
      <c r="R543"/>
      <c r="S543"/>
      <c r="T543"/>
      <c r="U543"/>
      <c r="X543"/>
      <c r="AB543"/>
      <c r="AC543"/>
      <c r="AF543" s="326">
        <f t="shared" si="89"/>
        <v>1</v>
      </c>
      <c r="AG543" s="58"/>
      <c r="AH543" s="60">
        <f>IF(AF543=0,,S.Notice.Submit.ToADA)</f>
        <v>41782</v>
      </c>
      <c r="AI543" s="59"/>
      <c r="AJ543" s="59"/>
      <c r="AK543" s="169" t="str">
        <f>"* time on "&amp;S.Staff.Assistant.DA.ShortName&amp;"'s calendar to review Notice Packet during preview week"</f>
        <v>* time on Lydia's calendar to review Notice Packet during preview week</v>
      </c>
      <c r="AL543" s="76"/>
    </row>
    <row r="544" spans="1:38" s="23" customFormat="1" ht="14.1" hidden="1" customHeight="1" x14ac:dyDescent="0.2">
      <c r="A544" s="144"/>
      <c r="B544" s="208" t="str">
        <f t="shared" si="87"/>
        <v>Jill schedules time on Leah calendar to review Notice Packet</v>
      </c>
      <c r="C544" s="484" t="s">
        <v>0</v>
      </c>
      <c r="D544"/>
      <c r="F544"/>
      <c r="I544" s="684"/>
      <c r="AF544" s="326">
        <f t="shared" si="89"/>
        <v>1</v>
      </c>
      <c r="AG544" s="58"/>
      <c r="AH544" s="58"/>
      <c r="AI544" s="47"/>
      <c r="AJ544" s="44"/>
      <c r="AK544" s="169" t="str">
        <f>S.Staff.Subject.Expert.FirstName&amp;" schedules time on "&amp;S.Staff.Program.Mgr.FirstName&amp;" calendar to review Notice Packet"</f>
        <v>Jill schedules time on Leah calendar to review Notice Packet</v>
      </c>
      <c r="AL544" s="76"/>
    </row>
    <row r="545" spans="1:38" s="23" customFormat="1" ht="14.1" hidden="1" customHeight="1" x14ac:dyDescent="0.2">
      <c r="A545" s="144"/>
      <c r="B545" s="208" t="str">
        <f t="shared" ref="B545" si="90">AK545</f>
        <v>Jill keeps Leah informed about progress</v>
      </c>
      <c r="C545" s="1004" t="s">
        <v>527</v>
      </c>
      <c r="D545" s="1004"/>
      <c r="E545" s="1004"/>
      <c r="F545" s="1004"/>
      <c r="G545" s="1005"/>
      <c r="H545" s="228">
        <f>AH545</f>
        <v>41733</v>
      </c>
      <c r="I545" s="684"/>
      <c r="AF545" s="326">
        <f t="shared" si="89"/>
        <v>1</v>
      </c>
      <c r="AG545" s="58"/>
      <c r="AH545" s="60">
        <f>IF(AF545=0,,S.Notice.Submit.ToSponsoringMgr)</f>
        <v>41733</v>
      </c>
      <c r="AI545" s="47"/>
      <c r="AJ545" s="44"/>
      <c r="AK545" s="169" t="str">
        <f>S.Staff.Subject.Expert.FirstName&amp;" keeps "&amp;S.Staff.Program.Mgr.FirstName&amp;" informed about progress"</f>
        <v>Jill keeps Leah informed about progress</v>
      </c>
      <c r="AL545" s="76"/>
    </row>
    <row r="546" spans="1:38" s="23" customFormat="1" ht="14.1" hidden="1" customHeight="1" x14ac:dyDescent="0.2">
      <c r="A546" s="144"/>
      <c r="B546" s="208" t="str">
        <f t="shared" si="87"/>
        <v>Leah keeps Lydia informed about progress</v>
      </c>
      <c r="C546" s="484" t="s">
        <v>0</v>
      </c>
      <c r="D546"/>
      <c r="F546"/>
      <c r="I546" s="684"/>
      <c r="AF546" s="326">
        <f t="shared" si="89"/>
        <v>1</v>
      </c>
      <c r="AG546" s="58"/>
      <c r="AH546" s="58"/>
      <c r="AI546" s="47"/>
      <c r="AJ546" s="44"/>
      <c r="AK546" s="169" t="str">
        <f>S.Staff.Program.Mgr.FirstName&amp;" keeps "&amp;S.Staff.Assistant.DA.ShortName&amp;" informed about progress"</f>
        <v>Leah keeps Lydia informed about progress</v>
      </c>
      <c r="AL546" s="76"/>
    </row>
    <row r="547" spans="1:38" s="23" customFormat="1" ht="14.1" hidden="1" customHeight="1" x14ac:dyDescent="0.2">
      <c r="A547" s="144"/>
      <c r="B547" s="208" t="str">
        <f t="shared" ref="B547" si="91">AK547</f>
        <v>Lydia keeps Lydia informed about potential risks &amp; delays</v>
      </c>
      <c r="C547" s="484" t="s">
        <v>0</v>
      </c>
      <c r="F547"/>
      <c r="I547" s="684"/>
      <c r="AF547" s="326">
        <f t="shared" si="89"/>
        <v>1</v>
      </c>
      <c r="AG547" s="58"/>
      <c r="AH547" s="58"/>
      <c r="AI547" s="47"/>
      <c r="AJ547" s="44"/>
      <c r="AK547" s="169" t="str">
        <f>S.Staff.Assistant.DA.ShortName&amp;" keeps "&amp;S.Staff.DA.ForProgram.FirstName&amp;" informed about potential risks &amp; delays"</f>
        <v>Lydia keeps Lydia informed about potential risks &amp; delays</v>
      </c>
      <c r="AL547" s="76"/>
    </row>
    <row r="548" spans="1:38" s="23" customFormat="1" ht="14.1" hidden="1" customHeight="1" x14ac:dyDescent="0.2">
      <c r="A548" s="144"/>
      <c r="B548" s="208" t="str">
        <f t="shared" si="87"/>
        <v>AndreaG keeps Lydia informed about risks &amp; progress</v>
      </c>
      <c r="C548" s="484" t="s">
        <v>0</v>
      </c>
      <c r="F548"/>
      <c r="I548" s="684"/>
      <c r="AF548" s="326">
        <f t="shared" si="89"/>
        <v>1</v>
      </c>
      <c r="AG548" s="58"/>
      <c r="AH548" s="58"/>
      <c r="AI548" s="47"/>
      <c r="AJ548" s="44"/>
      <c r="AK548" s="169" t="str">
        <f>S.Staff.RG.Lead.FirstName&amp;" keeps "&amp;S.Staff.DA.ForRulesGroup.FirstName&amp;" informed about risks &amp; progress"</f>
        <v>AndreaG keeps Lydia informed about risks &amp; progress</v>
      </c>
      <c r="AL548" s="76"/>
    </row>
    <row r="549" spans="1:38" s="23" customFormat="1" ht="20.25" hidden="1" customHeight="1" outlineLevel="1" thickBot="1" x14ac:dyDescent="0.25">
      <c r="A549" s="144"/>
      <c r="B549" s="461" t="s">
        <v>497</v>
      </c>
      <c r="C549" s="247"/>
      <c r="F549"/>
      <c r="I549" s="684"/>
      <c r="AF549" s="326">
        <f t="shared" si="89"/>
        <v>1</v>
      </c>
      <c r="AG549" s="58"/>
      <c r="AH549" s="58"/>
      <c r="AI549" s="59"/>
      <c r="AJ549" s="59"/>
      <c r="AK549" s="44"/>
      <c r="AL549" s="76"/>
    </row>
    <row r="550" spans="1:38" s="23" customFormat="1" ht="14.1" hidden="1" customHeight="1" outlineLevel="1" thickBot="1" x14ac:dyDescent="0.25">
      <c r="A550" s="144"/>
      <c r="B550" s="405" t="s">
        <v>208</v>
      </c>
      <c r="C550" s="358" t="s">
        <v>134</v>
      </c>
      <c r="D550" s="248"/>
      <c r="E550" s="689"/>
      <c r="F550"/>
      <c r="G550" s="256">
        <f t="shared" ref="G550:G561" si="92">AG550</f>
        <v>41641</v>
      </c>
      <c r="H550" s="256">
        <f t="shared" ref="H550:H561" si="93">AH550</f>
        <v>41780</v>
      </c>
      <c r="I550" s="684"/>
      <c r="J550"/>
      <c r="K550"/>
      <c r="L550"/>
      <c r="M550"/>
      <c r="N550"/>
      <c r="O550"/>
      <c r="P550"/>
      <c r="Q550"/>
      <c r="R550"/>
      <c r="S550"/>
      <c r="T550"/>
      <c r="U550"/>
      <c r="X550"/>
      <c r="AB550"/>
      <c r="AC550"/>
      <c r="AF550" s="326">
        <f t="shared" si="89"/>
        <v>1</v>
      </c>
      <c r="AG550" s="60">
        <f t="shared" ref="AG550:AG561" si="94">IF(AF550=0,,S.Notice.BANNER.Begin)</f>
        <v>41641</v>
      </c>
      <c r="AH550" s="60">
        <f t="shared" ref="AH550:AH561" si="95">IF(AF550=0,,WORKDAY(S.Notice.ADABriefing,-1,S.DDL_DEQClosed))</f>
        <v>41780</v>
      </c>
      <c r="AI550" s="59"/>
      <c r="AJ550" s="44"/>
      <c r="AK550" s="44"/>
      <c r="AL550" s="76"/>
    </row>
    <row r="551" spans="1:38" s="23" customFormat="1" ht="14.1" hidden="1" customHeight="1" outlineLevel="1" x14ac:dyDescent="0.2">
      <c r="A551" s="144"/>
      <c r="B551" s="407" t="s">
        <v>169</v>
      </c>
      <c r="C551" s="484" t="s">
        <v>0</v>
      </c>
      <c r="D551" s="654"/>
      <c r="E551" s="825"/>
      <c r="F551"/>
      <c r="G551" s="256">
        <f t="shared" si="92"/>
        <v>41641</v>
      </c>
      <c r="H551" s="256">
        <f t="shared" si="93"/>
        <v>41780</v>
      </c>
      <c r="I551" s="684"/>
      <c r="J551"/>
      <c r="K551"/>
      <c r="L551"/>
      <c r="M551"/>
      <c r="N551"/>
      <c r="O551"/>
      <c r="P551"/>
      <c r="Q551"/>
      <c r="R551"/>
      <c r="S551"/>
      <c r="T551"/>
      <c r="U551"/>
      <c r="X551"/>
      <c r="AB551"/>
      <c r="AC551"/>
      <c r="AF551" s="326">
        <f t="shared" si="89"/>
        <v>1</v>
      </c>
      <c r="AG551" s="60">
        <f t="shared" si="94"/>
        <v>41641</v>
      </c>
      <c r="AH551" s="60">
        <f t="shared" si="95"/>
        <v>41780</v>
      </c>
      <c r="AI551" s="59"/>
      <c r="AJ551" s="152"/>
      <c r="AK551" s="44"/>
      <c r="AL551" s="76"/>
    </row>
    <row r="552" spans="1:38" s="23" customFormat="1" ht="14.1" hidden="1" customHeight="1" outlineLevel="1" x14ac:dyDescent="0.2">
      <c r="A552" s="144"/>
      <c r="B552" s="407" t="s">
        <v>169</v>
      </c>
      <c r="C552" s="484" t="s">
        <v>0</v>
      </c>
      <c r="D552" s="654"/>
      <c r="E552" s="825"/>
      <c r="F552"/>
      <c r="G552" s="256">
        <f t="shared" si="92"/>
        <v>41641</v>
      </c>
      <c r="H552" s="256">
        <f t="shared" si="93"/>
        <v>41780</v>
      </c>
      <c r="I552" s="684"/>
      <c r="J552"/>
      <c r="K552"/>
      <c r="L552"/>
      <c r="M552"/>
      <c r="N552"/>
      <c r="O552"/>
      <c r="P552"/>
      <c r="Q552"/>
      <c r="R552"/>
      <c r="S552"/>
      <c r="T552"/>
      <c r="U552"/>
      <c r="X552"/>
      <c r="AB552"/>
      <c r="AC552"/>
      <c r="AF552" s="326">
        <f t="shared" si="89"/>
        <v>1</v>
      </c>
      <c r="AG552" s="60">
        <f t="shared" si="94"/>
        <v>41641</v>
      </c>
      <c r="AH552" s="60">
        <f t="shared" si="95"/>
        <v>41780</v>
      </c>
      <c r="AI552" s="59"/>
      <c r="AJ552" s="152"/>
      <c r="AK552" s="44"/>
      <c r="AL552" s="76"/>
    </row>
    <row r="553" spans="1:38" s="23" customFormat="1" ht="14.1" hidden="1" customHeight="1" outlineLevel="1" thickBot="1" x14ac:dyDescent="0.25">
      <c r="A553" s="144"/>
      <c r="B553" s="407" t="s">
        <v>169</v>
      </c>
      <c r="C553" s="484" t="s">
        <v>0</v>
      </c>
      <c r="D553" s="654"/>
      <c r="E553" s="825"/>
      <c r="F553"/>
      <c r="G553" s="256">
        <f t="shared" si="92"/>
        <v>41641</v>
      </c>
      <c r="H553" s="256">
        <f t="shared" si="93"/>
        <v>41780</v>
      </c>
      <c r="I553" s="684"/>
      <c r="J553"/>
      <c r="K553"/>
      <c r="L553"/>
      <c r="M553"/>
      <c r="N553"/>
      <c r="O553"/>
      <c r="P553"/>
      <c r="Q553"/>
      <c r="R553"/>
      <c r="S553"/>
      <c r="T553"/>
      <c r="U553"/>
      <c r="X553"/>
      <c r="AB553"/>
      <c r="AC553"/>
      <c r="AF553" s="326">
        <f t="shared" si="89"/>
        <v>1</v>
      </c>
      <c r="AG553" s="60">
        <f t="shared" si="94"/>
        <v>41641</v>
      </c>
      <c r="AH553" s="60">
        <f t="shared" si="95"/>
        <v>41780</v>
      </c>
      <c r="AI553" s="59"/>
      <c r="AJ553" s="152"/>
      <c r="AK553" s="44"/>
      <c r="AL553" s="76"/>
    </row>
    <row r="554" spans="1:38" s="23" customFormat="1" ht="14.1" hidden="1" customHeight="1" outlineLevel="1" thickBot="1" x14ac:dyDescent="0.25">
      <c r="A554" s="144"/>
      <c r="B554" s="408" t="s">
        <v>171</v>
      </c>
      <c r="C554" s="358" t="s">
        <v>134</v>
      </c>
      <c r="D554" s="248"/>
      <c r="E554" s="689"/>
      <c r="F554"/>
      <c r="G554" s="256">
        <f t="shared" si="92"/>
        <v>41641</v>
      </c>
      <c r="H554" s="256">
        <f t="shared" si="93"/>
        <v>41780</v>
      </c>
      <c r="I554" s="684"/>
      <c r="J554"/>
      <c r="K554"/>
      <c r="L554"/>
      <c r="M554"/>
      <c r="N554"/>
      <c r="O554"/>
      <c r="P554"/>
      <c r="Q554"/>
      <c r="R554"/>
      <c r="S554"/>
      <c r="T554"/>
      <c r="U554"/>
      <c r="X554"/>
      <c r="AB554"/>
      <c r="AC554"/>
      <c r="AF554" s="326">
        <f t="shared" si="89"/>
        <v>1</v>
      </c>
      <c r="AG554" s="60">
        <f t="shared" si="94"/>
        <v>41641</v>
      </c>
      <c r="AH554" s="60">
        <f t="shared" si="95"/>
        <v>41780</v>
      </c>
      <c r="AI554" s="59"/>
      <c r="AJ554" s="44"/>
      <c r="AK554" s="44"/>
      <c r="AL554" s="76"/>
    </row>
    <row r="555" spans="1:38" s="23" customFormat="1" ht="14.1" hidden="1" customHeight="1" outlineLevel="1" x14ac:dyDescent="0.2">
      <c r="A555" s="144"/>
      <c r="B555" s="409" t="s">
        <v>169</v>
      </c>
      <c r="C555" s="484" t="s">
        <v>0</v>
      </c>
      <c r="D555" s="654"/>
      <c r="E555" s="825"/>
      <c r="F555"/>
      <c r="G555" s="256">
        <f t="shared" si="92"/>
        <v>41641</v>
      </c>
      <c r="H555" s="256">
        <f t="shared" si="93"/>
        <v>41780</v>
      </c>
      <c r="I555" s="684"/>
      <c r="J555"/>
      <c r="K555"/>
      <c r="L555"/>
      <c r="M555"/>
      <c r="N555"/>
      <c r="O555"/>
      <c r="P555"/>
      <c r="Q555"/>
      <c r="R555"/>
      <c r="S555"/>
      <c r="T555"/>
      <c r="U555"/>
      <c r="X555"/>
      <c r="AB555"/>
      <c r="AC555"/>
      <c r="AF555" s="326">
        <f t="shared" si="89"/>
        <v>1</v>
      </c>
      <c r="AG555" s="60">
        <f t="shared" si="94"/>
        <v>41641</v>
      </c>
      <c r="AH555" s="60">
        <f t="shared" si="95"/>
        <v>41780</v>
      </c>
      <c r="AI555" s="59"/>
      <c r="AJ555" s="152"/>
      <c r="AK555" s="44"/>
      <c r="AL555" s="76"/>
    </row>
    <row r="556" spans="1:38" s="23" customFormat="1" ht="14.1" hidden="1" customHeight="1" outlineLevel="1" x14ac:dyDescent="0.2">
      <c r="A556" s="144"/>
      <c r="B556" s="409" t="s">
        <v>169</v>
      </c>
      <c r="C556" s="484" t="s">
        <v>0</v>
      </c>
      <c r="D556" s="654"/>
      <c r="E556" s="825"/>
      <c r="F556"/>
      <c r="G556" s="256">
        <f t="shared" si="92"/>
        <v>41641</v>
      </c>
      <c r="H556" s="256">
        <f t="shared" si="93"/>
        <v>41780</v>
      </c>
      <c r="I556" s="684"/>
      <c r="J556"/>
      <c r="K556"/>
      <c r="L556"/>
      <c r="M556"/>
      <c r="N556"/>
      <c r="O556"/>
      <c r="P556"/>
      <c r="Q556"/>
      <c r="R556"/>
      <c r="S556"/>
      <c r="T556"/>
      <c r="U556"/>
      <c r="X556"/>
      <c r="AB556"/>
      <c r="AC556"/>
      <c r="AF556" s="326">
        <f t="shared" si="89"/>
        <v>1</v>
      </c>
      <c r="AG556" s="60">
        <f t="shared" si="94"/>
        <v>41641</v>
      </c>
      <c r="AH556" s="60">
        <f t="shared" si="95"/>
        <v>41780</v>
      </c>
      <c r="AI556" s="59"/>
      <c r="AJ556" s="152"/>
      <c r="AK556" s="44"/>
      <c r="AL556" s="76"/>
    </row>
    <row r="557" spans="1:38" s="23" customFormat="1" ht="14.1" hidden="1" customHeight="1" outlineLevel="1" thickBot="1" x14ac:dyDescent="0.25">
      <c r="A557" s="144"/>
      <c r="B557" s="409" t="s">
        <v>169</v>
      </c>
      <c r="C557" s="484" t="s">
        <v>0</v>
      </c>
      <c r="D557" s="654"/>
      <c r="E557" s="825"/>
      <c r="F557"/>
      <c r="G557" s="256">
        <f t="shared" si="92"/>
        <v>41641</v>
      </c>
      <c r="H557" s="256">
        <f t="shared" si="93"/>
        <v>41780</v>
      </c>
      <c r="I557" s="684"/>
      <c r="J557"/>
      <c r="K557"/>
      <c r="L557"/>
      <c r="M557"/>
      <c r="N557"/>
      <c r="O557"/>
      <c r="P557"/>
      <c r="Q557"/>
      <c r="R557"/>
      <c r="S557"/>
      <c r="T557"/>
      <c r="U557"/>
      <c r="X557"/>
      <c r="AB557"/>
      <c r="AC557"/>
      <c r="AF557" s="326">
        <f t="shared" si="89"/>
        <v>1</v>
      </c>
      <c r="AG557" s="60">
        <f t="shared" si="94"/>
        <v>41641</v>
      </c>
      <c r="AH557" s="60">
        <f t="shared" si="95"/>
        <v>41780</v>
      </c>
      <c r="AI557" s="59"/>
      <c r="AJ557" s="152"/>
      <c r="AK557" s="44"/>
      <c r="AL557" s="76"/>
    </row>
    <row r="558" spans="1:38" s="23" customFormat="1" ht="14.1" hidden="1" customHeight="1" outlineLevel="1" thickBot="1" x14ac:dyDescent="0.25">
      <c r="A558" s="144"/>
      <c r="B558" s="410" t="s">
        <v>172</v>
      </c>
      <c r="C558" s="358" t="s">
        <v>134</v>
      </c>
      <c r="D558" s="248"/>
      <c r="E558" s="689"/>
      <c r="F558"/>
      <c r="G558" s="256">
        <f t="shared" si="92"/>
        <v>41641</v>
      </c>
      <c r="H558" s="256">
        <f t="shared" si="93"/>
        <v>41780</v>
      </c>
      <c r="I558" s="684"/>
      <c r="J558"/>
      <c r="K558"/>
      <c r="L558"/>
      <c r="M558"/>
      <c r="N558"/>
      <c r="O558"/>
      <c r="P558"/>
      <c r="Q558"/>
      <c r="R558"/>
      <c r="S558"/>
      <c r="T558"/>
      <c r="U558"/>
      <c r="X558"/>
      <c r="AB558"/>
      <c r="AC558"/>
      <c r="AF558" s="326">
        <f t="shared" si="89"/>
        <v>1</v>
      </c>
      <c r="AG558" s="60">
        <f t="shared" si="94"/>
        <v>41641</v>
      </c>
      <c r="AH558" s="60">
        <f t="shared" si="95"/>
        <v>41780</v>
      </c>
      <c r="AI558" s="59"/>
      <c r="AJ558" s="44"/>
      <c r="AK558" s="44"/>
      <c r="AL558" s="76"/>
    </row>
    <row r="559" spans="1:38" s="23" customFormat="1" ht="14.1" hidden="1" customHeight="1" outlineLevel="1" x14ac:dyDescent="0.2">
      <c r="A559" s="144"/>
      <c r="B559" s="411" t="s">
        <v>169</v>
      </c>
      <c r="C559" s="484" t="s">
        <v>0</v>
      </c>
      <c r="D559" s="654"/>
      <c r="E559" s="825"/>
      <c r="F559"/>
      <c r="G559" s="256">
        <f t="shared" si="92"/>
        <v>41641</v>
      </c>
      <c r="H559" s="256">
        <f t="shared" si="93"/>
        <v>41780</v>
      </c>
      <c r="I559" s="684"/>
      <c r="J559"/>
      <c r="K559"/>
      <c r="L559"/>
      <c r="M559"/>
      <c r="N559"/>
      <c r="O559"/>
      <c r="P559"/>
      <c r="Q559"/>
      <c r="R559"/>
      <c r="S559"/>
      <c r="T559"/>
      <c r="U559"/>
      <c r="X559"/>
      <c r="AB559"/>
      <c r="AC559"/>
      <c r="AF559" s="326">
        <f t="shared" si="89"/>
        <v>1</v>
      </c>
      <c r="AG559" s="60">
        <f t="shared" si="94"/>
        <v>41641</v>
      </c>
      <c r="AH559" s="60">
        <f t="shared" si="95"/>
        <v>41780</v>
      </c>
      <c r="AI559" s="59"/>
      <c r="AJ559" s="152"/>
      <c r="AK559" s="44"/>
      <c r="AL559" s="76"/>
    </row>
    <row r="560" spans="1:38" s="23" customFormat="1" ht="14.1" hidden="1" customHeight="1" outlineLevel="1" x14ac:dyDescent="0.2">
      <c r="A560" s="144"/>
      <c r="B560" s="411" t="s">
        <v>169</v>
      </c>
      <c r="C560" s="484" t="s">
        <v>0</v>
      </c>
      <c r="D560" s="654"/>
      <c r="E560" s="825"/>
      <c r="F560"/>
      <c r="G560" s="256">
        <f t="shared" si="92"/>
        <v>41641</v>
      </c>
      <c r="H560" s="256">
        <f t="shared" si="93"/>
        <v>41780</v>
      </c>
      <c r="I560" s="684"/>
      <c r="J560"/>
      <c r="K560"/>
      <c r="L560"/>
      <c r="M560"/>
      <c r="N560"/>
      <c r="O560"/>
      <c r="P560"/>
      <c r="Q560"/>
      <c r="R560"/>
      <c r="S560"/>
      <c r="T560"/>
      <c r="U560"/>
      <c r="X560"/>
      <c r="AB560"/>
      <c r="AC560"/>
      <c r="AF560" s="326">
        <f t="shared" si="89"/>
        <v>1</v>
      </c>
      <c r="AG560" s="60">
        <f t="shared" si="94"/>
        <v>41641</v>
      </c>
      <c r="AH560" s="60">
        <f t="shared" si="95"/>
        <v>41780</v>
      </c>
      <c r="AI560" s="59"/>
      <c r="AJ560" s="152"/>
      <c r="AK560" s="44"/>
      <c r="AL560" s="76"/>
    </row>
    <row r="561" spans="1:38" s="23" customFormat="1" ht="14.1" hidden="1" customHeight="1" outlineLevel="1" x14ac:dyDescent="0.2">
      <c r="A561" s="144"/>
      <c r="B561" s="411" t="s">
        <v>169</v>
      </c>
      <c r="C561" s="484" t="s">
        <v>0</v>
      </c>
      <c r="D561" s="654"/>
      <c r="E561" s="825"/>
      <c r="F561"/>
      <c r="G561" s="256">
        <f t="shared" si="92"/>
        <v>41641</v>
      </c>
      <c r="H561" s="256">
        <f t="shared" si="93"/>
        <v>41780</v>
      </c>
      <c r="I561" s="684"/>
      <c r="J561"/>
      <c r="K561"/>
      <c r="L561"/>
      <c r="M561"/>
      <c r="N561"/>
      <c r="O561"/>
      <c r="P561"/>
      <c r="Q561"/>
      <c r="R561"/>
      <c r="S561"/>
      <c r="T561"/>
      <c r="U561"/>
      <c r="X561"/>
      <c r="AB561"/>
      <c r="AC561"/>
      <c r="AF561" s="326">
        <f t="shared" si="89"/>
        <v>1</v>
      </c>
      <c r="AG561" s="60">
        <f t="shared" si="94"/>
        <v>41641</v>
      </c>
      <c r="AH561" s="60">
        <f t="shared" si="95"/>
        <v>41780</v>
      </c>
      <c r="AI561" s="59"/>
      <c r="AJ561" s="152"/>
      <c r="AK561" s="44"/>
      <c r="AL561" s="76"/>
    </row>
    <row r="562" spans="1:38" s="23" customFormat="1" ht="14.1" hidden="1" customHeight="1" outlineLevel="1" x14ac:dyDescent="0.2">
      <c r="A562" s="144"/>
      <c r="B562" s="411"/>
      <c r="C562" s="484"/>
      <c r="F562"/>
      <c r="I562" s="684"/>
      <c r="AF562" s="326">
        <f t="shared" si="89"/>
        <v>1</v>
      </c>
      <c r="AG562" s="58"/>
      <c r="AH562" s="58"/>
      <c r="AI562" s="59"/>
      <c r="AJ562" s="152"/>
      <c r="AK562" s="44"/>
      <c r="AL562" s="76"/>
    </row>
    <row r="563" spans="1:38" s="23" customFormat="1" ht="20.25" hidden="1" customHeight="1" collapsed="1" x14ac:dyDescent="0.2">
      <c r="A563" s="144"/>
      <c r="B563" s="461" t="s">
        <v>699</v>
      </c>
      <c r="C563" s="247"/>
      <c r="D563" s="40"/>
      <c r="E563" s="40"/>
      <c r="F563" s="40"/>
      <c r="G563" s="40"/>
      <c r="H563" s="40"/>
      <c r="I563" s="684"/>
      <c r="AF563" s="326">
        <f t="shared" si="89"/>
        <v>1</v>
      </c>
      <c r="AG563" s="58"/>
      <c r="AH563" s="58"/>
      <c r="AI563" s="59"/>
      <c r="AJ563" s="59"/>
      <c r="AK563" s="44"/>
      <c r="AL563" s="76"/>
    </row>
    <row r="564" spans="1:38" s="928" customFormat="1" ht="13.7" hidden="1" customHeight="1" x14ac:dyDescent="0.2">
      <c r="A564" s="144"/>
      <c r="B564" s="717" t="str">
        <f>AK564</f>
        <v>Jill prepares Notice, Proposed rules and public Supporting Documents:</v>
      </c>
      <c r="C564" s="247" t="s">
        <v>0</v>
      </c>
      <c r="D564" s="248"/>
      <c r="E564" s="689"/>
      <c r="G564" s="40"/>
      <c r="H564" s="221">
        <f>AH564</f>
        <v>41753</v>
      </c>
      <c r="I564" s="684"/>
      <c r="AF564" s="326">
        <f t="shared" si="89"/>
        <v>1</v>
      </c>
      <c r="AG564" s="58"/>
      <c r="AH564" s="60">
        <f>IF(AF564=0,,WORKDAY(S.Notice.Submit.ToRG,-1,S.DDL_DEQClosed))</f>
        <v>41753</v>
      </c>
      <c r="AI564" s="59"/>
      <c r="AJ564" s="59"/>
      <c r="AK564" s="169" t="str">
        <f>S.Staff.Subject.Expert.FirstName&amp;" prepares Notice, Proposed rules and public Supporting Documents:"</f>
        <v>Jill prepares Notice, Proposed rules and public Supporting Documents:</v>
      </c>
      <c r="AL564" s="76"/>
    </row>
    <row r="565" spans="1:38" s="928" customFormat="1" ht="13.7" hidden="1" customHeight="1" x14ac:dyDescent="0.2">
      <c r="A565" s="144"/>
      <c r="B565" s="367" t="s">
        <v>696</v>
      </c>
      <c r="C565" s="233"/>
      <c r="D565" s="248"/>
      <c r="E565" s="905"/>
      <c r="F565" s="904"/>
      <c r="I565" s="684"/>
      <c r="AF565" s="326">
        <f t="shared" si="89"/>
        <v>1</v>
      </c>
      <c r="AG565" s="59"/>
      <c r="AH565" s="59"/>
      <c r="AI565" s="58"/>
      <c r="AJ565" s="44"/>
      <c r="AK565" s="44"/>
      <c r="AL565" s="76"/>
    </row>
    <row r="566" spans="1:38" s="928" customFormat="1" ht="13.7" hidden="1" customHeight="1" x14ac:dyDescent="0.2">
      <c r="A566" s="144"/>
      <c r="B566" s="367" t="s">
        <v>702</v>
      </c>
      <c r="C566" s="233"/>
      <c r="D566" s="248"/>
      <c r="E566" s="905"/>
      <c r="F566" s="904"/>
      <c r="I566" s="684"/>
      <c r="AF566" s="326">
        <f t="shared" si="89"/>
        <v>1</v>
      </c>
      <c r="AG566" s="59"/>
      <c r="AH566" s="59"/>
      <c r="AI566" s="58"/>
      <c r="AJ566" s="44"/>
      <c r="AK566" s="44"/>
      <c r="AL566" s="76"/>
    </row>
    <row r="567" spans="1:38" s="928" customFormat="1" ht="13.7" hidden="1" customHeight="1" x14ac:dyDescent="0.2">
      <c r="A567" s="144"/>
      <c r="B567" s="367" t="s">
        <v>697</v>
      </c>
      <c r="C567" s="233"/>
      <c r="D567" s="248"/>
      <c r="E567" s="905"/>
      <c r="F567" s="904"/>
      <c r="I567" s="684"/>
      <c r="AF567" s="326">
        <f t="shared" si="89"/>
        <v>1</v>
      </c>
      <c r="AG567" s="59"/>
      <c r="AH567" s="59"/>
      <c r="AI567" s="58"/>
      <c r="AJ567" s="44"/>
      <c r="AK567" s="44"/>
      <c r="AL567" s="76"/>
    </row>
    <row r="568" spans="1:38" s="928" customFormat="1" ht="13.7" hidden="1" customHeight="1" x14ac:dyDescent="0.2">
      <c r="A568" s="144"/>
      <c r="B568" s="367" t="s">
        <v>701</v>
      </c>
      <c r="C568" s="233"/>
      <c r="D568" s="248"/>
      <c r="E568" s="905"/>
      <c r="F568" s="904"/>
      <c r="I568" s="684"/>
      <c r="AF568" s="326">
        <f t="shared" si="89"/>
        <v>1</v>
      </c>
      <c r="AG568" s="59"/>
      <c r="AH568" s="59"/>
      <c r="AI568" s="58"/>
      <c r="AJ568" s="44"/>
      <c r="AK568" s="44"/>
      <c r="AL568" s="76"/>
    </row>
    <row r="569" spans="1:38" s="23" customFormat="1" ht="13.7" hidden="1" customHeight="1" thickBot="1" x14ac:dyDescent="0.25">
      <c r="A569" s="144"/>
      <c r="B569" s="717" t="str">
        <f>AK569</f>
        <v>Jill sends email to AndreaG for Rule Publication work when</v>
      </c>
      <c r="C569" s="247" t="s">
        <v>0</v>
      </c>
      <c r="D569" s="248"/>
      <c r="E569" s="689"/>
      <c r="G569" s="40"/>
      <c r="H569" s="221">
        <f>AH569</f>
        <v>41753</v>
      </c>
      <c r="I569" s="684"/>
      <c r="AF569" s="326">
        <f t="shared" si="89"/>
        <v>1</v>
      </c>
      <c r="AG569" s="58"/>
      <c r="AH569" s="60">
        <f>IF(AF569=0,,WORKDAY(S.Notice.Submit.ToRG,-1,S.DDL_DEQClosed))</f>
        <v>41753</v>
      </c>
      <c r="AI569" s="59"/>
      <c r="AJ569" s="59"/>
      <c r="AK569" s="169" t="str">
        <f>S.Staff.Subject.Expert.FirstName&amp;" sends email to "&amp;S.Staff.RG.Lead.FirstName&amp;" for Rule Publication work when"</f>
        <v>Jill sends email to AndreaG for Rule Publication work when</v>
      </c>
      <c r="AL569" s="76"/>
    </row>
    <row r="570" spans="1:38" s="23" customFormat="1" ht="13.7" hidden="1" customHeight="1" thickBot="1" x14ac:dyDescent="0.25">
      <c r="A570" s="144"/>
      <c r="B570" s="191" t="s">
        <v>664</v>
      </c>
      <c r="C570" s="323" t="s">
        <v>37</v>
      </c>
      <c r="E570" s="904"/>
      <c r="F570" s="904"/>
      <c r="G570" s="905"/>
      <c r="H570" s="905"/>
      <c r="I570" s="684"/>
      <c r="AE570" s="40"/>
      <c r="AF570" s="326">
        <f t="shared" si="89"/>
        <v>1</v>
      </c>
      <c r="AG570" s="59"/>
      <c r="AH570" s="59"/>
      <c r="AI570" s="59"/>
      <c r="AJ570" s="59"/>
      <c r="AK570" s="44"/>
      <c r="AL570" s="76"/>
    </row>
    <row r="571" spans="1:38" s="907" customFormat="1" ht="13.7" hidden="1" customHeight="1" thickBot="1" x14ac:dyDescent="0.25">
      <c r="A571" s="144"/>
      <c r="B571" s="307" t="s">
        <v>681</v>
      </c>
      <c r="C571" s="420" t="s">
        <v>134</v>
      </c>
      <c r="E571" s="904"/>
      <c r="F571" s="904"/>
      <c r="G571" s="905"/>
      <c r="H571" s="221">
        <f>AH571</f>
        <v>0</v>
      </c>
      <c r="I571" s="684"/>
      <c r="AE571" s="40"/>
      <c r="AF571" s="326">
        <f>IF(AND(S.Notice.Involved="Y",C571="Y"),1,0)</f>
        <v>0</v>
      </c>
      <c r="AG571" s="59"/>
      <c r="AH571" s="60">
        <f>IF(AF571=0,,WORKDAY(S.Notice.Submit.ToRG,-1,S.DDL_DEQClosed))</f>
        <v>0</v>
      </c>
      <c r="AI571" s="59"/>
      <c r="AJ571" s="59"/>
      <c r="AK571" s="44"/>
      <c r="AL571" s="76"/>
    </row>
    <row r="572" spans="1:38" s="907" customFormat="1" ht="13.7" hidden="1" customHeight="1" thickBot="1" x14ac:dyDescent="0.25">
      <c r="A572" s="144"/>
      <c r="B572" s="909" t="s">
        <v>682</v>
      </c>
      <c r="C572" s="420" t="s">
        <v>134</v>
      </c>
      <c r="E572" s="904"/>
      <c r="F572" s="904"/>
      <c r="G572" s="905"/>
      <c r="H572" s="221">
        <f>AH572</f>
        <v>0</v>
      </c>
      <c r="I572" s="684"/>
      <c r="AE572" s="40"/>
      <c r="AF572" s="326">
        <f>IF(AND(S.Notice.Involved="Y",C572="Y"),1,0)</f>
        <v>0</v>
      </c>
      <c r="AG572" s="59"/>
      <c r="AH572" s="60">
        <f>IF(AF572=0,,WORKDAY(S.Notice.Submit.ToRG,-1,S.DDL_DEQClosed))</f>
        <v>0</v>
      </c>
      <c r="AI572" s="59"/>
      <c r="AJ572" s="59"/>
      <c r="AK572" s="44"/>
      <c r="AL572" s="76"/>
    </row>
    <row r="573" spans="1:38" s="907" customFormat="1" ht="13.7" hidden="1" customHeight="1" thickBot="1" x14ac:dyDescent="0.25">
      <c r="A573" s="144"/>
      <c r="B573" s="304" t="s">
        <v>683</v>
      </c>
      <c r="C573" s="420" t="s">
        <v>134</v>
      </c>
      <c r="E573" s="904"/>
      <c r="F573" s="904"/>
      <c r="G573" s="905"/>
      <c r="H573" s="221">
        <f>AH573</f>
        <v>0</v>
      </c>
      <c r="I573" s="684"/>
      <c r="AE573" s="40"/>
      <c r="AF573" s="326">
        <f>IF(AND(S.Notice.Involved="Y",C573="Y"),1,0)</f>
        <v>0</v>
      </c>
      <c r="AG573" s="59"/>
      <c r="AH573" s="60">
        <f>IF(AF573=0,,WORKDAY(S.Notice.Submit.ToRG,-1,S.DDL_DEQClosed))</f>
        <v>0</v>
      </c>
      <c r="AI573" s="59"/>
      <c r="AJ573" s="59"/>
      <c r="AK573" s="44"/>
      <c r="AL573" s="76"/>
    </row>
    <row r="574" spans="1:38" s="903" customFormat="1" ht="13.7" hidden="1" customHeight="1" x14ac:dyDescent="0.2">
      <c r="A574" s="144"/>
      <c r="B574" s="336" t="s">
        <v>662</v>
      </c>
      <c r="C574" s="247"/>
      <c r="D574" s="40"/>
      <c r="E574" s="40"/>
      <c r="F574" s="40"/>
      <c r="G574" s="40"/>
      <c r="H574" s="40"/>
      <c r="I574" s="684"/>
      <c r="AF574" s="326">
        <f t="shared" si="89"/>
        <v>1</v>
      </c>
      <c r="AG574" s="58"/>
      <c r="AH574" s="58"/>
      <c r="AI574" s="59"/>
      <c r="AJ574" s="59"/>
      <c r="AK574" s="44"/>
      <c r="AL574" s="76"/>
    </row>
    <row r="575" spans="1:38" s="907" customFormat="1" ht="13.7" hidden="1" customHeight="1" x14ac:dyDescent="0.2">
      <c r="A575" s="144"/>
      <c r="B575" s="191" t="s">
        <v>673</v>
      </c>
      <c r="C575" s="233"/>
      <c r="D575" s="40"/>
      <c r="E575" s="40"/>
      <c r="F575" s="40"/>
      <c r="G575" s="40"/>
      <c r="H575" s="40"/>
      <c r="I575" s="684"/>
      <c r="AF575" s="326">
        <f t="shared" si="89"/>
        <v>1</v>
      </c>
      <c r="AG575" s="58"/>
      <c r="AH575" s="60">
        <f>MAX(H569,H571,H572,H573)</f>
        <v>41753</v>
      </c>
      <c r="AI575" s="59"/>
      <c r="AJ575" s="59"/>
      <c r="AK575" s="44"/>
      <c r="AL575" s="76"/>
    </row>
    <row r="576" spans="1:38" s="23" customFormat="1" ht="14.1" hidden="1" customHeight="1" thickBot="1" x14ac:dyDescent="0.25">
      <c r="A576" s="144"/>
      <c r="B576" s="935" t="str">
        <f t="shared" ref="B576" si="96">AK576</f>
        <v>- Outlook comment box for University students with Jill as owner</v>
      </c>
      <c r="C576" s="286"/>
      <c r="D576" s="655"/>
      <c r="E576" s="655"/>
      <c r="F576" s="252"/>
      <c r="G576" s="253"/>
      <c r="H576" s="253"/>
      <c r="I576" s="684"/>
      <c r="J576"/>
      <c r="K576"/>
      <c r="L576"/>
      <c r="M576"/>
      <c r="N576"/>
      <c r="O576"/>
      <c r="P576"/>
      <c r="Q576"/>
      <c r="R576"/>
      <c r="S576"/>
      <c r="T576"/>
      <c r="U576"/>
      <c r="X576"/>
      <c r="AB576"/>
      <c r="AC576"/>
      <c r="AF576" s="326">
        <f t="shared" ref="AF576:AF654" si="97">IF(S.Notice.Involved="Y",1,0)</f>
        <v>1</v>
      </c>
      <c r="AG576" s="58"/>
      <c r="AH576" s="58"/>
      <c r="AI576" s="59"/>
      <c r="AJ576" s="59"/>
      <c r="AK576" s="169" t="str">
        <f>"- Outlook comment box for University students with "&amp;S.Staff.Subject.Expert.FirstName&amp;" as owner"</f>
        <v>- Outlook comment box for University students with Jill as owner</v>
      </c>
      <c r="AL576" s="76"/>
    </row>
    <row r="577" spans="1:38" s="943" customFormat="1" ht="14.1" hidden="1" customHeight="1" thickBot="1" x14ac:dyDescent="0.25">
      <c r="A577" s="144"/>
      <c r="B577" s="935" t="str">
        <f t="shared" ref="B577" si="98">AK577</f>
        <v>- Reminds Jill to set auto reply on Outlook comment box</v>
      </c>
      <c r="C577" s="323" t="str">
        <f>HYPERLINK("\\deqhq1\Rule_Resources\i\Q-Cards\PDF\4-SetOutlookAutoReply.pdf","i")</f>
        <v>i</v>
      </c>
      <c r="D577" s="655"/>
      <c r="E577" s="655"/>
      <c r="F577" s="252"/>
      <c r="G577" s="253"/>
      <c r="H577" s="253"/>
      <c r="I577" s="684"/>
      <c r="AF577" s="326">
        <f t="shared" si="97"/>
        <v>1</v>
      </c>
      <c r="AG577" s="58"/>
      <c r="AH577" s="58"/>
      <c r="AI577" s="59"/>
      <c r="AJ577" s="59"/>
      <c r="AK577" s="169" t="str">
        <f>"- Reminds "&amp;S.Staff.Subject.Expert.FirstName&amp;" to set auto reply on Outlook comment box"</f>
        <v>- Reminds Jill to set auto reply on Outlook comment box</v>
      </c>
      <c r="AL577" s="76"/>
    </row>
    <row r="578" spans="1:38" s="23" customFormat="1" ht="14.1" hidden="1" customHeight="1" thickBot="1" x14ac:dyDescent="0.25">
      <c r="A578" s="144"/>
      <c r="B578" s="936" t="s">
        <v>671</v>
      </c>
      <c r="C578" s="323" t="s">
        <v>37</v>
      </c>
      <c r="D578" s="290"/>
      <c r="E578" s="290"/>
      <c r="F578" s="227"/>
      <c r="G578" s="223"/>
      <c r="H578" s="223"/>
      <c r="I578" s="684"/>
      <c r="J578"/>
      <c r="K578"/>
      <c r="L578"/>
      <c r="M578"/>
      <c r="N578"/>
      <c r="O578"/>
      <c r="P578"/>
      <c r="Q578"/>
      <c r="R578"/>
      <c r="S578"/>
      <c r="T578"/>
      <c r="U578"/>
      <c r="X578"/>
      <c r="AB578"/>
      <c r="AC578"/>
      <c r="AF578" s="326">
        <f t="shared" si="97"/>
        <v>1</v>
      </c>
      <c r="AG578" s="58"/>
      <c r="AH578" s="58"/>
      <c r="AI578" s="59"/>
      <c r="AJ578" s="59"/>
      <c r="AK578" s="74"/>
      <c r="AL578" s="76"/>
    </row>
    <row r="579" spans="1:38" s="23" customFormat="1" ht="14.1" hidden="1" customHeight="1" x14ac:dyDescent="0.2">
      <c r="A579" s="144"/>
      <c r="B579" s="936" t="s">
        <v>672</v>
      </c>
      <c r="C579" s="481"/>
      <c r="D579" s="290"/>
      <c r="E579" s="290"/>
      <c r="F579" s="227"/>
      <c r="G579" s="223"/>
      <c r="H579" s="223"/>
      <c r="I579" s="684"/>
      <c r="J579"/>
      <c r="K579"/>
      <c r="L579"/>
      <c r="M579"/>
      <c r="N579"/>
      <c r="O579"/>
      <c r="P579"/>
      <c r="Q579"/>
      <c r="R579"/>
      <c r="S579"/>
      <c r="T579"/>
      <c r="U579"/>
      <c r="X579"/>
      <c r="AB579"/>
      <c r="AC579"/>
      <c r="AF579" s="326">
        <f t="shared" si="97"/>
        <v>1</v>
      </c>
      <c r="AG579" s="58"/>
      <c r="AH579" s="58"/>
      <c r="AI579" s="59"/>
      <c r="AJ579" s="59"/>
      <c r="AK579" s="74"/>
      <c r="AL579" s="76"/>
    </row>
    <row r="580" spans="1:38" s="903" customFormat="1" ht="13.7" hidden="1" customHeight="1" x14ac:dyDescent="0.2">
      <c r="A580" s="144"/>
      <c r="B580" s="911" t="s">
        <v>666</v>
      </c>
      <c r="C580" s="247"/>
      <c r="D580" s="40"/>
      <c r="E580" s="40"/>
      <c r="F580" s="40"/>
      <c r="G580" s="40"/>
      <c r="H580" s="40"/>
      <c r="I580" s="684"/>
      <c r="AF580" s="326">
        <f t="shared" si="89"/>
        <v>1</v>
      </c>
      <c r="AG580" s="58"/>
      <c r="AH580" s="58"/>
      <c r="AI580" s="59"/>
      <c r="AJ580" s="59"/>
      <c r="AK580" s="44"/>
      <c r="AL580" s="76"/>
    </row>
    <row r="581" spans="1:38" s="903" customFormat="1" ht="13.7" hidden="1" customHeight="1" thickBot="1" x14ac:dyDescent="0.25">
      <c r="A581" s="144"/>
      <c r="B581" s="191" t="s">
        <v>663</v>
      </c>
      <c r="C581" s="233"/>
      <c r="D581" s="40"/>
      <c r="E581" s="40"/>
      <c r="F581" s="40"/>
      <c r="G581" s="40"/>
      <c r="H581" s="40"/>
      <c r="I581" s="684"/>
      <c r="AF581" s="326">
        <f t="shared" si="89"/>
        <v>1</v>
      </c>
      <c r="AG581" s="58"/>
      <c r="AH581" s="58"/>
      <c r="AI581" s="59"/>
      <c r="AJ581" s="59"/>
      <c r="AK581" s="44"/>
      <c r="AL581" s="76"/>
    </row>
    <row r="582" spans="1:38" s="903" customFormat="1" ht="13.7" hidden="1" customHeight="1" thickBot="1" x14ac:dyDescent="0.25">
      <c r="A582" s="144"/>
      <c r="B582" s="721" t="s">
        <v>680</v>
      </c>
      <c r="C582" s="448" t="str">
        <f>HYPERLINK("\\deqhq1\Rule_Resources\0.IndividualRulemaking\0-General\CoeName.CHECKLIST.PublicDocumentReview.docx","i")</f>
        <v>i</v>
      </c>
      <c r="D582" s="40"/>
      <c r="E582" s="40"/>
      <c r="F582" s="40"/>
      <c r="G582" s="40"/>
      <c r="H582" s="40"/>
      <c r="I582" s="684"/>
      <c r="AF582" s="326">
        <f t="shared" si="89"/>
        <v>1</v>
      </c>
      <c r="AG582" s="58"/>
      <c r="AH582" s="58"/>
      <c r="AI582" s="59"/>
      <c r="AJ582" s="59"/>
      <c r="AK582" s="44"/>
      <c r="AL582" s="76"/>
    </row>
    <row r="583" spans="1:38" s="903" customFormat="1" ht="13.7" hidden="1" customHeight="1" thickTop="1" x14ac:dyDescent="0.2">
      <c r="A583" s="144"/>
      <c r="B583" s="191" t="s">
        <v>688</v>
      </c>
      <c r="C583" s="247"/>
      <c r="D583" s="40"/>
      <c r="E583" s="40"/>
      <c r="F583" s="40"/>
      <c r="G583" s="995" t="s">
        <v>513</v>
      </c>
      <c r="H583" s="996"/>
      <c r="I583" s="684"/>
      <c r="AF583" s="326">
        <f t="shared" si="89"/>
        <v>1</v>
      </c>
      <c r="AG583" s="58"/>
      <c r="AH583" s="58"/>
      <c r="AI583" s="59"/>
      <c r="AJ583" s="59"/>
      <c r="AK583" s="44"/>
      <c r="AL583" s="76"/>
    </row>
    <row r="584" spans="1:38" s="903" customFormat="1" ht="13.7" hidden="1" customHeight="1" x14ac:dyDescent="0.2">
      <c r="A584" s="144"/>
      <c r="B584" s="191" t="s">
        <v>689</v>
      </c>
      <c r="C584" s="247"/>
      <c r="D584" s="40"/>
      <c r="E584" s="40"/>
      <c r="F584" s="40"/>
      <c r="G584" s="958" t="s">
        <v>45</v>
      </c>
      <c r="H584" s="959" t="s">
        <v>643</v>
      </c>
      <c r="I584" s="684"/>
      <c r="AF584" s="326">
        <f t="shared" si="89"/>
        <v>1</v>
      </c>
      <c r="AG584" s="58"/>
      <c r="AH584" s="58"/>
      <c r="AI584" s="59"/>
      <c r="AJ584" s="59"/>
      <c r="AK584" s="44"/>
      <c r="AL584" s="76"/>
    </row>
    <row r="585" spans="1:38" s="903" customFormat="1" ht="13.7" hidden="1" customHeight="1" thickBot="1" x14ac:dyDescent="0.25">
      <c r="A585" s="144"/>
      <c r="B585" s="191" t="s">
        <v>690</v>
      </c>
      <c r="C585" s="247"/>
      <c r="D585" s="40"/>
      <c r="E585" s="40"/>
      <c r="F585" s="40"/>
      <c r="G585" s="956">
        <f>S.Notice.Submit.ToRG</f>
        <v>41754</v>
      </c>
      <c r="H585" s="957">
        <f>H24</f>
        <v>41768</v>
      </c>
      <c r="I585" s="684"/>
      <c r="AF585" s="326">
        <f t="shared" si="89"/>
        <v>1</v>
      </c>
      <c r="AG585" s="58"/>
      <c r="AH585" s="58"/>
      <c r="AI585" s="59"/>
      <c r="AJ585" s="59"/>
      <c r="AK585" s="44"/>
      <c r="AL585" s="76"/>
    </row>
    <row r="586" spans="1:38" s="903" customFormat="1" ht="13.7" hidden="1" customHeight="1" thickTop="1" x14ac:dyDescent="0.2">
      <c r="A586" s="144"/>
      <c r="B586" s="191" t="s">
        <v>694</v>
      </c>
      <c r="C586" s="247"/>
      <c r="D586" s="40"/>
      <c r="E586" s="40"/>
      <c r="F586" s="40"/>
      <c r="G586" s="941"/>
      <c r="H586" s="941"/>
      <c r="I586" s="684"/>
      <c r="AF586" s="326">
        <f t="shared" si="89"/>
        <v>1</v>
      </c>
      <c r="AG586" s="58"/>
      <c r="AH586" s="58"/>
      <c r="AI586" s="59"/>
      <c r="AJ586" s="59"/>
      <c r="AK586" s="44"/>
      <c r="AL586" s="76"/>
    </row>
    <row r="587" spans="1:38" s="903" customFormat="1" ht="13.7" hidden="1" customHeight="1" x14ac:dyDescent="0.2">
      <c r="A587" s="144"/>
      <c r="B587" s="191" t="s">
        <v>691</v>
      </c>
      <c r="C587" s="247"/>
      <c r="D587" s="40"/>
      <c r="E587" s="40"/>
      <c r="F587" s="40"/>
      <c r="I587" s="684"/>
      <c r="AF587" s="326">
        <f t="shared" si="89"/>
        <v>1</v>
      </c>
      <c r="AG587" s="58"/>
      <c r="AH587" s="58"/>
      <c r="AI587" s="59"/>
      <c r="AJ587" s="59"/>
      <c r="AK587" s="44"/>
      <c r="AL587" s="76"/>
    </row>
    <row r="588" spans="1:38" s="903" customFormat="1" ht="13.7" hidden="1" customHeight="1" x14ac:dyDescent="0.2">
      <c r="A588" s="144"/>
      <c r="B588" s="917" t="s">
        <v>665</v>
      </c>
      <c r="C588" s="247"/>
      <c r="D588" s="40"/>
      <c r="E588" s="40"/>
      <c r="F588" s="40"/>
      <c r="I588" s="684"/>
      <c r="AF588" s="326">
        <f t="shared" si="89"/>
        <v>1</v>
      </c>
      <c r="AG588" s="58"/>
      <c r="AH588" s="58"/>
      <c r="AI588" s="59"/>
      <c r="AJ588" s="59"/>
      <c r="AK588" s="44"/>
      <c r="AL588" s="76"/>
    </row>
    <row r="589" spans="1:38" s="907" customFormat="1" ht="13.7" hidden="1" customHeight="1" x14ac:dyDescent="0.2">
      <c r="A589" s="144"/>
      <c r="B589" s="367" t="str">
        <f>AK589</f>
        <v>AndreaG</v>
      </c>
      <c r="C589" s="233"/>
      <c r="D589" s="905"/>
      <c r="E589" s="905"/>
      <c r="F589" s="904"/>
      <c r="I589" s="684"/>
      <c r="AF589" s="326">
        <f t="shared" si="89"/>
        <v>1</v>
      </c>
      <c r="AG589" s="59"/>
      <c r="AH589" s="59"/>
      <c r="AI589" s="58"/>
      <c r="AJ589" s="44"/>
      <c r="AK589" s="746" t="str">
        <f>S.Staff.RG.Lead.FirstName</f>
        <v>AndreaG</v>
      </c>
      <c r="AL589" s="76"/>
    </row>
    <row r="590" spans="1:38" s="907" customFormat="1" ht="13.7" hidden="1" customHeight="1" x14ac:dyDescent="0.2">
      <c r="A590" s="144"/>
      <c r="B590" s="911" t="s">
        <v>667</v>
      </c>
      <c r="C590" s="233"/>
      <c r="D590" s="653"/>
      <c r="E590" s="905"/>
      <c r="F590" s="904"/>
      <c r="I590" s="684"/>
      <c r="AF590" s="326">
        <f t="shared" si="89"/>
        <v>1</v>
      </c>
      <c r="AG590" s="59" t="s">
        <v>157</v>
      </c>
      <c r="AH590" s="59"/>
      <c r="AI590" s="58"/>
      <c r="AJ590" s="44"/>
      <c r="AK590" s="746" t="str">
        <f>S.Staff.RG.Lead.FirstName&amp;" who performs initial document readiness review"</f>
        <v>AndreaG who performs initial document readiness review</v>
      </c>
      <c r="AL590" s="76"/>
    </row>
    <row r="591" spans="1:38" s="23" customFormat="1" ht="13.7" hidden="1" customHeight="1" x14ac:dyDescent="0.2">
      <c r="A591" s="144"/>
      <c r="B591" s="911" t="s">
        <v>698</v>
      </c>
      <c r="C591" s="233"/>
      <c r="D591" s="653"/>
      <c r="E591" s="905"/>
      <c r="F591" s="904"/>
      <c r="I591" s="684"/>
      <c r="AF591" s="326">
        <f t="shared" si="89"/>
        <v>1</v>
      </c>
      <c r="AG591" s="59"/>
      <c r="AH591" s="59"/>
      <c r="AI591" s="58"/>
      <c r="AJ591" s="44"/>
      <c r="AK591" s="746" t="str">
        <f>S.Staff.RG.Lead.FirstName&amp;" who performs initial document readiness review"</f>
        <v>AndreaG who performs initial document readiness review</v>
      </c>
      <c r="AL591" s="76"/>
    </row>
    <row r="592" spans="1:38" s="23" customFormat="1" ht="13.7" hidden="1" customHeight="1" x14ac:dyDescent="0.2">
      <c r="A592" s="144" t="s">
        <v>0</v>
      </c>
      <c r="B592" s="912" t="str">
        <f>AK592</f>
        <v>IF INCOMPLETE, notifies Leah who works with Jill</v>
      </c>
      <c r="D592" s="653"/>
      <c r="E592" s="823"/>
      <c r="F592" s="904"/>
      <c r="I592" s="684"/>
      <c r="AF592" s="326">
        <f t="shared" si="89"/>
        <v>1</v>
      </c>
      <c r="AG592" s="59"/>
      <c r="AH592" s="59"/>
      <c r="AI592" s="58"/>
      <c r="AJ592" s="44"/>
      <c r="AK592" s="169" t="str">
        <f>"IF INCOMPLETE, notifies "&amp;S.Staff.Program.Mgr.FirstName&amp;" who works with "&amp;S.Staff.Subject.Expert.FirstName</f>
        <v>IF INCOMPLETE, notifies Leah who works with Jill</v>
      </c>
      <c r="AL592" s="76"/>
    </row>
    <row r="593" spans="1:38" s="903" customFormat="1" ht="13.7" hidden="1" customHeight="1" x14ac:dyDescent="0.2">
      <c r="A593" s="144"/>
      <c r="B593" s="933" t="str">
        <f>AK593</f>
        <v>- renegotiates schedule with Leah &amp; Jill as needed</v>
      </c>
      <c r="D593" s="653"/>
      <c r="E593" s="823"/>
      <c r="F593" s="904"/>
      <c r="I593" s="684"/>
      <c r="AF593" s="326">
        <f t="shared" si="89"/>
        <v>1</v>
      </c>
      <c r="AG593" s="59"/>
      <c r="AH593" s="59"/>
      <c r="AI593" s="58"/>
      <c r="AJ593" s="44"/>
      <c r="AK593" s="169" t="str">
        <f>"- renegotiates schedule with "&amp;S.Staff.Program.Mgr.FirstName&amp;" &amp; "&amp;S.Staff.Subject.Expert.FirstName&amp;" as needed"</f>
        <v>- renegotiates schedule with Leah &amp; Jill as needed</v>
      </c>
      <c r="AL593" s="76"/>
    </row>
    <row r="594" spans="1:38" s="37" customFormat="1" ht="13.7" hidden="1" customHeight="1" x14ac:dyDescent="0.2">
      <c r="A594" s="157"/>
      <c r="B594" s="908" t="str">
        <f>AK594</f>
        <v>- reminds Jill to reschedule Lydia briefing as needed</v>
      </c>
      <c r="D594" s="932"/>
      <c r="E594" s="361"/>
      <c r="F594" s="914"/>
      <c r="I594" s="915"/>
      <c r="AF594" s="326">
        <f t="shared" si="89"/>
        <v>1</v>
      </c>
      <c r="AG594" s="61"/>
      <c r="AH594" s="61"/>
      <c r="AI594" s="62"/>
      <c r="AJ594" s="44"/>
      <c r="AK594" s="169" t="str">
        <f>"- reminds "&amp;S.Staff.Subject.Expert.FirstName&amp;" to reschedule "&amp;S.Staff.Assistant.DA.ShortName&amp;" briefing as needed"</f>
        <v>- reminds Jill to reschedule Lydia briefing as needed</v>
      </c>
      <c r="AL594" s="42"/>
    </row>
    <row r="595" spans="1:38" s="37" customFormat="1" ht="13.7" hidden="1" customHeight="1" x14ac:dyDescent="0.2">
      <c r="A595" s="157"/>
      <c r="B595" s="934" t="str">
        <f>AK595</f>
        <v>- suspends Rule Publication work until Jill resubmits documents</v>
      </c>
      <c r="D595" s="653"/>
      <c r="E595" s="361"/>
      <c r="F595" s="914"/>
      <c r="I595" s="915"/>
      <c r="AF595" s="326">
        <f t="shared" si="89"/>
        <v>1</v>
      </c>
      <c r="AG595" s="61"/>
      <c r="AH595" s="61"/>
      <c r="AI595" s="62"/>
      <c r="AJ595" s="44"/>
      <c r="AK595" s="169" t="str">
        <f>"- suspends Rule Publication work until "&amp;S.Staff.Subject.Expert.FirstName&amp;" resubmits documents"</f>
        <v>- suspends Rule Publication work until Jill resubmits documents</v>
      </c>
      <c r="AL595" s="42"/>
    </row>
    <row r="596" spans="1:38" s="907" customFormat="1" ht="13.7" hidden="1" customHeight="1" x14ac:dyDescent="0.2">
      <c r="A596" s="144"/>
      <c r="B596" s="912" t="s">
        <v>692</v>
      </c>
      <c r="D596" s="823"/>
      <c r="E596" s="823"/>
      <c r="F596" s="904"/>
      <c r="I596" s="684"/>
      <c r="AF596" s="326">
        <f t="shared" si="89"/>
        <v>1</v>
      </c>
      <c r="AG596" s="59"/>
      <c r="AH596" s="59"/>
      <c r="AI596" s="58"/>
      <c r="AJ596" s="44"/>
      <c r="AK596" s="44"/>
      <c r="AL596" s="76"/>
    </row>
    <row r="597" spans="1:38" s="907" customFormat="1" ht="13.7" hidden="1" customHeight="1" x14ac:dyDescent="0.2">
      <c r="A597" s="144"/>
      <c r="B597" s="913" t="s">
        <v>687</v>
      </c>
      <c r="D597" s="653"/>
      <c r="E597" s="904"/>
      <c r="F597" s="904"/>
      <c r="I597" s="684"/>
      <c r="AF597" s="326">
        <f t="shared" si="89"/>
        <v>1</v>
      </c>
      <c r="AG597" s="58"/>
      <c r="AH597" s="58"/>
      <c r="AI597" s="58"/>
      <c r="AJ597" s="44"/>
      <c r="AK597" s="44"/>
      <c r="AL597" s="76"/>
    </row>
    <row r="598" spans="1:38" s="23" customFormat="1" ht="13.7" hidden="1" customHeight="1" x14ac:dyDescent="0.2">
      <c r="A598" s="144"/>
      <c r="B598" s="908" t="str">
        <f>AK598</f>
        <v>- asks BrianW, StephanieC &amp; Maggie &amp; AndreaG for input as needed</v>
      </c>
      <c r="D598" s="653"/>
      <c r="E598" s="904"/>
      <c r="F598" s="904"/>
      <c r="I598" s="684"/>
      <c r="AF598" s="326">
        <f t="shared" si="89"/>
        <v>1</v>
      </c>
      <c r="AG598" s="58"/>
      <c r="AH598" s="58"/>
      <c r="AI598" s="58"/>
      <c r="AJ598" s="44"/>
      <c r="AK598" s="169" t="str">
        <f>"- asks "&amp;S.Staff.PublicAffairsOfficer&amp;", "&amp;S.Staff.EQCAssistant&amp;" &amp; "&amp;S.Staff.AgencyRulesCoordinator&amp;IF(S.SIP.Involved="N",," &amp; "&amp;S.Staff.SIPCo)&amp;" for input as needed"</f>
        <v>- asks BrianW, StephanieC &amp; Maggie &amp; AndreaG for input as needed</v>
      </c>
      <c r="AL598" s="76"/>
    </row>
    <row r="599" spans="1:38" s="23" customFormat="1" ht="12.75" hidden="1" customHeight="1" x14ac:dyDescent="0.2">
      <c r="A599" s="144"/>
      <c r="B599" s="913" t="s">
        <v>686</v>
      </c>
      <c r="D599" s="653"/>
      <c r="E599" s="290"/>
      <c r="F599" s="227"/>
      <c r="I599" s="684"/>
      <c r="AF599" s="326">
        <f t="shared" si="89"/>
        <v>1</v>
      </c>
      <c r="AG599" s="58"/>
      <c r="AH599" s="58"/>
      <c r="AI599" s="59"/>
      <c r="AJ599" s="59"/>
      <c r="AK599" s="44"/>
      <c r="AL599" s="76"/>
    </row>
    <row r="600" spans="1:38" s="903" customFormat="1" ht="13.7" hidden="1" customHeight="1" x14ac:dyDescent="0.2">
      <c r="A600" s="144"/>
      <c r="B600" s="908" t="str">
        <f>AK600</f>
        <v>- asks Leah for input</v>
      </c>
      <c r="D600" s="653"/>
      <c r="E600" s="904"/>
      <c r="F600" s="904"/>
      <c r="I600" s="684"/>
      <c r="AF600" s="326">
        <f t="shared" si="89"/>
        <v>1</v>
      </c>
      <c r="AG600" s="58"/>
      <c r="AH600" s="58"/>
      <c r="AI600" s="58"/>
      <c r="AJ600" s="44"/>
      <c r="AK600" s="169" t="str">
        <f>"- asks "&amp;S.Staff.Program.Mgr.FirstName&amp;" for input"</f>
        <v>- asks Leah for input</v>
      </c>
      <c r="AL600" s="76"/>
    </row>
    <row r="601" spans="1:38" s="907" customFormat="1" ht="13.7" hidden="1" customHeight="1" x14ac:dyDescent="0.2">
      <c r="A601" s="144"/>
      <c r="B601" s="367" t="str">
        <f>AK601</f>
        <v>Leah</v>
      </c>
      <c r="D601" s="904"/>
      <c r="E601" s="904"/>
      <c r="F601" s="904"/>
      <c r="I601" s="684"/>
      <c r="AF601" s="326">
        <f t="shared" si="89"/>
        <v>1</v>
      </c>
      <c r="AG601" s="58"/>
      <c r="AH601" s="58"/>
      <c r="AI601" s="58"/>
      <c r="AJ601" s="44"/>
      <c r="AK601" s="169" t="str">
        <f>S.Staff.Program.Mgr.FirstName</f>
        <v>Leah</v>
      </c>
      <c r="AL601" s="76"/>
    </row>
    <row r="602" spans="1:38" s="907" customFormat="1" ht="13.7" hidden="1" customHeight="1" x14ac:dyDescent="0.2">
      <c r="A602" s="144"/>
      <c r="B602" s="911" t="s">
        <v>693</v>
      </c>
      <c r="D602" s="653"/>
      <c r="E602" s="904"/>
      <c r="F602" s="904"/>
      <c r="I602" s="684"/>
      <c r="AF602" s="326">
        <f t="shared" si="89"/>
        <v>1</v>
      </c>
      <c r="AG602" s="58"/>
      <c r="AH602" s="58"/>
      <c r="AI602" s="58"/>
      <c r="AJ602" s="44"/>
      <c r="AK602" s="44"/>
      <c r="AL602" s="76"/>
    </row>
    <row r="603" spans="1:38" s="907" customFormat="1" ht="13.7" hidden="1" customHeight="1" x14ac:dyDescent="0.2">
      <c r="A603" s="144" t="s">
        <v>0</v>
      </c>
      <c r="B603" s="911" t="str">
        <f>AK603</f>
        <v>* asks AndreaG for concurrance, indicating need to review certain changes</v>
      </c>
      <c r="D603" s="653"/>
      <c r="E603" s="823"/>
      <c r="F603" s="904"/>
      <c r="I603" s="684"/>
      <c r="AF603" s="326">
        <f t="shared" si="89"/>
        <v>1</v>
      </c>
      <c r="AG603" s="59"/>
      <c r="AH603" s="59"/>
      <c r="AI603" s="58"/>
      <c r="AJ603" s="44"/>
      <c r="AK603" s="746" t="str">
        <f>"* asks "&amp;S.Staff.RG.Lead.FirstName&amp;" for concurrance, indicating need to review certain changes"</f>
        <v>* asks AndreaG for concurrance, indicating need to review certain changes</v>
      </c>
      <c r="AL603" s="76"/>
    </row>
    <row r="604" spans="1:38" s="907" customFormat="1" ht="13.7" hidden="1" customHeight="1" x14ac:dyDescent="0.2">
      <c r="A604" s="144"/>
      <c r="B604" s="916" t="str">
        <f>AK604</f>
        <v>AndreaG</v>
      </c>
      <c r="D604" s="823"/>
      <c r="E604" s="823"/>
      <c r="F604" s="904"/>
      <c r="I604" s="684"/>
      <c r="AF604" s="326">
        <f t="shared" si="89"/>
        <v>1</v>
      </c>
      <c r="AG604" s="59"/>
      <c r="AH604" s="59"/>
      <c r="AI604" s="58"/>
      <c r="AJ604" s="44"/>
      <c r="AK604" s="746" t="str">
        <f>S.Staff.RG.Lead.FirstName</f>
        <v>AndreaG</v>
      </c>
      <c r="AL604" s="76"/>
    </row>
    <row r="605" spans="1:38" s="907" customFormat="1" ht="12.75" hidden="1" customHeight="1" x14ac:dyDescent="0.2">
      <c r="A605" s="144"/>
      <c r="B605" s="911" t="s">
        <v>668</v>
      </c>
      <c r="D605" s="653"/>
      <c r="E605" s="290"/>
      <c r="F605" s="227"/>
      <c r="I605" s="684"/>
      <c r="AF605" s="326">
        <f t="shared" si="89"/>
        <v>1</v>
      </c>
      <c r="AG605" s="58"/>
      <c r="AH605" s="58"/>
      <c r="AI605" s="59"/>
      <c r="AJ605" s="59"/>
      <c r="AK605" s="44"/>
      <c r="AL605" s="76"/>
    </row>
    <row r="606" spans="1:38" s="907" customFormat="1" ht="12.75" hidden="1" customHeight="1" x14ac:dyDescent="0.2">
      <c r="A606" s="144"/>
      <c r="B606" s="911" t="s">
        <v>695</v>
      </c>
      <c r="D606" s="653"/>
      <c r="E606" s="290"/>
      <c r="F606" s="227"/>
      <c r="I606" s="684"/>
      <c r="AF606" s="326">
        <f t="shared" si="89"/>
        <v>1</v>
      </c>
      <c r="AG606" s="58"/>
      <c r="AH606" s="58"/>
      <c r="AI606" s="59"/>
      <c r="AJ606" s="59"/>
      <c r="AK606" s="44"/>
      <c r="AL606" s="76"/>
    </row>
    <row r="607" spans="1:38" s="907" customFormat="1" ht="13.7" hidden="1" customHeight="1" x14ac:dyDescent="0.2">
      <c r="A607" s="144"/>
      <c r="B607" s="911" t="str">
        <f>AK607</f>
        <v>* asks Leah for concurrence on any changes as indicated</v>
      </c>
      <c r="D607" s="653"/>
      <c r="E607" s="904"/>
      <c r="F607" s="904"/>
      <c r="I607" s="684"/>
      <c r="AF607" s="326">
        <f t="shared" si="89"/>
        <v>1</v>
      </c>
      <c r="AG607" s="58"/>
      <c r="AH607" s="58"/>
      <c r="AI607" s="58"/>
      <c r="AJ607" s="44"/>
      <c r="AK607" s="169" t="str">
        <f>"* asks "&amp;S.Staff.Program.Mgr.FirstName&amp;" for concurrence on any changes as indicated"</f>
        <v>* asks Leah for concurrence on any changes as indicated</v>
      </c>
      <c r="AL607" s="76"/>
    </row>
    <row r="608" spans="1:38" s="928" customFormat="1" ht="13.7" hidden="1" customHeight="1" x14ac:dyDescent="0.2">
      <c r="A608" s="144"/>
      <c r="B608" s="912" t="str">
        <f>AK608</f>
        <v xml:space="preserve">- discusses/resolves any editorial differences </v>
      </c>
      <c r="D608" s="653"/>
      <c r="E608" s="904"/>
      <c r="F608" s="904"/>
      <c r="I608" s="684"/>
      <c r="AF608" s="326">
        <f t="shared" si="89"/>
        <v>1</v>
      </c>
      <c r="AG608" s="58"/>
      <c r="AH608" s="58"/>
      <c r="AI608" s="58"/>
      <c r="AJ608" s="44"/>
      <c r="AK608" s="169" t="str">
        <f>"- discusses/resolves any editorial differences "</f>
        <v xml:space="preserve">- discusses/resolves any editorial differences </v>
      </c>
      <c r="AL608" s="76"/>
    </row>
    <row r="609" spans="1:39" s="907" customFormat="1" ht="13.7" hidden="1" customHeight="1" x14ac:dyDescent="0.2">
      <c r="A609" s="144"/>
      <c r="B609" s="911" t="str">
        <f>AK609</f>
        <v>* notifies Leah when finished, indicating need to review certain changes</v>
      </c>
      <c r="D609" s="712"/>
      <c r="E609" s="904"/>
      <c r="F609" s="904"/>
      <c r="G609" s="961"/>
      <c r="H609" s="961"/>
      <c r="I609" s="961"/>
      <c r="AF609" s="326">
        <f t="shared" si="89"/>
        <v>1</v>
      </c>
      <c r="AG609" s="58"/>
      <c r="AH609" s="58"/>
      <c r="AI609" s="58"/>
      <c r="AJ609" s="44"/>
      <c r="AK609" s="169" t="str">
        <f>"* notifies "&amp;S.Staff.Program.Mgr.FirstName&amp;" when finished, indicating need to review certain changes"</f>
        <v>* notifies Leah when finished, indicating need to review certain changes</v>
      </c>
      <c r="AL609" s="76"/>
    </row>
    <row r="610" spans="1:39" s="907" customFormat="1" ht="13.7" hidden="1" customHeight="1" x14ac:dyDescent="0.2">
      <c r="A610" s="144"/>
      <c r="B610" s="367" t="str">
        <f>AK610</f>
        <v>Leah discusses the following with Jill</v>
      </c>
      <c r="D610" s="904"/>
      <c r="E610" s="904"/>
      <c r="F610" s="904"/>
      <c r="G610" s="961"/>
      <c r="H610" s="961"/>
      <c r="I610" s="961"/>
      <c r="AF610" s="326">
        <f t="shared" si="89"/>
        <v>1</v>
      </c>
      <c r="AG610" s="58"/>
      <c r="AH610" s="58"/>
      <c r="AI610" s="58"/>
      <c r="AJ610" s="44"/>
      <c r="AK610" s="169" t="str">
        <f>S.Staff.Program.Mgr.FirstName&amp;" discusses the following with "&amp;S.Staff.Subject.Expert.FirstName</f>
        <v>Leah discusses the following with Jill</v>
      </c>
      <c r="AL610" s="76"/>
    </row>
    <row r="611" spans="1:39" s="907" customFormat="1" ht="13.7" hidden="1" customHeight="1" x14ac:dyDescent="0.2">
      <c r="A611" s="144"/>
      <c r="B611" s="911" t="s">
        <v>670</v>
      </c>
      <c r="D611" s="904"/>
      <c r="E611" s="904"/>
      <c r="F611" s="904"/>
      <c r="G611" s="230">
        <f>AG611</f>
        <v>41771</v>
      </c>
      <c r="H611" s="918">
        <f>AH611</f>
        <v>41753</v>
      </c>
      <c r="I611" s="684"/>
      <c r="AF611" s="326">
        <f t="shared" si="89"/>
        <v>1</v>
      </c>
      <c r="AG611" s="60">
        <f>WORKDAY(H585,1,S.DDL_DEQClosed)</f>
        <v>41771</v>
      </c>
      <c r="AH611" s="60">
        <f>IF(AF613=0,,WORKDAY(S.Notice.Submit.ToRG,-1,S.DDL_DEQClosed))</f>
        <v>41753</v>
      </c>
      <c r="AI611" s="58"/>
      <c r="AJ611" s="44"/>
      <c r="AK611" s="169" t="str">
        <f>"* discusses any outstanding work with "&amp;S.Staff.Subject.Expert.FirstName</f>
        <v>* discusses any outstanding work with Jill</v>
      </c>
      <c r="AL611" s="76"/>
    </row>
    <row r="612" spans="1:39" s="570" customFormat="1" ht="14.1" hidden="1" customHeight="1" x14ac:dyDescent="0.2">
      <c r="A612" s="539"/>
      <c r="B612" s="241" t="str">
        <f>AK612</f>
        <v>* need for Paul review</v>
      </c>
      <c r="C612" s="233" t="s">
        <v>0</v>
      </c>
      <c r="D612" s="712"/>
      <c r="E612" s="826"/>
      <c r="F612" s="907"/>
      <c r="G612" s="941"/>
      <c r="H612" s="941"/>
      <c r="I612" s="868"/>
      <c r="AF612" s="326">
        <f t="shared" ref="AF612:AF618" si="99">IF(S.Notice.Involved="Y",1,0)</f>
        <v>1</v>
      </c>
      <c r="AG612" s="59"/>
      <c r="AH612" s="59"/>
      <c r="AI612" s="59"/>
      <c r="AJ612" s="59"/>
      <c r="AK612" s="169" t="str">
        <f>"* need for "&amp;S.Staff.AAG&amp;" review"</f>
        <v>* need for Paul review</v>
      </c>
      <c r="AL612" s="76"/>
    </row>
    <row r="613" spans="1:39" s="902" customFormat="1" ht="14.1" hidden="1" customHeight="1" x14ac:dyDescent="0.2">
      <c r="A613" s="144"/>
      <c r="B613" s="919" t="str">
        <f>AK613</f>
        <v>Jill:</v>
      </c>
      <c r="C613" s="233" t="s">
        <v>0</v>
      </c>
      <c r="D613" s="712"/>
      <c r="E613" s="826"/>
      <c r="F613" s="570"/>
      <c r="G613" s="221">
        <f>AG613</f>
        <v>2</v>
      </c>
      <c r="H613" s="221">
        <f>AH613</f>
        <v>5</v>
      </c>
      <c r="I613" s="684"/>
      <c r="AF613" s="326">
        <f t="shared" si="99"/>
        <v>1</v>
      </c>
      <c r="AG613" s="713">
        <f>WORKDAY(H583,1,S.DDL_DEQClosed)</f>
        <v>2</v>
      </c>
      <c r="AH613" s="713">
        <f>WORKDAY(G613,3,S.DDL_DEQClosed)</f>
        <v>5</v>
      </c>
      <c r="AI613" s="59"/>
      <c r="AJ613" s="59"/>
      <c r="AK613" s="169" t="str">
        <f>S.Staff.Subject.Expert.FirstName&amp;":"</f>
        <v>Jill:</v>
      </c>
      <c r="AL613" s="76"/>
    </row>
    <row r="614" spans="1:39" s="902" customFormat="1" ht="14.1" hidden="1" customHeight="1" x14ac:dyDescent="0.2">
      <c r="A614" s="144"/>
      <c r="B614" s="241" t="s">
        <v>677</v>
      </c>
      <c r="C614" s="233" t="s">
        <v>0</v>
      </c>
      <c r="D614" s="570"/>
      <c r="E614" s="570"/>
      <c r="F614" s="570"/>
      <c r="G614" s="539"/>
      <c r="H614" s="539"/>
      <c r="I614" s="684"/>
      <c r="AE614" s="40"/>
      <c r="AF614" s="326">
        <f t="shared" si="99"/>
        <v>1</v>
      </c>
      <c r="AG614" s="59"/>
      <c r="AH614" s="59"/>
      <c r="AI614" s="59"/>
      <c r="AJ614" s="59"/>
      <c r="AK614" s="44"/>
      <c r="AL614" s="76"/>
    </row>
    <row r="615" spans="1:39" s="570" customFormat="1" ht="14.1" hidden="1" customHeight="1" x14ac:dyDescent="0.2">
      <c r="A615" s="539"/>
      <c r="B615" s="241" t="str">
        <f>AK615</f>
        <v>* asks Paul for review if indicated, addresses input</v>
      </c>
      <c r="C615" s="233" t="s">
        <v>0</v>
      </c>
      <c r="D615" s="712"/>
      <c r="E615" s="826"/>
      <c r="F615" s="903"/>
      <c r="I615" s="868"/>
      <c r="AF615" s="326">
        <f t="shared" si="99"/>
        <v>1</v>
      </c>
      <c r="AG615" s="59"/>
      <c r="AH615" s="59"/>
      <c r="AI615" s="59"/>
      <c r="AJ615" s="59"/>
      <c r="AK615" s="169" t="str">
        <f>"* asks "&amp;S.Staff.AAG&amp;" for review if indicated, addresses input"</f>
        <v>* asks Paul for review if indicated, addresses input</v>
      </c>
      <c r="AL615" s="76"/>
    </row>
    <row r="616" spans="1:39" s="907" customFormat="1" ht="14.1" hidden="1" customHeight="1" x14ac:dyDescent="0.2">
      <c r="A616" s="144"/>
      <c r="B616" s="241" t="str">
        <f>AK616</f>
        <v>* asks AndreaG &amp; Leah for concurrence on changes as indicated</v>
      </c>
      <c r="C616" s="233"/>
      <c r="D616" s="712"/>
      <c r="E616" s="570"/>
      <c r="F616" s="570"/>
      <c r="G616" s="539"/>
      <c r="H616" s="539"/>
      <c r="I616" s="684"/>
      <c r="AE616" s="40"/>
      <c r="AF616" s="326">
        <f t="shared" si="99"/>
        <v>1</v>
      </c>
      <c r="AG616" s="59"/>
      <c r="AH616" s="59"/>
      <c r="AI616" s="59"/>
      <c r="AJ616" s="59"/>
      <c r="AK616" s="169" t="str">
        <f>"* asks "&amp;S.Staff.RG.Lead.FirstName&amp;" &amp; "&amp;S.Staff.Program.Mgr.FirstName&amp;" for concurrence on changes as indicated"</f>
        <v>* asks AndreaG &amp; Leah for concurrence on changes as indicated</v>
      </c>
      <c r="AL616" s="76"/>
    </row>
    <row r="617" spans="1:39" s="907" customFormat="1" ht="14.1" hidden="1" customHeight="1" x14ac:dyDescent="0.2">
      <c r="A617" s="144"/>
      <c r="B617" s="241" t="s">
        <v>677</v>
      </c>
      <c r="C617" s="233" t="s">
        <v>0</v>
      </c>
      <c r="D617" s="712"/>
      <c r="E617" s="570"/>
      <c r="F617" s="570"/>
      <c r="G617" s="539"/>
      <c r="H617" s="539"/>
      <c r="I617" s="684"/>
      <c r="AE617" s="40"/>
      <c r="AF617" s="326">
        <f t="shared" si="99"/>
        <v>1</v>
      </c>
      <c r="AG617" s="59"/>
      <c r="AH617" s="59"/>
      <c r="AI617" s="59"/>
      <c r="AJ617" s="59"/>
      <c r="AK617" s="169" t="str">
        <f>"* addresses Rule Publication concerns"</f>
        <v>* addresses Rule Publication concerns</v>
      </c>
      <c r="AL617" s="76"/>
    </row>
    <row r="618" spans="1:39" s="907" customFormat="1" ht="14.1" hidden="1" customHeight="1" x14ac:dyDescent="0.2">
      <c r="A618" s="144"/>
      <c r="B618" s="241" t="str">
        <f>AK618</f>
        <v>* notifies AndreaG &amp; Leah when complete and ready for preview</v>
      </c>
      <c r="C618" s="233"/>
      <c r="D618" s="712"/>
      <c r="E618" s="570"/>
      <c r="F618" s="570"/>
      <c r="G618" s="539"/>
      <c r="H618" s="539"/>
      <c r="I618" s="684"/>
      <c r="AE618" s="40"/>
      <c r="AF618" s="326">
        <f t="shared" si="99"/>
        <v>1</v>
      </c>
      <c r="AG618" s="59"/>
      <c r="AH618" s="59"/>
      <c r="AI618" s="59"/>
      <c r="AJ618" s="59"/>
      <c r="AK618" s="169" t="str">
        <f>"* notifies "&amp;S.Staff.RG.Lead.FirstName&amp;" &amp; "&amp;S.Staff.Program.Mgr.FirstName&amp;" when complete and ready for preview"</f>
        <v>* notifies AndreaG &amp; Leah when complete and ready for preview</v>
      </c>
      <c r="AL618" s="76"/>
    </row>
    <row r="619" spans="1:39" s="23" customFormat="1" ht="20.25" hidden="1" customHeight="1" x14ac:dyDescent="0.2">
      <c r="A619" s="144"/>
      <c r="B619" s="461" t="s">
        <v>649</v>
      </c>
      <c r="C619" s="480"/>
      <c r="D619" s="644"/>
      <c r="E619" s="644"/>
      <c r="F619"/>
      <c r="I619" s="684"/>
      <c r="AF619" s="326">
        <f t="shared" ref="AF619:AF626" si="100">IF(S.Notice.Involved="Y",1,0)</f>
        <v>1</v>
      </c>
      <c r="AG619" s="59"/>
      <c r="AH619" s="59"/>
      <c r="AI619" s="59"/>
      <c r="AJ619" s="59"/>
      <c r="AK619" s="44"/>
      <c r="AL619" s="76"/>
    </row>
    <row r="620" spans="1:39" s="23" customFormat="1" ht="14.1" hidden="1" customHeight="1" x14ac:dyDescent="0.2">
      <c r="A620" s="144"/>
      <c r="B620" s="232" t="str">
        <f>AK620</f>
        <v>Jill drafts EMAIL.PREVIEW - instructions in template</v>
      </c>
      <c r="C620" s="447" t="str">
        <f>HYPERLINK("\\deqhq1\Rule_Resources\i\EMAIL.Preview.docx","i")</f>
        <v>i</v>
      </c>
      <c r="D620" s="644"/>
      <c r="E620" s="689"/>
      <c r="F620"/>
      <c r="H620" s="230" t="e">
        <f>AH620</f>
        <v>#REF!</v>
      </c>
      <c r="I620" s="684"/>
      <c r="AF620" s="326">
        <f t="shared" si="100"/>
        <v>1</v>
      </c>
      <c r="AG620" s="59"/>
      <c r="AH620" s="60" t="e">
        <f>IF(AF620=0,,#REF!)</f>
        <v>#REF!</v>
      </c>
      <c r="AI620" s="59"/>
      <c r="AJ620" s="59"/>
      <c r="AK620" s="169" t="str">
        <f>S.Staff.Subject.Expert.FirstName&amp;" drafts EMAIL.PREVIEW - instructions in template"</f>
        <v>Jill drafts EMAIL.PREVIEW - instructions in template</v>
      </c>
      <c r="AL620" s="76"/>
    </row>
    <row r="621" spans="1:39" s="23" customFormat="1" ht="14.1" hidden="1" customHeight="1" x14ac:dyDescent="0.2">
      <c r="A621" s="144"/>
      <c r="B621" s="285" t="str">
        <f>AK621</f>
        <v>* sends draft to Lydia just before briefing - links to preview documents included</v>
      </c>
      <c r="C621" s="480" t="s">
        <v>0</v>
      </c>
      <c r="D621" s="712"/>
      <c r="E621" s="644"/>
      <c r="F621"/>
      <c r="I621" s="684"/>
      <c r="AF621" s="326">
        <f t="shared" si="100"/>
        <v>1</v>
      </c>
      <c r="AG621" s="59"/>
      <c r="AH621" s="59"/>
      <c r="AI621" s="59"/>
      <c r="AJ621" s="59"/>
      <c r="AK621" s="169" t="str">
        <f>"* sends draft to "&amp;S.Staff.Assistant.DA.ShortName&amp;" just before briefing - links to preview documents included"</f>
        <v>* sends draft to Lydia just before briefing - links to preview documents included</v>
      </c>
      <c r="AL621" s="76"/>
    </row>
    <row r="622" spans="1:39" s="23" customFormat="1" ht="14.1" hidden="1" customHeight="1" x14ac:dyDescent="0.2">
      <c r="A622" s="144"/>
      <c r="B622" s="285" t="str">
        <f>AK622</f>
        <v>* reminds Lydia  review starts today</v>
      </c>
      <c r="C622" s="480" t="s">
        <v>0</v>
      </c>
      <c r="D622" s="712"/>
      <c r="E622" s="644"/>
      <c r="F622"/>
      <c r="G622" s="40"/>
      <c r="H622" s="40"/>
      <c r="I622" s="684"/>
      <c r="J622"/>
      <c r="K622"/>
      <c r="L622"/>
      <c r="M622"/>
      <c r="N622"/>
      <c r="O622"/>
      <c r="P622"/>
      <c r="Q622"/>
      <c r="R622"/>
      <c r="S622"/>
      <c r="T622"/>
      <c r="U622"/>
      <c r="X622"/>
      <c r="AB622"/>
      <c r="AC622"/>
      <c r="AF622" s="326">
        <f t="shared" si="100"/>
        <v>1</v>
      </c>
      <c r="AG622" s="59"/>
      <c r="AH622" s="59"/>
      <c r="AI622" s="59"/>
      <c r="AJ622" s="59"/>
      <c r="AK622" s="169" t="str">
        <f>"* reminds "&amp;S.Staff.Assistant.DA.ShortName&amp;" "&amp;S.Staff.Assistant.DA.Pronoun&amp;" review starts today"</f>
        <v>* reminds Lydia  review starts today</v>
      </c>
      <c r="AL622" s="76"/>
    </row>
    <row r="623" spans="1:39" s="907" customFormat="1" ht="14.1" hidden="1" customHeight="1" thickBot="1" x14ac:dyDescent="0.25">
      <c r="A623" s="144"/>
      <c r="B623" s="285" t="str">
        <f t="shared" ref="B623" si="101">AK623</f>
        <v>* copies Leah &amp; AndreaG on email</v>
      </c>
      <c r="C623" s="906" t="s">
        <v>0</v>
      </c>
      <c r="D623" s="712"/>
      <c r="E623" s="644"/>
      <c r="G623" s="922"/>
      <c r="H623" s="922"/>
      <c r="I623" s="684"/>
      <c r="AF623" s="326">
        <f t="shared" si="100"/>
        <v>1</v>
      </c>
      <c r="AG623" s="59"/>
      <c r="AH623" s="59"/>
      <c r="AI623" s="59"/>
      <c r="AJ623" s="59"/>
      <c r="AK623" s="169" t="str">
        <f>"* copies "&amp;S.Staff.Program.Mgr.FirstName&amp;" &amp; "&amp;S.Staff.RG.Lead.FirstName&amp;" on email"</f>
        <v>* copies Leah &amp; AndreaG on email</v>
      </c>
      <c r="AL623" s="76"/>
    </row>
    <row r="624" spans="1:39" ht="14.1" hidden="1" customHeight="1" thickTop="1" x14ac:dyDescent="0.2">
      <c r="A624" s="144"/>
      <c r="B624" s="249" t="str">
        <f t="shared" ref="B624" si="102">AK624</f>
        <v>Jill, Leah brief Lydia</v>
      </c>
      <c r="C624" s="480" t="s">
        <v>0</v>
      </c>
      <c r="D624" s="644"/>
      <c r="E624" s="644"/>
      <c r="F624" s="921"/>
      <c r="G624" s="855" t="s">
        <v>642</v>
      </c>
      <c r="H624" s="925">
        <f>AH624</f>
        <v>41781</v>
      </c>
      <c r="I624" s="684"/>
      <c r="AF624" s="326">
        <f t="shared" si="100"/>
        <v>1</v>
      </c>
      <c r="AG624" s="59"/>
      <c r="AH624" s="60">
        <f>IF(AF542=0,,WORKDAY(S.Notice.Submit.ToADA,-1,S.DDL_DEQClosed))</f>
        <v>41781</v>
      </c>
      <c r="AI624" s="59"/>
      <c r="AJ624" s="59"/>
      <c r="AK624" s="169" t="str">
        <f>S.Staff.Subject.Expert.FirstName&amp;", "&amp;S.Staff.Program.Mgr.FirstName&amp;" brief "&amp;S.Staff.Assistant.DA.ShortName</f>
        <v>Jill, Leah brief Lydia</v>
      </c>
      <c r="AL624" s="76"/>
      <c r="AM624"/>
    </row>
    <row r="625" spans="1:39" s="23" customFormat="1" ht="14.1" hidden="1" customHeight="1" x14ac:dyDescent="0.2">
      <c r="A625" s="144"/>
      <c r="B625" s="920" t="str">
        <f>AK625</f>
        <v>Lydia personalizes and sends EMAIL.PREVIEW 3 work days after  briefing</v>
      </c>
      <c r="C625" s="480"/>
      <c r="D625" s="640"/>
      <c r="E625" s="640"/>
      <c r="F625" s="921"/>
      <c r="G625" s="1008" t="s">
        <v>534</v>
      </c>
      <c r="H625" s="1009"/>
      <c r="I625" s="684"/>
      <c r="AE625" s="718"/>
      <c r="AF625" s="326">
        <f t="shared" si="100"/>
        <v>1</v>
      </c>
      <c r="AG625" s="59"/>
      <c r="AH625" s="59"/>
      <c r="AI625" s="59"/>
      <c r="AJ625" s="59"/>
      <c r="AK625" s="169" t="str">
        <f>S.Staff.Assistant.DA.ShortName&amp;" personalizes and sends EMAIL.PREVIEW 3 work days after "&amp;S.Staff.Program.Mgr.Pronoun&amp;" briefing"</f>
        <v>Lydia personalizes and sends EMAIL.PREVIEW 3 work days after  briefing</v>
      </c>
      <c r="AL625" s="76"/>
    </row>
    <row r="626" spans="1:39" s="23" customFormat="1" ht="14.1" hidden="1" customHeight="1" x14ac:dyDescent="0.2">
      <c r="A626" s="144"/>
      <c r="B626" s="469" t="str">
        <f>AK626</f>
        <v>To… Dick, Lydia, Leadership Team &amp; StephanieC</v>
      </c>
      <c r="C626" s="480"/>
      <c r="D626" s="640"/>
      <c r="E626" s="640"/>
      <c r="F626" s="921"/>
      <c r="G626" s="881" t="s">
        <v>45</v>
      </c>
      <c r="H626" s="923" t="s">
        <v>100</v>
      </c>
      <c r="I626" s="684"/>
      <c r="AE626" s="718"/>
      <c r="AF626" s="326">
        <f t="shared" si="100"/>
        <v>1</v>
      </c>
      <c r="AG626" s="59"/>
      <c r="AH626" s="59"/>
      <c r="AI626" s="59"/>
      <c r="AJ626" s="59"/>
      <c r="AK626" s="169" t="str">
        <f>"To… "&amp;S.Staff.Director&amp;", "&amp;S.Staff.DA.ForProgram.FirstName&amp;", Leadership Team &amp; "&amp;S.Staff.EQCAssistant</f>
        <v>To… Dick, Lydia, Leadership Team &amp; StephanieC</v>
      </c>
      <c r="AL626" s="76"/>
    </row>
    <row r="627" spans="1:39" s="23" customFormat="1" ht="14.1" hidden="1" customHeight="1" x14ac:dyDescent="0.2">
      <c r="A627" s="144"/>
      <c r="B627" s="469" t="s">
        <v>650</v>
      </c>
      <c r="C627" s="480" t="s">
        <v>0</v>
      </c>
      <c r="D627" s="230"/>
      <c r="E627" s="827"/>
      <c r="F627" s="921"/>
      <c r="G627" s="926">
        <f>AG627</f>
        <v>41786</v>
      </c>
      <c r="H627" s="924">
        <f>AH627</f>
        <v>41789</v>
      </c>
      <c r="I627" s="684"/>
      <c r="J627"/>
      <c r="K627"/>
      <c r="L627"/>
      <c r="M627"/>
      <c r="N627"/>
      <c r="O627"/>
      <c r="P627"/>
      <c r="Q627"/>
      <c r="R627"/>
      <c r="S627"/>
      <c r="T627"/>
      <c r="U627"/>
      <c r="X627"/>
      <c r="AB627"/>
      <c r="AC627"/>
      <c r="AE627" s="718"/>
      <c r="AF627" s="326">
        <f t="shared" ref="AF627:AF636" si="103">IF(S.Notice.Involved="Y",1,0)</f>
        <v>1</v>
      </c>
      <c r="AG627" s="60">
        <f>IF(AF627=0,,WORKDAY(S.Notice.Submit.ToADA,1,S.DDL_DEQClosed))</f>
        <v>41786</v>
      </c>
      <c r="AH627" s="60">
        <f>IF(AF627=0,,AH25)</f>
        <v>41789</v>
      </c>
      <c r="AI627" s="59"/>
      <c r="AJ627" s="59"/>
      <c r="AK627" s="44"/>
      <c r="AL627" s="76"/>
    </row>
    <row r="628" spans="1:39" s="23" customFormat="1" ht="14.1" hidden="1" customHeight="1" thickBot="1" x14ac:dyDescent="0.25">
      <c r="A628" s="144"/>
      <c r="C628" s="484" t="s">
        <v>0</v>
      </c>
      <c r="D628" s="522"/>
      <c r="E628" s="40"/>
      <c r="F628" s="921"/>
      <c r="G628" s="1010" t="s">
        <v>535</v>
      </c>
      <c r="H628" s="1011"/>
      <c r="I628" s="684"/>
      <c r="J628"/>
      <c r="K628"/>
      <c r="L628"/>
      <c r="M628"/>
      <c r="N628"/>
      <c r="O628"/>
      <c r="P628"/>
      <c r="Q628"/>
      <c r="R628"/>
      <c r="S628"/>
      <c r="T628"/>
      <c r="U628"/>
      <c r="X628"/>
      <c r="AB628"/>
      <c r="AC628"/>
      <c r="AE628" s="718"/>
      <c r="AF628" s="326">
        <f t="shared" si="103"/>
        <v>1</v>
      </c>
      <c r="AG628" s="59"/>
      <c r="AH628" s="58"/>
      <c r="AI628" s="59"/>
      <c r="AJ628" s="59"/>
      <c r="AK628" s="44"/>
      <c r="AL628" s="76"/>
    </row>
    <row r="629" spans="1:39" ht="6" hidden="1" customHeight="1" thickTop="1" x14ac:dyDescent="0.2">
      <c r="A629" s="144"/>
      <c r="C629" s="271"/>
      <c r="D629" s="40"/>
      <c r="E629" s="40"/>
      <c r="F629" s="40"/>
      <c r="G629"/>
      <c r="H629"/>
      <c r="I629" s="684"/>
      <c r="AF629" s="326">
        <f t="shared" si="103"/>
        <v>1</v>
      </c>
      <c r="AG629" s="58"/>
      <c r="AH629" s="58"/>
      <c r="AI629" s="59"/>
      <c r="AJ629" s="59"/>
      <c r="AK629" s="44"/>
      <c r="AL629" s="76"/>
      <c r="AM629"/>
    </row>
    <row r="630" spans="1:39" s="23" customFormat="1" ht="14.1" hidden="1" customHeight="1" x14ac:dyDescent="0.2">
      <c r="A630" s="144"/>
      <c r="B630" s="232" t="str">
        <f>AK630</f>
        <v>Jill:</v>
      </c>
      <c r="C630" s="233"/>
      <c r="D630" s="248"/>
      <c r="E630" s="689"/>
      <c r="F630"/>
      <c r="G630" s="230">
        <f>AG630</f>
        <v>41786</v>
      </c>
      <c r="H630" s="230">
        <f>AH630</f>
        <v>41794</v>
      </c>
      <c r="I630" s="684"/>
      <c r="J630"/>
      <c r="K630"/>
      <c r="L630"/>
      <c r="M630"/>
      <c r="N630"/>
      <c r="O630"/>
      <c r="P630"/>
      <c r="Q630"/>
      <c r="R630"/>
      <c r="S630"/>
      <c r="T630"/>
      <c r="U630"/>
      <c r="X630"/>
      <c r="AB630"/>
      <c r="AC630"/>
      <c r="AF630" s="326">
        <f t="shared" si="103"/>
        <v>1</v>
      </c>
      <c r="AG630" s="60">
        <f>IF(AF630=0,,S.Notice.PreviewBegin)</f>
        <v>41786</v>
      </c>
      <c r="AH630" s="60">
        <f>IF(AF630=0,,WORKDAY(AH627+6,-1,S.DDL_DEQClosed))</f>
        <v>41794</v>
      </c>
      <c r="AI630" s="58"/>
      <c r="AJ630" s="44"/>
      <c r="AK630" s="169" t="str">
        <f>S.Staff.Subject.Expert.FirstName&amp;":"</f>
        <v>Jill:</v>
      </c>
      <c r="AL630" s="76"/>
    </row>
    <row r="631" spans="1:39" s="23" customFormat="1" ht="14.1" hidden="1" customHeight="1" x14ac:dyDescent="0.2">
      <c r="A631" s="144"/>
      <c r="B631" s="254" t="s">
        <v>161</v>
      </c>
      <c r="C631" s="447" t="str">
        <f>HYPERLINK("\\deqhq1\Rule_Development\Currrent Plan","i")</f>
        <v>i</v>
      </c>
      <c r="D631" s="248"/>
      <c r="E631" s="689"/>
      <c r="I631" s="684"/>
      <c r="J631"/>
      <c r="K631"/>
      <c r="L631"/>
      <c r="M631"/>
      <c r="N631"/>
      <c r="O631"/>
      <c r="P631"/>
      <c r="Q631"/>
      <c r="R631"/>
      <c r="S631"/>
      <c r="T631"/>
      <c r="U631"/>
      <c r="X631"/>
      <c r="AB631"/>
      <c r="AC631"/>
      <c r="AF631" s="326">
        <f t="shared" si="103"/>
        <v>1</v>
      </c>
      <c r="AG631" s="58"/>
      <c r="AH631" s="58"/>
      <c r="AI631" s="58"/>
      <c r="AJ631" s="59"/>
      <c r="AK631" s="44"/>
      <c r="AL631" s="76"/>
    </row>
    <row r="632" spans="1:39" ht="14.1" hidden="1" customHeight="1" x14ac:dyDescent="0.2">
      <c r="A632" s="144"/>
      <c r="B632" s="254" t="str">
        <f t="shared" ref="B632" si="104">AK632</f>
        <v>* talks with Leah, decides how to address any feedback from preview</v>
      </c>
      <c r="C632" s="484" t="s">
        <v>0</v>
      </c>
      <c r="D632" s="248"/>
      <c r="E632" s="689"/>
      <c r="F632"/>
      <c r="G632"/>
      <c r="H632"/>
      <c r="I632" s="684"/>
      <c r="AF632" s="326">
        <f t="shared" si="103"/>
        <v>1</v>
      </c>
      <c r="AG632" s="58"/>
      <c r="AH632" s="58"/>
      <c r="AI632" s="59"/>
      <c r="AJ632" s="59"/>
      <c r="AK632" s="169" t="str">
        <f>"* talks with "&amp; S.Staff.Program.Mgr.FirstName&amp;", decides how to address any feedback from preview"</f>
        <v>* talks with Leah, decides how to address any feedback from preview</v>
      </c>
      <c r="AL632" s="76"/>
      <c r="AM632"/>
    </row>
    <row r="633" spans="1:39" s="23" customFormat="1" ht="14.1" hidden="1" customHeight="1" x14ac:dyDescent="0.2">
      <c r="A633" s="144"/>
      <c r="B633" s="254" t="s">
        <v>130</v>
      </c>
      <c r="C633" s="484" t="s">
        <v>0</v>
      </c>
      <c r="D633" s="248"/>
      <c r="E633" s="689"/>
      <c r="F633"/>
      <c r="I633" s="684"/>
      <c r="J633"/>
      <c r="K633"/>
      <c r="L633"/>
      <c r="M633"/>
      <c r="N633"/>
      <c r="O633"/>
      <c r="P633"/>
      <c r="Q633"/>
      <c r="R633"/>
      <c r="S633"/>
      <c r="T633"/>
      <c r="U633"/>
      <c r="X633"/>
      <c r="AB633"/>
      <c r="AC633"/>
      <c r="AF633" s="326">
        <f t="shared" si="103"/>
        <v>1</v>
      </c>
      <c r="AG633" s="58"/>
      <c r="AH633" s="58"/>
      <c r="AI633" s="59"/>
      <c r="AJ633" s="59"/>
      <c r="AK633" s="44"/>
      <c r="AL633" s="76"/>
    </row>
    <row r="634" spans="1:39" ht="14.1" hidden="1" customHeight="1" x14ac:dyDescent="0.2">
      <c r="A634" s="144"/>
      <c r="B634" s="207" t="s">
        <v>536</v>
      </c>
      <c r="C634" s="484" t="s">
        <v>0</v>
      </c>
      <c r="D634" s="248"/>
      <c r="E634" s="689"/>
      <c r="F634"/>
      <c r="G634" s="23"/>
      <c r="H634" s="23"/>
      <c r="I634" s="684"/>
      <c r="AF634" s="326">
        <f t="shared" si="103"/>
        <v>1</v>
      </c>
      <c r="AG634" s="58"/>
      <c r="AH634" s="58"/>
      <c r="AI634" s="59"/>
      <c r="AJ634" s="59"/>
      <c r="AK634" s="44"/>
      <c r="AL634" s="76"/>
      <c r="AM634"/>
    </row>
    <row r="635" spans="1:39" ht="14.1" hidden="1" customHeight="1" x14ac:dyDescent="0.2">
      <c r="A635" s="144"/>
      <c r="B635" s="263" t="str">
        <f>AK635</f>
        <v>* finalizes public documents with Leah</v>
      </c>
      <c r="C635" s="480" t="s">
        <v>0</v>
      </c>
      <c r="D635" s="248"/>
      <c r="E635" s="689"/>
      <c r="F635"/>
      <c r="G635" s="40"/>
      <c r="H635" s="23"/>
      <c r="I635" s="684"/>
      <c r="AF635" s="326">
        <f t="shared" si="103"/>
        <v>1</v>
      </c>
      <c r="AG635" s="58"/>
      <c r="AH635" s="58"/>
      <c r="AI635" s="59"/>
      <c r="AJ635" s="59"/>
      <c r="AK635" s="169" t="str">
        <f>"* finalizes public documents with "&amp;S.Staff.Program.Mgr.FirstName</f>
        <v>* finalizes public documents with Leah</v>
      </c>
      <c r="AL635" s="76"/>
      <c r="AM635"/>
    </row>
    <row r="636" spans="1:39" s="23" customFormat="1" ht="14.1" hidden="1" customHeight="1" thickBot="1" x14ac:dyDescent="0.25">
      <c r="A636" s="144"/>
      <c r="B636" s="468" t="str">
        <f t="shared" ref="B636" si="105">AK636</f>
        <v>Leah:</v>
      </c>
      <c r="F636"/>
      <c r="I636" s="684"/>
      <c r="J636"/>
      <c r="K636"/>
      <c r="L636"/>
      <c r="M636"/>
      <c r="N636"/>
      <c r="O636"/>
      <c r="P636"/>
      <c r="Q636"/>
      <c r="R636"/>
      <c r="S636"/>
      <c r="T636"/>
      <c r="U636"/>
      <c r="X636"/>
      <c r="AB636"/>
      <c r="AC636"/>
      <c r="AF636" s="326">
        <f t="shared" si="103"/>
        <v>1</v>
      </c>
      <c r="AG636" s="58"/>
      <c r="AH636" s="58"/>
      <c r="AI636" s="59"/>
      <c r="AJ636" s="59"/>
      <c r="AK636" s="169" t="str">
        <f>S.Staff.Program.Mgr.FirstName&amp;":"</f>
        <v>Leah:</v>
      </c>
      <c r="AL636" s="76"/>
    </row>
    <row r="637" spans="1:39" s="23" customFormat="1" ht="14.1" hidden="1" customHeight="1" thickBot="1" x14ac:dyDescent="0.25">
      <c r="A637" s="144"/>
      <c r="B637" s="263" t="str">
        <f>AK637</f>
        <v>* determines whether Lydia needs a second review    'Y' if 2nd review needed&gt;</v>
      </c>
      <c r="C637" s="420" t="s">
        <v>16</v>
      </c>
      <c r="D637" s="248"/>
      <c r="E637" s="689"/>
      <c r="F637"/>
      <c r="G637" s="230">
        <f>AG637</f>
        <v>41789</v>
      </c>
      <c r="H637" s="230">
        <f>AH637</f>
        <v>41794</v>
      </c>
      <c r="I637" s="684"/>
      <c r="J637"/>
      <c r="K637"/>
      <c r="L637"/>
      <c r="M637"/>
      <c r="N637"/>
      <c r="O637"/>
      <c r="P637"/>
      <c r="Q637"/>
      <c r="R637"/>
      <c r="S637"/>
      <c r="T637"/>
      <c r="U637"/>
      <c r="X637"/>
      <c r="AB637"/>
      <c r="AC637"/>
      <c r="AF637" s="326">
        <f>IF(AND(C637="Y",S.Notice.Involved="Y"),1,0)</f>
        <v>1</v>
      </c>
      <c r="AG637" s="60">
        <f>IF(AF637=0,,AH627)</f>
        <v>41789</v>
      </c>
      <c r="AH637" s="60">
        <f>H630</f>
        <v>41794</v>
      </c>
      <c r="AI637" s="59"/>
      <c r="AJ637" s="59"/>
      <c r="AK637" s="169" t="str">
        <f>"* determines whether "&amp;S.Staff.Assistant.DA.ShortName&amp;" needs a second review    'Y' if 2nd review needed&gt;"</f>
        <v>* determines whether Lydia needs a second review    'Y' if 2nd review needed&gt;</v>
      </c>
      <c r="AL637" s="76"/>
    </row>
    <row r="638" spans="1:39" s="23" customFormat="1" ht="14.1" hidden="1" customHeight="1" x14ac:dyDescent="0.2">
      <c r="A638" s="144"/>
      <c r="B638" s="263" t="str">
        <f>AK638</f>
        <v>* manages Lydia's 2nd review and approval</v>
      </c>
      <c r="C638" s="480" t="s">
        <v>0</v>
      </c>
      <c r="D638" s="248"/>
      <c r="E638" s="644"/>
      <c r="F638"/>
      <c r="G638"/>
      <c r="H638"/>
      <c r="I638" s="684"/>
      <c r="J638"/>
      <c r="K638"/>
      <c r="L638"/>
      <c r="M638"/>
      <c r="N638"/>
      <c r="O638"/>
      <c r="P638"/>
      <c r="Q638"/>
      <c r="R638"/>
      <c r="S638"/>
      <c r="T638"/>
      <c r="U638"/>
      <c r="X638"/>
      <c r="AB638"/>
      <c r="AC638"/>
      <c r="AF638" s="326">
        <f>IF(AND(C637="Y",S.Notice.Involved="Y"),1,0)</f>
        <v>1</v>
      </c>
      <c r="AG638" s="59"/>
      <c r="AH638" s="59"/>
      <c r="AI638" s="59"/>
      <c r="AJ638" s="59"/>
      <c r="AK638" s="169" t="str">
        <f>"* manages "&amp;S.Staff.Assistant.DA.ShortName&amp;"'s 2nd review and approval"</f>
        <v>* manages Lydia's 2nd review and approval</v>
      </c>
      <c r="AL638" s="76"/>
    </row>
    <row r="639" spans="1:39" s="23" customFormat="1" ht="14.1" hidden="1" customHeight="1" x14ac:dyDescent="0.2">
      <c r="A639" s="144"/>
      <c r="B639" s="254" t="str">
        <f>AK639</f>
        <v>* emails approval to move forward with Notice to Jill &amp; AndreaG</v>
      </c>
      <c r="C639" s="931" t="s">
        <v>0</v>
      </c>
      <c r="D639" s="248"/>
      <c r="E639" s="931"/>
      <c r="F639" s="931"/>
      <c r="G639" s="937"/>
      <c r="H639" s="747">
        <f t="shared" ref="H639" si="106">AH639</f>
        <v>41795</v>
      </c>
      <c r="I639" s="684"/>
      <c r="J639"/>
      <c r="K639"/>
      <c r="L639"/>
      <c r="M639"/>
      <c r="N639"/>
      <c r="O639"/>
      <c r="P639"/>
      <c r="Q639"/>
      <c r="R639"/>
      <c r="S639"/>
      <c r="T639"/>
      <c r="U639"/>
      <c r="X639"/>
      <c r="AB639"/>
      <c r="AC639"/>
      <c r="AF639" s="326">
        <f>IF(S.Notice.Involved="Y",1,0)</f>
        <v>1</v>
      </c>
      <c r="AG639" s="59"/>
      <c r="AH639" s="60">
        <f>WORKDAY(AH637+2,-1,S.DDL_DEQClosed)</f>
        <v>41795</v>
      </c>
      <c r="AI639" s="59"/>
      <c r="AJ639" s="59"/>
      <c r="AK639" s="169" t="str">
        <f>"* emails approval to move forward with Notice to "&amp;S.Staff.Subject.Expert.FirstName&amp;" &amp; "&amp;S.Staff.RG.Lead.FirstName</f>
        <v>* emails approval to move forward with Notice to Jill &amp; AndreaG</v>
      </c>
      <c r="AL639" s="76"/>
    </row>
    <row r="640" spans="1:39" s="23" customFormat="1" ht="14.1" hidden="1" customHeight="1" x14ac:dyDescent="0.2">
      <c r="A640" s="144" t="s">
        <v>0</v>
      </c>
      <c r="B640" s="250" t="str">
        <f t="shared" ref="B640" si="107">AK640</f>
        <v>AndreaG:</v>
      </c>
      <c r="C640" s="286"/>
      <c r="D640" s="417" t="s">
        <v>0</v>
      </c>
      <c r="E640" s="417"/>
      <c r="F640" s="417"/>
      <c r="G640" s="221">
        <f>AG640</f>
        <v>41796</v>
      </c>
      <c r="I640" s="684"/>
      <c r="J640"/>
      <c r="K640"/>
      <c r="L640"/>
      <c r="M640"/>
      <c r="N640"/>
      <c r="O640"/>
      <c r="P640"/>
      <c r="Q640"/>
      <c r="R640"/>
      <c r="S640"/>
      <c r="T640"/>
      <c r="U640"/>
      <c r="X640"/>
      <c r="AB640"/>
      <c r="AC640"/>
      <c r="AF640" s="326">
        <f t="shared" si="97"/>
        <v>1</v>
      </c>
      <c r="AG640" s="60">
        <f>WORKDAY(S.Notice.MgrNoticeApproval,1,S.DDL_DEQClosed)</f>
        <v>41796</v>
      </c>
      <c r="AH640" s="58"/>
      <c r="AI640" s="59"/>
      <c r="AJ640" s="59"/>
      <c r="AK640" s="169" t="str">
        <f>S.Staff.RG.Lead.FirstName&amp;":"</f>
        <v>AndreaG:</v>
      </c>
      <c r="AL640" s="76"/>
    </row>
    <row r="641" spans="1:38" s="23" customFormat="1" ht="14.1" hidden="1" customHeight="1" x14ac:dyDescent="0.2">
      <c r="A641" s="144" t="s">
        <v>0</v>
      </c>
      <c r="B641" s="254" t="s">
        <v>678</v>
      </c>
      <c r="C641" s="286"/>
      <c r="D641" s="248"/>
      <c r="E641" s="655"/>
      <c r="F641" s="252"/>
      <c r="G641" s="253"/>
      <c r="H641" s="253"/>
      <c r="I641" s="684"/>
      <c r="AF641" s="326">
        <f t="shared" si="97"/>
        <v>1</v>
      </c>
      <c r="AG641" s="58"/>
      <c r="AH641" s="58"/>
      <c r="AI641" s="59"/>
      <c r="AJ641" s="59"/>
      <c r="AK641" s="152" t="s">
        <v>0</v>
      </c>
      <c r="AL641" s="76"/>
    </row>
    <row r="642" spans="1:38" s="23" customFormat="1" ht="14.1" hidden="1" customHeight="1" x14ac:dyDescent="0.2">
      <c r="A642" s="144"/>
      <c r="B642" s="927" t="s">
        <v>674</v>
      </c>
      <c r="C642" s="286"/>
      <c r="D642" s="248"/>
      <c r="E642" s="655"/>
      <c r="F642" s="252"/>
      <c r="G642" s="253"/>
      <c r="H642" s="253"/>
      <c r="I642" s="684"/>
      <c r="AF642" s="326">
        <f t="shared" si="97"/>
        <v>1</v>
      </c>
      <c r="AG642" s="58"/>
      <c r="AH642" s="58"/>
      <c r="AI642" s="59"/>
      <c r="AJ642" s="59"/>
      <c r="AK642" s="152" t="s">
        <v>0</v>
      </c>
      <c r="AL642" s="76"/>
    </row>
    <row r="643" spans="1:38" s="903" customFormat="1" ht="14.1" hidden="1" customHeight="1" x14ac:dyDescent="0.2">
      <c r="A643" s="144"/>
      <c r="B643" s="927" t="str">
        <f>AK643</f>
        <v>* verifies/clarifies additional edits with Jill &amp; Leah as warranted</v>
      </c>
      <c r="C643" s="286"/>
      <c r="D643" s="248"/>
      <c r="E643" s="938"/>
      <c r="F643" s="938"/>
      <c r="G643" s="938"/>
      <c r="I643" s="684"/>
      <c r="AF643" s="326">
        <f t="shared" si="97"/>
        <v>1</v>
      </c>
      <c r="AG643" s="58"/>
      <c r="AH643" s="58"/>
      <c r="AI643" s="59"/>
      <c r="AJ643" s="59"/>
      <c r="AK643" s="169" t="str">
        <f>"* verifies/clarifies additional edits with "&amp;S.Staff.Subject.Expert.FirstName&amp;" &amp; "&amp;S.Staff.Program.Mgr.FirstName&amp;" as warranted"</f>
        <v>* verifies/clarifies additional edits with Jill &amp; Leah as warranted</v>
      </c>
      <c r="AL643" s="76"/>
    </row>
    <row r="644" spans="1:38" s="23" customFormat="1" ht="14.1" hidden="1" customHeight="1" x14ac:dyDescent="0.2">
      <c r="A644" s="144"/>
      <c r="B644" s="468" t="str">
        <f>AK644</f>
        <v>Jill drafts Invitation to Comment modeled after APPROVED Notice</v>
      </c>
      <c r="C644" s="286"/>
      <c r="D644" s="938"/>
      <c r="E644" s="938"/>
      <c r="F644" s="938"/>
      <c r="G644" s="938"/>
      <c r="I644" s="684"/>
      <c r="J644"/>
      <c r="K644"/>
      <c r="L644"/>
      <c r="M644"/>
      <c r="N644"/>
      <c r="O644"/>
      <c r="P644"/>
      <c r="Q644"/>
      <c r="R644"/>
      <c r="S644"/>
      <c r="T644"/>
      <c r="U644"/>
      <c r="X644"/>
      <c r="AB644"/>
      <c r="AC644"/>
      <c r="AF644" s="326">
        <f t="shared" si="97"/>
        <v>1</v>
      </c>
      <c r="AG644" s="58"/>
      <c r="AH644" s="58"/>
      <c r="AI644" s="59"/>
      <c r="AJ644" s="59"/>
      <c r="AK644" s="169" t="str">
        <f>S.Staff.Subject.Expert.FirstName&amp;" drafts Invitation to Comment modeled after APPROVED Notice"</f>
        <v>Jill drafts Invitation to Comment modeled after APPROVED Notice</v>
      </c>
      <c r="AL644" s="76"/>
    </row>
    <row r="645" spans="1:38" s="23" customFormat="1" ht="14.1" hidden="1" customHeight="1" x14ac:dyDescent="0.2">
      <c r="A645" s="144"/>
      <c r="B645" s="468" t="str">
        <f t="shared" ref="B645" si="108">AK645</f>
        <v>Leah emails Jill &amp; AndreaG approval to publish notice</v>
      </c>
      <c r="C645" s="929" t="s">
        <v>582</v>
      </c>
      <c r="D645" s="929"/>
      <c r="E645" s="929"/>
      <c r="F645" s="929"/>
      <c r="G645" s="930"/>
      <c r="H645" s="221">
        <f>AH645</f>
        <v>41800</v>
      </c>
      <c r="I645" s="684"/>
      <c r="AF645" s="326">
        <f t="shared" si="97"/>
        <v>1</v>
      </c>
      <c r="AG645" s="58"/>
      <c r="AH645" s="60">
        <f>WORKDAY(G640,2,S.DDL_DEQClosed)</f>
        <v>41800</v>
      </c>
      <c r="AI645" s="59"/>
      <c r="AJ645" s="59"/>
      <c r="AK645" s="169" t="str">
        <f>S.Staff.Program.Mgr.FirstName&amp;" emails "&amp;S.Staff.Subject.Expert.FirstName&amp;" &amp; "&amp;S.Staff.RG.Lead.FirstName&amp;" approval to publish notice"</f>
        <v>Leah emails Jill &amp; AndreaG approval to publish notice</v>
      </c>
      <c r="AL645" s="76"/>
    </row>
    <row r="646" spans="1:38" s="23" customFormat="1" ht="14.1" hidden="1" customHeight="1" x14ac:dyDescent="0.2">
      <c r="A646" s="144"/>
      <c r="B646" s="232" t="str">
        <f>AK646</f>
        <v>Jill:</v>
      </c>
      <c r="C646" s="233"/>
      <c r="D646" s="233"/>
      <c r="E646" s="233"/>
      <c r="F646" s="227"/>
      <c r="G646"/>
      <c r="H646" s="223"/>
      <c r="I646" s="684"/>
      <c r="J646"/>
      <c r="K646"/>
      <c r="L646"/>
      <c r="M646"/>
      <c r="N646"/>
      <c r="O646"/>
      <c r="P646"/>
      <c r="Q646"/>
      <c r="R646"/>
      <c r="S646"/>
      <c r="T646"/>
      <c r="U646"/>
      <c r="X646"/>
      <c r="AB646"/>
      <c r="AC646"/>
      <c r="AF646" s="326">
        <f>IF(S.Notice.Involved="Y",1,0)</f>
        <v>1</v>
      </c>
      <c r="AG646" s="58"/>
      <c r="AH646" s="58"/>
      <c r="AI646" s="58"/>
      <c r="AJ646" s="44"/>
      <c r="AK646" s="169" t="str">
        <f>S.Staff.Subject.Expert.FirstName&amp;":"</f>
        <v>Jill:</v>
      </c>
      <c r="AL646" s="76"/>
    </row>
    <row r="647" spans="1:38" s="23" customFormat="1" ht="14.1" hidden="1" customHeight="1" x14ac:dyDescent="0.2">
      <c r="A647" s="144"/>
      <c r="B647" s="263" t="s">
        <v>187</v>
      </c>
      <c r="C647" s="480" t="s">
        <v>0</v>
      </c>
      <c r="D647" s="248"/>
      <c r="E647" s="689"/>
      <c r="F647"/>
      <c r="G647"/>
      <c r="I647" s="684"/>
      <c r="J647"/>
      <c r="K647"/>
      <c r="L647"/>
      <c r="M647"/>
      <c r="N647"/>
      <c r="O647"/>
      <c r="P647"/>
      <c r="Q647"/>
      <c r="R647"/>
      <c r="S647"/>
      <c r="T647"/>
      <c r="U647"/>
      <c r="X647"/>
      <c r="AB647"/>
      <c r="AC647"/>
      <c r="AF647" s="326">
        <f>IF(S.Notice.Involved="Y",1,0)</f>
        <v>1</v>
      </c>
      <c r="AG647" s="47" t="s">
        <v>0</v>
      </c>
      <c r="AH647" s="59"/>
      <c r="AI647" s="59"/>
      <c r="AJ647" s="59"/>
      <c r="AK647" s="74" t="s">
        <v>0</v>
      </c>
      <c r="AL647" s="76"/>
    </row>
    <row r="648" spans="1:38" s="23" customFormat="1" ht="20.25" hidden="1" customHeight="1" x14ac:dyDescent="0.2">
      <c r="A648" s="144"/>
      <c r="B648" s="461" t="s">
        <v>514</v>
      </c>
      <c r="C648" s="484"/>
      <c r="D648" s="644"/>
      <c r="E648" s="644"/>
      <c r="I648" s="684"/>
      <c r="AF648" s="326">
        <f>IF(AND(S.Notice.Involved="Y",S.Notice.AD.Involved="Y"),1,0)</f>
        <v>1</v>
      </c>
      <c r="AG648" s="59"/>
      <c r="AH648" s="59"/>
      <c r="AI648" s="59"/>
      <c r="AJ648" s="59"/>
      <c r="AK648" s="44"/>
      <c r="AL648" s="76"/>
    </row>
    <row r="649" spans="1:38" s="23" customFormat="1" ht="14.1" hidden="1" customHeight="1" x14ac:dyDescent="0.2">
      <c r="A649" s="144"/>
      <c r="B649" s="232" t="str">
        <f>AK649</f>
        <v>Jill:</v>
      </c>
      <c r="C649" s="233"/>
      <c r="D649" s="233"/>
      <c r="E649" s="233"/>
      <c r="F649" s="227"/>
      <c r="G649" s="223"/>
      <c r="H649" s="223"/>
      <c r="I649" s="684"/>
      <c r="AF649" s="326">
        <f>IF(S.Notice.Involved="Y",1,0)</f>
        <v>1</v>
      </c>
      <c r="AG649" s="58"/>
      <c r="AH649" s="58"/>
      <c r="AI649" s="58"/>
      <c r="AJ649" s="44"/>
      <c r="AK649" s="169" t="str">
        <f>S.Staff.Subject.Expert.FirstName&amp;":"</f>
        <v>Jill:</v>
      </c>
      <c r="AL649" s="76"/>
    </row>
    <row r="650" spans="1:38" s="23" customFormat="1" ht="14.1" hidden="1" customHeight="1" x14ac:dyDescent="0.2">
      <c r="A650" s="144"/>
      <c r="B650" s="263" t="s">
        <v>583</v>
      </c>
      <c r="C650" s="484" t="s">
        <v>0</v>
      </c>
      <c r="D650" s="248"/>
      <c r="E650" s="689"/>
      <c r="H650" s="221">
        <f t="shared" ref="H650" si="109">AH650</f>
        <v>41800</v>
      </c>
      <c r="I650" s="684"/>
      <c r="AF650" s="326">
        <f>IF(S.SIP.Involved="Y",1,0)</f>
        <v>1</v>
      </c>
      <c r="AG650" s="48"/>
      <c r="AH650" s="60">
        <f>S.Notice.OK.ToPublish</f>
        <v>41800</v>
      </c>
      <c r="AI650" s="59"/>
      <c r="AJ650" s="59"/>
      <c r="AK650" s="74"/>
      <c r="AL650" s="76"/>
    </row>
    <row r="651" spans="1:38" s="23" customFormat="1" ht="14.1" hidden="1" customHeight="1" thickBot="1" x14ac:dyDescent="0.25">
      <c r="A651" s="144" t="s">
        <v>0</v>
      </c>
      <c r="B651" s="250" t="str">
        <f t="shared" ref="B651" si="110">AK651</f>
        <v>AndreaG:</v>
      </c>
      <c r="C651" s="286"/>
      <c r="D651" s="417" t="s">
        <v>0</v>
      </c>
      <c r="E651" s="417"/>
      <c r="F651" s="417"/>
      <c r="G651" s="221">
        <f>AG651</f>
        <v>41796</v>
      </c>
      <c r="I651" s="684"/>
      <c r="AF651" s="326">
        <f t="shared" si="97"/>
        <v>1</v>
      </c>
      <c r="AG651" s="60">
        <f>WORKDAY(S.Notice.MgrNoticeApproval,1,S.DDL_DEQClosed)</f>
        <v>41796</v>
      </c>
      <c r="AH651" s="58"/>
      <c r="AI651" s="59"/>
      <c r="AJ651" s="59"/>
      <c r="AK651" s="169" t="str">
        <f>S.Staff.RG.Lead.FirstName&amp;":"</f>
        <v>AndreaG:</v>
      </c>
      <c r="AL651" s="76"/>
    </row>
    <row r="652" spans="1:38" s="23" customFormat="1" ht="14.1" hidden="1" customHeight="1" thickBot="1" x14ac:dyDescent="0.25">
      <c r="A652" s="144"/>
      <c r="B652" s="254" t="str">
        <f>"* prepares and submits notice to SOS for publication in Oregon Bulletin"</f>
        <v>* prepares and submits notice to SOS for publication in Oregon Bulletin</v>
      </c>
      <c r="C652" s="323" t="str">
        <f>HYPERLINK("http://oarnoticefilings.sos.state.or.us","i")</f>
        <v>i</v>
      </c>
      <c r="D652" s="656"/>
      <c r="E652" s="656"/>
      <c r="F652"/>
      <c r="G652"/>
      <c r="H652"/>
      <c r="I652" s="684"/>
      <c r="J652"/>
      <c r="K652"/>
      <c r="L652"/>
      <c r="M652"/>
      <c r="N652"/>
      <c r="O652"/>
      <c r="P652"/>
      <c r="Q652"/>
      <c r="R652"/>
      <c r="S652"/>
      <c r="T652"/>
      <c r="U652"/>
      <c r="X652"/>
      <c r="AB652"/>
      <c r="AC652"/>
      <c r="AF652" s="326">
        <f t="shared" si="97"/>
        <v>1</v>
      </c>
      <c r="AG652" s="59"/>
      <c r="AH652" s="59"/>
      <c r="AI652" s="59"/>
      <c r="AJ652" s="59"/>
      <c r="AK652" s="74"/>
      <c r="AL652" s="76"/>
    </row>
    <row r="653" spans="1:38" s="23" customFormat="1" ht="14.1" hidden="1" customHeight="1" x14ac:dyDescent="0.2">
      <c r="A653" s="144" t="s">
        <v>0</v>
      </c>
      <c r="B653" s="254" t="s">
        <v>554</v>
      </c>
      <c r="C653" s="484" t="s">
        <v>0</v>
      </c>
      <c r="D653" s="656"/>
      <c r="E653" s="656"/>
      <c r="F653"/>
      <c r="G653"/>
      <c r="H653"/>
      <c r="I653" s="684"/>
      <c r="J653"/>
      <c r="K653"/>
      <c r="L653"/>
      <c r="M653"/>
      <c r="N653"/>
      <c r="O653"/>
      <c r="P653"/>
      <c r="Q653"/>
      <c r="R653"/>
      <c r="S653"/>
      <c r="T653"/>
      <c r="U653"/>
      <c r="X653"/>
      <c r="AB653"/>
      <c r="AC653"/>
      <c r="AF653" s="326">
        <f>IF(AND(S.Notice.DASNotification=TRUE,S.Notice.Involved="Y"),1,0)</f>
        <v>0</v>
      </c>
      <c r="AG653" s="48"/>
      <c r="AH653" s="48"/>
      <c r="AI653" s="59"/>
      <c r="AJ653" s="59"/>
      <c r="AK653" s="74"/>
      <c r="AL653" s="76"/>
    </row>
    <row r="654" spans="1:38" s="23" customFormat="1" ht="14.1" hidden="1" customHeight="1" thickBot="1" x14ac:dyDescent="0.25">
      <c r="A654" s="144"/>
      <c r="B654" s="254" t="s">
        <v>675</v>
      </c>
      <c r="C654" s="481"/>
      <c r="D654" s="290"/>
      <c r="E654" s="290"/>
      <c r="F654" s="227"/>
      <c r="G654" s="223"/>
      <c r="H654" s="223"/>
      <c r="I654" s="684"/>
      <c r="AF654" s="326">
        <f t="shared" si="97"/>
        <v>1</v>
      </c>
      <c r="AG654" s="58"/>
      <c r="AH654" s="58"/>
      <c r="AI654" s="59"/>
      <c r="AJ654" s="59"/>
      <c r="AK654" s="74"/>
      <c r="AL654" s="76"/>
    </row>
    <row r="655" spans="1:38" s="23" customFormat="1" ht="14.1" hidden="1" customHeight="1" thickBot="1" x14ac:dyDescent="0.25">
      <c r="A655" s="144"/>
      <c r="B655" s="254" t="s">
        <v>555</v>
      </c>
      <c r="C655" s="323" t="str">
        <f>HYPERLINK("\\deqhq1\Rule_Development\Currrent Plan","i")</f>
        <v>i</v>
      </c>
      <c r="D655" s="656"/>
      <c r="E655" s="656"/>
      <c r="I655" s="684"/>
      <c r="AF655" s="326">
        <f>IF(S.Notice.Involved="Y",1,0)</f>
        <v>1</v>
      </c>
      <c r="AG655" s="59"/>
      <c r="AH655" s="59"/>
      <c r="AI655" s="59"/>
      <c r="AJ655" s="59"/>
      <c r="AK655" s="74"/>
      <c r="AL655" s="76"/>
    </row>
    <row r="656" spans="1:38" s="23" customFormat="1" ht="14.1" hidden="1" customHeight="1" x14ac:dyDescent="0.2">
      <c r="A656" s="144"/>
      <c r="B656" s="692" t="str">
        <f>AK656</f>
        <v>Jill leads:</v>
      </c>
      <c r="C656" s="487"/>
      <c r="D656"/>
      <c r="F656" s="40"/>
      <c r="I656" s="684"/>
      <c r="AF656" s="326">
        <f>IF(AND(S.Notice.Involved="Y",S.Notice.AD.Involved="Y"),1,0)</f>
        <v>1</v>
      </c>
      <c r="AG656" s="59"/>
      <c r="AH656" s="59"/>
      <c r="AI656" s="59"/>
      <c r="AJ656" s="59"/>
      <c r="AK656" s="169" t="str">
        <f>S.Staff.Subject.Expert.FirstName&amp;" leads:"</f>
        <v>Jill leads:</v>
      </c>
      <c r="AL656" s="76"/>
    </row>
    <row r="657" spans="1:39" s="23" customFormat="1" ht="14.1" hidden="1" customHeight="1" thickBot="1" x14ac:dyDescent="0.25">
      <c r="A657" s="144"/>
      <c r="B657" s="254" t="s">
        <v>579</v>
      </c>
      <c r="C657" s="484" t="s">
        <v>0</v>
      </c>
      <c r="D657" s="1000" t="s">
        <v>552</v>
      </c>
      <c r="E657" s="1000"/>
      <c r="F657" s="1000"/>
      <c r="G657" s="1001"/>
      <c r="H657" s="895">
        <f>AH657</f>
        <v>41792</v>
      </c>
      <c r="I657" s="684"/>
      <c r="AF657" s="326">
        <f>IF(AND(S.Notice.AD.Involved="Y",S.Notice.Involved="Y"),1,0)</f>
        <v>1</v>
      </c>
      <c r="AG657" s="59"/>
      <c r="AH657" s="60">
        <f>IF(AF657=0,,S.Notice.AD.ToContractServices)</f>
        <v>41792</v>
      </c>
      <c r="AI657" s="59"/>
      <c r="AJ657" s="59"/>
      <c r="AK657" s="169" t="str">
        <f>"* modifies documents as needed"</f>
        <v>* modifies documents as needed</v>
      </c>
      <c r="AL657" s="76"/>
    </row>
    <row r="658" spans="1:39" s="23" customFormat="1" ht="14.1" hidden="1" customHeight="1" thickBot="1" x14ac:dyDescent="0.25">
      <c r="A658" s="144"/>
      <c r="B658" s="254" t="s">
        <v>556</v>
      </c>
      <c r="C658" s="323" t="s">
        <v>37</v>
      </c>
      <c r="D658" s="248"/>
      <c r="E658" s="689"/>
      <c r="F658" s="227"/>
      <c r="G658" s="223"/>
      <c r="H658" s="228">
        <f>AH658</f>
        <v>41806</v>
      </c>
      <c r="I658" s="684"/>
      <c r="J658"/>
      <c r="K658"/>
      <c r="L658"/>
      <c r="M658"/>
      <c r="N658"/>
      <c r="O658"/>
      <c r="P658"/>
      <c r="Q658"/>
      <c r="R658"/>
      <c r="S658"/>
      <c r="T658"/>
      <c r="U658"/>
      <c r="X658"/>
      <c r="AB658"/>
      <c r="AC658"/>
      <c r="AF658" s="326">
        <f t="shared" ref="AF658:AF664" si="111">IF(S.Notice.Involved="Y",1,0)</f>
        <v>1</v>
      </c>
      <c r="AG658" s="58"/>
      <c r="AH658" s="60">
        <f t="shared" ref="AH658" si="112">IF(AF658=0,,S.Notice.OpenComment)</f>
        <v>41806</v>
      </c>
      <c r="AI658" s="59"/>
      <c r="AJ658" s="59"/>
      <c r="AK658" s="74"/>
      <c r="AL658" s="76"/>
    </row>
    <row r="659" spans="1:39" s="23" customFormat="1" ht="14.1" hidden="1" customHeight="1" thickBot="1" x14ac:dyDescent="0.25">
      <c r="A659" s="144"/>
      <c r="B659" s="263" t="s">
        <v>558</v>
      </c>
      <c r="C659" s="438" t="s">
        <v>37</v>
      </c>
      <c r="D659" s="248"/>
      <c r="E659" s="689"/>
      <c r="F659"/>
      <c r="G659"/>
      <c r="H659"/>
      <c r="I659" s="684"/>
      <c r="J659"/>
      <c r="K659"/>
      <c r="L659"/>
      <c r="M659"/>
      <c r="N659"/>
      <c r="O659"/>
      <c r="P659"/>
      <c r="Q659"/>
      <c r="R659"/>
      <c r="S659"/>
      <c r="T659"/>
      <c r="U659"/>
      <c r="X659"/>
      <c r="AB659"/>
      <c r="AC659"/>
      <c r="AF659" s="326">
        <f t="shared" si="111"/>
        <v>1</v>
      </c>
      <c r="AG659" s="48"/>
      <c r="AH659" s="58"/>
      <c r="AI659" s="59"/>
      <c r="AJ659" s="59"/>
      <c r="AK659" s="74"/>
      <c r="AL659" s="76"/>
    </row>
    <row r="660" spans="1:39" s="23" customFormat="1" ht="14.1" hidden="1" customHeight="1" x14ac:dyDescent="0.2">
      <c r="A660" s="144"/>
      <c r="B660" s="254" t="s">
        <v>557</v>
      </c>
      <c r="C660" s="481"/>
      <c r="D660" s="248"/>
      <c r="E660" s="689"/>
      <c r="F660" s="227"/>
      <c r="G660" s="223"/>
      <c r="H660" s="223"/>
      <c r="I660" s="684"/>
      <c r="AF660" s="326">
        <f t="shared" si="111"/>
        <v>1</v>
      </c>
      <c r="AG660" s="58"/>
      <c r="AH660" s="58"/>
      <c r="AI660" s="59"/>
      <c r="AJ660" s="59"/>
      <c r="AK660" s="169" t="str">
        <f>"* validates Web page, comment form, hearing date accuracy with "&amp;S.Staff.Subject.Expert.FirstName</f>
        <v>* validates Web page, comment form, hearing date accuracy with Jill</v>
      </c>
      <c r="AL660" s="76"/>
    </row>
    <row r="661" spans="1:39" ht="14.1" hidden="1" customHeight="1" x14ac:dyDescent="0.2">
      <c r="A661" s="144"/>
      <c r="B661" s="254" t="s">
        <v>581</v>
      </c>
      <c r="C661" s="484" t="s">
        <v>0</v>
      </c>
      <c r="D661" s="999" t="s">
        <v>0</v>
      </c>
      <c r="E661" s="1000"/>
      <c r="F661" s="1000"/>
      <c r="G661" s="1001"/>
      <c r="H661" s="228">
        <f>AH661</f>
        <v>41806</v>
      </c>
      <c r="I661" s="684"/>
      <c r="AF661" s="326">
        <f t="shared" si="111"/>
        <v>1</v>
      </c>
      <c r="AG661" s="59"/>
      <c r="AH661" s="60">
        <f t="shared" ref="AH661" si="113">IF(AF661=0,,S.Notice.OpenComment)</f>
        <v>41806</v>
      </c>
      <c r="AI661" s="59"/>
      <c r="AJ661" s="59"/>
      <c r="AK661" s="74"/>
      <c r="AL661" s="76"/>
      <c r="AM661"/>
    </row>
    <row r="662" spans="1:39" s="23" customFormat="1" ht="14.1" hidden="1" customHeight="1" x14ac:dyDescent="0.2">
      <c r="A662" s="144"/>
      <c r="B662" s="366" t="s">
        <v>108</v>
      </c>
      <c r="C662" s="484" t="s">
        <v>0</v>
      </c>
      <c r="D662" s="248"/>
      <c r="E662" s="828"/>
      <c r="F662" s="748"/>
      <c r="G662" s="40"/>
      <c r="H662"/>
      <c r="I662" s="684"/>
      <c r="J662"/>
      <c r="K662"/>
      <c r="L662"/>
      <c r="M662"/>
      <c r="N662"/>
      <c r="O662"/>
      <c r="P662"/>
      <c r="Q662"/>
      <c r="R662"/>
      <c r="S662"/>
      <c r="T662"/>
      <c r="U662"/>
      <c r="X662"/>
      <c r="AB662"/>
      <c r="AC662"/>
      <c r="AF662" s="326">
        <f t="shared" si="111"/>
        <v>1</v>
      </c>
      <c r="AG662" s="59"/>
      <c r="AH662" s="59" t="s">
        <v>0</v>
      </c>
      <c r="AI662" s="59"/>
      <c r="AJ662" s="59"/>
      <c r="AK662" s="152" t="s">
        <v>0</v>
      </c>
      <c r="AL662" s="76"/>
    </row>
    <row r="663" spans="1:39" s="23" customFormat="1" ht="14.1" hidden="1" customHeight="1" x14ac:dyDescent="0.2">
      <c r="A663" s="144"/>
      <c r="B663" s="366" t="s">
        <v>116</v>
      </c>
      <c r="C663" s="484" t="s">
        <v>0</v>
      </c>
      <c r="D663" s="248"/>
      <c r="E663" s="689"/>
      <c r="F663"/>
      <c r="G663"/>
      <c r="H663"/>
      <c r="I663" s="684"/>
      <c r="J663"/>
      <c r="K663"/>
      <c r="L663"/>
      <c r="M663"/>
      <c r="N663"/>
      <c r="O663"/>
      <c r="P663"/>
      <c r="Q663"/>
      <c r="R663"/>
      <c r="S663"/>
      <c r="T663"/>
      <c r="U663"/>
      <c r="X663"/>
      <c r="AB663"/>
      <c r="AC663"/>
      <c r="AF663" s="326">
        <f t="shared" si="111"/>
        <v>1</v>
      </c>
      <c r="AG663" s="59"/>
      <c r="AH663" s="59" t="s">
        <v>0</v>
      </c>
      <c r="AI663" s="59"/>
      <c r="AJ663" s="59"/>
      <c r="AK663" s="152" t="s">
        <v>0</v>
      </c>
      <c r="AL663" s="76"/>
    </row>
    <row r="664" spans="1:39" s="23" customFormat="1" ht="14.1" hidden="1" customHeight="1" x14ac:dyDescent="0.2">
      <c r="A664" s="144"/>
      <c r="B664" s="366" t="s">
        <v>117</v>
      </c>
      <c r="C664" s="484" t="s">
        <v>0</v>
      </c>
      <c r="D664" s="248"/>
      <c r="E664" s="689"/>
      <c r="F664"/>
      <c r="G664"/>
      <c r="H664"/>
      <c r="I664" s="684"/>
      <c r="J664"/>
      <c r="K664"/>
      <c r="L664"/>
      <c r="M664"/>
      <c r="N664"/>
      <c r="O664"/>
      <c r="P664"/>
      <c r="Q664"/>
      <c r="R664"/>
      <c r="S664"/>
      <c r="T664"/>
      <c r="U664"/>
      <c r="X664"/>
      <c r="AB664"/>
      <c r="AC664"/>
      <c r="AF664" s="326">
        <f t="shared" si="111"/>
        <v>1</v>
      </c>
      <c r="AG664" s="59"/>
      <c r="AH664" s="59" t="s">
        <v>0</v>
      </c>
      <c r="AI664" s="59"/>
      <c r="AJ664" s="59"/>
      <c r="AK664" s="152" t="s">
        <v>0</v>
      </c>
      <c r="AL664" s="76"/>
    </row>
    <row r="665" spans="1:39" s="23" customFormat="1" ht="14.1" hidden="1" customHeight="1" x14ac:dyDescent="0.2">
      <c r="A665" s="144"/>
      <c r="B665" s="254" t="s">
        <v>561</v>
      </c>
      <c r="C665" s="484" t="s">
        <v>0</v>
      </c>
      <c r="D665" s="248"/>
      <c r="E665" s="689"/>
      <c r="F665"/>
      <c r="G665"/>
      <c r="H665"/>
      <c r="I665" s="684"/>
      <c r="J665"/>
      <c r="K665"/>
      <c r="L665"/>
      <c r="M665"/>
      <c r="N665"/>
      <c r="O665"/>
      <c r="P665"/>
      <c r="Q665"/>
      <c r="R665"/>
      <c r="S665"/>
      <c r="T665"/>
      <c r="U665"/>
      <c r="X665"/>
      <c r="AB665"/>
      <c r="AC665"/>
      <c r="AF665" s="326">
        <f>IF(AND(S.Notice.AD.Involved="Y",S.Notice.Involved="Y"),1,0)</f>
        <v>1</v>
      </c>
      <c r="AG665" s="59" t="s">
        <v>0</v>
      </c>
      <c r="AH665" s="59" t="s">
        <v>0</v>
      </c>
      <c r="AI665" s="59"/>
      <c r="AJ665" s="59"/>
      <c r="AK665" s="58" t="s">
        <v>0</v>
      </c>
      <c r="AL665" s="76"/>
    </row>
    <row r="666" spans="1:39" s="23" customFormat="1" ht="14.1" hidden="1" customHeight="1" thickBot="1" x14ac:dyDescent="0.25">
      <c r="A666" s="144"/>
      <c r="B666" s="254" t="s">
        <v>562</v>
      </c>
      <c r="C666" s="484" t="s">
        <v>0</v>
      </c>
      <c r="D666" s="248"/>
      <c r="E666" s="689"/>
      <c r="F666"/>
      <c r="G666"/>
      <c r="H666"/>
      <c r="I666" s="684"/>
      <c r="J666"/>
      <c r="K666"/>
      <c r="L666"/>
      <c r="M666"/>
      <c r="N666"/>
      <c r="O666"/>
      <c r="P666"/>
      <c r="Q666"/>
      <c r="R666"/>
      <c r="S666"/>
      <c r="T666"/>
      <c r="U666"/>
      <c r="X666"/>
      <c r="AB666"/>
      <c r="AC666"/>
      <c r="AF666" s="326">
        <f>IF(AND(S.Notice.AD.Involved="Y",S.Notice.Involved="Y"),1,0)</f>
        <v>1</v>
      </c>
      <c r="AG666" s="59" t="s">
        <v>0</v>
      </c>
      <c r="AH666" s="59" t="s">
        <v>0</v>
      </c>
      <c r="AI666" s="59"/>
      <c r="AJ666" s="59"/>
      <c r="AK666" s="44"/>
      <c r="AL666" s="76"/>
    </row>
    <row r="667" spans="1:39" s="23" customFormat="1" ht="14.1" hidden="1" customHeight="1" thickBot="1" x14ac:dyDescent="0.25">
      <c r="A667" s="144"/>
      <c r="B667" s="254" t="s">
        <v>559</v>
      </c>
      <c r="C667" s="323" t="str">
        <f>HYPERLINK("http://oarnoticefilings.sos.state.or.us","i")</f>
        <v>i</v>
      </c>
      <c r="D667" s="656"/>
      <c r="E667" s="656"/>
      <c r="I667" s="684"/>
      <c r="AF667" s="326">
        <f t="shared" ref="AF667:AF678" si="114">IF(S.Notice.Involved="Y",1,0)</f>
        <v>1</v>
      </c>
      <c r="AG667" s="59"/>
      <c r="AH667" s="59"/>
      <c r="AI667" s="59"/>
      <c r="AJ667" s="59"/>
      <c r="AK667" s="74"/>
      <c r="AL667" s="76"/>
    </row>
    <row r="668" spans="1:39" s="23" customFormat="1" ht="14.1" hidden="1" customHeight="1" x14ac:dyDescent="0.25">
      <c r="A668" s="144" t="s">
        <v>157</v>
      </c>
      <c r="B668" s="208" t="str">
        <f>AK668</f>
        <v>Jill drafts EMAIL.NOTICE.TO.KEY.LEGISLATORS  - instruction in template:</v>
      </c>
      <c r="C668" s="449" t="str">
        <f>HYPERLINK("\\deqhq1\Rule_Resources\i\EMAIL.KeyLegislators.docx","i")</f>
        <v>i</v>
      </c>
      <c r="D668" s="248"/>
      <c r="E668" s="689"/>
      <c r="F668"/>
      <c r="H668" s="221">
        <f>AH668</f>
        <v>41799</v>
      </c>
      <c r="I668" s="684"/>
      <c r="J668"/>
      <c r="K668"/>
      <c r="L668"/>
      <c r="M668"/>
      <c r="N668"/>
      <c r="O668"/>
      <c r="P668"/>
      <c r="Q668"/>
      <c r="R668"/>
      <c r="S668"/>
      <c r="T668"/>
      <c r="U668"/>
      <c r="X668"/>
      <c r="AB668"/>
      <c r="AC668"/>
      <c r="AF668" s="326">
        <f t="shared" si="114"/>
        <v>1</v>
      </c>
      <c r="AG668" s="60">
        <f>H251</f>
        <v>41786</v>
      </c>
      <c r="AH668" s="60">
        <f>IF(AF668=0,,WORKDAY(S.Notice.OpenComment,-5,S.DDL_DEQClosed))</f>
        <v>41799</v>
      </c>
      <c r="AI668" s="59"/>
      <c r="AJ668" s="59"/>
      <c r="AK668" s="169" t="str">
        <f>S.Staff.Subject.Expert.FirstName&amp;" drafts EMAIL.NOTICE.TO.KEY.LEGISLATORS  - instruction in template:"</f>
        <v>Jill drafts EMAIL.NOTICE.TO.KEY.LEGISLATORS  - instruction in template:</v>
      </c>
      <c r="AL668" s="76"/>
    </row>
    <row r="669" spans="1:39" s="23" customFormat="1" ht="14.1" hidden="1" customHeight="1" x14ac:dyDescent="0.2">
      <c r="A669" s="144"/>
      <c r="B669" s="234" t="str">
        <f>AK669</f>
        <v>* sends draft to MargaretO</v>
      </c>
      <c r="C669" s="481"/>
      <c r="D669" s="248"/>
      <c r="E669" s="689"/>
      <c r="F669"/>
      <c r="G669"/>
      <c r="H669"/>
      <c r="I669" s="684"/>
      <c r="J669"/>
      <c r="K669"/>
      <c r="L669"/>
      <c r="M669"/>
      <c r="N669"/>
      <c r="O669"/>
      <c r="P669"/>
      <c r="Q669"/>
      <c r="R669"/>
      <c r="S669"/>
      <c r="T669"/>
      <c r="U669"/>
      <c r="X669"/>
      <c r="AB669"/>
      <c r="AC669"/>
      <c r="AF669" s="326">
        <f t="shared" si="114"/>
        <v>1</v>
      </c>
      <c r="AG669" s="59"/>
      <c r="AH669" s="59"/>
      <c r="AI669" s="59"/>
      <c r="AJ669" s="59"/>
      <c r="AK669" s="169" t="str">
        <f>"* sends draft to "&amp;S.Staff.LegislativeLiason</f>
        <v>* sends draft to MargaretO</v>
      </c>
      <c r="AL669" s="76"/>
    </row>
    <row r="670" spans="1:39" s="23" customFormat="1" ht="14.1" hidden="1" customHeight="1" x14ac:dyDescent="0.2">
      <c r="A670" s="144"/>
      <c r="B670" s="378" t="str">
        <f>AK670</f>
        <v>MargaretO:</v>
      </c>
      <c r="C670" s="223"/>
      <c r="D670" s="290"/>
      <c r="E670" s="290"/>
      <c r="F670" s="227"/>
      <c r="G670" s="223"/>
      <c r="H670" s="223"/>
      <c r="I670" s="684"/>
      <c r="J670"/>
      <c r="K670"/>
      <c r="L670"/>
      <c r="M670"/>
      <c r="N670"/>
      <c r="O670"/>
      <c r="P670"/>
      <c r="Q670"/>
      <c r="R670"/>
      <c r="S670"/>
      <c r="T670"/>
      <c r="U670"/>
      <c r="X670"/>
      <c r="AB670"/>
      <c r="AC670"/>
      <c r="AF670" s="326">
        <f t="shared" si="114"/>
        <v>1</v>
      </c>
      <c r="AG670" s="58"/>
      <c r="AH670" s="58"/>
      <c r="AI670" s="59"/>
      <c r="AJ670" s="59"/>
      <c r="AK670" s="169" t="str">
        <f>S.Staff.LegislativeLiason&amp;":"</f>
        <v>MargaretO:</v>
      </c>
      <c r="AL670" s="76"/>
    </row>
    <row r="671" spans="1:39" s="23" customFormat="1" ht="14.1" hidden="1" customHeight="1" x14ac:dyDescent="0.25">
      <c r="A671" s="144"/>
      <c r="B671" s="234" t="s">
        <v>563</v>
      </c>
      <c r="C671" s="449" t="str">
        <f>HYPERLINK("http://www.oregonlaws.org/ors/183.335","i")</f>
        <v>i</v>
      </c>
      <c r="D671" s="248"/>
      <c r="E671" s="689"/>
      <c r="F671"/>
      <c r="G671"/>
      <c r="H671"/>
      <c r="I671" s="684"/>
      <c r="J671"/>
      <c r="K671"/>
      <c r="L671"/>
      <c r="M671"/>
      <c r="N671"/>
      <c r="O671"/>
      <c r="P671"/>
      <c r="Q671"/>
      <c r="R671"/>
      <c r="S671"/>
      <c r="T671"/>
      <c r="U671"/>
      <c r="X671"/>
      <c r="AB671"/>
      <c r="AC671"/>
      <c r="AF671" s="326">
        <f t="shared" si="114"/>
        <v>1</v>
      </c>
      <c r="AG671" s="59"/>
      <c r="AH671" s="59"/>
      <c r="AI671" s="59"/>
      <c r="AJ671" s="59"/>
      <c r="AK671" s="152" t="s">
        <v>0</v>
      </c>
      <c r="AL671" s="76"/>
    </row>
    <row r="672" spans="1:39" s="23" customFormat="1" ht="14.1" hidden="1" customHeight="1" x14ac:dyDescent="0.2">
      <c r="A672" s="144"/>
      <c r="B672" s="234" t="s">
        <v>564</v>
      </c>
      <c r="C672" s="481"/>
      <c r="D672" s="248"/>
      <c r="E672" s="689"/>
      <c r="I672" s="684"/>
      <c r="AF672" s="326">
        <f t="shared" si="114"/>
        <v>1</v>
      </c>
      <c r="AG672" s="59"/>
      <c r="AH672" s="59"/>
      <c r="AI672" s="59"/>
      <c r="AJ672" s="59"/>
      <c r="AK672" s="152" t="s">
        <v>0</v>
      </c>
      <c r="AL672" s="76"/>
    </row>
    <row r="673" spans="1:39" s="23" customFormat="1" ht="14.1" hidden="1" customHeight="1" x14ac:dyDescent="0.2">
      <c r="A673" s="144"/>
      <c r="B673" s="234" t="str">
        <f>AK673</f>
        <v>* emails to recipients with Return Receipt (redirects receipt to Jill)</v>
      </c>
      <c r="C673" s="481"/>
      <c r="D673" s="248"/>
      <c r="E673" s="689"/>
      <c r="F673"/>
      <c r="H673" s="221">
        <f>AH673</f>
        <v>41806</v>
      </c>
      <c r="I673" s="684"/>
      <c r="J673"/>
      <c r="K673"/>
      <c r="L673"/>
      <c r="M673"/>
      <c r="N673"/>
      <c r="O673"/>
      <c r="P673"/>
      <c r="Q673"/>
      <c r="R673"/>
      <c r="S673"/>
      <c r="T673"/>
      <c r="U673"/>
      <c r="X673"/>
      <c r="AB673"/>
      <c r="AC673"/>
      <c r="AF673" s="326">
        <f t="shared" si="114"/>
        <v>1</v>
      </c>
      <c r="AG673" s="60" t="s">
        <v>157</v>
      </c>
      <c r="AH673" s="60">
        <f>IF(AF673=0,,S.Notice.OpenComment)</f>
        <v>41806</v>
      </c>
      <c r="AI673" s="59"/>
      <c r="AJ673" s="59"/>
      <c r="AK673" s="169" t="str">
        <f>"* emails to recipients with Return Receipt (redirects receipt to "&amp;S.Staff.Subject.Expert.FirstName&amp;")"</f>
        <v>* emails to recipients with Return Receipt (redirects receipt to Jill)</v>
      </c>
      <c r="AL673" s="76"/>
    </row>
    <row r="674" spans="1:39" s="23" customFormat="1" ht="14.1" hidden="1" customHeight="1" x14ac:dyDescent="0.2">
      <c r="A674" s="144"/>
      <c r="B674" s="207" t="str">
        <f>AK674</f>
        <v>* copies Jill</v>
      </c>
      <c r="C674" s="484" t="s">
        <v>0</v>
      </c>
      <c r="D674" s="248"/>
      <c r="E674" s="689"/>
      <c r="F674"/>
      <c r="G674"/>
      <c r="H674"/>
      <c r="I674" s="684"/>
      <c r="J674"/>
      <c r="K674"/>
      <c r="L674"/>
      <c r="M674"/>
      <c r="N674"/>
      <c r="O674"/>
      <c r="P674"/>
      <c r="Q674"/>
      <c r="R674"/>
      <c r="S674"/>
      <c r="T674"/>
      <c r="U674"/>
      <c r="X674"/>
      <c r="AB674"/>
      <c r="AC674"/>
      <c r="AF674" s="326">
        <f t="shared" si="114"/>
        <v>1</v>
      </c>
      <c r="AG674" s="58"/>
      <c r="AH674" s="58"/>
      <c r="AI674" s="59"/>
      <c r="AJ674" s="59"/>
      <c r="AK674" s="169" t="str">
        <f>"* copies "&amp;S.Staff.Subject.Expert.FirstName</f>
        <v>* copies Jill</v>
      </c>
      <c r="AL674" s="76"/>
    </row>
    <row r="675" spans="1:39" s="23" customFormat="1" ht="14.1" hidden="1" customHeight="1" x14ac:dyDescent="0.2">
      <c r="A675" s="144"/>
      <c r="B675" s="207" t="s">
        <v>560</v>
      </c>
      <c r="C675" s="223"/>
      <c r="D675" s="248"/>
      <c r="E675" s="689"/>
      <c r="F675" s="227"/>
      <c r="G675" s="223"/>
      <c r="H675" s="223"/>
      <c r="I675" s="684"/>
      <c r="J675"/>
      <c r="K675"/>
      <c r="L675"/>
      <c r="M675"/>
      <c r="N675"/>
      <c r="O675"/>
      <c r="P675"/>
      <c r="Q675"/>
      <c r="R675"/>
      <c r="S675"/>
      <c r="T675"/>
      <c r="U675"/>
      <c r="X675"/>
      <c r="AB675"/>
      <c r="AC675"/>
      <c r="AF675" s="326">
        <f t="shared" si="114"/>
        <v>1</v>
      </c>
      <c r="AG675" s="58"/>
      <c r="AH675" s="58"/>
      <c r="AI675" s="59"/>
      <c r="AJ675" s="59"/>
      <c r="AK675" s="311"/>
      <c r="AL675" s="76"/>
    </row>
    <row r="676" spans="1:39" s="23" customFormat="1" ht="14.1" hidden="1" customHeight="1" x14ac:dyDescent="0.2">
      <c r="A676" s="144"/>
      <c r="B676" s="250" t="str">
        <f>AK676</f>
        <v>AndreaG &amp; Michele maintain Rukemaking Activities Web page</v>
      </c>
      <c r="C676" s="484" t="s">
        <v>0</v>
      </c>
      <c r="D676" s="290"/>
      <c r="E676" s="290"/>
      <c r="F676"/>
      <c r="G676" s="274">
        <f t="shared" ref="G676" si="115">AG676</f>
        <v>41806</v>
      </c>
      <c r="H676" s="228">
        <f t="shared" ref="H676" si="116">AH676</f>
        <v>41897</v>
      </c>
      <c r="I676" s="684"/>
      <c r="J676"/>
      <c r="K676"/>
      <c r="L676"/>
      <c r="M676"/>
      <c r="N676"/>
      <c r="O676"/>
      <c r="P676"/>
      <c r="Q676"/>
      <c r="R676"/>
      <c r="S676"/>
      <c r="T676"/>
      <c r="U676"/>
      <c r="X676"/>
      <c r="AB676"/>
      <c r="AC676"/>
      <c r="AF676" s="326">
        <f t="shared" si="114"/>
        <v>1</v>
      </c>
      <c r="AG676" s="60">
        <f>IF(AF676=0,,S.Notice.OpenComment)</f>
        <v>41806</v>
      </c>
      <c r="AH676" s="60">
        <f>IF(AF676=0,,S.Notice.BANNER.End)</f>
        <v>41897</v>
      </c>
      <c r="AI676" s="59"/>
      <c r="AJ676" s="59"/>
      <c r="AK676" s="169" t="str">
        <f>S.Staff.RG.Lead.FirstName&amp;" &amp; "&amp;S.Staff.WebMaster&amp;" maintain Rukemaking Activities Web page"</f>
        <v>AndreaG &amp; Michele maintain Rukemaking Activities Web page</v>
      </c>
      <c r="AL676" s="76"/>
    </row>
    <row r="677" spans="1:39" s="23" customFormat="1" ht="14.1" hidden="1" customHeight="1" x14ac:dyDescent="0.2">
      <c r="A677" s="144"/>
      <c r="B677" s="195" t="str">
        <f>AK677</f>
        <v xml:space="preserve">Jill gathers and saves all emails on </v>
      </c>
      <c r="C677" s="447" t="str">
        <f>HYPERLINK("\\deqhq1\Rule_Development\Currrent Plan","i")</f>
        <v>i</v>
      </c>
      <c r="D677" s="248"/>
      <c r="E677" s="689"/>
      <c r="F677"/>
      <c r="G677" s="221">
        <f>AG677</f>
        <v>41641</v>
      </c>
      <c r="H677" s="221">
        <f>AH677</f>
        <v>41897</v>
      </c>
      <c r="I677" s="684"/>
      <c r="J677"/>
      <c r="K677"/>
      <c r="L677"/>
      <c r="M677"/>
      <c r="N677"/>
      <c r="O677"/>
      <c r="P677"/>
      <c r="Q677"/>
      <c r="R677"/>
      <c r="S677"/>
      <c r="T677"/>
      <c r="U677"/>
      <c r="X677"/>
      <c r="AB677"/>
      <c r="AC677"/>
      <c r="AF677" s="326">
        <f t="shared" si="114"/>
        <v>1</v>
      </c>
      <c r="AG677" s="60">
        <f>IF(AF677=0,,S.Notice.BANNER.Begin)</f>
        <v>41641</v>
      </c>
      <c r="AH677" s="60">
        <f>IF(AF677=0,,S.Notice.BANNER.End)</f>
        <v>41897</v>
      </c>
      <c r="AI677" s="59"/>
      <c r="AJ677" s="59"/>
      <c r="AK677" s="169" t="str">
        <f>S.Staff.Subject.Expert.FirstName&amp;" gathers and saves all emails on "</f>
        <v xml:space="preserve">Jill gathers and saves all emails on </v>
      </c>
      <c r="AL677" s="76"/>
    </row>
    <row r="678" spans="1:39" s="23" customFormat="1" ht="14.1" hidden="1" customHeight="1" x14ac:dyDescent="0.2">
      <c r="A678" s="144"/>
      <c r="B678" s="207" t="s">
        <v>676</v>
      </c>
      <c r="C678" s="223"/>
      <c r="D678" s="248"/>
      <c r="E678" s="689"/>
      <c r="F678" s="227"/>
      <c r="G678" s="223"/>
      <c r="H678" s="223"/>
      <c r="I678" s="684"/>
      <c r="AF678" s="326">
        <f t="shared" si="114"/>
        <v>1</v>
      </c>
      <c r="AG678" s="58"/>
      <c r="AH678" s="58"/>
      <c r="AI678" s="59"/>
      <c r="AJ678" s="59"/>
      <c r="AK678" s="311"/>
      <c r="AL678" s="76"/>
    </row>
    <row r="679" spans="1:39" ht="6" customHeight="1" x14ac:dyDescent="0.2">
      <c r="A679" s="144"/>
      <c r="B679" s="258"/>
      <c r="C679" s="260"/>
      <c r="D679" s="259"/>
      <c r="E679" s="259"/>
      <c r="F679" s="261" t="s">
        <v>0</v>
      </c>
      <c r="G679" s="262"/>
      <c r="H679" s="262"/>
      <c r="I679" s="684"/>
      <c r="AF679" s="326" t="s">
        <v>0</v>
      </c>
      <c r="AG679" s="47"/>
      <c r="AH679" s="47"/>
      <c r="AI679" s="59"/>
      <c r="AJ679" s="59"/>
      <c r="AK679" s="44"/>
      <c r="AL679" s="76"/>
      <c r="AM679"/>
    </row>
    <row r="680" spans="1:39" s="23" customFormat="1" ht="20.25" customHeight="1" x14ac:dyDescent="0.3">
      <c r="A680" s="144"/>
      <c r="B680" s="994" t="str">
        <f>AK29</f>
        <v>Public Comment and Testimony</v>
      </c>
      <c r="C680" s="994"/>
      <c r="D680" s="994"/>
      <c r="E680" s="994"/>
      <c r="F680" s="994"/>
      <c r="G680" s="994"/>
      <c r="H680" s="994"/>
      <c r="I680" s="684"/>
      <c r="J680"/>
      <c r="K680"/>
      <c r="L680"/>
      <c r="M680"/>
      <c r="N680"/>
      <c r="O680"/>
      <c r="P680"/>
      <c r="Q680"/>
      <c r="R680"/>
      <c r="S680"/>
      <c r="T680"/>
      <c r="U680"/>
      <c r="X680"/>
      <c r="AB680"/>
      <c r="AC680"/>
      <c r="AF680" s="326" t="s">
        <v>0</v>
      </c>
      <c r="AG680" s="76"/>
      <c r="AH680" s="76"/>
      <c r="AI680" s="59"/>
      <c r="AJ680" s="68"/>
      <c r="AK680" s="311"/>
      <c r="AL680" s="76"/>
    </row>
    <row r="681" spans="1:39" s="341" customFormat="1" ht="14.1" customHeight="1" outlineLevel="1" x14ac:dyDescent="0.2">
      <c r="A681" s="338"/>
      <c r="B681" s="397" t="s">
        <v>0</v>
      </c>
      <c r="C681" s="339" t="s">
        <v>0</v>
      </c>
      <c r="D681" s="339"/>
      <c r="E681" s="339"/>
      <c r="F681" s="347"/>
      <c r="G681" s="340" t="s">
        <v>45</v>
      </c>
      <c r="H681" s="340" t="s">
        <v>100</v>
      </c>
      <c r="I681" s="684"/>
      <c r="J681"/>
      <c r="K681"/>
      <c r="L681"/>
      <c r="M681"/>
      <c r="N681"/>
      <c r="O681"/>
      <c r="P681"/>
      <c r="Q681"/>
      <c r="R681"/>
      <c r="S681"/>
      <c r="T681"/>
      <c r="U681"/>
      <c r="V681" s="23"/>
      <c r="W681" s="23"/>
      <c r="X681"/>
      <c r="Y681" s="23"/>
      <c r="Z681" s="23"/>
      <c r="AA681" s="23"/>
      <c r="AB681"/>
      <c r="AC681"/>
      <c r="AD681" s="23"/>
      <c r="AE681" s="23"/>
      <c r="AF681" s="343" t="s">
        <v>0</v>
      </c>
      <c r="AG681" s="342"/>
      <c r="AH681" s="342"/>
      <c r="AI681" s="344"/>
      <c r="AJ681" s="345"/>
      <c r="AK681" s="346"/>
      <c r="AL681" s="342"/>
    </row>
    <row r="682" spans="1:39" ht="14.1" customHeight="1" outlineLevel="1" x14ac:dyDescent="0.3">
      <c r="A682" s="144"/>
      <c r="B682" s="750" t="s">
        <v>0</v>
      </c>
      <c r="C682" s="103"/>
      <c r="D682" s="166"/>
      <c r="E682" s="166"/>
      <c r="F682" s="124"/>
      <c r="G682" s="167">
        <f>AG682</f>
        <v>41641</v>
      </c>
      <c r="H682" s="188">
        <f>AH682</f>
        <v>42032</v>
      </c>
      <c r="I682" s="684"/>
      <c r="AF682" s="326" t="s">
        <v>0</v>
      </c>
      <c r="AG682" s="60">
        <f>IF(S.Notice.Involved="N",,S.Notice.BANNER.Begin)</f>
        <v>41641</v>
      </c>
      <c r="AH682" s="60">
        <f>IF(S.Notice.Involved="N",, S.EQC.PacketEndReview)</f>
        <v>42032</v>
      </c>
      <c r="AI682" s="59"/>
      <c r="AJ682" s="59"/>
      <c r="AK682" s="311"/>
      <c r="AL682" s="76"/>
      <c r="AM682"/>
    </row>
    <row r="683" spans="1:39" ht="6" customHeight="1" outlineLevel="1" x14ac:dyDescent="0.2">
      <c r="A683" s="144"/>
      <c r="B683" s="105"/>
      <c r="C683" s="97"/>
      <c r="D683" s="630"/>
      <c r="E683" s="630"/>
      <c r="F683" s="98"/>
      <c r="G683" s="97"/>
      <c r="H683" s="97"/>
      <c r="I683" s="684"/>
      <c r="AF683" s="326" t="s">
        <v>0</v>
      </c>
      <c r="AG683" s="47"/>
      <c r="AH683" s="47"/>
      <c r="AI683" s="59"/>
      <c r="AJ683" s="59"/>
      <c r="AK683" s="44"/>
      <c r="AL683" s="76"/>
      <c r="AM683"/>
    </row>
    <row r="684" spans="1:39" s="23" customFormat="1" ht="14.1" customHeight="1" outlineLevel="1" thickBot="1" x14ac:dyDescent="0.25">
      <c r="A684" s="144"/>
      <c r="B684" s="477" t="s">
        <v>234</v>
      </c>
      <c r="C684" s="447" t="str">
        <f>HYPERLINK("\\deqhq1\Rule_Resources\i\0-VersionHistory.pdf","i")</f>
        <v>i</v>
      </c>
      <c r="D684" s="631"/>
      <c r="E684" s="631"/>
      <c r="F684" s="83"/>
      <c r="G684" s="82"/>
      <c r="H684" s="82"/>
      <c r="I684" s="684"/>
      <c r="J684"/>
      <c r="K684"/>
      <c r="L684"/>
      <c r="M684"/>
      <c r="N684"/>
      <c r="O684"/>
      <c r="P684"/>
      <c r="Q684"/>
      <c r="R684"/>
      <c r="S684"/>
      <c r="T684"/>
      <c r="U684"/>
      <c r="X684"/>
      <c r="AB684"/>
      <c r="AC684"/>
      <c r="AF684" s="327" t="s">
        <v>0</v>
      </c>
      <c r="AG684" s="47"/>
      <c r="AH684" s="47"/>
      <c r="AI684" s="69"/>
      <c r="AJ684" s="69"/>
      <c r="AK684" s="35"/>
      <c r="AL684" s="76"/>
    </row>
    <row r="685" spans="1:39" ht="14.1" customHeight="1" outlineLevel="1" thickBot="1" x14ac:dyDescent="0.25">
      <c r="A685" s="144"/>
      <c r="B685" s="263" t="str">
        <f>AK685</f>
        <v>Jill verifies venues and equipment, gathers supplies</v>
      </c>
      <c r="C685" s="357" t="s">
        <v>37</v>
      </c>
      <c r="D685" s="322"/>
      <c r="E685" s="689"/>
      <c r="F685" s="23"/>
      <c r="G685" s="264">
        <f>AG685</f>
        <v>41803</v>
      </c>
      <c r="H685" s="264">
        <f>AH685</f>
        <v>41836</v>
      </c>
      <c r="I685" s="684"/>
      <c r="AF685" s="326">
        <f>IF(AND(S.Notice.Involved="Y",S.Hearing.1stInvolve="Y"),1,0)</f>
        <v>1</v>
      </c>
      <c r="AG685" s="60">
        <f>IF(AF685=0,,S.Hearing.BANNER.Begin)</f>
        <v>41803</v>
      </c>
      <c r="AH685" s="60">
        <f>S.Hearing.1stDate</f>
        <v>41836</v>
      </c>
      <c r="AI685" s="59"/>
      <c r="AJ685" s="59"/>
      <c r="AK685" s="67" t="str">
        <f>S.Staff.Support&amp;" verifies venues and equipment, gathers supplies"</f>
        <v>Jill verifies venues and equipment, gathers supplies</v>
      </c>
      <c r="AL685" s="76"/>
      <c r="AM685"/>
    </row>
    <row r="686" spans="1:39" s="23" customFormat="1" ht="14.1" hidden="1" customHeight="1" outlineLevel="2" x14ac:dyDescent="0.2">
      <c r="A686" s="144"/>
      <c r="B686" s="455" t="str">
        <f>AK686</f>
        <v>Team does not plan to hold information meeting</v>
      </c>
      <c r="C686" s="265"/>
      <c r="D686" s="266"/>
      <c r="E686" s="266"/>
      <c r="G686" s="265"/>
      <c r="H686" s="265"/>
      <c r="I686" s="684"/>
      <c r="J686"/>
      <c r="K686"/>
      <c r="L686"/>
      <c r="M686"/>
      <c r="N686"/>
      <c r="O686"/>
      <c r="P686"/>
      <c r="Q686"/>
      <c r="R686"/>
      <c r="S686"/>
      <c r="T686"/>
      <c r="U686"/>
      <c r="X686"/>
      <c r="AB686"/>
      <c r="AC686"/>
      <c r="AF686" s="326">
        <f>IF(AND(S.Notice.Involved="Y",S.Hearing.1stInvolve="Y",S.Notice.InformationMeeting="Y"),1,0)</f>
        <v>0</v>
      </c>
      <c r="AG686" s="58"/>
      <c r="AH686" s="58"/>
      <c r="AI686" s="59"/>
      <c r="AJ686" s="59"/>
      <c r="AK686" s="67" t="str">
        <f>IF(S.Notice.InformationMeeting="Y","START INFORMATION MEETING OPTION","Team does not plan to hold information meeting")</f>
        <v>Team does not plan to hold information meeting</v>
      </c>
      <c r="AL686" s="76"/>
    </row>
    <row r="687" spans="1:39" s="23" customFormat="1" ht="14.1" hidden="1" customHeight="1" outlineLevel="2" x14ac:dyDescent="0.2">
      <c r="A687" s="144"/>
      <c r="B687" s="390" t="str">
        <f>AK687</f>
        <v>Jill:</v>
      </c>
      <c r="C687" s="223"/>
      <c r="D687" s="248"/>
      <c r="E687" s="689"/>
      <c r="G687" s="264">
        <f t="shared" ref="G687" si="117">AG687</f>
        <v>41803</v>
      </c>
      <c r="H687" s="264">
        <f t="shared" ref="H687" si="118">AH687</f>
        <v>41803</v>
      </c>
      <c r="I687" s="684"/>
      <c r="J687"/>
      <c r="K687"/>
      <c r="L687"/>
      <c r="M687"/>
      <c r="N687"/>
      <c r="O687"/>
      <c r="P687"/>
      <c r="Q687"/>
      <c r="R687"/>
      <c r="S687"/>
      <c r="T687"/>
      <c r="U687"/>
      <c r="X687"/>
      <c r="AB687"/>
      <c r="AC687"/>
      <c r="AF687" s="326">
        <f>IF(AND(S.Notice.Involved="Y",S.Notice.AD.Involved="Y"),1,0)</f>
        <v>1</v>
      </c>
      <c r="AG687" s="60">
        <f t="shared" ref="AG687:AG692" si="119">IF(AF687=0,,S.Hearing.BANNER.Begin)</f>
        <v>41803</v>
      </c>
      <c r="AH687" s="60">
        <f>G687</f>
        <v>41803</v>
      </c>
      <c r="AI687" s="59"/>
      <c r="AJ687" s="59"/>
      <c r="AK687" s="67" t="str">
        <f>S.Staff.Subject.Expert.FirstName&amp;":"</f>
        <v>Jill:</v>
      </c>
      <c r="AL687" s="76"/>
    </row>
    <row r="688" spans="1:39" s="23" customFormat="1" ht="14.1" hidden="1" customHeight="1" outlineLevel="2" thickBot="1" x14ac:dyDescent="0.25">
      <c r="A688" s="144"/>
      <c r="B688" s="390" t="s">
        <v>149</v>
      </c>
      <c r="C688" s="484" t="s">
        <v>0</v>
      </c>
      <c r="D688" s="248"/>
      <c r="E688" s="689"/>
      <c r="F688"/>
      <c r="G688"/>
      <c r="H688"/>
      <c r="I688" s="684"/>
      <c r="J688"/>
      <c r="K688"/>
      <c r="L688"/>
      <c r="M688"/>
      <c r="N688"/>
      <c r="O688"/>
      <c r="P688"/>
      <c r="Q688"/>
      <c r="R688"/>
      <c r="S688"/>
      <c r="T688"/>
      <c r="U688"/>
      <c r="X688"/>
      <c r="AB688"/>
      <c r="AC688"/>
      <c r="AF688" s="326">
        <f>IF(AND(S.Notice.Involved="Y",S.Hearing.1stInvolve="Y",S.Notice.InformationMeeting="Y"),1,0)</f>
        <v>0</v>
      </c>
      <c r="AG688" s="60">
        <f t="shared" si="119"/>
        <v>0</v>
      </c>
      <c r="AH688" s="60">
        <f>G688</f>
        <v>0</v>
      </c>
      <c r="AI688" s="59"/>
      <c r="AJ688" s="59"/>
      <c r="AK688" s="346"/>
      <c r="AL688" s="76"/>
    </row>
    <row r="689" spans="1:39" s="23" customFormat="1" ht="14.1" hidden="1" customHeight="1" outlineLevel="2" thickBot="1" x14ac:dyDescent="0.25">
      <c r="A689" s="144"/>
      <c r="B689" s="390" t="s">
        <v>194</v>
      </c>
      <c r="C689" s="357" t="s">
        <v>37</v>
      </c>
      <c r="D689" s="322"/>
      <c r="E689" s="689"/>
      <c r="G689"/>
      <c r="H689"/>
      <c r="I689" s="684"/>
      <c r="J689"/>
      <c r="K689"/>
      <c r="L689"/>
      <c r="M689"/>
      <c r="N689"/>
      <c r="O689"/>
      <c r="P689"/>
      <c r="Q689"/>
      <c r="R689"/>
      <c r="S689"/>
      <c r="T689"/>
      <c r="U689"/>
      <c r="X689"/>
      <c r="AB689"/>
      <c r="AC689"/>
      <c r="AF689" s="326">
        <f t="shared" ref="AF689:AF694" si="120">IF(AND(S.Notice.Involved="Y",S.Hearing.1stInvolve="Y",S.Notice.InformationMeeting="Y",S.Planning.MessageMap="Y"),1,0)</f>
        <v>0</v>
      </c>
      <c r="AG689" s="60">
        <f t="shared" si="119"/>
        <v>0</v>
      </c>
      <c r="AH689" s="60">
        <f t="shared" ref="AH689:AH692" si="121">G689</f>
        <v>0</v>
      </c>
      <c r="AI689" s="59"/>
      <c r="AJ689" s="59"/>
      <c r="AK689" s="346"/>
      <c r="AL689" s="76"/>
    </row>
    <row r="690" spans="1:39" s="400" customFormat="1" ht="14.1" hidden="1" customHeight="1" outlineLevel="2" x14ac:dyDescent="0.2">
      <c r="A690" s="398"/>
      <c r="B690" s="390" t="s">
        <v>150</v>
      </c>
      <c r="C690" s="206" t="s">
        <v>0</v>
      </c>
      <c r="D690" s="399"/>
      <c r="E690" s="829"/>
      <c r="F690" s="23"/>
      <c r="G690"/>
      <c r="H690"/>
      <c r="I690" s="684"/>
      <c r="J690"/>
      <c r="K690"/>
      <c r="L690"/>
      <c r="M690"/>
      <c r="N690"/>
      <c r="O690"/>
      <c r="P690"/>
      <c r="Q690"/>
      <c r="R690"/>
      <c r="S690"/>
      <c r="T690"/>
      <c r="U690"/>
      <c r="V690" s="23"/>
      <c r="W690" s="23"/>
      <c r="X690"/>
      <c r="Y690" s="23"/>
      <c r="Z690" s="23"/>
      <c r="AA690" s="23"/>
      <c r="AB690"/>
      <c r="AC690"/>
      <c r="AD690" s="23"/>
      <c r="AE690" s="23"/>
      <c r="AF690" s="326">
        <f t="shared" si="120"/>
        <v>0</v>
      </c>
      <c r="AG690" s="60">
        <f t="shared" si="119"/>
        <v>0</v>
      </c>
      <c r="AH690" s="60">
        <f t="shared" si="121"/>
        <v>0</v>
      </c>
      <c r="AI690" s="402"/>
      <c r="AJ690" s="402"/>
      <c r="AK690" s="346"/>
      <c r="AL690" s="401"/>
    </row>
    <row r="691" spans="1:39" s="23" customFormat="1" ht="14.1" hidden="1" customHeight="1" outlineLevel="2" x14ac:dyDescent="0.2">
      <c r="A691" s="144"/>
      <c r="B691" s="390" t="s">
        <v>151</v>
      </c>
      <c r="C691" s="484" t="s">
        <v>0</v>
      </c>
      <c r="D691" s="248"/>
      <c r="E691" s="689"/>
      <c r="G691"/>
      <c r="H691"/>
      <c r="I691" s="684"/>
      <c r="J691"/>
      <c r="K691"/>
      <c r="L691"/>
      <c r="M691"/>
      <c r="N691"/>
      <c r="O691"/>
      <c r="P691"/>
      <c r="Q691"/>
      <c r="R691"/>
      <c r="S691"/>
      <c r="T691"/>
      <c r="U691"/>
      <c r="X691"/>
      <c r="AB691"/>
      <c r="AC691"/>
      <c r="AF691" s="326">
        <f t="shared" si="120"/>
        <v>0</v>
      </c>
      <c r="AG691" s="60">
        <f t="shared" si="119"/>
        <v>0</v>
      </c>
      <c r="AH691" s="60">
        <f t="shared" si="121"/>
        <v>0</v>
      </c>
      <c r="AI691" s="59"/>
      <c r="AJ691" s="59"/>
      <c r="AK691" s="346"/>
      <c r="AL691" s="76"/>
    </row>
    <row r="692" spans="1:39" ht="14.1" hidden="1" customHeight="1" outlineLevel="2" x14ac:dyDescent="0.2">
      <c r="A692" s="144"/>
      <c r="B692" s="390" t="s">
        <v>152</v>
      </c>
      <c r="C692" s="480" t="s">
        <v>0</v>
      </c>
      <c r="D692" s="248"/>
      <c r="E692" s="689"/>
      <c r="F692" s="23"/>
      <c r="G692"/>
      <c r="H692"/>
      <c r="I692" s="684"/>
      <c r="AF692" s="326">
        <f t="shared" si="120"/>
        <v>0</v>
      </c>
      <c r="AG692" s="60">
        <f t="shared" si="119"/>
        <v>0</v>
      </c>
      <c r="AH692" s="60">
        <f t="shared" si="121"/>
        <v>0</v>
      </c>
      <c r="AI692" s="59"/>
      <c r="AJ692" s="59"/>
      <c r="AK692" s="346"/>
      <c r="AL692" s="76"/>
      <c r="AM692"/>
    </row>
    <row r="693" spans="1:39" s="23" customFormat="1" ht="14.1" hidden="1" customHeight="1" outlineLevel="2" x14ac:dyDescent="0.2">
      <c r="A693" s="144"/>
      <c r="B693" s="390" t="str">
        <f>AK693</f>
        <v>* initiates Leah's review/approval, addresses suggestions</v>
      </c>
      <c r="C693" s="484" t="s">
        <v>0</v>
      </c>
      <c r="D693" s="248"/>
      <c r="E693" s="689"/>
      <c r="G693" s="264">
        <f t="shared" ref="G693" si="122">AG693</f>
        <v>41803</v>
      </c>
      <c r="H693" s="264">
        <f t="shared" ref="H693" si="123">AH693</f>
        <v>41803</v>
      </c>
      <c r="I693" s="684"/>
      <c r="J693"/>
      <c r="K693"/>
      <c r="L693"/>
      <c r="M693"/>
      <c r="N693"/>
      <c r="O693"/>
      <c r="P693"/>
      <c r="Q693"/>
      <c r="R693"/>
      <c r="S693"/>
      <c r="T693"/>
      <c r="U693"/>
      <c r="X693"/>
      <c r="AB693"/>
      <c r="AC693"/>
      <c r="AF693" s="326">
        <f t="shared" si="120"/>
        <v>0</v>
      </c>
      <c r="AG693" s="60">
        <f>H687</f>
        <v>41803</v>
      </c>
      <c r="AH693" s="60">
        <f>AG693</f>
        <v>41803</v>
      </c>
      <c r="AI693" s="189" t="s">
        <v>0</v>
      </c>
      <c r="AJ693" s="59"/>
      <c r="AK693" s="169" t="str">
        <f>"* initiates "&amp;S.Staff.Program.Mgr.FirstName&amp;"'s review/approval, addresses suggestions"</f>
        <v>* initiates Leah's review/approval, addresses suggestions</v>
      </c>
      <c r="AL693" s="76"/>
    </row>
    <row r="694" spans="1:39" ht="14.1" hidden="1" customHeight="1" outlineLevel="2" thickBot="1" x14ac:dyDescent="0.25">
      <c r="A694" s="144"/>
      <c r="B694" s="498" t="str">
        <f t="shared" ref="B694:B697" si="124">AK694</f>
        <v>1st loop Leah reviews/approves optional presentation</v>
      </c>
      <c r="C694" s="481"/>
      <c r="D694" s="248"/>
      <c r="E694" s="689"/>
      <c r="F694" s="23"/>
      <c r="G694" s="264">
        <f t="shared" ref="G694:H697" si="125">AG694</f>
        <v>41803</v>
      </c>
      <c r="H694" s="264">
        <f t="shared" si="125"/>
        <v>41803</v>
      </c>
      <c r="I694" s="684"/>
      <c r="AF694" s="326">
        <f t="shared" si="120"/>
        <v>0</v>
      </c>
      <c r="AG694" s="60">
        <f>G687</f>
        <v>41803</v>
      </c>
      <c r="AH694" s="60">
        <f t="shared" ref="AH694:AH697" si="126">AG694</f>
        <v>41803</v>
      </c>
      <c r="AI694" s="59" t="s">
        <v>0</v>
      </c>
      <c r="AJ694" s="59"/>
      <c r="AK694" s="169" t="str">
        <f>"1st loop "&amp;S.Staff.Program.Mgr.FirstName&amp;" reviews/approves optional presentation"</f>
        <v>1st loop Leah reviews/approves optional presentation</v>
      </c>
      <c r="AL694" s="76"/>
      <c r="AM694"/>
    </row>
    <row r="695" spans="1:39" ht="14.1" hidden="1" customHeight="1" outlineLevel="2" thickBot="1" x14ac:dyDescent="0.25">
      <c r="A695" s="144"/>
      <c r="B695" s="499" t="str">
        <f t="shared" si="124"/>
        <v>2nd loop Leah reviews/approves optional presentation</v>
      </c>
      <c r="C695" s="420" t="s">
        <v>134</v>
      </c>
      <c r="D695" s="248"/>
      <c r="E695" s="689"/>
      <c r="F695" s="23"/>
      <c r="G695" s="264">
        <f t="shared" si="125"/>
        <v>0</v>
      </c>
      <c r="H695" s="264">
        <f t="shared" si="125"/>
        <v>0</v>
      </c>
      <c r="I695" s="684"/>
      <c r="AF695" s="326">
        <f>IF(S.EQC.ApprovePresentationLoop2="N",,IF(AND(S.Notice.Involved="Y",S.Hearing.1stInvolve="Y",S.Notice.InformationMeeting="Y",S.Planning.MessageMap="Y"),1,0))</f>
        <v>0</v>
      </c>
      <c r="AG695" s="60">
        <f>IF(AF695=0,,MAX(AH688:AH692))</f>
        <v>0</v>
      </c>
      <c r="AH695" s="60">
        <f t="shared" si="126"/>
        <v>0</v>
      </c>
      <c r="AI695" s="59" t="s">
        <v>0</v>
      </c>
      <c r="AJ695" s="59"/>
      <c r="AK695" s="169" t="str">
        <f>"2nd loop "&amp;S.Staff.Program.Mgr.FirstName&amp;" reviews/approves optional presentation"</f>
        <v>2nd loop Leah reviews/approves optional presentation</v>
      </c>
      <c r="AL695" s="76"/>
      <c r="AM695"/>
    </row>
    <row r="696" spans="1:39" ht="14.1" hidden="1" customHeight="1" outlineLevel="2" thickBot="1" x14ac:dyDescent="0.25">
      <c r="A696" s="144"/>
      <c r="B696" s="500" t="str">
        <f t="shared" si="124"/>
        <v>3rd loop Leah reviews/approves optional presentation</v>
      </c>
      <c r="C696" s="420" t="s">
        <v>134</v>
      </c>
      <c r="D696" s="248"/>
      <c r="E696" s="689"/>
      <c r="F696" s="23"/>
      <c r="G696" s="264">
        <f t="shared" si="125"/>
        <v>0</v>
      </c>
      <c r="H696" s="264">
        <f t="shared" si="125"/>
        <v>0</v>
      </c>
      <c r="I696" s="684"/>
      <c r="AF696" s="326">
        <f>IF(S.EQC.ApprovePresentationLoop3="N",,IF(AND(S.Notice.Involved="Y",S.Hearing.1stInvolve="Y",S.Notice.InformationMeeting="Y",S.Planning.MessageMap="Y"),1,0))</f>
        <v>0</v>
      </c>
      <c r="AG696" s="60">
        <f>IF(AF696=0,,MAX(AH688:AH692))</f>
        <v>0</v>
      </c>
      <c r="AH696" s="60">
        <f t="shared" si="126"/>
        <v>0</v>
      </c>
      <c r="AI696" s="59"/>
      <c r="AJ696" s="59"/>
      <c r="AK696" s="169" t="str">
        <f>"3rd loop "&amp;S.Staff.Program.Mgr.FirstName&amp;" reviews/approves optional presentation"</f>
        <v>3rd loop Leah reviews/approves optional presentation</v>
      </c>
      <c r="AL696" s="76"/>
      <c r="AM696"/>
    </row>
    <row r="697" spans="1:39" ht="14.1" hidden="1" customHeight="1" outlineLevel="2" thickBot="1" x14ac:dyDescent="0.25">
      <c r="A697" s="144"/>
      <c r="B697" s="501" t="str">
        <f t="shared" si="124"/>
        <v>4th loop Leah reviews/approves optional presentation</v>
      </c>
      <c r="C697" s="420" t="s">
        <v>134</v>
      </c>
      <c r="D697" s="248"/>
      <c r="E697" s="689"/>
      <c r="F697" s="23"/>
      <c r="G697" s="264">
        <f t="shared" si="125"/>
        <v>0</v>
      </c>
      <c r="H697" s="264">
        <f t="shared" si="125"/>
        <v>0</v>
      </c>
      <c r="I697" s="684"/>
      <c r="AF697" s="326">
        <f>IF(S.EQC.ApprovePresentationLoop4="N",,IF(AND(S.Notice.Involved="Y",S.Hearing.1stInvolve="Y",S.Notice.InformationMeeting="Y",S.Planning.MessageMap="Y"),1,0))</f>
        <v>0</v>
      </c>
      <c r="AG697" s="60">
        <f>IF(AF697=0,,MAX(AH688:AH692))</f>
        <v>0</v>
      </c>
      <c r="AH697" s="60">
        <f t="shared" si="126"/>
        <v>0</v>
      </c>
      <c r="AI697" s="59"/>
      <c r="AJ697" s="59"/>
      <c r="AK697" s="169" t="str">
        <f>"4th loop "&amp;S.Staff.Program.Mgr.FirstName&amp;" reviews/approves optional presentation"</f>
        <v>4th loop Leah reviews/approves optional presentation</v>
      </c>
      <c r="AL697" s="76"/>
      <c r="AM697"/>
    </row>
    <row r="698" spans="1:39" s="23" customFormat="1" ht="14.1" customHeight="1" outlineLevel="1" collapsed="1" x14ac:dyDescent="0.2">
      <c r="A698" s="144"/>
      <c r="B698" s="255" t="s">
        <v>602</v>
      </c>
      <c r="C698" s="223"/>
      <c r="D698" s="290"/>
      <c r="E698" s="290"/>
      <c r="G698" s="223"/>
      <c r="H698" s="223"/>
      <c r="I698" s="684"/>
      <c r="J698"/>
      <c r="K698"/>
      <c r="L698"/>
      <c r="M698"/>
      <c r="N698"/>
      <c r="O698"/>
      <c r="P698"/>
      <c r="Q698"/>
      <c r="R698"/>
      <c r="S698"/>
      <c r="T698"/>
      <c r="U698"/>
      <c r="X698"/>
      <c r="AB698"/>
      <c r="AC698"/>
      <c r="AF698" s="326">
        <f>IF(S.Hearing.1stInvolve="Y",1,0)</f>
        <v>1</v>
      </c>
      <c r="AG698" s="58"/>
      <c r="AH698" s="58"/>
      <c r="AI698" s="59"/>
      <c r="AJ698" s="59"/>
      <c r="AK698" s="62"/>
      <c r="AL698" s="76"/>
    </row>
    <row r="699" spans="1:39" s="23" customFormat="1" ht="14.1" customHeight="1" outlineLevel="1" collapsed="1" thickBot="1" x14ac:dyDescent="0.25">
      <c r="A699" s="144"/>
      <c r="B699" s="368" t="s">
        <v>129</v>
      </c>
      <c r="C699" s="484" t="s">
        <v>0</v>
      </c>
      <c r="D699" s="248"/>
      <c r="E699" s="689"/>
      <c r="G699" s="264">
        <f t="shared" ref="G699:G700" si="127">AG699</f>
        <v>41803</v>
      </c>
      <c r="H699" s="264">
        <f>AH699</f>
        <v>41836</v>
      </c>
      <c r="I699" s="684"/>
      <c r="J699"/>
      <c r="K699"/>
      <c r="L699"/>
      <c r="M699"/>
      <c r="N699"/>
      <c r="O699"/>
      <c r="P699"/>
      <c r="Q699"/>
      <c r="R699"/>
      <c r="S699"/>
      <c r="T699"/>
      <c r="U699"/>
      <c r="X699"/>
      <c r="AB699"/>
      <c r="AC699"/>
      <c r="AF699" s="326">
        <f>IF(S.Notice.Involved="Y",1,0)</f>
        <v>1</v>
      </c>
      <c r="AG699" s="60">
        <f>IF(AF699=0,,S.Hearing.BANNER.Begin)</f>
        <v>41803</v>
      </c>
      <c r="AH699" s="60">
        <f>S.Hearing.1stDate</f>
        <v>41836</v>
      </c>
      <c r="AI699" s="59"/>
      <c r="AJ699" s="61"/>
      <c r="AK699" s="62"/>
      <c r="AL699" s="76"/>
    </row>
    <row r="700" spans="1:39" s="23" customFormat="1" ht="14.1" customHeight="1" outlineLevel="1" thickBot="1" x14ac:dyDescent="0.25">
      <c r="A700" s="144"/>
      <c r="B700" s="368" t="s">
        <v>133</v>
      </c>
      <c r="C700" s="357" t="s">
        <v>37</v>
      </c>
      <c r="D700" s="248"/>
      <c r="E700" s="689"/>
      <c r="G700" s="264">
        <f t="shared" si="127"/>
        <v>41803</v>
      </c>
      <c r="H700" s="264">
        <f>AH700</f>
        <v>41836</v>
      </c>
      <c r="I700" s="684"/>
      <c r="J700"/>
      <c r="K700"/>
      <c r="L700"/>
      <c r="M700"/>
      <c r="N700"/>
      <c r="O700"/>
      <c r="P700"/>
      <c r="Q700"/>
      <c r="R700"/>
      <c r="S700"/>
      <c r="T700"/>
      <c r="U700"/>
      <c r="X700"/>
      <c r="AB700"/>
      <c r="AC700"/>
      <c r="AF700" s="326">
        <f>IF(S.Notice.Involved="Y",1,0)</f>
        <v>1</v>
      </c>
      <c r="AG700" s="60">
        <f>IF(AF700=0,,S.Hearing.BANNER.Begin)</f>
        <v>41803</v>
      </c>
      <c r="AH700" s="60">
        <f>S.Hearing.1stDate</f>
        <v>41836</v>
      </c>
      <c r="AI700" s="59"/>
      <c r="AJ700" s="61"/>
      <c r="AK700" s="62"/>
      <c r="AL700" s="76"/>
    </row>
    <row r="701" spans="1:39" s="23" customFormat="1" ht="14.1" customHeight="1" outlineLevel="1" x14ac:dyDescent="0.2">
      <c r="A701" s="144"/>
      <c r="B701" s="368" t="str">
        <f>AK701</f>
        <v>* holds the following hearings with assigned team:</v>
      </c>
      <c r="C701" s="484" t="s">
        <v>0</v>
      </c>
      <c r="D701" s="644"/>
      <c r="E701" s="644"/>
      <c r="G701"/>
      <c r="H701"/>
      <c r="I701" s="684"/>
      <c r="J701"/>
      <c r="K701"/>
      <c r="L701"/>
      <c r="M701"/>
      <c r="N701"/>
      <c r="O701"/>
      <c r="P701"/>
      <c r="Q701"/>
      <c r="R701"/>
      <c r="S701"/>
      <c r="T701"/>
      <c r="U701"/>
      <c r="X701"/>
      <c r="AB701"/>
      <c r="AC701"/>
      <c r="AF701" s="326">
        <f>IF(S.Notice.Involved="Y",1,0)</f>
        <v>1</v>
      </c>
      <c r="AG701" s="59"/>
      <c r="AH701" s="59"/>
      <c r="AI701" s="59"/>
      <c r="AJ701" s="61"/>
      <c r="AK701" s="73" t="str">
        <f>IF(S.Hearing.1stInvolve="Y","* holds the following hearings with assigned team:","No hearings planned (change under Oveview of Key Dates")</f>
        <v>* holds the following hearings with assigned team:</v>
      </c>
      <c r="AL701" s="76"/>
    </row>
    <row r="702" spans="1:39" ht="14.1" customHeight="1" outlineLevel="1" x14ac:dyDescent="0.2">
      <c r="A702" s="144"/>
      <c r="B702" s="240" t="str">
        <f>AK702</f>
        <v>1. Portland hearing</v>
      </c>
      <c r="C702" s="484" t="s">
        <v>0</v>
      </c>
      <c r="D702" s="644"/>
      <c r="E702" s="644"/>
      <c r="F702"/>
      <c r="G702"/>
      <c r="H702" s="274">
        <f>AH702</f>
        <v>41836</v>
      </c>
      <c r="I702" s="684"/>
      <c r="AF702" s="326">
        <f>IF(AND(S.Notice.Involved="Y",S.Hearing.1stInvolve="Y",S.Hearing.2ndInvolve),1,0)</f>
        <v>1</v>
      </c>
      <c r="AG702" s="59"/>
      <c r="AH702" s="60">
        <f>S.Hearing.1stDate</f>
        <v>41836</v>
      </c>
      <c r="AI702" s="59"/>
      <c r="AJ702" s="59"/>
      <c r="AK702" s="67" t="str">
        <f>"1. "&amp;S.Hearing.1stCity&amp;" hearing"</f>
        <v>1. Portland hearing</v>
      </c>
      <c r="AL702" s="76"/>
      <c r="AM702"/>
    </row>
    <row r="703" spans="1:39" s="23" customFormat="1" ht="14.1" customHeight="1" outlineLevel="1" x14ac:dyDescent="0.2">
      <c r="A703" s="144"/>
      <c r="B703" s="416" t="s">
        <v>179</v>
      </c>
      <c r="C703" s="233"/>
      <c r="D703" s="243"/>
      <c r="E703" s="243"/>
      <c r="F703" s="227"/>
      <c r="G703"/>
      <c r="H703" s="223"/>
      <c r="I703" s="684"/>
      <c r="J703"/>
      <c r="K703"/>
      <c r="L703"/>
      <c r="M703"/>
      <c r="N703"/>
      <c r="O703"/>
      <c r="P703"/>
      <c r="Q703"/>
      <c r="R703"/>
      <c r="S703"/>
      <c r="T703"/>
      <c r="U703"/>
      <c r="X703"/>
      <c r="AB703"/>
      <c r="AC703"/>
      <c r="AF703" s="326">
        <f>IF(AND(S.Notice.Involved="Y",S.Hearing.1stInvolve="Y",S.Hearing.2ndInvolve),1,0)</f>
        <v>1</v>
      </c>
      <c r="AG703" s="59"/>
      <c r="AH703" s="58"/>
      <c r="AI703" s="58"/>
      <c r="AJ703" s="44"/>
      <c r="AK703" s="58" t="s">
        <v>0</v>
      </c>
      <c r="AL703" s="76"/>
    </row>
    <row r="704" spans="1:39" ht="14.1" hidden="1" customHeight="1" outlineLevel="2" x14ac:dyDescent="0.2">
      <c r="A704" s="144"/>
      <c r="B704" s="240" t="str">
        <f t="shared" ref="B704:B716" si="128">AK704</f>
        <v>2. Enter city name hearing</v>
      </c>
      <c r="C704" s="484" t="s">
        <v>0</v>
      </c>
      <c r="D704" s="644"/>
      <c r="E704" s="644"/>
      <c r="F704"/>
      <c r="G704"/>
      <c r="H704" s="274">
        <f t="shared" ref="H704:H716" si="129">AH704</f>
        <v>0</v>
      </c>
      <c r="I704" s="684"/>
      <c r="AF704" s="326">
        <f>IF(AND(S.Notice.Involved="Y",S.Hearing.1stInvolve="Y",S.Hearing.2ndInvolve="Y"),1,0)</f>
        <v>0</v>
      </c>
      <c r="AG704" s="59"/>
      <c r="AH704" s="60">
        <f>IF(S.Hearing.2ndInvolve="N",,S.Hearing.2ndDate)</f>
        <v>0</v>
      </c>
      <c r="AI704" s="59"/>
      <c r="AJ704" s="59"/>
      <c r="AK704" s="67" t="str">
        <f>"2. "&amp;S.Hearing.2ndCity&amp;" hearing"</f>
        <v>2. Enter city name hearing</v>
      </c>
      <c r="AL704" s="76"/>
      <c r="AM704"/>
    </row>
    <row r="705" spans="1:39" s="23" customFormat="1" ht="14.1" hidden="1" customHeight="1" outlineLevel="2" x14ac:dyDescent="0.2">
      <c r="A705" s="144"/>
      <c r="B705" s="416" t="s">
        <v>180</v>
      </c>
      <c r="C705" s="233"/>
      <c r="D705" s="644"/>
      <c r="E705" s="644"/>
      <c r="F705"/>
      <c r="G705"/>
      <c r="H705" s="223"/>
      <c r="I705" s="684"/>
      <c r="J705"/>
      <c r="K705"/>
      <c r="L705"/>
      <c r="M705"/>
      <c r="N705"/>
      <c r="O705"/>
      <c r="P705"/>
      <c r="Q705"/>
      <c r="R705"/>
      <c r="S705"/>
      <c r="T705"/>
      <c r="U705"/>
      <c r="X705"/>
      <c r="AB705"/>
      <c r="AC705"/>
      <c r="AF705" s="326">
        <f>IF(AND(S.Notice.Involved="Y",S.Hearing.1stInvolve="Y",S.Hearing.2ndInvolve="Y"),1,0)</f>
        <v>0</v>
      </c>
      <c r="AG705" s="59"/>
      <c r="AH705" s="58"/>
      <c r="AI705" s="58"/>
      <c r="AJ705" s="44"/>
      <c r="AK705" s="58" t="s">
        <v>0</v>
      </c>
      <c r="AL705" s="76"/>
    </row>
    <row r="706" spans="1:39" ht="14.1" hidden="1" customHeight="1" outlineLevel="2" x14ac:dyDescent="0.2">
      <c r="A706" s="144"/>
      <c r="B706" s="240" t="str">
        <f t="shared" si="128"/>
        <v>3. Enter city name hearing</v>
      </c>
      <c r="C706" s="484" t="s">
        <v>0</v>
      </c>
      <c r="D706" s="644"/>
      <c r="E706" s="644"/>
      <c r="F706"/>
      <c r="G706"/>
      <c r="H706" s="274">
        <f t="shared" si="129"/>
        <v>0</v>
      </c>
      <c r="I706" s="684"/>
      <c r="AF706" s="326">
        <f>IF(AND(S.Notice.Involved="Y",S.Hearing.1stInvolve="Y",S.Hearing.3rdInvolve="Y"),1,0)</f>
        <v>0</v>
      </c>
      <c r="AG706" s="59"/>
      <c r="AH706" s="60">
        <f>IF(S.Hearing.2ndInvolve="N",,S.Hearing.3rdDate)</f>
        <v>0</v>
      </c>
      <c r="AI706" s="59"/>
      <c r="AJ706" s="59"/>
      <c r="AK706" s="67" t="str">
        <f>"3. "&amp; S.Hearing.3rdCity&amp;" hearing"</f>
        <v>3. Enter city name hearing</v>
      </c>
      <c r="AL706" s="76"/>
      <c r="AM706"/>
    </row>
    <row r="707" spans="1:39" s="23" customFormat="1" ht="14.1" hidden="1" customHeight="1" outlineLevel="2" x14ac:dyDescent="0.2">
      <c r="A707" s="144"/>
      <c r="B707" s="416" t="s">
        <v>181</v>
      </c>
      <c r="C707" s="233"/>
      <c r="D707" s="644"/>
      <c r="E707" s="644"/>
      <c r="F707"/>
      <c r="G707"/>
      <c r="H707" s="223"/>
      <c r="I707" s="684"/>
      <c r="J707"/>
      <c r="K707"/>
      <c r="L707"/>
      <c r="M707"/>
      <c r="N707"/>
      <c r="O707"/>
      <c r="P707"/>
      <c r="Q707"/>
      <c r="R707"/>
      <c r="S707"/>
      <c r="T707"/>
      <c r="U707"/>
      <c r="X707"/>
      <c r="AB707"/>
      <c r="AC707"/>
      <c r="AF707" s="326">
        <f>IF(AND(S.Notice.Involved="Y",S.Hearing.1stInvolve="Y",S.Hearing.3rdInvolve="Y"),1,0)</f>
        <v>0</v>
      </c>
      <c r="AG707" s="59"/>
      <c r="AH707" s="58"/>
      <c r="AI707" s="58"/>
      <c r="AJ707" s="44"/>
      <c r="AK707" s="58" t="s">
        <v>0</v>
      </c>
      <c r="AL707" s="76"/>
    </row>
    <row r="708" spans="1:39" ht="14.1" hidden="1" customHeight="1" outlineLevel="2" x14ac:dyDescent="0.2">
      <c r="A708" s="144"/>
      <c r="B708" s="240" t="str">
        <f t="shared" si="128"/>
        <v>4. Enter city name hearing</v>
      </c>
      <c r="C708" s="484" t="s">
        <v>0</v>
      </c>
      <c r="D708" s="644"/>
      <c r="E708" s="644"/>
      <c r="F708"/>
      <c r="G708"/>
      <c r="H708" s="274">
        <f t="shared" si="129"/>
        <v>0</v>
      </c>
      <c r="I708" s="684"/>
      <c r="AF708" s="326">
        <f>IF(AND(S.Notice.Involved="Y",S.Hearing.1stInvolve="Y",S.Hearing.4thInvolve="Y"),1,0)</f>
        <v>0</v>
      </c>
      <c r="AG708" s="59"/>
      <c r="AH708" s="60">
        <f>IF(S.Hearing.2ndInvolve="N",,S.Hearing.4thDate)</f>
        <v>0</v>
      </c>
      <c r="AI708" s="59"/>
      <c r="AJ708" s="59"/>
      <c r="AK708" s="67" t="str">
        <f>"4. "&amp;S.Hearing.4thCity&amp;" hearing"</f>
        <v>4. Enter city name hearing</v>
      </c>
      <c r="AL708" s="76"/>
      <c r="AM708"/>
    </row>
    <row r="709" spans="1:39" s="23" customFormat="1" ht="14.1" hidden="1" customHeight="1" outlineLevel="2" x14ac:dyDescent="0.2">
      <c r="A709" s="144"/>
      <c r="B709" s="416" t="s">
        <v>182</v>
      </c>
      <c r="C709" s="233"/>
      <c r="D709" s="644"/>
      <c r="E709" s="644"/>
      <c r="F709"/>
      <c r="G709"/>
      <c r="H709" s="223"/>
      <c r="I709" s="684"/>
      <c r="J709"/>
      <c r="K709"/>
      <c r="L709"/>
      <c r="M709"/>
      <c r="N709"/>
      <c r="O709"/>
      <c r="P709"/>
      <c r="Q709"/>
      <c r="R709"/>
      <c r="S709"/>
      <c r="T709"/>
      <c r="U709"/>
      <c r="X709"/>
      <c r="AB709"/>
      <c r="AC709"/>
      <c r="AF709" s="326">
        <f>IF(AND(S.Notice.Involved="Y",S.Hearing.1stInvolve="Y",S.Hearing.4thInvolve="Y"),1,0)</f>
        <v>0</v>
      </c>
      <c r="AG709" s="59"/>
      <c r="AH709" s="58"/>
      <c r="AI709" s="58"/>
      <c r="AJ709" s="44"/>
      <c r="AK709" s="58" t="s">
        <v>0</v>
      </c>
      <c r="AL709" s="76"/>
    </row>
    <row r="710" spans="1:39" ht="14.1" hidden="1" customHeight="1" outlineLevel="2" x14ac:dyDescent="0.2">
      <c r="A710" s="144"/>
      <c r="B710" s="240" t="str">
        <f t="shared" si="128"/>
        <v>5. Enter city name hearing</v>
      </c>
      <c r="C710" s="484" t="s">
        <v>0</v>
      </c>
      <c r="D710" s="644"/>
      <c r="E710" s="644"/>
      <c r="F710"/>
      <c r="G710"/>
      <c r="H710" s="274">
        <f t="shared" si="129"/>
        <v>0</v>
      </c>
      <c r="I710" s="684"/>
      <c r="AF710" s="326">
        <f>IF(AND(S.Notice.Involved="Y",S.Hearing.1stInvolve="Y",S.Hearing.5thInvolve="Y"),1,0)</f>
        <v>0</v>
      </c>
      <c r="AG710" s="59"/>
      <c r="AH710" s="60">
        <f>IF(S.Hearing.2ndInvolve="N",,S.Hearing.5thDate)</f>
        <v>0</v>
      </c>
      <c r="AI710" s="59"/>
      <c r="AJ710" s="59"/>
      <c r="AK710" s="67" t="str">
        <f>"5. "&amp;S.Hearing.5thCity&amp;" hearing"</f>
        <v>5. Enter city name hearing</v>
      </c>
      <c r="AL710" s="76"/>
      <c r="AM710"/>
    </row>
    <row r="711" spans="1:39" s="23" customFormat="1" ht="14.1" hidden="1" customHeight="1" outlineLevel="2" x14ac:dyDescent="0.2">
      <c r="A711" s="144"/>
      <c r="B711" s="416" t="s">
        <v>183</v>
      </c>
      <c r="C711" s="233"/>
      <c r="D711" s="644"/>
      <c r="E711" s="644"/>
      <c r="F711"/>
      <c r="G711"/>
      <c r="H711" s="223"/>
      <c r="I711" s="684"/>
      <c r="J711"/>
      <c r="K711"/>
      <c r="L711"/>
      <c r="M711"/>
      <c r="N711"/>
      <c r="O711"/>
      <c r="P711"/>
      <c r="Q711"/>
      <c r="R711"/>
      <c r="S711"/>
      <c r="T711"/>
      <c r="U711"/>
      <c r="X711"/>
      <c r="AB711"/>
      <c r="AC711"/>
      <c r="AF711" s="326">
        <f>IF(AND(S.Notice.Involved="Y",S.Hearing.1stInvolve="Y",S.Hearing.5thInvolve="Y"),1,0)</f>
        <v>0</v>
      </c>
      <c r="AG711" s="59"/>
      <c r="AH711" s="58"/>
      <c r="AI711" s="58"/>
      <c r="AJ711" s="44"/>
      <c r="AK711" s="58" t="s">
        <v>0</v>
      </c>
      <c r="AL711" s="76"/>
    </row>
    <row r="712" spans="1:39" ht="14.1" hidden="1" customHeight="1" outlineLevel="2" x14ac:dyDescent="0.2">
      <c r="A712" s="144"/>
      <c r="B712" s="240" t="str">
        <f t="shared" si="128"/>
        <v>6. Enter city name hearing</v>
      </c>
      <c r="C712" s="484" t="s">
        <v>0</v>
      </c>
      <c r="D712" s="644"/>
      <c r="E712" s="644"/>
      <c r="F712"/>
      <c r="G712"/>
      <c r="H712" s="274">
        <f t="shared" si="129"/>
        <v>0</v>
      </c>
      <c r="I712" s="684"/>
      <c r="AF712" s="326">
        <f>IF(AND(S.Notice.Involved="Y",S.Hearing.1stInvolve="Y",S.Hearing.6thInvolve="Y"),1,0)</f>
        <v>0</v>
      </c>
      <c r="AG712" s="59"/>
      <c r="AH712" s="60">
        <f>IF(S.Hearing.2ndInvolve="N",,S.Hearing.6thDate)</f>
        <v>0</v>
      </c>
      <c r="AI712" s="59"/>
      <c r="AJ712" s="59"/>
      <c r="AK712" s="67" t="str">
        <f>"6. "&amp;S.Hearing.6thCity&amp;" hearing"</f>
        <v>6. Enter city name hearing</v>
      </c>
      <c r="AL712" s="76"/>
      <c r="AM712"/>
    </row>
    <row r="713" spans="1:39" s="23" customFormat="1" ht="14.1" hidden="1" customHeight="1" outlineLevel="2" x14ac:dyDescent="0.2">
      <c r="A713" s="144"/>
      <c r="B713" s="416" t="s">
        <v>184</v>
      </c>
      <c r="C713" s="233"/>
      <c r="D713" s="644"/>
      <c r="E713" s="644"/>
      <c r="F713"/>
      <c r="G713"/>
      <c r="H713" s="223"/>
      <c r="I713" s="684"/>
      <c r="J713"/>
      <c r="K713"/>
      <c r="L713"/>
      <c r="M713"/>
      <c r="N713"/>
      <c r="O713"/>
      <c r="P713"/>
      <c r="Q713"/>
      <c r="R713"/>
      <c r="S713"/>
      <c r="T713"/>
      <c r="U713"/>
      <c r="X713"/>
      <c r="AB713"/>
      <c r="AC713"/>
      <c r="AF713" s="326">
        <f>IF(AND(S.Notice.Involved="Y",S.Hearing.1stInvolve="Y",S.Hearing.6thInvolve="Y"),1,0)</f>
        <v>0</v>
      </c>
      <c r="AG713" s="59"/>
      <c r="AH713" s="58"/>
      <c r="AI713" s="58"/>
      <c r="AJ713" s="44"/>
      <c r="AK713" s="58" t="s">
        <v>0</v>
      </c>
      <c r="AL713" s="76"/>
    </row>
    <row r="714" spans="1:39" ht="14.1" hidden="1" customHeight="1" outlineLevel="2" x14ac:dyDescent="0.2">
      <c r="A714" s="144"/>
      <c r="B714" s="240" t="str">
        <f t="shared" si="128"/>
        <v>7. Enter city name hearing</v>
      </c>
      <c r="C714" s="484" t="s">
        <v>0</v>
      </c>
      <c r="D714" s="644"/>
      <c r="E714" s="644"/>
      <c r="F714"/>
      <c r="G714"/>
      <c r="H714" s="274">
        <f t="shared" si="129"/>
        <v>0</v>
      </c>
      <c r="I714" s="684"/>
      <c r="AF714" s="326">
        <f>IF(AND(S.Notice.Involved="Y",S.Hearing.1stInvolve="Y",S.Hearing.7thInvolve="Y"),1,0)</f>
        <v>0</v>
      </c>
      <c r="AG714" s="59"/>
      <c r="AH714" s="60">
        <f>IF(S.Hearing.2ndInvolve="N",,S.Hearing.7thDate)</f>
        <v>0</v>
      </c>
      <c r="AI714" s="59"/>
      <c r="AJ714" s="59"/>
      <c r="AK714" s="67" t="str">
        <f>"7. "&amp;S.Hearing.7thCity&amp;" hearing"</f>
        <v>7. Enter city name hearing</v>
      </c>
      <c r="AL714" s="76"/>
      <c r="AM714"/>
    </row>
    <row r="715" spans="1:39" s="23" customFormat="1" ht="14.1" hidden="1" customHeight="1" outlineLevel="2" x14ac:dyDescent="0.2">
      <c r="A715" s="144"/>
      <c r="B715" s="416" t="s">
        <v>185</v>
      </c>
      <c r="C715" s="233"/>
      <c r="D715" s="644"/>
      <c r="E715" s="644"/>
      <c r="F715"/>
      <c r="G715"/>
      <c r="H715" s="223"/>
      <c r="I715" s="684"/>
      <c r="J715"/>
      <c r="K715"/>
      <c r="L715"/>
      <c r="M715"/>
      <c r="N715"/>
      <c r="O715"/>
      <c r="P715"/>
      <c r="Q715"/>
      <c r="R715"/>
      <c r="S715"/>
      <c r="T715"/>
      <c r="U715"/>
      <c r="X715"/>
      <c r="AB715"/>
      <c r="AC715"/>
      <c r="AF715" s="326">
        <f>IF(AND(S.Notice.Involved="Y",S.Hearing.1stInvolve="Y",S.Hearing.7thInvolve="Y"),1,0)</f>
        <v>0</v>
      </c>
      <c r="AG715" s="59"/>
      <c r="AH715" s="58"/>
      <c r="AI715" s="58"/>
      <c r="AJ715" s="44"/>
      <c r="AK715" s="58" t="s">
        <v>0</v>
      </c>
      <c r="AL715" s="76"/>
    </row>
    <row r="716" spans="1:39" ht="14.1" hidden="1" customHeight="1" outlineLevel="2" x14ac:dyDescent="0.2">
      <c r="A716" s="144"/>
      <c r="B716" s="240" t="str">
        <f t="shared" si="128"/>
        <v>8. Enter city name hearing</v>
      </c>
      <c r="C716" s="484" t="s">
        <v>0</v>
      </c>
      <c r="D716" s="644"/>
      <c r="E716" s="644"/>
      <c r="F716"/>
      <c r="G716"/>
      <c r="H716" s="274">
        <f t="shared" si="129"/>
        <v>0</v>
      </c>
      <c r="I716" s="684"/>
      <c r="AF716" s="326">
        <f>IF(AND(S.Notice.Involved="Y",S.Hearing.1stInvolve="Y",S.Hearing.8thtInvolve="Y"),1,0)</f>
        <v>0</v>
      </c>
      <c r="AG716" s="59"/>
      <c r="AH716" s="60">
        <f>IF(S.Hearing.8thtInvolve="N",,S.Notice.LastHearingDate)</f>
        <v>0</v>
      </c>
      <c r="AI716" s="70"/>
      <c r="AJ716" s="44"/>
      <c r="AK716" s="67" t="str">
        <f>"8. "&amp;S.Hearing.8thCity&amp;" hearing"</f>
        <v>8. Enter city name hearing</v>
      </c>
      <c r="AL716" s="76"/>
      <c r="AM716"/>
    </row>
    <row r="717" spans="1:39" s="23" customFormat="1" ht="14.1" hidden="1" customHeight="1" outlineLevel="2" x14ac:dyDescent="0.2">
      <c r="A717" s="144"/>
      <c r="B717" s="416" t="s">
        <v>186</v>
      </c>
      <c r="C717" s="233"/>
      <c r="D717" s="243"/>
      <c r="E717" s="243"/>
      <c r="F717" s="227"/>
      <c r="G717" s="223"/>
      <c r="H717" s="223"/>
      <c r="I717" s="684"/>
      <c r="J717"/>
      <c r="K717"/>
      <c r="L717"/>
      <c r="M717"/>
      <c r="N717"/>
      <c r="O717"/>
      <c r="P717"/>
      <c r="Q717"/>
      <c r="R717"/>
      <c r="S717"/>
      <c r="T717"/>
      <c r="U717"/>
      <c r="X717"/>
      <c r="AB717"/>
      <c r="AC717"/>
      <c r="AF717" s="326">
        <f>IF(AND(S.Notice.Involved="Y",S.Hearing.1stInvolve="Y",S.Hearing.8thtInvolve="Y"),1,0)</f>
        <v>0</v>
      </c>
      <c r="AG717" s="58"/>
      <c r="AH717" s="58"/>
      <c r="AI717" s="58"/>
      <c r="AJ717" s="44"/>
      <c r="AK717" s="58" t="s">
        <v>0</v>
      </c>
      <c r="AL717" s="76"/>
    </row>
    <row r="718" spans="1:39" s="23" customFormat="1" ht="14.1" customHeight="1" outlineLevel="1" collapsed="1" x14ac:dyDescent="0.2">
      <c r="A718" s="144"/>
      <c r="B718" s="195" t="str">
        <f>AK718</f>
        <v>Jill, for comments not received through online form:</v>
      </c>
      <c r="C718" s="271"/>
      <c r="D718" s="248"/>
      <c r="E718" s="248"/>
      <c r="F718" s="220">
        <f t="shared" ref="F718" si="130">NETWORKDAYS(G718,H718,S.DDL_DEQClosed)</f>
        <v>135</v>
      </c>
      <c r="G718" s="264">
        <f t="shared" ref="G718" si="131">AG718</f>
        <v>41836</v>
      </c>
      <c r="H718" s="264">
        <f t="shared" ref="H718" si="132">AH718</f>
        <v>42032</v>
      </c>
      <c r="I718" s="684"/>
      <c r="J718"/>
      <c r="K718"/>
      <c r="L718"/>
      <c r="M718"/>
      <c r="N718"/>
      <c r="O718"/>
      <c r="P718"/>
      <c r="Q718"/>
      <c r="R718"/>
      <c r="S718"/>
      <c r="T718"/>
      <c r="U718"/>
      <c r="X718"/>
      <c r="AB718"/>
      <c r="AC718"/>
      <c r="AF718" s="326">
        <f>IF(S.Notice.Involved="Y",1,0)</f>
        <v>1</v>
      </c>
      <c r="AG718" s="60">
        <f>IF(AF718=0,,S.Notice.LastHearingDate)</f>
        <v>41836</v>
      </c>
      <c r="AH718" s="60">
        <f>S.Hearing.BANNER.End</f>
        <v>42032</v>
      </c>
      <c r="AI718" s="59"/>
      <c r="AJ718" s="59"/>
      <c r="AK718" s="67" t="str">
        <f>S.Staff.Support&amp;", for comments not received through online form:"</f>
        <v>Jill, for comments not received through online form:</v>
      </c>
      <c r="AL718" s="76"/>
    </row>
    <row r="719" spans="1:39" s="23" customFormat="1" ht="14.1" customHeight="1" outlineLevel="1" x14ac:dyDescent="0.2">
      <c r="A719" s="144"/>
      <c r="B719" s="367" t="s">
        <v>153</v>
      </c>
      <c r="C719" s="484" t="s">
        <v>0</v>
      </c>
      <c r="D719" s="248"/>
      <c r="E719" s="689"/>
      <c r="F719"/>
      <c r="G719"/>
      <c r="H719"/>
      <c r="I719" s="684"/>
      <c r="J719"/>
      <c r="K719"/>
      <c r="L719"/>
      <c r="M719"/>
      <c r="N719"/>
      <c r="O719"/>
      <c r="P719"/>
      <c r="Q719"/>
      <c r="R719"/>
      <c r="S719"/>
      <c r="T719"/>
      <c r="U719"/>
      <c r="X719"/>
      <c r="AB719"/>
      <c r="AC719"/>
      <c r="AF719" s="326">
        <f>IF(AND(S.Notice.Involved="Y",S.Hearing.1stInvolve="Y"),1,0)</f>
        <v>1</v>
      </c>
      <c r="AG719" s="59"/>
      <c r="AH719" s="59"/>
      <c r="AI719" s="59"/>
      <c r="AJ719" s="61"/>
      <c r="AK719" s="152"/>
      <c r="AL719" s="76"/>
    </row>
    <row r="720" spans="1:39" s="23" customFormat="1" ht="14.1" customHeight="1" outlineLevel="1" x14ac:dyDescent="0.2">
      <c r="A720" s="144"/>
      <c r="B720" s="234" t="s">
        <v>86</v>
      </c>
      <c r="C720" s="484" t="s">
        <v>0</v>
      </c>
      <c r="D720" s="248"/>
      <c r="E720" s="689"/>
      <c r="F720"/>
      <c r="G720"/>
      <c r="H720"/>
      <c r="I720" s="684"/>
      <c r="J720"/>
      <c r="K720"/>
      <c r="L720"/>
      <c r="M720"/>
      <c r="N720"/>
      <c r="O720"/>
      <c r="P720"/>
      <c r="Q720"/>
      <c r="R720"/>
      <c r="S720"/>
      <c r="T720"/>
      <c r="U720"/>
      <c r="X720"/>
      <c r="AB720"/>
      <c r="AC720"/>
      <c r="AF720" s="326">
        <f>IF(AND(S.Notice.Involved="Y",S.Hearing.1stInvolve="Y"),1,0)</f>
        <v>1</v>
      </c>
      <c r="AG720" s="59"/>
      <c r="AH720" s="59"/>
      <c r="AI720" s="59"/>
      <c r="AJ720" s="61"/>
      <c r="AK720" s="152"/>
      <c r="AL720" s="76"/>
    </row>
    <row r="721" spans="1:39" ht="14.1" customHeight="1" outlineLevel="1" x14ac:dyDescent="0.2">
      <c r="A721" s="144"/>
      <c r="B721" s="368" t="s">
        <v>154</v>
      </c>
      <c r="C721" s="484" t="s">
        <v>0</v>
      </c>
      <c r="D721" s="248"/>
      <c r="E721" s="689"/>
      <c r="F721"/>
      <c r="G721"/>
      <c r="H721"/>
      <c r="I721" s="684"/>
      <c r="AF721" s="326">
        <f>IF(S.Notice.Involved="Y",1,0)</f>
        <v>1</v>
      </c>
      <c r="AG721" s="59"/>
      <c r="AH721" s="59"/>
      <c r="AI721" s="59"/>
      <c r="AJ721" s="61"/>
      <c r="AK721" s="152"/>
      <c r="AL721" s="76"/>
      <c r="AM721"/>
    </row>
    <row r="722" spans="1:39" ht="14.1" customHeight="1" outlineLevel="1" x14ac:dyDescent="0.2">
      <c r="A722" s="144"/>
      <c r="B722" s="809" t="s">
        <v>0</v>
      </c>
      <c r="C722" s="809"/>
      <c r="D722" s="1013" t="s">
        <v>603</v>
      </c>
      <c r="E722" s="1013"/>
      <c r="F722" s="1013"/>
      <c r="G722" s="1014"/>
      <c r="H722" s="353">
        <f>AH722</f>
        <v>41897</v>
      </c>
      <c r="I722" s="684"/>
      <c r="AF722" s="326">
        <f>IF(S.Notice.Involved="Y",1,0)</f>
        <v>1</v>
      </c>
      <c r="AG722" s="59"/>
      <c r="AH722" s="60">
        <f>S.Notice.CloseComment</f>
        <v>41897</v>
      </c>
      <c r="AI722" s="59"/>
      <c r="AJ722" s="61"/>
      <c r="AK722" s="44"/>
      <c r="AL722" s="76"/>
      <c r="AM722"/>
    </row>
    <row r="723" spans="1:39" s="23" customFormat="1" ht="14.1" customHeight="1" outlineLevel="1" x14ac:dyDescent="0.2">
      <c r="A723" s="144"/>
      <c r="B723" s="255" t="str">
        <f>AK723</f>
        <v>Jill:</v>
      </c>
      <c r="C723" s="223"/>
      <c r="D723" s="248"/>
      <c r="E723"/>
      <c r="F723" s="220">
        <f>NETWORKDAYS(G723,H723,S.DDL_DEQClosed)</f>
        <v>43</v>
      </c>
      <c r="G723" s="264">
        <f>AG723</f>
        <v>41836</v>
      </c>
      <c r="H723" s="264">
        <f>AH723</f>
        <v>41897</v>
      </c>
      <c r="I723" s="684"/>
      <c r="J723"/>
      <c r="K723"/>
      <c r="L723"/>
      <c r="M723"/>
      <c r="N723"/>
      <c r="O723"/>
      <c r="P723"/>
      <c r="Q723"/>
      <c r="R723"/>
      <c r="S723"/>
      <c r="T723"/>
      <c r="U723"/>
      <c r="X723"/>
      <c r="AB723"/>
      <c r="AC723"/>
      <c r="AF723" s="326">
        <f>IF(S.Notice.Involved="Y",1,0)</f>
        <v>1</v>
      </c>
      <c r="AG723" s="60">
        <f>IF(AF723=0,,S.Notice.LastHearingDate)</f>
        <v>41836</v>
      </c>
      <c r="AH723" s="60">
        <f>S.Notice.CloseComment</f>
        <v>41897</v>
      </c>
      <c r="AI723" s="59"/>
      <c r="AJ723" s="59"/>
      <c r="AK723" s="67" t="str">
        <f>S.Staff.Subject.Expert.FirstName&amp;":"</f>
        <v>Jill:</v>
      </c>
      <c r="AL723" s="76"/>
    </row>
    <row r="724" spans="1:39" ht="14.1" customHeight="1" outlineLevel="1" x14ac:dyDescent="0.2">
      <c r="A724" s="144"/>
      <c r="B724" s="234" t="s">
        <v>105</v>
      </c>
      <c r="C724" s="484" t="s">
        <v>0</v>
      </c>
      <c r="D724" s="248"/>
      <c r="E724" s="689"/>
      <c r="F724"/>
      <c r="G724"/>
      <c r="H724"/>
      <c r="I724" s="684"/>
      <c r="AF724" s="326">
        <f>IF(AND(S.Notice.Involved="Y",S.Hearing.1stInvolve="Y"),1,0)</f>
        <v>1</v>
      </c>
      <c r="AG724" s="58"/>
      <c r="AH724" s="58"/>
      <c r="AI724" s="59"/>
      <c r="AJ724" s="61"/>
      <c r="AK724" s="44"/>
      <c r="AL724" s="76"/>
      <c r="AM724"/>
    </row>
    <row r="725" spans="1:39" s="23" customFormat="1" ht="14.1" customHeight="1" outlineLevel="1" x14ac:dyDescent="0.2">
      <c r="A725" s="144"/>
      <c r="B725" s="234" t="s">
        <v>106</v>
      </c>
      <c r="C725" s="271"/>
      <c r="D725" s="657"/>
      <c r="E725" s="657"/>
      <c r="F725"/>
      <c r="G725"/>
      <c r="H725"/>
      <c r="I725" s="684"/>
      <c r="J725"/>
      <c r="K725"/>
      <c r="L725"/>
      <c r="M725"/>
      <c r="N725"/>
      <c r="O725"/>
      <c r="P725"/>
      <c r="Q725"/>
      <c r="R725"/>
      <c r="S725"/>
      <c r="T725"/>
      <c r="U725"/>
      <c r="X725"/>
      <c r="AB725"/>
      <c r="AC725"/>
      <c r="AF725" s="326">
        <f>IF(S.Notice.Involved="Y",1,0)</f>
        <v>1</v>
      </c>
      <c r="AG725" s="58"/>
      <c r="AH725" s="58"/>
      <c r="AI725" s="59"/>
      <c r="AJ725" s="59"/>
      <c r="AK725" s="44"/>
      <c r="AL725" s="76"/>
    </row>
    <row r="726" spans="1:39" s="23" customFormat="1" ht="14.1" customHeight="1" outlineLevel="1" x14ac:dyDescent="0.2">
      <c r="A726" s="144"/>
      <c r="B726" s="369" t="s">
        <v>102</v>
      </c>
      <c r="C726" s="484" t="s">
        <v>0</v>
      </c>
      <c r="D726" s="248"/>
      <c r="E726" s="689"/>
      <c r="F726"/>
      <c r="G726"/>
      <c r="H726"/>
      <c r="I726" s="684"/>
      <c r="J726"/>
      <c r="K726"/>
      <c r="L726"/>
      <c r="M726"/>
      <c r="N726"/>
      <c r="O726"/>
      <c r="P726"/>
      <c r="Q726"/>
      <c r="R726"/>
      <c r="S726"/>
      <c r="T726"/>
      <c r="U726"/>
      <c r="X726"/>
      <c r="AB726"/>
      <c r="AC726"/>
      <c r="AF726" s="326">
        <f>IF(AND(S.Notice.Involved="Y",S.Hearing.1stInvolve="Y"),1,0)</f>
        <v>1</v>
      </c>
      <c r="AG726" s="58"/>
      <c r="AH726" s="58"/>
      <c r="AI726" s="59"/>
      <c r="AJ726" s="61"/>
      <c r="AK726" s="44"/>
      <c r="AL726" s="76"/>
    </row>
    <row r="727" spans="1:39" s="23" customFormat="1" ht="14.1" customHeight="1" outlineLevel="1" x14ac:dyDescent="0.2">
      <c r="A727" s="144"/>
      <c r="B727" s="370" t="s">
        <v>103</v>
      </c>
      <c r="C727" s="484" t="s">
        <v>0</v>
      </c>
      <c r="D727" s="248"/>
      <c r="E727" s="689"/>
      <c r="F727"/>
      <c r="G727"/>
      <c r="H727"/>
      <c r="I727" s="684"/>
      <c r="J727"/>
      <c r="K727"/>
      <c r="L727"/>
      <c r="M727"/>
      <c r="N727"/>
      <c r="O727"/>
      <c r="P727"/>
      <c r="Q727"/>
      <c r="R727"/>
      <c r="S727"/>
      <c r="T727"/>
      <c r="U727"/>
      <c r="X727"/>
      <c r="AB727"/>
      <c r="AC727"/>
      <c r="AF727" s="326">
        <f>IF(AND(S.Notice.Involved="Y",S.Hearing.1stInvolve="Y"),1,0)</f>
        <v>1</v>
      </c>
      <c r="AG727" s="58"/>
      <c r="AH727" s="58"/>
      <c r="AI727" s="59"/>
      <c r="AJ727" s="61"/>
      <c r="AK727" s="44"/>
      <c r="AL727" s="76"/>
    </row>
    <row r="728" spans="1:39" s="23" customFormat="1" ht="14.1" customHeight="1" outlineLevel="1" x14ac:dyDescent="0.2">
      <c r="A728" s="144"/>
      <c r="B728" s="371" t="s">
        <v>104</v>
      </c>
      <c r="C728" s="484" t="s">
        <v>0</v>
      </c>
      <c r="D728" s="248"/>
      <c r="E728" s="689"/>
      <c r="F728"/>
      <c r="G728"/>
      <c r="H728"/>
      <c r="I728" s="684"/>
      <c r="J728"/>
      <c r="K728"/>
      <c r="L728"/>
      <c r="M728"/>
      <c r="N728"/>
      <c r="O728"/>
      <c r="P728"/>
      <c r="Q728"/>
      <c r="R728"/>
      <c r="S728"/>
      <c r="T728"/>
      <c r="U728"/>
      <c r="X728"/>
      <c r="AB728"/>
      <c r="AC728"/>
      <c r="AF728" s="326">
        <f>IF(S.Notice.Involved="Y",1,0)</f>
        <v>1</v>
      </c>
      <c r="AG728" s="58"/>
      <c r="AH728" s="58"/>
      <c r="AI728" s="59"/>
      <c r="AJ728" s="62"/>
      <c r="AK728" s="44"/>
      <c r="AL728" s="76"/>
    </row>
    <row r="729" spans="1:39" ht="14.1" customHeight="1" outlineLevel="1" x14ac:dyDescent="0.2">
      <c r="A729" s="144"/>
      <c r="B729" s="190" t="s">
        <v>195</v>
      </c>
      <c r="C729" s="484" t="s">
        <v>0</v>
      </c>
      <c r="D729" s="248"/>
      <c r="E729" s="689"/>
      <c r="F729"/>
      <c r="G729"/>
      <c r="H729"/>
      <c r="I729" s="684"/>
      <c r="AF729" s="326">
        <f>IF(S.Notice.Involved="Y",1,0)</f>
        <v>1</v>
      </c>
      <c r="AG729" s="58"/>
      <c r="AH729" s="58"/>
      <c r="AI729" s="59"/>
      <c r="AJ729" s="44"/>
      <c r="AK729" s="44"/>
      <c r="AL729" s="76"/>
      <c r="AM729"/>
    </row>
    <row r="730" spans="1:39" s="23" customFormat="1" ht="33.75" customHeight="1" outlineLevel="1" x14ac:dyDescent="0.2">
      <c r="A730" s="144"/>
      <c r="B730" s="810" t="s">
        <v>723</v>
      </c>
      <c r="C730" s="481"/>
      <c r="D730" s="266"/>
      <c r="E730" s="266"/>
      <c r="F730" s="227"/>
      <c r="G730" s="265"/>
      <c r="H730" s="265"/>
      <c r="I730" s="684"/>
      <c r="J730"/>
      <c r="K730"/>
      <c r="L730"/>
      <c r="M730"/>
      <c r="N730"/>
      <c r="O730"/>
      <c r="P730"/>
      <c r="Q730"/>
      <c r="R730"/>
      <c r="S730"/>
      <c r="T730"/>
      <c r="U730"/>
      <c r="X730"/>
      <c r="AB730"/>
      <c r="AC730"/>
      <c r="AF730" s="326">
        <f>IF(S.Notice.Involved="Y",1,0)</f>
        <v>1</v>
      </c>
      <c r="AG730" s="58"/>
      <c r="AH730" s="58"/>
      <c r="AI730" s="59"/>
      <c r="AJ730" s="59"/>
      <c r="AK730" s="44"/>
      <c r="AL730" s="76"/>
    </row>
    <row r="731" spans="1:39" s="23" customFormat="1" ht="14.1" customHeight="1" outlineLevel="1" x14ac:dyDescent="0.2">
      <c r="A731" s="144"/>
      <c r="B731" s="468" t="str">
        <f>AK731</f>
        <v>Jill asks Maggie for Rule Publication work</v>
      </c>
      <c r="C731" s="900" t="s">
        <v>37</v>
      </c>
      <c r="D731" s="248"/>
      <c r="E731" s="828"/>
      <c r="F731" s="811" t="s">
        <v>0</v>
      </c>
      <c r="G731" s="812"/>
      <c r="H731" s="264">
        <f t="shared" ref="H731" si="133">AH731</f>
        <v>41898</v>
      </c>
      <c r="I731" s="684"/>
      <c r="J731"/>
      <c r="K731"/>
      <c r="L731"/>
      <c r="M731"/>
      <c r="N731"/>
      <c r="O731"/>
      <c r="P731"/>
      <c r="Q731"/>
      <c r="R731"/>
      <c r="S731"/>
      <c r="T731"/>
      <c r="U731"/>
      <c r="X731"/>
      <c r="AB731"/>
      <c r="AC731"/>
      <c r="AF731" s="326">
        <f t="shared" ref="AF731:AF739" si="134">IF(S.Notice.Involved="Y",1,0)</f>
        <v>1</v>
      </c>
      <c r="AG731" s="58"/>
      <c r="AH731" s="60">
        <f>WORKDAY(H723,1,S.DDL_DEQClosed)</f>
        <v>41898</v>
      </c>
      <c r="AI731" s="59"/>
      <c r="AJ731" s="59"/>
      <c r="AK731" s="67" t="str">
        <f>S.Staff.Subject.Expert.FirstName&amp;" asks "&amp;S.Staff.AgencyRulesCoordinator&amp;" for Rule Publication work"</f>
        <v>Jill asks Maggie for Rule Publication work</v>
      </c>
      <c r="AL731" s="76"/>
    </row>
    <row r="732" spans="1:39" s="23" customFormat="1" ht="14.1" customHeight="1" outlineLevel="1" x14ac:dyDescent="0.2">
      <c r="A732" s="144" t="s">
        <v>0</v>
      </c>
      <c r="B732" s="468" t="str">
        <f>AK732</f>
        <v>Maggie coordinates Rule Publication work:</v>
      </c>
      <c r="C732" s="286"/>
      <c r="D732" s="248"/>
      <c r="E732" s="689"/>
      <c r="F732"/>
      <c r="G732" s="428">
        <f t="shared" ref="G732" si="135">AG732</f>
        <v>41898</v>
      </c>
      <c r="H732" s="428">
        <f t="shared" ref="H732" si="136">AH732</f>
        <v>41898</v>
      </c>
      <c r="I732" s="684"/>
      <c r="J732"/>
      <c r="K732"/>
      <c r="L732"/>
      <c r="M732"/>
      <c r="N732"/>
      <c r="O732"/>
      <c r="P732"/>
      <c r="Q732"/>
      <c r="R732"/>
      <c r="S732"/>
      <c r="T732"/>
      <c r="U732"/>
      <c r="X732"/>
      <c r="AB732"/>
      <c r="AC732"/>
      <c r="AF732" s="326">
        <f t="shared" si="134"/>
        <v>1</v>
      </c>
      <c r="AG732" s="60">
        <f>IF(AF732=0,,H731)</f>
        <v>41898</v>
      </c>
      <c r="AH732" s="60">
        <f>G732</f>
        <v>41898</v>
      </c>
      <c r="AI732" s="59"/>
      <c r="AJ732" s="59"/>
      <c r="AK732" s="67" t="str">
        <f>S.Staff.AgencyRulesCoordinator&amp;" coordinates Rule Publication work:"</f>
        <v>Maggie coordinates Rule Publication work:</v>
      </c>
      <c r="AL732" s="76"/>
    </row>
    <row r="733" spans="1:39" s="23" customFormat="1" ht="14.1" customHeight="1" outlineLevel="1" x14ac:dyDescent="0.2">
      <c r="A733" s="144"/>
      <c r="B733" s="263" t="s">
        <v>197</v>
      </c>
      <c r="C733" s="484" t="s">
        <v>0</v>
      </c>
      <c r="D733" s="644"/>
      <c r="E733" s="644"/>
      <c r="F733"/>
      <c r="I733" s="684"/>
      <c r="J733"/>
      <c r="K733"/>
      <c r="L733"/>
      <c r="M733"/>
      <c r="N733"/>
      <c r="O733"/>
      <c r="P733"/>
      <c r="Q733"/>
      <c r="R733"/>
      <c r="S733"/>
      <c r="T733"/>
      <c r="U733"/>
      <c r="X733"/>
      <c r="AB733"/>
      <c r="AC733"/>
      <c r="AF733" s="326">
        <f t="shared" si="134"/>
        <v>1</v>
      </c>
      <c r="AG733" s="59"/>
      <c r="AH733" s="59"/>
      <c r="AI733" s="59"/>
      <c r="AJ733" s="59"/>
      <c r="AK733" s="74"/>
      <c r="AL733" s="76"/>
    </row>
    <row r="734" spans="1:39" s="23" customFormat="1" ht="14.1" customHeight="1" outlineLevel="1" x14ac:dyDescent="0.2">
      <c r="A734" s="144"/>
      <c r="B734" s="469" t="s">
        <v>196</v>
      </c>
      <c r="C734" s="484" t="s">
        <v>0</v>
      </c>
      <c r="D734" s="644"/>
      <c r="E734" s="644"/>
      <c r="F734"/>
      <c r="I734" s="684"/>
      <c r="J734"/>
      <c r="K734"/>
      <c r="L734"/>
      <c r="M734"/>
      <c r="N734"/>
      <c r="O734"/>
      <c r="P734"/>
      <c r="Q734"/>
      <c r="R734"/>
      <c r="S734"/>
      <c r="T734"/>
      <c r="U734"/>
      <c r="X734"/>
      <c r="AB734"/>
      <c r="AC734"/>
      <c r="AF734" s="326">
        <f t="shared" si="134"/>
        <v>1</v>
      </c>
      <c r="AG734" s="59"/>
      <c r="AH734" s="59"/>
      <c r="AI734" s="59"/>
      <c r="AJ734" s="59"/>
      <c r="AK734" s="74"/>
      <c r="AL734" s="76"/>
    </row>
    <row r="735" spans="1:39" s="23" customFormat="1" ht="14.1" customHeight="1" outlineLevel="1" x14ac:dyDescent="0.2">
      <c r="A735" s="144" t="s">
        <v>0</v>
      </c>
      <c r="B735" s="470" t="str">
        <f>AK735</f>
        <v>* contacts Jill with questions, clarifications and suggestions</v>
      </c>
      <c r="C735" s="484" t="s">
        <v>0</v>
      </c>
      <c r="D735" s="644"/>
      <c r="E735" s="644"/>
      <c r="F735"/>
      <c r="I735" s="684"/>
      <c r="J735"/>
      <c r="K735"/>
      <c r="L735"/>
      <c r="M735"/>
      <c r="N735"/>
      <c r="O735"/>
      <c r="P735"/>
      <c r="Q735"/>
      <c r="R735"/>
      <c r="S735"/>
      <c r="T735"/>
      <c r="U735"/>
      <c r="X735"/>
      <c r="AB735"/>
      <c r="AC735"/>
      <c r="AF735" s="326">
        <f t="shared" si="134"/>
        <v>1</v>
      </c>
      <c r="AG735" s="59"/>
      <c r="AH735" s="59"/>
      <c r="AI735" s="59"/>
      <c r="AJ735" s="59"/>
      <c r="AK735" s="169" t="str">
        <f>"* contacts "&amp;S.Staff.Subject.Expert.FirstName&amp;" with questions, clarifications and suggestions"</f>
        <v>* contacts Jill with questions, clarifications and suggestions</v>
      </c>
      <c r="AL735" s="76"/>
    </row>
    <row r="736" spans="1:39" s="23" customFormat="1" ht="14.1" customHeight="1" outlineLevel="1" x14ac:dyDescent="0.2">
      <c r="A736" s="144" t="s">
        <v>0</v>
      </c>
      <c r="B736" s="470" t="str">
        <f>AK736</f>
        <v>* notifies Jill when complete</v>
      </c>
      <c r="C736" s="484" t="s">
        <v>0</v>
      </c>
      <c r="D736" s="644"/>
      <c r="E736" s="644"/>
      <c r="F736"/>
      <c r="I736" s="684"/>
      <c r="J736"/>
      <c r="K736"/>
      <c r="L736"/>
      <c r="M736"/>
      <c r="N736"/>
      <c r="O736"/>
      <c r="P736"/>
      <c r="Q736"/>
      <c r="R736"/>
      <c r="S736"/>
      <c r="T736"/>
      <c r="U736"/>
      <c r="X736"/>
      <c r="AB736"/>
      <c r="AC736"/>
      <c r="AF736" s="326">
        <f t="shared" si="134"/>
        <v>1</v>
      </c>
      <c r="AG736" s="59"/>
      <c r="AH736" s="59"/>
      <c r="AI736" s="59"/>
      <c r="AJ736" s="59"/>
      <c r="AK736" s="169" t="str">
        <f>"* notifies "&amp;S.Staff.Subject.Expert.FirstName&amp;" when complete"</f>
        <v>* notifies Jill when complete</v>
      </c>
      <c r="AL736" s="76"/>
    </row>
    <row r="737" spans="1:39" s="23" customFormat="1" ht="14.1" customHeight="1" outlineLevel="1" x14ac:dyDescent="0.2">
      <c r="A737" s="144"/>
      <c r="B737" s="232" t="str">
        <f>AK737</f>
        <v>Jill:</v>
      </c>
      <c r="C737" s="233"/>
      <c r="D737" s="233"/>
      <c r="E737" s="233"/>
      <c r="F737"/>
      <c r="G737" s="223"/>
      <c r="H737" s="223"/>
      <c r="I737" s="684"/>
      <c r="J737"/>
      <c r="K737"/>
      <c r="L737"/>
      <c r="M737"/>
      <c r="N737"/>
      <c r="O737"/>
      <c r="P737"/>
      <c r="Q737"/>
      <c r="R737"/>
      <c r="S737"/>
      <c r="T737"/>
      <c r="U737"/>
      <c r="X737"/>
      <c r="AB737"/>
      <c r="AC737"/>
      <c r="AF737" s="326">
        <f t="shared" si="134"/>
        <v>1</v>
      </c>
      <c r="AG737" s="58"/>
      <c r="AH737" s="58"/>
      <c r="AI737" s="58"/>
      <c r="AJ737" s="44"/>
      <c r="AK737" s="169" t="str">
        <f>S.Staff.Subject.Expert.FirstName&amp;":"</f>
        <v>Jill:</v>
      </c>
      <c r="AL737" s="76"/>
    </row>
    <row r="738" spans="1:39" s="23" customFormat="1" ht="14.1" customHeight="1" outlineLevel="1" x14ac:dyDescent="0.2">
      <c r="A738" s="144"/>
      <c r="B738" s="234" t="str">
        <f>AK738</f>
        <v>* shares comments/responses to comments with Leah &amp; Lydia</v>
      </c>
      <c r="C738" s="233"/>
      <c r="D738" s="248"/>
      <c r="E738" s="689"/>
      <c r="F738"/>
      <c r="G738" s="223"/>
      <c r="H738" s="264">
        <f t="shared" ref="H738:H742" si="137">AH738</f>
        <v>41898</v>
      </c>
      <c r="I738" s="684"/>
      <c r="J738"/>
      <c r="K738"/>
      <c r="L738"/>
      <c r="M738"/>
      <c r="N738"/>
      <c r="O738"/>
      <c r="P738"/>
      <c r="Q738"/>
      <c r="R738"/>
      <c r="S738"/>
      <c r="T738"/>
      <c r="U738"/>
      <c r="X738"/>
      <c r="AB738"/>
      <c r="AC738"/>
      <c r="AF738" s="326">
        <f t="shared" si="134"/>
        <v>1</v>
      </c>
      <c r="AG738" s="58"/>
      <c r="AH738" s="60">
        <f>H732</f>
        <v>41898</v>
      </c>
      <c r="AI738" s="58"/>
      <c r="AJ738" s="44"/>
      <c r="AK738" s="169" t="str">
        <f>"* shares comments/responses to comments with "&amp;S.Staff.Program.Mgr.FirstName&amp;" &amp; "&amp;S.Staff.Assistant.DA.ShortName</f>
        <v>* shares comments/responses to comments with Leah &amp; Lydia</v>
      </c>
      <c r="AL738" s="76"/>
    </row>
    <row r="739" spans="1:39" ht="14.1" customHeight="1" outlineLevel="1" thickBot="1" x14ac:dyDescent="0.25">
      <c r="A739" s="144"/>
      <c r="B739" s="427" t="s">
        <v>198</v>
      </c>
      <c r="C739" s="481"/>
      <c r="D739" s="248"/>
      <c r="E739" s="689"/>
      <c r="F739"/>
      <c r="G739" s="264">
        <f t="shared" ref="G739:G742" si="138">AG739</f>
        <v>41898</v>
      </c>
      <c r="H739" s="264">
        <f t="shared" si="137"/>
        <v>41898</v>
      </c>
      <c r="I739" s="684"/>
      <c r="AF739" s="326">
        <f t="shared" si="134"/>
        <v>1</v>
      </c>
      <c r="AG739" s="60">
        <f>IF(AF739=0,,H738)</f>
        <v>41898</v>
      </c>
      <c r="AH739" s="60">
        <f t="shared" ref="AH739:AH742" si="139">G739</f>
        <v>41898</v>
      </c>
      <c r="AI739" s="59"/>
      <c r="AJ739" s="44"/>
      <c r="AK739" s="44"/>
      <c r="AL739" s="76"/>
      <c r="AM739"/>
    </row>
    <row r="740" spans="1:39" ht="14.1" customHeight="1" outlineLevel="1" thickBot="1" x14ac:dyDescent="0.25">
      <c r="A740" s="144"/>
      <c r="B740" s="424" t="s">
        <v>199</v>
      </c>
      <c r="C740" s="420" t="s">
        <v>134</v>
      </c>
      <c r="D740" s="248"/>
      <c r="E740" s="689"/>
      <c r="F740"/>
      <c r="G740" s="264">
        <f t="shared" si="138"/>
        <v>0</v>
      </c>
      <c r="H740" s="264">
        <f t="shared" si="137"/>
        <v>0</v>
      </c>
      <c r="I740" s="684"/>
      <c r="AF740" s="326">
        <f>IF(AND(S.Comment.ApproveResponseLoop2="Y",S.Notice.Involved="Y"),1,)</f>
        <v>0</v>
      </c>
      <c r="AG740" s="60">
        <f>IF(AF740=0,,H739)</f>
        <v>0</v>
      </c>
      <c r="AH740" s="60">
        <f t="shared" si="139"/>
        <v>0</v>
      </c>
      <c r="AI740" s="59"/>
      <c r="AJ740" s="44"/>
      <c r="AK740" s="44"/>
      <c r="AL740" s="76"/>
      <c r="AM740"/>
    </row>
    <row r="741" spans="1:39" ht="14.1" customHeight="1" outlineLevel="1" thickBot="1" x14ac:dyDescent="0.25">
      <c r="A741" s="144"/>
      <c r="B741" s="425" t="s">
        <v>200</v>
      </c>
      <c r="C741" s="420" t="s">
        <v>134</v>
      </c>
      <c r="D741" s="248"/>
      <c r="E741" s="689"/>
      <c r="F741"/>
      <c r="G741" s="264">
        <f t="shared" si="138"/>
        <v>0</v>
      </c>
      <c r="H741" s="264">
        <f t="shared" si="137"/>
        <v>0</v>
      </c>
      <c r="I741" s="684"/>
      <c r="AF741" s="326">
        <f>IF(AND(S.Comment.ApproveResponseLoop3="Y",S.Notice.Involved="Y"),1,)</f>
        <v>0</v>
      </c>
      <c r="AG741" s="60">
        <f>IF(AF741=0,,H740)</f>
        <v>0</v>
      </c>
      <c r="AH741" s="60">
        <f t="shared" si="139"/>
        <v>0</v>
      </c>
      <c r="AI741" s="59"/>
      <c r="AJ741" s="44"/>
      <c r="AK741" s="44"/>
      <c r="AL741" s="76"/>
      <c r="AM741"/>
    </row>
    <row r="742" spans="1:39" ht="14.1" customHeight="1" outlineLevel="1" thickBot="1" x14ac:dyDescent="0.25">
      <c r="A742" s="144"/>
      <c r="B742" s="426" t="s">
        <v>201</v>
      </c>
      <c r="C742" s="420" t="s">
        <v>134</v>
      </c>
      <c r="D742" s="248"/>
      <c r="E742" s="689"/>
      <c r="F742"/>
      <c r="G742" s="264">
        <f t="shared" si="138"/>
        <v>0</v>
      </c>
      <c r="H742" s="264">
        <f t="shared" si="137"/>
        <v>0</v>
      </c>
      <c r="I742" s="684"/>
      <c r="AF742" s="326">
        <f>IF(AND(S.Comment.ApproveResponseLoop4="Y",S.Notice.Involved="Y"),1,)</f>
        <v>0</v>
      </c>
      <c r="AG742" s="60">
        <f>IF(AF742=0,,H741)</f>
        <v>0</v>
      </c>
      <c r="AH742" s="60">
        <f t="shared" si="139"/>
        <v>0</v>
      </c>
      <c r="AI742" s="59"/>
      <c r="AJ742" s="44"/>
      <c r="AK742" s="44"/>
      <c r="AL742" s="76"/>
      <c r="AM742"/>
    </row>
    <row r="743" spans="1:39" s="23" customFormat="1" ht="14.1" customHeight="1" outlineLevel="1" x14ac:dyDescent="0.2">
      <c r="A743" s="144"/>
      <c r="B743" s="255" t="str">
        <f>AK743</f>
        <v>Jill:</v>
      </c>
      <c r="C743" s="223"/>
      <c r="D743" s="290"/>
      <c r="E743" s="290"/>
      <c r="F743"/>
      <c r="G743" s="223"/>
      <c r="H743" s="415"/>
      <c r="I743" s="684"/>
      <c r="J743"/>
      <c r="K743"/>
      <c r="L743"/>
      <c r="M743"/>
      <c r="N743"/>
      <c r="O743"/>
      <c r="P743"/>
      <c r="Q743"/>
      <c r="R743"/>
      <c r="S743"/>
      <c r="T743"/>
      <c r="U743"/>
      <c r="X743"/>
      <c r="AB743"/>
      <c r="AC743"/>
      <c r="AF743" s="326">
        <f>IF(S.Notice.Involved="Y",1,0)</f>
        <v>1</v>
      </c>
      <c r="AG743" s="58"/>
      <c r="AH743" s="58"/>
      <c r="AI743" s="59"/>
      <c r="AJ743" s="59"/>
      <c r="AK743" s="67" t="str">
        <f>S.Staff.Subject.Expert.FirstName&amp;":"</f>
        <v>Jill:</v>
      </c>
      <c r="AL743" s="76"/>
    </row>
    <row r="744" spans="1:39" s="164" customFormat="1" ht="14.1" customHeight="1" outlineLevel="1" x14ac:dyDescent="0.2">
      <c r="A744" s="354"/>
      <c r="B744" s="234" t="s">
        <v>202</v>
      </c>
      <c r="C744" s="447" t="str">
        <f>HYPERLINK("\\deqhq1\Rule_Development\Currrent Plan","i")</f>
        <v>i</v>
      </c>
      <c r="D744" s="257"/>
      <c r="E744" s="689"/>
      <c r="F744"/>
      <c r="G744" s="223"/>
      <c r="H744" s="379">
        <f>AH744</f>
        <v>41898</v>
      </c>
      <c r="I744" s="684"/>
      <c r="J744"/>
      <c r="K744"/>
      <c r="L744"/>
      <c r="M744"/>
      <c r="N744"/>
      <c r="O744"/>
      <c r="P744"/>
      <c r="Q744"/>
      <c r="R744"/>
      <c r="S744"/>
      <c r="T744"/>
      <c r="U744"/>
      <c r="V744" s="23"/>
      <c r="W744" s="23"/>
      <c r="X744"/>
      <c r="Y744" s="23"/>
      <c r="Z744" s="23"/>
      <c r="AA744" s="23"/>
      <c r="AB744"/>
      <c r="AC744"/>
      <c r="AD744" s="23"/>
      <c r="AE744" s="23"/>
      <c r="AF744" s="355">
        <f>IF(S.Notice.Involved="Y",1,0)</f>
        <v>1</v>
      </c>
      <c r="AG744" s="58"/>
      <c r="AH744" s="60">
        <f>IF(AF744=0,,MAX(H738:H742))</f>
        <v>41898</v>
      </c>
      <c r="AI744" s="356"/>
      <c r="AJ744" s="356"/>
      <c r="AK744" s="58" t="s">
        <v>0</v>
      </c>
      <c r="AL744" s="76"/>
    </row>
    <row r="745" spans="1:39" s="23" customFormat="1" ht="14.1" customHeight="1" outlineLevel="1" x14ac:dyDescent="0.2">
      <c r="A745" s="144"/>
      <c r="B745" s="234" t="s">
        <v>162</v>
      </c>
      <c r="C745" s="233"/>
      <c r="D745" s="243"/>
      <c r="E745" s="243"/>
      <c r="F745" s="227"/>
      <c r="G745" s="223"/>
      <c r="H745" s="223"/>
      <c r="I745" s="684"/>
      <c r="J745"/>
      <c r="K745"/>
      <c r="L745"/>
      <c r="M745"/>
      <c r="N745"/>
      <c r="O745"/>
      <c r="P745"/>
      <c r="Q745"/>
      <c r="R745"/>
      <c r="S745"/>
      <c r="T745"/>
      <c r="U745"/>
      <c r="X745"/>
      <c r="AB745"/>
      <c r="AC745"/>
      <c r="AF745" s="326">
        <f>IF(S.Notice.Involved="Y",1,0)</f>
        <v>1</v>
      </c>
      <c r="AG745" s="58"/>
      <c r="AH745" s="58"/>
      <c r="AI745" s="58"/>
      <c r="AJ745" s="44"/>
      <c r="AK745" s="58" t="s">
        <v>0</v>
      </c>
      <c r="AL745" s="76"/>
    </row>
    <row r="746" spans="1:39" ht="6" customHeight="1" x14ac:dyDescent="0.2">
      <c r="A746" s="144"/>
      <c r="B746" s="81"/>
      <c r="C746" s="82"/>
      <c r="D746" s="631"/>
      <c r="E746" s="631"/>
      <c r="F746" s="83"/>
      <c r="G746" s="82"/>
      <c r="H746" s="82"/>
      <c r="I746" s="684"/>
      <c r="AF746" s="326" t="s">
        <v>0</v>
      </c>
      <c r="AG746" s="47"/>
      <c r="AH746" s="47"/>
      <c r="AI746" s="59"/>
      <c r="AJ746" s="44"/>
      <c r="AK746" s="44"/>
      <c r="AL746" s="76"/>
      <c r="AM746"/>
    </row>
    <row r="747" spans="1:39" s="23" customFormat="1" ht="20.25" customHeight="1" x14ac:dyDescent="0.3">
      <c r="A747" s="144"/>
      <c r="B747" s="453" t="s">
        <v>99</v>
      </c>
      <c r="C747" s="471"/>
      <c r="D747" s="628"/>
      <c r="E747" s="804"/>
      <c r="F747" s="453"/>
      <c r="G747" s="453"/>
      <c r="H747" s="453"/>
      <c r="I747" s="684"/>
      <c r="J747"/>
      <c r="K747"/>
      <c r="L747"/>
      <c r="M747"/>
      <c r="N747"/>
      <c r="O747"/>
      <c r="P747"/>
      <c r="Q747"/>
      <c r="R747"/>
      <c r="S747"/>
      <c r="T747"/>
      <c r="U747"/>
      <c r="X747"/>
      <c r="AB747"/>
      <c r="AC747"/>
      <c r="AF747" s="326" t="s">
        <v>0</v>
      </c>
      <c r="AG747" s="76"/>
      <c r="AH747" s="76"/>
      <c r="AI747" s="59"/>
      <c r="AJ747" s="68"/>
      <c r="AK747" s="58"/>
      <c r="AL747" s="76"/>
    </row>
    <row r="748" spans="1:39" s="341" customFormat="1" ht="14.1" customHeight="1" outlineLevel="2" x14ac:dyDescent="0.2">
      <c r="A748" s="338"/>
      <c r="B748" s="397" t="s">
        <v>0</v>
      </c>
      <c r="C748" s="339" t="s">
        <v>0</v>
      </c>
      <c r="D748" s="339"/>
      <c r="E748" s="339"/>
      <c r="F748" s="347"/>
      <c r="G748" s="340" t="s">
        <v>45</v>
      </c>
      <c r="H748" s="340" t="s">
        <v>100</v>
      </c>
      <c r="I748" s="684"/>
      <c r="J748"/>
      <c r="K748"/>
      <c r="L748"/>
      <c r="M748"/>
      <c r="N748"/>
      <c r="O748"/>
      <c r="P748"/>
      <c r="Q748"/>
      <c r="R748"/>
      <c r="S748"/>
      <c r="T748"/>
      <c r="U748"/>
      <c r="V748" s="23"/>
      <c r="W748" s="23"/>
      <c r="X748"/>
      <c r="Y748" s="23"/>
      <c r="Z748" s="23"/>
      <c r="AA748" s="23"/>
      <c r="AB748"/>
      <c r="AC748"/>
      <c r="AD748" s="23"/>
      <c r="AE748" s="23"/>
      <c r="AF748" s="343" t="s">
        <v>0</v>
      </c>
      <c r="AG748" s="342"/>
      <c r="AH748" s="342"/>
      <c r="AI748" s="344"/>
      <c r="AJ748" s="345"/>
      <c r="AK748" s="346"/>
      <c r="AL748" s="342"/>
    </row>
    <row r="749" spans="1:39" ht="14.1" customHeight="1" outlineLevel="2" x14ac:dyDescent="0.25">
      <c r="A749" s="144"/>
      <c r="B749" s="112" t="s">
        <v>0</v>
      </c>
      <c r="C749" s="114"/>
      <c r="D749" s="113"/>
      <c r="E749" s="113"/>
      <c r="F749" s="124"/>
      <c r="G749" s="167">
        <f>S.Default6</f>
        <v>41897</v>
      </c>
      <c r="H749" s="125">
        <f>AH749</f>
        <v>42033</v>
      </c>
      <c r="I749" s="684"/>
      <c r="AF749" s="326" t="s">
        <v>0</v>
      </c>
      <c r="AG749" s="60">
        <v>41897</v>
      </c>
      <c r="AH749" s="60">
        <f>S.EQC.BANNER.End</f>
        <v>42033</v>
      </c>
      <c r="AI749" s="59"/>
      <c r="AJ749" s="44"/>
      <c r="AK749" s="44"/>
      <c r="AL749" s="76"/>
      <c r="AM749"/>
    </row>
    <row r="750" spans="1:39" ht="6" customHeight="1" outlineLevel="2" x14ac:dyDescent="0.2">
      <c r="A750" s="144"/>
      <c r="B750" s="105"/>
      <c r="C750" s="97"/>
      <c r="D750" s="630"/>
      <c r="E750" s="630"/>
      <c r="F750" s="98"/>
      <c r="G750" s="97"/>
      <c r="H750" s="97"/>
      <c r="I750" s="684"/>
      <c r="AF750" s="326" t="s">
        <v>0</v>
      </c>
      <c r="AG750" s="47"/>
      <c r="AH750" s="47"/>
      <c r="AI750" s="59"/>
      <c r="AJ750" s="44"/>
      <c r="AK750" s="44"/>
      <c r="AL750" s="76"/>
      <c r="AM750"/>
    </row>
    <row r="751" spans="1:39" s="23" customFormat="1" ht="14.1" customHeight="1" outlineLevel="2" x14ac:dyDescent="0.2">
      <c r="A751" s="144"/>
      <c r="B751" s="477" t="s">
        <v>234</v>
      </c>
      <c r="C751" s="447" t="str">
        <f>HYPERLINK("\\deqhq1\Rule_Resources\i\0-VersionHistory.pdf","i")</f>
        <v>i</v>
      </c>
      <c r="D751" s="631"/>
      <c r="E751" s="631"/>
      <c r="F751" s="83"/>
      <c r="G751" s="82"/>
      <c r="H751" s="82"/>
      <c r="I751" s="684"/>
      <c r="J751"/>
      <c r="K751"/>
      <c r="L751"/>
      <c r="M751"/>
      <c r="N751"/>
      <c r="O751"/>
      <c r="P751"/>
      <c r="Q751"/>
      <c r="R751"/>
      <c r="S751"/>
      <c r="T751"/>
      <c r="U751"/>
      <c r="X751"/>
      <c r="AB751"/>
      <c r="AC751"/>
      <c r="AF751" s="327" t="s">
        <v>0</v>
      </c>
      <c r="AG751" s="47"/>
      <c r="AH751" s="47"/>
      <c r="AI751" s="69"/>
      <c r="AJ751" s="69"/>
      <c r="AK751" s="35"/>
      <c r="AL751" s="76"/>
    </row>
    <row r="752" spans="1:39" s="23" customFormat="1" ht="14.1" customHeight="1" outlineLevel="2" x14ac:dyDescent="0.2">
      <c r="A752" s="144" t="s">
        <v>0</v>
      </c>
      <c r="B752" s="1062" t="str">
        <f>AK752</f>
        <v>Jill:</v>
      </c>
      <c r="C752" s="484" t="s">
        <v>0</v>
      </c>
      <c r="D752" s="658"/>
      <c r="E752" s="640"/>
      <c r="F752"/>
      <c r="G752"/>
      <c r="H752"/>
      <c r="I752" s="684"/>
      <c r="J752"/>
      <c r="K752"/>
      <c r="L752"/>
      <c r="M752"/>
      <c r="N752"/>
      <c r="O752"/>
      <c r="P752"/>
      <c r="Q752"/>
      <c r="R752"/>
      <c r="S752"/>
      <c r="T752"/>
      <c r="U752"/>
      <c r="X752"/>
      <c r="AB752"/>
      <c r="AC752"/>
      <c r="AF752" s="326">
        <v>1</v>
      </c>
      <c r="AG752" s="47"/>
      <c r="AH752" s="47"/>
      <c r="AI752" s="59"/>
      <c r="AJ752" s="44"/>
      <c r="AK752" s="67" t="str">
        <f>IF(AND(S.EQC.DirReport="N",S.EQC.InfoItem="N"),"No EQC involvement prior to Action Item meeting",S.Staff.Subject.Expert.FirstName&amp;":")</f>
        <v>Jill:</v>
      </c>
      <c r="AL752" s="76"/>
    </row>
    <row r="753" spans="1:39" s="23" customFormat="1" ht="14.1" customHeight="1" outlineLevel="2" x14ac:dyDescent="0.2">
      <c r="A753" s="144" t="s">
        <v>0</v>
      </c>
      <c r="B753" s="254" t="str">
        <f>AK753</f>
        <v>* drafts content of Director's Report to EQC</v>
      </c>
      <c r="C753" s="489" t="s">
        <v>0</v>
      </c>
      <c r="D753" s="490"/>
      <c r="E753" s="490"/>
      <c r="F753"/>
      <c r="G753" s="256">
        <f t="shared" ref="G753:G754" si="140">AG753</f>
        <v>41897</v>
      </c>
      <c r="H753" s="256">
        <f t="shared" ref="H753:H754" si="141">AH753</f>
        <v>42033</v>
      </c>
      <c r="I753" s="684"/>
      <c r="J753"/>
      <c r="K753"/>
      <c r="L753"/>
      <c r="M753"/>
      <c r="N753"/>
      <c r="O753"/>
      <c r="P753"/>
      <c r="Q753"/>
      <c r="R753"/>
      <c r="S753"/>
      <c r="T753"/>
      <c r="U753"/>
      <c r="X753"/>
      <c r="AB753"/>
      <c r="AC753"/>
      <c r="AF753" s="326">
        <f>IF(S.EQC.DirReport="Y",1,0)</f>
        <v>1</v>
      </c>
      <c r="AG753" s="60">
        <f>S.Default6</f>
        <v>41897</v>
      </c>
      <c r="AH753" s="60">
        <f>IF(AF753=0,,S.EQC.SubmitStaffRpt)</f>
        <v>42033</v>
      </c>
      <c r="AI753" s="59"/>
      <c r="AJ753" s="44"/>
      <c r="AK753" s="67" t="str">
        <f>IF(S.EQC.DirReport="N","* no Director's Report","* drafts content of Director's Report to EQC")</f>
        <v>* drafts content of Director's Report to EQC</v>
      </c>
      <c r="AL753" s="76"/>
    </row>
    <row r="754" spans="1:39" s="23" customFormat="1" ht="14.1" customHeight="1" outlineLevel="2" x14ac:dyDescent="0.2">
      <c r="A754" s="144"/>
      <c r="B754" s="254" t="str">
        <f>AK754</f>
        <v>* drafts EQC Information  Item</v>
      </c>
      <c r="C754" s="448" t="str">
        <f>HYPERLINK("\\deqhq1\Rule_Resources\0.IndividualRulemaking\6-EQC Preparation\STAFF.RPT.InformationItem.docx","i")</f>
        <v>i</v>
      </c>
      <c r="D754" s="490"/>
      <c r="E754" s="490"/>
      <c r="F754"/>
      <c r="G754" s="256">
        <f t="shared" si="140"/>
        <v>41897</v>
      </c>
      <c r="H754" s="256">
        <f t="shared" si="141"/>
        <v>42033</v>
      </c>
      <c r="I754" s="684"/>
      <c r="J754"/>
      <c r="K754"/>
      <c r="L754"/>
      <c r="M754"/>
      <c r="N754"/>
      <c r="O754"/>
      <c r="P754"/>
      <c r="Q754"/>
      <c r="R754"/>
      <c r="S754"/>
      <c r="T754"/>
      <c r="U754"/>
      <c r="X754"/>
      <c r="AB754"/>
      <c r="AC754"/>
      <c r="AF754" s="326">
        <f>IF(S.EQC.InfoItem="Y",1,0)</f>
        <v>1</v>
      </c>
      <c r="AG754" s="60">
        <f>S.Default6</f>
        <v>41897</v>
      </c>
      <c r="AH754" s="60">
        <f>IF(AF754=0,,S.EQC.SubmitStaffRpt)</f>
        <v>42033</v>
      </c>
      <c r="AI754" s="59"/>
      <c r="AJ754" s="44"/>
      <c r="AK754" s="67" t="str">
        <f>IF(S.EQC.InfoItem="N","* no EQC Information Item","* drafts EQC Information  Item")</f>
        <v>* drafts EQC Information  Item</v>
      </c>
      <c r="AL754" s="76"/>
    </row>
    <row r="755" spans="1:39" s="23" customFormat="1" ht="14.1" customHeight="1" outlineLevel="2" x14ac:dyDescent="0.2">
      <c r="A755" s="144"/>
      <c r="B755" s="254" t="str">
        <f>AK755</f>
        <v>* leads EQC material review</v>
      </c>
      <c r="C755" s="489" t="s">
        <v>0</v>
      </c>
      <c r="D755" s="490"/>
      <c r="E755" s="490"/>
      <c r="F755"/>
      <c r="G755" s="256">
        <f t="shared" ref="G755" si="142">AG755</f>
        <v>41897</v>
      </c>
      <c r="H755" s="256">
        <f t="shared" ref="H755" si="143">AH755</f>
        <v>42033</v>
      </c>
      <c r="I755" s="684"/>
      <c r="J755"/>
      <c r="K755"/>
      <c r="L755"/>
      <c r="M755"/>
      <c r="N755"/>
      <c r="O755"/>
      <c r="P755"/>
      <c r="Q755"/>
      <c r="R755"/>
      <c r="S755"/>
      <c r="T755"/>
      <c r="U755"/>
      <c r="X755"/>
      <c r="AB755"/>
      <c r="AC755"/>
      <c r="AF755" s="326">
        <f>IF(OR(S.EQC.DirReport="Y",S.EQC.FacHearing="Y"),1,0)</f>
        <v>1</v>
      </c>
      <c r="AG755" s="60">
        <f>S.Default6</f>
        <v>41897</v>
      </c>
      <c r="AH755" s="60">
        <f>IF(AF755=0,,S.EQC.SubmitStaffRpt)</f>
        <v>42033</v>
      </c>
      <c r="AI755" s="59"/>
      <c r="AJ755" s="44"/>
      <c r="AK755" s="67" t="str">
        <f>IF(OR(S.EQC.DirReport="Y",S.EQC.InfoItem="Y"),"* leads EQC material review","* blank row")</f>
        <v>* leads EQC material review</v>
      </c>
      <c r="AL755" s="76"/>
    </row>
    <row r="756" spans="1:39" s="961" customFormat="1" ht="14.1" customHeight="1" outlineLevel="2" x14ac:dyDescent="0.2">
      <c r="A756" s="144"/>
      <c r="B756" s="254"/>
      <c r="E756" s="490"/>
      <c r="I756" s="684"/>
      <c r="AF756" s="326"/>
      <c r="AG756" s="60"/>
      <c r="AH756" s="60"/>
      <c r="AI756" s="59"/>
      <c r="AJ756" s="44"/>
      <c r="AK756" s="67"/>
      <c r="AL756" s="76"/>
    </row>
    <row r="757" spans="1:39" ht="14.1" customHeight="1" outlineLevel="2" x14ac:dyDescent="0.2">
      <c r="A757" s="144"/>
      <c r="B757" s="1062" t="str">
        <f>AK757</f>
        <v>Jill develops STAFF.RPT.Permanent preloaded in folder 6 by:</v>
      </c>
      <c r="C757" s="489" t="s">
        <v>0</v>
      </c>
      <c r="D757" s="490"/>
      <c r="E757" s="490"/>
      <c r="F757"/>
      <c r="G757" s="1055">
        <f t="shared" ref="G757:H757" si="144">AG757</f>
        <v>41897</v>
      </c>
      <c r="H757" s="1055">
        <f t="shared" si="144"/>
        <v>41976</v>
      </c>
      <c r="I757" s="684"/>
      <c r="AF757" s="326">
        <v>1</v>
      </c>
      <c r="AG757" s="60">
        <f>AG755</f>
        <v>41897</v>
      </c>
      <c r="AH757" s="60">
        <f>AG789</f>
        <v>41976</v>
      </c>
      <c r="AI757" s="59"/>
      <c r="AJ757" s="44"/>
      <c r="AK757" s="67" t="str">
        <f>IF(S.General.RuleType="P",S.Staff.Subject.Expert.FirstName&amp;" develops STAFF.RPT.Permanent preloaded in folder 6 by:",S.Staff.Subject.Expert.FirstName&amp;" develops STAFF.RPT.Temporary (preloaded in folder 6 by:")</f>
        <v>Jill develops STAFF.RPT.Permanent preloaded in folder 6 by:</v>
      </c>
      <c r="AL757" s="76"/>
      <c r="AM757"/>
    </row>
    <row r="758" spans="1:39" s="23" customFormat="1" ht="14.1" hidden="1" customHeight="1" outlineLevel="2" x14ac:dyDescent="0.2">
      <c r="A758" s="144"/>
      <c r="B758" s="267" t="s">
        <v>87</v>
      </c>
      <c r="C758" s="489" t="s">
        <v>0</v>
      </c>
      <c r="D758" s="490"/>
      <c r="E758" s="490"/>
      <c r="F758"/>
      <c r="G758" s="1056"/>
      <c r="H758" s="1056"/>
      <c r="I758" s="684"/>
      <c r="J758"/>
      <c r="K758"/>
      <c r="L758"/>
      <c r="M758"/>
      <c r="N758"/>
      <c r="O758"/>
      <c r="P758"/>
      <c r="Q758"/>
      <c r="R758"/>
      <c r="S758"/>
      <c r="T758"/>
      <c r="U758"/>
      <c r="X758"/>
      <c r="AB758"/>
      <c r="AC758"/>
      <c r="AF758" s="326">
        <v>1</v>
      </c>
      <c r="AG758" s="80"/>
      <c r="AH758" s="80"/>
      <c r="AI758" s="59"/>
      <c r="AJ758" s="44"/>
      <c r="AK758" s="44" t="s">
        <v>0</v>
      </c>
      <c r="AL758" s="76"/>
    </row>
    <row r="759" spans="1:39" s="23" customFormat="1" ht="14.1" hidden="1" customHeight="1" outlineLevel="2" x14ac:dyDescent="0.2">
      <c r="A759" s="144"/>
      <c r="B759" s="267" t="str">
        <f>AK759</f>
        <v>* integrating NOTICE into STAFF REPORT.Permanent by</v>
      </c>
      <c r="C759" s="489" t="s">
        <v>0</v>
      </c>
      <c r="D759" s="490"/>
      <c r="E759" s="490"/>
      <c r="F759"/>
      <c r="G759" s="1056"/>
      <c r="H759" s="1056"/>
      <c r="I759" s="684"/>
      <c r="J759"/>
      <c r="K759"/>
      <c r="L759"/>
      <c r="M759"/>
      <c r="N759"/>
      <c r="O759"/>
      <c r="P759"/>
      <c r="Q759"/>
      <c r="R759"/>
      <c r="S759"/>
      <c r="T759"/>
      <c r="U759"/>
      <c r="X759"/>
      <c r="AB759"/>
      <c r="AC759"/>
      <c r="AF759" s="326">
        <f t="shared" ref="AF759:AF767" si="145">IF(S.Notice.Involved="Y",1,0)</f>
        <v>1</v>
      </c>
      <c r="AG759" s="80"/>
      <c r="AH759" s="80"/>
      <c r="AI759" s="59"/>
      <c r="AJ759" s="44"/>
      <c r="AK759" s="67" t="str">
        <f>IF(AND(S.Notice.Involved="Y",S.General.RuleType="P"),"* integrating NOTICE into STAFF REPORT.Permanent by",IF(AND(S.Notice.Involved="Y",S.General.RuleType="T"),"* integrating NOTICE into STAFF.RPT.Temporary by ","No NOTICE for this rulemaking"))</f>
        <v>* integrating NOTICE into STAFF REPORT.Permanent by</v>
      </c>
      <c r="AL759" s="76"/>
    </row>
    <row r="760" spans="1:39" ht="14.1" hidden="1" customHeight="1" outlineLevel="2" x14ac:dyDescent="0.2">
      <c r="A760" s="144"/>
      <c r="B760" s="441" t="s">
        <v>257</v>
      </c>
      <c r="C760" s="473"/>
      <c r="D760" s="473"/>
      <c r="E760" s="473"/>
      <c r="F760"/>
      <c r="G760" s="1057"/>
      <c r="H760" s="1057"/>
      <c r="I760" s="684"/>
      <c r="AF760" s="326">
        <f t="shared" si="145"/>
        <v>1</v>
      </c>
      <c r="AG760" s="80"/>
      <c r="AH760" s="80"/>
      <c r="AI760" s="59"/>
      <c r="AJ760" s="44"/>
      <c r="AK760" s="44"/>
      <c r="AL760" s="76"/>
      <c r="AM760"/>
    </row>
    <row r="761" spans="1:39" ht="14.1" hidden="1" customHeight="1" outlineLevel="2" x14ac:dyDescent="0.2">
      <c r="A761" s="144"/>
      <c r="B761" s="442" t="s">
        <v>203</v>
      </c>
      <c r="C761" s="473"/>
      <c r="D761" s="473"/>
      <c r="E761" s="473"/>
      <c r="F761"/>
      <c r="G761" s="1057"/>
      <c r="H761" s="1057"/>
      <c r="I761" s="684"/>
      <c r="AF761" s="326">
        <f t="shared" si="145"/>
        <v>1</v>
      </c>
      <c r="AG761" s="80"/>
      <c r="AH761" s="80"/>
      <c r="AI761" s="59"/>
      <c r="AJ761" s="44"/>
      <c r="AK761" s="44"/>
      <c r="AL761" s="76"/>
      <c r="AM761"/>
    </row>
    <row r="762" spans="1:39" ht="14.1" hidden="1" customHeight="1" outlineLevel="2" x14ac:dyDescent="0.2">
      <c r="A762" s="144"/>
      <c r="B762" s="442" t="s">
        <v>204</v>
      </c>
      <c r="C762" s="473"/>
      <c r="D762" s="473"/>
      <c r="E762" s="473"/>
      <c r="F762"/>
      <c r="G762" s="1057"/>
      <c r="H762" s="1057"/>
      <c r="I762" s="684"/>
      <c r="AF762" s="326">
        <f t="shared" si="145"/>
        <v>1</v>
      </c>
      <c r="AG762" s="80"/>
      <c r="AH762" s="80"/>
      <c r="AI762" s="59"/>
      <c r="AJ762" s="44"/>
      <c r="AK762" s="44"/>
      <c r="AL762" s="76"/>
      <c r="AM762"/>
    </row>
    <row r="763" spans="1:39" ht="14.1" hidden="1" customHeight="1" outlineLevel="2" x14ac:dyDescent="0.2">
      <c r="A763" s="144"/>
      <c r="B763" s="442" t="s">
        <v>205</v>
      </c>
      <c r="C763" s="473"/>
      <c r="D763" s="473"/>
      <c r="E763" s="473"/>
      <c r="F763"/>
      <c r="G763" s="1057"/>
      <c r="H763" s="1057"/>
      <c r="I763" s="684"/>
      <c r="AF763" s="326">
        <f t="shared" si="145"/>
        <v>1</v>
      </c>
      <c r="AG763" s="80"/>
      <c r="AH763" s="80"/>
      <c r="AI763" s="59"/>
      <c r="AJ763" s="44"/>
      <c r="AK763" s="44"/>
      <c r="AL763" s="76"/>
      <c r="AM763"/>
    </row>
    <row r="764" spans="1:39" ht="14.1" hidden="1" customHeight="1" outlineLevel="2" x14ac:dyDescent="0.2">
      <c r="A764" s="144"/>
      <c r="B764" s="442" t="s">
        <v>131</v>
      </c>
      <c r="C764" s="473"/>
      <c r="D764" s="473"/>
      <c r="E764" s="473"/>
      <c r="F764"/>
      <c r="G764" s="1057"/>
      <c r="H764" s="1057"/>
      <c r="I764" s="684"/>
      <c r="AF764" s="326">
        <f t="shared" si="145"/>
        <v>1</v>
      </c>
      <c r="AG764" s="80"/>
      <c r="AH764" s="80"/>
      <c r="AI764" s="59"/>
      <c r="AJ764" s="44"/>
      <c r="AK764" s="44"/>
      <c r="AL764" s="76"/>
      <c r="AM764"/>
    </row>
    <row r="765" spans="1:39" ht="14.1" hidden="1" customHeight="1" outlineLevel="2" x14ac:dyDescent="0.2">
      <c r="A765" s="144"/>
      <c r="B765" s="413" t="s">
        <v>132</v>
      </c>
      <c r="C765" s="473"/>
      <c r="D765" s="473"/>
      <c r="E765" s="473"/>
      <c r="F765"/>
      <c r="G765" s="1057"/>
      <c r="H765" s="1057"/>
      <c r="I765" s="684"/>
      <c r="AF765" s="326">
        <f t="shared" si="145"/>
        <v>1</v>
      </c>
      <c r="AG765" s="80"/>
      <c r="AH765" s="80"/>
      <c r="AI765" s="59"/>
      <c r="AJ765" s="44"/>
      <c r="AK765" s="44"/>
      <c r="AL765" s="76"/>
      <c r="AM765"/>
    </row>
    <row r="766" spans="1:39" s="23" customFormat="1" ht="14.1" hidden="1" customHeight="1" outlineLevel="2" x14ac:dyDescent="0.2">
      <c r="A766" s="144"/>
      <c r="B766" s="443" t="s">
        <v>206</v>
      </c>
      <c r="C766" s="473"/>
      <c r="D766" s="473"/>
      <c r="E766" s="473"/>
      <c r="F766"/>
      <c r="G766" s="1057"/>
      <c r="H766" s="1057"/>
      <c r="I766" s="684"/>
      <c r="J766"/>
      <c r="K766"/>
      <c r="L766"/>
      <c r="M766"/>
      <c r="N766"/>
      <c r="O766"/>
      <c r="P766"/>
      <c r="Q766"/>
      <c r="R766"/>
      <c r="S766"/>
      <c r="T766"/>
      <c r="U766"/>
      <c r="X766"/>
      <c r="AB766"/>
      <c r="AC766"/>
      <c r="AF766" s="326">
        <f t="shared" si="145"/>
        <v>1</v>
      </c>
      <c r="AG766" s="80"/>
      <c r="AH766" s="80"/>
      <c r="AI766" s="59"/>
      <c r="AJ766" s="44"/>
      <c r="AK766" s="44"/>
      <c r="AL766" s="76"/>
    </row>
    <row r="767" spans="1:39" s="23" customFormat="1" ht="14.1" hidden="1" customHeight="1" outlineLevel="2" x14ac:dyDescent="0.2">
      <c r="A767" s="144"/>
      <c r="B767" s="443" t="s">
        <v>206</v>
      </c>
      <c r="C767" s="473"/>
      <c r="D767" s="473"/>
      <c r="E767" s="473"/>
      <c r="F767"/>
      <c r="G767" s="1057"/>
      <c r="H767" s="1057"/>
      <c r="I767" s="684"/>
      <c r="J767"/>
      <c r="K767"/>
      <c r="L767"/>
      <c r="M767"/>
      <c r="N767"/>
      <c r="O767"/>
      <c r="P767"/>
      <c r="Q767"/>
      <c r="R767"/>
      <c r="S767"/>
      <c r="T767"/>
      <c r="U767"/>
      <c r="X767"/>
      <c r="AB767"/>
      <c r="AC767"/>
      <c r="AF767" s="326">
        <f t="shared" si="145"/>
        <v>1</v>
      </c>
      <c r="AG767" s="80"/>
      <c r="AH767" s="80"/>
      <c r="AI767" s="59"/>
      <c r="AJ767" s="44"/>
      <c r="AK767" s="44"/>
      <c r="AL767" s="76"/>
    </row>
    <row r="768" spans="1:39" s="23" customFormat="1" ht="14.1" customHeight="1" outlineLevel="2" x14ac:dyDescent="0.2">
      <c r="A768" s="144"/>
      <c r="B768" s="254" t="s">
        <v>219</v>
      </c>
      <c r="C768" s="448" t="str">
        <f>HYPERLINK("http://arcweb.sos.state.or.us/pages/rules/oars_300/oar_340/340_tofc.html","i")</f>
        <v>i</v>
      </c>
      <c r="D768" s="490"/>
      <c r="E768" s="491"/>
      <c r="F768"/>
      <c r="G768" s="1058"/>
      <c r="H768" s="1058"/>
      <c r="I768" s="684"/>
      <c r="J768"/>
      <c r="K768"/>
      <c r="L768"/>
      <c r="M768"/>
      <c r="N768"/>
      <c r="O768"/>
      <c r="P768"/>
      <c r="Q768"/>
      <c r="R768"/>
      <c r="S768"/>
      <c r="T768"/>
      <c r="U768"/>
      <c r="X768"/>
      <c r="AB768"/>
      <c r="AC768"/>
      <c r="AF768" s="326">
        <v>1</v>
      </c>
      <c r="AG768" s="59"/>
      <c r="AH768" s="59"/>
      <c r="AI768" s="59"/>
      <c r="AJ768" s="44"/>
      <c r="AK768" s="44"/>
      <c r="AL768" s="76"/>
    </row>
    <row r="769" spans="1:39" s="23" customFormat="1" ht="14.1" customHeight="1" outlineLevel="2" x14ac:dyDescent="0.2">
      <c r="A769" s="144"/>
      <c r="B769" s="440" t="s">
        <v>218</v>
      </c>
      <c r="C769" s="271"/>
      <c r="D769" s="272"/>
      <c r="E769" s="272"/>
      <c r="F769"/>
      <c r="G769" s="1058"/>
      <c r="H769" s="1058"/>
      <c r="I769" s="684"/>
      <c r="J769"/>
      <c r="K769"/>
      <c r="L769"/>
      <c r="M769"/>
      <c r="N769"/>
      <c r="O769"/>
      <c r="P769"/>
      <c r="Q769"/>
      <c r="R769"/>
      <c r="S769"/>
      <c r="T769"/>
      <c r="U769"/>
      <c r="X769"/>
      <c r="AB769"/>
      <c r="AC769"/>
      <c r="AF769" s="326">
        <v>1</v>
      </c>
      <c r="AG769" s="80"/>
      <c r="AH769" s="80"/>
      <c r="AI769" s="59"/>
      <c r="AJ769" s="152"/>
      <c r="AK769" s="44"/>
      <c r="AL769" s="76"/>
    </row>
    <row r="770" spans="1:39" s="23" customFormat="1" ht="14.1" customHeight="1" outlineLevel="2" x14ac:dyDescent="0.2">
      <c r="A770" s="144"/>
      <c r="B770" s="267" t="str">
        <f>AK770</f>
        <v>* coordinates work on STAFF.RPT.Permanent sections:</v>
      </c>
      <c r="C770" s="271"/>
      <c r="D770" s="490"/>
      <c r="E770" s="272"/>
      <c r="F770"/>
      <c r="G770" s="1058"/>
      <c r="H770" s="1058"/>
      <c r="I770" s="684"/>
      <c r="J770"/>
      <c r="K770"/>
      <c r="L770"/>
      <c r="M770"/>
      <c r="N770"/>
      <c r="O770"/>
      <c r="P770"/>
      <c r="Q770"/>
      <c r="R770"/>
      <c r="S770"/>
      <c r="T770"/>
      <c r="U770"/>
      <c r="X770"/>
      <c r="AB770"/>
      <c r="AC770"/>
      <c r="AF770" s="326">
        <v>1</v>
      </c>
      <c r="AG770" s="80"/>
      <c r="AH770" s="80"/>
      <c r="AI770" s="59"/>
      <c r="AJ770" s="152"/>
      <c r="AK770" s="67" t="str">
        <f>IF(S.General.RuleType="P","* coordinates work on STAFF.RPT.Permanent sections:","* coordinates work on STAFF.RPT.Temporary sections:")</f>
        <v>* coordinates work on STAFF.RPT.Permanent sections:</v>
      </c>
      <c r="AL770" s="76"/>
    </row>
    <row r="771" spans="1:39" s="23" customFormat="1" ht="14.1" customHeight="1" outlineLevel="2" x14ac:dyDescent="0.2">
      <c r="A771" s="144"/>
      <c r="B771" s="404" t="s">
        <v>605</v>
      </c>
      <c r="C771" s="644" t="s">
        <v>0</v>
      </c>
      <c r="D771" s="644"/>
      <c r="E771" s="644"/>
      <c r="F771"/>
      <c r="G771" s="1056"/>
      <c r="H771" s="1056"/>
      <c r="I771" s="684"/>
      <c r="J771"/>
      <c r="K771"/>
      <c r="L771"/>
      <c r="M771"/>
      <c r="N771"/>
      <c r="O771"/>
      <c r="P771"/>
      <c r="Q771"/>
      <c r="R771"/>
      <c r="S771"/>
      <c r="T771"/>
      <c r="U771"/>
      <c r="X771"/>
      <c r="AB771"/>
      <c r="AC771"/>
      <c r="AF771" s="326">
        <v>1</v>
      </c>
      <c r="AG771" s="59"/>
      <c r="AH771" s="59"/>
      <c r="AI771" s="59"/>
      <c r="AJ771" s="152"/>
      <c r="AK771" s="44"/>
      <c r="AL771" s="76"/>
    </row>
    <row r="772" spans="1:39" s="23" customFormat="1" ht="14.1" customHeight="1" outlineLevel="2" x14ac:dyDescent="0.2">
      <c r="A772" s="144"/>
      <c r="B772" s="429" t="s">
        <v>604</v>
      </c>
      <c r="C772" s="644" t="s">
        <v>0</v>
      </c>
      <c r="D772" s="644" t="s">
        <v>0</v>
      </c>
      <c r="E772" s="273"/>
      <c r="G772" s="1056"/>
      <c r="H772" s="1056"/>
      <c r="I772" s="684"/>
      <c r="AF772" s="326">
        <v>1</v>
      </c>
      <c r="AG772" s="59"/>
      <c r="AH772" s="59"/>
      <c r="AI772" s="59"/>
      <c r="AJ772" s="44"/>
      <c r="AK772" s="311"/>
      <c r="AL772" s="76"/>
    </row>
    <row r="773" spans="1:39" ht="14.1" customHeight="1" outlineLevel="2" x14ac:dyDescent="0.2">
      <c r="A773" s="144"/>
      <c r="B773" s="429" t="s">
        <v>606</v>
      </c>
      <c r="C773" s="644" t="s">
        <v>0</v>
      </c>
      <c r="D773" s="644" t="s">
        <v>0</v>
      </c>
      <c r="E773" s="273"/>
      <c r="F773"/>
      <c r="G773" s="1056"/>
      <c r="H773" s="1056"/>
      <c r="I773" s="684"/>
      <c r="AF773" s="326">
        <v>1</v>
      </c>
      <c r="AG773" s="59"/>
      <c r="AH773" s="59"/>
      <c r="AI773" s="59"/>
      <c r="AJ773" s="44"/>
      <c r="AK773" s="311"/>
      <c r="AL773" s="76"/>
      <c r="AM773"/>
    </row>
    <row r="774" spans="1:39" s="23" customFormat="1" ht="14.1" customHeight="1" outlineLevel="2" x14ac:dyDescent="0.2">
      <c r="A774" s="144" t="s">
        <v>0</v>
      </c>
      <c r="B774" s="429" t="s">
        <v>607</v>
      </c>
      <c r="C774" s="644" t="s">
        <v>0</v>
      </c>
      <c r="D774" s="644" t="s">
        <v>0</v>
      </c>
      <c r="E774" s="273"/>
      <c r="F774"/>
      <c r="G774" s="1056"/>
      <c r="H774" s="1056"/>
      <c r="I774" s="684"/>
      <c r="J774"/>
      <c r="K774"/>
      <c r="L774"/>
      <c r="M774"/>
      <c r="N774"/>
      <c r="O774"/>
      <c r="P774"/>
      <c r="Q774"/>
      <c r="R774"/>
      <c r="S774"/>
      <c r="T774"/>
      <c r="U774"/>
      <c r="X774"/>
      <c r="AB774"/>
      <c r="AC774"/>
      <c r="AF774" s="326">
        <v>1</v>
      </c>
      <c r="AG774" s="59"/>
      <c r="AH774" s="59"/>
      <c r="AI774" s="59"/>
      <c r="AJ774" s="44"/>
      <c r="AK774" s="311"/>
      <c r="AL774" s="76"/>
    </row>
    <row r="775" spans="1:39" s="23" customFormat="1" ht="14.1" customHeight="1" outlineLevel="2" x14ac:dyDescent="0.2">
      <c r="A775" s="144" t="s">
        <v>0</v>
      </c>
      <c r="B775" s="846" t="s">
        <v>621</v>
      </c>
      <c r="C775" s="644" t="s">
        <v>0</v>
      </c>
      <c r="D775" s="644" t="s">
        <v>0</v>
      </c>
      <c r="E775" s="273"/>
      <c r="G775" s="1056"/>
      <c r="H775" s="1056"/>
      <c r="I775" s="684"/>
      <c r="AF775" s="326">
        <v>1</v>
      </c>
      <c r="AG775" s="59"/>
      <c r="AH775" s="59"/>
      <c r="AI775" s="59"/>
      <c r="AJ775" s="44"/>
      <c r="AK775" s="311"/>
      <c r="AL775" s="76"/>
    </row>
    <row r="776" spans="1:39" s="23" customFormat="1" ht="14.1" customHeight="1" outlineLevel="2" x14ac:dyDescent="0.2">
      <c r="A776" s="144" t="s">
        <v>0</v>
      </c>
      <c r="B776" s="429" t="s">
        <v>608</v>
      </c>
      <c r="C776" s="644" t="s">
        <v>0</v>
      </c>
      <c r="D776" s="644" t="s">
        <v>0</v>
      </c>
      <c r="E776" s="273"/>
      <c r="F776"/>
      <c r="G776" s="1056"/>
      <c r="H776" s="1056"/>
      <c r="I776" s="684"/>
      <c r="J776"/>
      <c r="K776"/>
      <c r="L776"/>
      <c r="M776"/>
      <c r="N776"/>
      <c r="O776"/>
      <c r="P776"/>
      <c r="Q776"/>
      <c r="R776"/>
      <c r="S776"/>
      <c r="T776"/>
      <c r="U776"/>
      <c r="X776"/>
      <c r="AB776"/>
      <c r="AC776"/>
      <c r="AF776" s="326">
        <v>1</v>
      </c>
      <c r="AG776" s="59"/>
      <c r="AH776" s="59"/>
      <c r="AI776" s="59"/>
      <c r="AJ776" s="44"/>
      <c r="AK776" s="311"/>
      <c r="AL776" s="76"/>
    </row>
    <row r="777" spans="1:39" s="23" customFormat="1" ht="14.1" customHeight="1" outlineLevel="2" x14ac:dyDescent="0.2">
      <c r="A777" s="144" t="s">
        <v>0</v>
      </c>
      <c r="B777" s="366" t="s">
        <v>609</v>
      </c>
      <c r="C777" s="644" t="s">
        <v>0</v>
      </c>
      <c r="D777" s="644" t="s">
        <v>0</v>
      </c>
      <c r="E777" s="273"/>
      <c r="F777"/>
      <c r="G777" s="1056"/>
      <c r="H777" s="1056"/>
      <c r="I777" s="684"/>
      <c r="J777"/>
      <c r="K777"/>
      <c r="L777"/>
      <c r="M777"/>
      <c r="N777"/>
      <c r="O777"/>
      <c r="P777"/>
      <c r="Q777"/>
      <c r="R777"/>
      <c r="S777"/>
      <c r="T777"/>
      <c r="U777"/>
      <c r="X777"/>
      <c r="AB777"/>
      <c r="AC777"/>
      <c r="AF777" s="326">
        <v>1</v>
      </c>
      <c r="AG777" s="59"/>
      <c r="AH777" s="59"/>
      <c r="AI777" s="59"/>
      <c r="AJ777" s="44"/>
      <c r="AK777" s="311"/>
      <c r="AL777" s="76"/>
    </row>
    <row r="778" spans="1:39" s="23" customFormat="1" ht="14.1" customHeight="1" outlineLevel="2" x14ac:dyDescent="0.2">
      <c r="A778" s="144" t="s">
        <v>0</v>
      </c>
      <c r="B778" s="366" t="s">
        <v>610</v>
      </c>
      <c r="C778" s="644" t="s">
        <v>0</v>
      </c>
      <c r="D778" s="644" t="s">
        <v>0</v>
      </c>
      <c r="E778" s="273"/>
      <c r="F778"/>
      <c r="G778" s="1056"/>
      <c r="H778" s="1056"/>
      <c r="I778" s="684"/>
      <c r="J778"/>
      <c r="K778"/>
      <c r="L778"/>
      <c r="M778"/>
      <c r="N778"/>
      <c r="O778"/>
      <c r="P778"/>
      <c r="Q778"/>
      <c r="R778"/>
      <c r="S778"/>
      <c r="T778"/>
      <c r="U778"/>
      <c r="X778"/>
      <c r="AB778"/>
      <c r="AC778"/>
      <c r="AF778" s="326">
        <v>1</v>
      </c>
      <c r="AG778" s="59"/>
      <c r="AH778" s="59"/>
      <c r="AI778" s="59"/>
      <c r="AJ778" s="44"/>
      <c r="AK778" s="311"/>
      <c r="AL778" s="76"/>
    </row>
    <row r="779" spans="1:39" s="23" customFormat="1" ht="14.1" customHeight="1" outlineLevel="2" x14ac:dyDescent="0.2">
      <c r="A779" s="144"/>
      <c r="B779" s="452" t="s">
        <v>220</v>
      </c>
      <c r="C779" s="484" t="s">
        <v>0</v>
      </c>
      <c r="D779" s="644"/>
      <c r="E779" s="644"/>
      <c r="F779" s="644"/>
      <c r="G779" s="1059"/>
      <c r="H779" s="1059"/>
      <c r="I779" s="644"/>
      <c r="J779"/>
      <c r="K779"/>
      <c r="L779"/>
      <c r="M779"/>
      <c r="N779"/>
      <c r="O779"/>
      <c r="P779"/>
      <c r="Q779"/>
      <c r="R779"/>
      <c r="S779"/>
      <c r="T779"/>
      <c r="U779"/>
      <c r="X779"/>
      <c r="AB779"/>
      <c r="AC779"/>
      <c r="AF779" s="326">
        <v>1</v>
      </c>
      <c r="AG779" s="59"/>
      <c r="AH779" s="59"/>
      <c r="AI779" s="59"/>
      <c r="AJ779" s="152"/>
      <c r="AK779" s="44"/>
      <c r="AL779" s="76"/>
    </row>
    <row r="780" spans="1:39" s="23" customFormat="1" ht="14.1" customHeight="1" outlineLevel="2" x14ac:dyDescent="0.2">
      <c r="A780" s="144" t="s">
        <v>0</v>
      </c>
      <c r="B780" s="366" t="s">
        <v>118</v>
      </c>
      <c r="C780" s="484" t="s">
        <v>0</v>
      </c>
      <c r="D780" s="644"/>
      <c r="E780" s="644"/>
      <c r="F780" s="644"/>
      <c r="G780" s="1059"/>
      <c r="H780" s="1059"/>
      <c r="I780" s="644"/>
      <c r="J780"/>
      <c r="K780"/>
      <c r="L780"/>
      <c r="M780"/>
      <c r="N780"/>
      <c r="O780"/>
      <c r="P780"/>
      <c r="Q780"/>
      <c r="R780"/>
      <c r="S780"/>
      <c r="T780"/>
      <c r="U780"/>
      <c r="X780"/>
      <c r="AB780"/>
      <c r="AC780"/>
      <c r="AF780" s="326">
        <v>1</v>
      </c>
      <c r="AG780" s="59"/>
      <c r="AH780" s="59"/>
      <c r="AI780" s="59"/>
      <c r="AJ780" s="44"/>
      <c r="AK780" s="311"/>
      <c r="AL780" s="76"/>
    </row>
    <row r="781" spans="1:39" s="961" customFormat="1" ht="14.1" customHeight="1" outlineLevel="2" x14ac:dyDescent="0.2">
      <c r="A781" s="144"/>
      <c r="B781" s="1065" t="s">
        <v>731</v>
      </c>
      <c r="C781" s="484" t="s">
        <v>0</v>
      </c>
      <c r="D781" s="490"/>
      <c r="E781" s="644"/>
      <c r="F781" s="644"/>
      <c r="G781" s="1059"/>
      <c r="H781" s="1059"/>
      <c r="I781" s="644"/>
      <c r="AF781" s="326">
        <v>1</v>
      </c>
      <c r="AG781" s="59"/>
      <c r="AH781" s="59"/>
      <c r="AI781" s="59"/>
      <c r="AJ781" s="152"/>
      <c r="AK781" s="67" t="str">
        <f>"- "&amp; S.Staff.AAG&amp;", if needed"</f>
        <v>- Paul, if needed</v>
      </c>
      <c r="AL781" s="76"/>
    </row>
    <row r="782" spans="1:39" s="23" customFormat="1" ht="14.1" customHeight="1" outlineLevel="2" x14ac:dyDescent="0.2">
      <c r="A782" s="144"/>
      <c r="B782" s="267" t="s">
        <v>119</v>
      </c>
      <c r="C782" s="271"/>
      <c r="D782" s="659"/>
      <c r="E782" s="272"/>
      <c r="F782"/>
      <c r="G782" s="1059"/>
      <c r="H782" s="1059"/>
      <c r="I782" s="684"/>
      <c r="J782"/>
      <c r="K782"/>
      <c r="L782"/>
      <c r="M782"/>
      <c r="N782"/>
      <c r="O782"/>
      <c r="P782"/>
      <c r="Q782"/>
      <c r="R782"/>
      <c r="S782"/>
      <c r="T782"/>
      <c r="U782"/>
      <c r="X782"/>
      <c r="AB782"/>
      <c r="AC782"/>
      <c r="AF782" s="326">
        <v>1</v>
      </c>
      <c r="AG782" s="59"/>
      <c r="AH782" s="59"/>
      <c r="AI782" s="59"/>
      <c r="AJ782" s="152"/>
      <c r="AK782" s="311"/>
      <c r="AL782" s="76"/>
    </row>
    <row r="783" spans="1:39" ht="14.1" customHeight="1" outlineLevel="2" x14ac:dyDescent="0.2">
      <c r="A783" s="144"/>
      <c r="B783" s="191" t="str">
        <f>AK783</f>
        <v>- STAFF.RPT.Permanent</v>
      </c>
      <c r="C783" s="484" t="s">
        <v>0</v>
      </c>
      <c r="D783" s="484" t="s">
        <v>0</v>
      </c>
      <c r="E783" s="659"/>
      <c r="F783"/>
      <c r="G783" s="1059"/>
      <c r="H783" s="1059"/>
      <c r="I783" s="684"/>
      <c r="AF783" s="326">
        <v>1</v>
      </c>
      <c r="AG783" s="59"/>
      <c r="AH783" s="59"/>
      <c r="AI783" s="59"/>
      <c r="AJ783" s="152"/>
      <c r="AK783" s="67" t="str">
        <f>IF(S.General.RuleType="P","- STAFF.RPT.Permanent","- STAFF.RPT.Temporary")</f>
        <v>- STAFF.RPT.Permanent</v>
      </c>
      <c r="AL783" s="76"/>
      <c r="AM783"/>
    </row>
    <row r="784" spans="1:39" s="23" customFormat="1" ht="14.1" customHeight="1" outlineLevel="2" x14ac:dyDescent="0.2">
      <c r="A784" s="144"/>
      <c r="B784" s="370" t="s">
        <v>120</v>
      </c>
      <c r="C784" s="484" t="s">
        <v>0</v>
      </c>
      <c r="D784" s="484" t="s">
        <v>0</v>
      </c>
      <c r="E784" s="659"/>
      <c r="F784"/>
      <c r="G784" s="1059"/>
      <c r="H784" s="1059"/>
      <c r="I784" s="684"/>
      <c r="J784"/>
      <c r="K784"/>
      <c r="L784"/>
      <c r="M784"/>
      <c r="N784"/>
      <c r="O784"/>
      <c r="P784"/>
      <c r="Q784"/>
      <c r="R784"/>
      <c r="S784"/>
      <c r="T784"/>
      <c r="U784"/>
      <c r="X784"/>
      <c r="AB784"/>
      <c r="AC784"/>
      <c r="AF784" s="326">
        <v>1</v>
      </c>
      <c r="AG784" s="59"/>
      <c r="AH784" s="59"/>
      <c r="AI784" s="59"/>
      <c r="AJ784" s="152"/>
      <c r="AK784" s="152" t="s">
        <v>0</v>
      </c>
      <c r="AL784" s="76"/>
    </row>
    <row r="785" spans="1:39" s="23" customFormat="1" ht="14.1" customHeight="1" outlineLevel="2" x14ac:dyDescent="0.2">
      <c r="A785" s="144"/>
      <c r="B785" s="404" t="s">
        <v>121</v>
      </c>
      <c r="C785" s="484" t="s">
        <v>0</v>
      </c>
      <c r="D785" s="484" t="s">
        <v>0</v>
      </c>
      <c r="E785" s="659"/>
      <c r="F785"/>
      <c r="G785" s="1059"/>
      <c r="H785" s="1059"/>
      <c r="I785" s="684"/>
      <c r="J785"/>
      <c r="K785"/>
      <c r="L785"/>
      <c r="M785"/>
      <c r="N785"/>
      <c r="O785"/>
      <c r="P785"/>
      <c r="Q785"/>
      <c r="R785"/>
      <c r="S785"/>
      <c r="T785"/>
      <c r="U785"/>
      <c r="X785"/>
      <c r="AB785"/>
      <c r="AC785"/>
      <c r="AF785" s="326">
        <v>1</v>
      </c>
      <c r="AG785" s="59"/>
      <c r="AH785" s="59"/>
      <c r="AI785" s="59"/>
      <c r="AJ785" s="152"/>
      <c r="AK785" s="152" t="s">
        <v>0</v>
      </c>
      <c r="AL785" s="76"/>
    </row>
    <row r="786" spans="1:39" s="23" customFormat="1" ht="13.5" customHeight="1" outlineLevel="2" x14ac:dyDescent="0.2">
      <c r="A786" s="144"/>
      <c r="B786" s="267" t="str">
        <f>AK786</f>
        <v>* notifies AndreaG that Staff Report is ready for Rule Publication work</v>
      </c>
      <c r="C786" s="484" t="s">
        <v>0</v>
      </c>
      <c r="D786" s="659"/>
      <c r="E786" s="644"/>
      <c r="F786"/>
      <c r="G786" s="1060"/>
      <c r="H786" s="1060"/>
      <c r="I786" s="684"/>
      <c r="J786"/>
      <c r="K786"/>
      <c r="L786"/>
      <c r="M786"/>
      <c r="N786"/>
      <c r="O786"/>
      <c r="P786"/>
      <c r="Q786"/>
      <c r="R786"/>
      <c r="S786"/>
      <c r="T786"/>
      <c r="U786"/>
      <c r="X786"/>
      <c r="AB786"/>
      <c r="AC786"/>
      <c r="AF786" s="326">
        <v>1</v>
      </c>
      <c r="AG786" s="59"/>
      <c r="AH786" s="59"/>
      <c r="AI786" s="59"/>
      <c r="AJ786" s="152"/>
      <c r="AK786" s="746" t="str">
        <f>"* notifies "&amp;S.Staff.RG.Lead.FirstName&amp;" that Staff Report is ready for Rule Publication work"</f>
        <v>* notifies AndreaG that Staff Report is ready for Rule Publication work</v>
      </c>
      <c r="AL786" s="76"/>
    </row>
    <row r="787" spans="1:39" s="961" customFormat="1" ht="13.5" customHeight="1" outlineLevel="2" thickBot="1" x14ac:dyDescent="0.25">
      <c r="A787" s="144"/>
      <c r="B787" s="267"/>
      <c r="C787" s="484"/>
      <c r="D787" s="644"/>
      <c r="E787" s="644"/>
      <c r="I787" s="684"/>
      <c r="AF787" s="326"/>
      <c r="AG787" s="59"/>
      <c r="AH787" s="59"/>
      <c r="AI787" s="59"/>
      <c r="AJ787" s="152"/>
      <c r="AK787" s="746"/>
      <c r="AL787" s="76"/>
    </row>
    <row r="788" spans="1:39" s="23" customFormat="1" ht="24.75" customHeight="1" outlineLevel="1" thickTop="1" x14ac:dyDescent="0.2">
      <c r="A788" s="144"/>
      <c r="B788" s="917" t="str">
        <f>AK788</f>
        <v>AndreaG leads initial Rule Publication work that includes:</v>
      </c>
      <c r="C788" s="233"/>
      <c r="D788" s="40"/>
      <c r="E788" s="40"/>
      <c r="G788" s="1015" t="s">
        <v>513</v>
      </c>
      <c r="H788" s="1016"/>
      <c r="I788" s="684"/>
      <c r="AF788" s="326">
        <v>1</v>
      </c>
      <c r="AG788" s="59"/>
      <c r="AH788" s="59"/>
      <c r="AI788" s="58"/>
      <c r="AJ788" s="44"/>
      <c r="AK788" s="746" t="str">
        <f>S.Staff.RG.Lead.FirstName&amp;" leads initial Rule Publication work that includes:"</f>
        <v>AndreaG leads initial Rule Publication work that includes:</v>
      </c>
      <c r="AL788" s="76"/>
    </row>
    <row r="789" spans="1:39" s="23" customFormat="1" ht="14.1" customHeight="1" outlineLevel="1" x14ac:dyDescent="0.2">
      <c r="A789" s="144" t="s">
        <v>0</v>
      </c>
      <c r="B789" s="234" t="s">
        <v>611</v>
      </c>
      <c r="C789" s="233"/>
      <c r="D789" s="653"/>
      <c r="E789" s="823"/>
      <c r="G789" s="795">
        <f>AG789</f>
        <v>41976</v>
      </c>
      <c r="H789" s="705">
        <f>AH789</f>
        <v>41997</v>
      </c>
      <c r="I789" s="684"/>
      <c r="AF789" s="326">
        <v>1</v>
      </c>
      <c r="AG789" s="505">
        <f>AG812-21</f>
        <v>41976</v>
      </c>
      <c r="AH789" s="505">
        <f>AG812</f>
        <v>41997</v>
      </c>
      <c r="AI789" s="58"/>
      <c r="AJ789" s="44"/>
      <c r="AK789" s="44"/>
      <c r="AL789" s="76"/>
    </row>
    <row r="790" spans="1:39" s="23" customFormat="1" ht="14.1" customHeight="1" outlineLevel="1" x14ac:dyDescent="0.2">
      <c r="A790" s="144"/>
      <c r="B790" s="285" t="str">
        <f>AK790</f>
        <v>* obtaining/consolidating BrianW, StephanieC &amp; AndreaG edits if needed</v>
      </c>
      <c r="C790" s="233"/>
      <c r="G790" s="1066"/>
      <c r="H790" s="1068"/>
      <c r="I790" s="684"/>
      <c r="AF790" s="326">
        <v>1</v>
      </c>
      <c r="AG790" s="58"/>
      <c r="AH790" s="58"/>
      <c r="AI790" s="58"/>
      <c r="AJ790" s="44"/>
      <c r="AK790" s="169" t="str">
        <f>"* obtaining/consolidating "&amp;S.Staff.PublicAffairsOfficer&amp;", "&amp;S.Staff.EQCAssistant&amp;" &amp; "&amp;S.Staff.SIPCo&amp;" edits if needed"</f>
        <v>* obtaining/consolidating BrianW, StephanieC &amp; AndreaG edits if needed</v>
      </c>
      <c r="AL790" s="76"/>
    </row>
    <row r="791" spans="1:39" s="23" customFormat="1" ht="14.1" customHeight="1" outlineLevel="1" x14ac:dyDescent="0.2">
      <c r="A791" s="144"/>
      <c r="B791" s="749" t="s">
        <v>565</v>
      </c>
      <c r="C791" s="484" t="s">
        <v>0</v>
      </c>
      <c r="D791" s="644"/>
      <c r="E791" s="644"/>
      <c r="G791" s="1067"/>
      <c r="H791" s="1069"/>
      <c r="I791" s="684"/>
      <c r="AF791" s="326">
        <v>1</v>
      </c>
      <c r="AG791" s="59"/>
      <c r="AH791" s="59"/>
      <c r="AI791" s="59"/>
      <c r="AJ791" s="59"/>
      <c r="AK791" s="44"/>
      <c r="AL791" s="76"/>
    </row>
    <row r="792" spans="1:39" s="23" customFormat="1" ht="14.1" customHeight="1" outlineLevel="1" x14ac:dyDescent="0.2">
      <c r="A792" s="144"/>
      <c r="B792" s="285" t="s">
        <v>549</v>
      </c>
      <c r="C792" s="247"/>
      <c r="G792" s="1067"/>
      <c r="H792" s="1069"/>
      <c r="I792" s="684"/>
      <c r="AF792" s="326">
        <v>1</v>
      </c>
      <c r="AG792" s="59"/>
      <c r="AH792" s="59"/>
      <c r="AI792" s="59"/>
      <c r="AJ792" s="59"/>
      <c r="AK792" s="44"/>
      <c r="AL792" s="76"/>
    </row>
    <row r="793" spans="1:39" s="961" customFormat="1" ht="14.1" customHeight="1" outlineLevel="1" x14ac:dyDescent="0.2">
      <c r="A793" s="144"/>
      <c r="B793" s="285" t="s">
        <v>732</v>
      </c>
      <c r="C793" s="247"/>
      <c r="G793" s="1067"/>
      <c r="H793" s="1069"/>
      <c r="I793" s="684"/>
      <c r="AF793" s="326">
        <v>1</v>
      </c>
      <c r="AG793" s="59"/>
      <c r="AH793" s="59"/>
      <c r="AI793" s="59"/>
      <c r="AJ793" s="59"/>
      <c r="AK793" s="44"/>
      <c r="AL793" s="76"/>
    </row>
    <row r="794" spans="1:39" s="23" customFormat="1" ht="14.1" customHeight="1" outlineLevel="1" x14ac:dyDescent="0.2">
      <c r="A794" s="144" t="s">
        <v>0</v>
      </c>
      <c r="B794" s="254" t="str">
        <f t="shared" ref="B794:B795" si="146">AK794</f>
        <v>* contacts Jill with questions or modifications and when work is complete</v>
      </c>
      <c r="C794" s="484" t="s">
        <v>0</v>
      </c>
      <c r="D794" s="644"/>
      <c r="E794" s="644"/>
      <c r="F794"/>
      <c r="G794" s="1067"/>
      <c r="H794" s="1069"/>
      <c r="I794" s="684"/>
      <c r="J794"/>
      <c r="K794"/>
      <c r="L794"/>
      <c r="M794"/>
      <c r="N794"/>
      <c r="O794"/>
      <c r="P794"/>
      <c r="Q794"/>
      <c r="R794"/>
      <c r="S794"/>
      <c r="T794"/>
      <c r="U794"/>
      <c r="X794"/>
      <c r="AB794"/>
      <c r="AC794"/>
      <c r="AF794" s="326">
        <v>1</v>
      </c>
      <c r="AG794" s="59"/>
      <c r="AH794" s="59"/>
      <c r="AI794" s="59"/>
      <c r="AJ794" s="59"/>
      <c r="AK794" s="714" t="str">
        <f>"* contacts "&amp;S.Staff.Subject.Expert.FirstName&amp;" with questions or modifications and when work is complete"</f>
        <v>* contacts Jill with questions or modifications and when work is complete</v>
      </c>
      <c r="AL794" s="76"/>
    </row>
    <row r="795" spans="1:39" s="23" customFormat="1" ht="13.5" customHeight="1" outlineLevel="1" thickBot="1" x14ac:dyDescent="0.25">
      <c r="A795" s="144"/>
      <c r="B795" s="254" t="str">
        <f t="shared" si="146"/>
        <v>AndreaG lets Jill know when work is complete</v>
      </c>
      <c r="C795" s="247"/>
      <c r="G795" s="719"/>
      <c r="H795" s="720"/>
      <c r="I795" s="684"/>
      <c r="AF795" s="326">
        <v>1</v>
      </c>
      <c r="AG795" s="59"/>
      <c r="AH795" s="59"/>
      <c r="AI795" s="59"/>
      <c r="AJ795" s="59"/>
      <c r="AK795" s="714" t="str">
        <f>S.Staff.RG.Lead.FirstName&amp;" lets "&amp;S.Staff.Subject.Expert.FirstName&amp;" know when work is complete"</f>
        <v>AndreaG lets Jill know when work is complete</v>
      </c>
      <c r="AL795" s="76"/>
    </row>
    <row r="796" spans="1:39" s="23" customFormat="1" ht="14.1" hidden="1" customHeight="1" outlineLevel="2" x14ac:dyDescent="0.2">
      <c r="A796" s="144"/>
      <c r="B796" s="406" t="s">
        <v>168</v>
      </c>
      <c r="C796" s="484" t="s">
        <v>0</v>
      </c>
      <c r="D796" s="654"/>
      <c r="E796" s="654"/>
      <c r="F796"/>
      <c r="G796" s="256">
        <f t="shared" ref="G796" si="147">AG796</f>
        <v>41897</v>
      </c>
      <c r="H796" s="256">
        <f t="shared" ref="H796" si="148">AH796</f>
        <v>42033</v>
      </c>
      <c r="I796" s="684"/>
      <c r="J796"/>
      <c r="K796"/>
      <c r="L796"/>
      <c r="M796"/>
      <c r="N796"/>
      <c r="O796"/>
      <c r="P796"/>
      <c r="Q796"/>
      <c r="R796"/>
      <c r="S796"/>
      <c r="T796"/>
      <c r="U796"/>
      <c r="X796"/>
      <c r="AB796"/>
      <c r="AC796"/>
      <c r="AF796" s="326">
        <v>1</v>
      </c>
      <c r="AG796" s="60">
        <f>S.Default6</f>
        <v>41897</v>
      </c>
      <c r="AH796" s="60">
        <f>S.EQC.SubmitStaffRpt</f>
        <v>42033</v>
      </c>
      <c r="AI796" s="59"/>
      <c r="AJ796" s="152"/>
      <c r="AK796" s="44"/>
      <c r="AL796" s="76"/>
    </row>
    <row r="797" spans="1:39" s="23" customFormat="1" ht="14.1" hidden="1" customHeight="1" outlineLevel="2" x14ac:dyDescent="0.2">
      <c r="A797" s="144"/>
      <c r="B797" s="406" t="s">
        <v>168</v>
      </c>
      <c r="C797" s="484" t="s">
        <v>0</v>
      </c>
      <c r="D797" s="654"/>
      <c r="E797" s="654"/>
      <c r="F797"/>
      <c r="G797" s="256">
        <f t="shared" ref="G797" si="149">AG797</f>
        <v>41897</v>
      </c>
      <c r="H797" s="256">
        <f t="shared" ref="H797" si="150">AH797</f>
        <v>42033</v>
      </c>
      <c r="I797" s="684"/>
      <c r="J797"/>
      <c r="K797"/>
      <c r="L797"/>
      <c r="M797"/>
      <c r="N797"/>
      <c r="O797"/>
      <c r="P797"/>
      <c r="Q797"/>
      <c r="R797"/>
      <c r="S797"/>
      <c r="T797"/>
      <c r="U797"/>
      <c r="X797"/>
      <c r="AB797"/>
      <c r="AC797"/>
      <c r="AF797" s="326">
        <v>1</v>
      </c>
      <c r="AG797" s="60">
        <f>S.Default6</f>
        <v>41897</v>
      </c>
      <c r="AH797" s="60">
        <f>S.EQC.SubmitStaffRpt</f>
        <v>42033</v>
      </c>
      <c r="AI797" s="59"/>
      <c r="AJ797" s="152"/>
      <c r="AK797" s="44"/>
      <c r="AL797" s="76"/>
    </row>
    <row r="798" spans="1:39" s="23" customFormat="1" ht="14.1" hidden="1" customHeight="1" outlineLevel="2" x14ac:dyDescent="0.2">
      <c r="A798" s="144"/>
      <c r="B798" s="406" t="s">
        <v>167</v>
      </c>
      <c r="C798" s="484" t="s">
        <v>0</v>
      </c>
      <c r="D798" s="654"/>
      <c r="E798" s="654"/>
      <c r="F798"/>
      <c r="G798" s="256">
        <f t="shared" ref="G798" si="151">AG798</f>
        <v>41897</v>
      </c>
      <c r="H798" s="256">
        <f t="shared" ref="H798" si="152">AH798</f>
        <v>42033</v>
      </c>
      <c r="I798" s="684"/>
      <c r="J798"/>
      <c r="K798"/>
      <c r="L798"/>
      <c r="M798"/>
      <c r="N798"/>
      <c r="O798"/>
      <c r="P798"/>
      <c r="Q798"/>
      <c r="R798"/>
      <c r="S798"/>
      <c r="T798"/>
      <c r="U798"/>
      <c r="X798"/>
      <c r="AB798"/>
      <c r="AC798"/>
      <c r="AF798" s="326">
        <v>1</v>
      </c>
      <c r="AG798" s="60">
        <f>S.Default6</f>
        <v>41897</v>
      </c>
      <c r="AH798" s="60">
        <f>S.EQC.SubmitStaffRpt</f>
        <v>42033</v>
      </c>
      <c r="AI798" s="59"/>
      <c r="AJ798" s="152"/>
      <c r="AK798" s="44"/>
      <c r="AL798" s="76"/>
    </row>
    <row r="799" spans="1:39" ht="14.1" hidden="1" customHeight="1" outlineLevel="3" thickBot="1" x14ac:dyDescent="0.25">
      <c r="A799" s="144"/>
      <c r="B799" s="405" t="s">
        <v>170</v>
      </c>
      <c r="C799" s="420" t="s">
        <v>16</v>
      </c>
      <c r="D799" s="248"/>
      <c r="E799" s="248"/>
      <c r="F799"/>
      <c r="G799" s="256">
        <f t="shared" ref="G799:H816" si="153">AG799</f>
        <v>0</v>
      </c>
      <c r="H799" s="256">
        <f t="shared" si="153"/>
        <v>0</v>
      </c>
      <c r="I799" s="684"/>
      <c r="AF799" s="326">
        <f>IF(S.EQC.ApprovePacketLoop1="Y",1,0)</f>
        <v>1</v>
      </c>
      <c r="AG799" s="60">
        <f>IF(AF799=0,,H782)</f>
        <v>0</v>
      </c>
      <c r="AH799" s="60">
        <f t="shared" ref="AH799:AH810" si="154">IF(AF799=0,,S.EQC.PacketBeginReview)</f>
        <v>0</v>
      </c>
      <c r="AI799" s="59"/>
      <c r="AJ799" s="44"/>
      <c r="AK799" s="44"/>
      <c r="AL799" s="76"/>
      <c r="AM799"/>
    </row>
    <row r="800" spans="1:39" s="23" customFormat="1" ht="14.1" hidden="1" customHeight="1" outlineLevel="3" x14ac:dyDescent="0.2">
      <c r="A800" s="144"/>
      <c r="B800" s="407" t="s">
        <v>169</v>
      </c>
      <c r="C800" s="484" t="s">
        <v>0</v>
      </c>
      <c r="D800" s="654"/>
      <c r="E800" s="654"/>
      <c r="F800"/>
      <c r="G800" s="256">
        <f t="shared" si="153"/>
        <v>0</v>
      </c>
      <c r="H800" s="256">
        <f t="shared" si="153"/>
        <v>0</v>
      </c>
      <c r="I800" s="684"/>
      <c r="J800"/>
      <c r="K800"/>
      <c r="L800"/>
      <c r="M800"/>
      <c r="N800"/>
      <c r="O800"/>
      <c r="P800"/>
      <c r="Q800"/>
      <c r="R800"/>
      <c r="S800"/>
      <c r="T800"/>
      <c r="U800"/>
      <c r="X800"/>
      <c r="AB800"/>
      <c r="AC800"/>
      <c r="AF800" s="326">
        <f>IF(S.EQC.ApprovePacketLoop1="Y",1,0)</f>
        <v>1</v>
      </c>
      <c r="AG800" s="60">
        <f>IF(AF800=0,,S.EQC.PacketBeginReview)</f>
        <v>0</v>
      </c>
      <c r="AH800" s="60">
        <f t="shared" si="154"/>
        <v>0</v>
      </c>
      <c r="AI800" s="59"/>
      <c r="AJ800" s="152"/>
      <c r="AK800" s="44"/>
      <c r="AL800" s="76"/>
    </row>
    <row r="801" spans="1:39" s="23" customFormat="1" ht="14.1" hidden="1" customHeight="1" outlineLevel="3" x14ac:dyDescent="0.2">
      <c r="A801" s="144"/>
      <c r="B801" s="407" t="s">
        <v>169</v>
      </c>
      <c r="C801" s="484" t="s">
        <v>0</v>
      </c>
      <c r="D801" s="654"/>
      <c r="E801" s="654"/>
      <c r="F801"/>
      <c r="G801" s="256">
        <f t="shared" ref="G801" si="155">AG801</f>
        <v>0</v>
      </c>
      <c r="H801" s="256">
        <f t="shared" ref="H801" si="156">AH801</f>
        <v>0</v>
      </c>
      <c r="I801" s="684"/>
      <c r="J801"/>
      <c r="K801"/>
      <c r="L801"/>
      <c r="M801"/>
      <c r="N801"/>
      <c r="O801"/>
      <c r="P801"/>
      <c r="Q801"/>
      <c r="R801"/>
      <c r="S801"/>
      <c r="T801"/>
      <c r="U801"/>
      <c r="X801"/>
      <c r="AB801"/>
      <c r="AC801"/>
      <c r="AF801" s="326">
        <f>IF(S.EQC.ApprovePacketLoop1="Y",1,0)</f>
        <v>1</v>
      </c>
      <c r="AG801" s="60">
        <f>IF(AF801=0,,S.EQC.PacketBeginReview)</f>
        <v>0</v>
      </c>
      <c r="AH801" s="60">
        <f t="shared" si="154"/>
        <v>0</v>
      </c>
      <c r="AI801" s="59"/>
      <c r="AJ801" s="152"/>
      <c r="AK801" s="44"/>
      <c r="AL801" s="76"/>
    </row>
    <row r="802" spans="1:39" s="23" customFormat="1" ht="14.1" hidden="1" customHeight="1" outlineLevel="3" thickBot="1" x14ac:dyDescent="0.25">
      <c r="A802" s="144"/>
      <c r="B802" s="407" t="s">
        <v>169</v>
      </c>
      <c r="C802" s="484" t="s">
        <v>0</v>
      </c>
      <c r="D802" s="654"/>
      <c r="E802" s="654"/>
      <c r="F802"/>
      <c r="G802" s="256">
        <f t="shared" ref="G802" si="157">AG802</f>
        <v>0</v>
      </c>
      <c r="H802" s="256">
        <f t="shared" ref="H802" si="158">AH802</f>
        <v>0</v>
      </c>
      <c r="I802" s="684"/>
      <c r="J802"/>
      <c r="K802"/>
      <c r="L802"/>
      <c r="M802"/>
      <c r="N802"/>
      <c r="O802"/>
      <c r="P802"/>
      <c r="Q802"/>
      <c r="R802"/>
      <c r="S802"/>
      <c r="T802"/>
      <c r="U802"/>
      <c r="X802"/>
      <c r="AB802"/>
      <c r="AC802"/>
      <c r="AF802" s="326">
        <f>IF(S.EQC.ApprovePacketLoop1="Y",1,0)</f>
        <v>1</v>
      </c>
      <c r="AG802" s="60">
        <f>IF(AF802=0,,S.EQC.PacketBeginReview)</f>
        <v>0</v>
      </c>
      <c r="AH802" s="60">
        <f t="shared" si="154"/>
        <v>0</v>
      </c>
      <c r="AI802" s="59"/>
      <c r="AJ802" s="152"/>
      <c r="AK802" s="44"/>
      <c r="AL802" s="76"/>
    </row>
    <row r="803" spans="1:39" ht="14.1" hidden="1" customHeight="1" outlineLevel="3" thickBot="1" x14ac:dyDescent="0.25">
      <c r="A803" s="144"/>
      <c r="B803" s="408" t="s">
        <v>171</v>
      </c>
      <c r="C803" s="420" t="s">
        <v>16</v>
      </c>
      <c r="D803" s="248"/>
      <c r="E803" s="248"/>
      <c r="F803"/>
      <c r="G803" s="256">
        <f t="shared" si="153"/>
        <v>0</v>
      </c>
      <c r="H803" s="256">
        <f t="shared" si="153"/>
        <v>0</v>
      </c>
      <c r="I803" s="684"/>
      <c r="AF803" s="326">
        <f>IF(S.EQC.ApprovePacketLoop2="Y",1,0)</f>
        <v>1</v>
      </c>
      <c r="AG803" s="60">
        <f>IF(AF803=0,,H799)</f>
        <v>0</v>
      </c>
      <c r="AH803" s="60">
        <f t="shared" si="154"/>
        <v>0</v>
      </c>
      <c r="AI803" s="59"/>
      <c r="AJ803" s="44"/>
      <c r="AK803" s="44"/>
      <c r="AL803" s="76"/>
      <c r="AM803"/>
    </row>
    <row r="804" spans="1:39" s="23" customFormat="1" ht="14.1" hidden="1" customHeight="1" outlineLevel="3" x14ac:dyDescent="0.2">
      <c r="A804" s="144"/>
      <c r="B804" s="409" t="s">
        <v>169</v>
      </c>
      <c r="C804" s="484" t="s">
        <v>0</v>
      </c>
      <c r="D804" s="654"/>
      <c r="E804" s="654"/>
      <c r="F804"/>
      <c r="G804" s="256">
        <f t="shared" ref="G804:G806" si="159">AG804</f>
        <v>0</v>
      </c>
      <c r="H804" s="256">
        <f t="shared" ref="H804:H806" si="160">AH804</f>
        <v>0</v>
      </c>
      <c r="I804" s="684"/>
      <c r="J804"/>
      <c r="K804"/>
      <c r="L804"/>
      <c r="M804"/>
      <c r="N804"/>
      <c r="O804"/>
      <c r="P804"/>
      <c r="Q804"/>
      <c r="R804"/>
      <c r="S804"/>
      <c r="T804"/>
      <c r="U804"/>
      <c r="X804"/>
      <c r="AB804"/>
      <c r="AC804"/>
      <c r="AF804" s="326">
        <f>IF(S.EQC.ApprovePacketLoop2="Y",1,0)</f>
        <v>1</v>
      </c>
      <c r="AG804" s="60">
        <f>IF(AF804=0,,G803)</f>
        <v>0</v>
      </c>
      <c r="AH804" s="60">
        <f t="shared" si="154"/>
        <v>0</v>
      </c>
      <c r="AI804" s="59"/>
      <c r="AJ804" s="152"/>
      <c r="AK804" s="44"/>
      <c r="AL804" s="76"/>
    </row>
    <row r="805" spans="1:39" s="23" customFormat="1" ht="14.1" hidden="1" customHeight="1" outlineLevel="3" x14ac:dyDescent="0.2">
      <c r="A805" s="144"/>
      <c r="B805" s="409" t="s">
        <v>169</v>
      </c>
      <c r="C805" s="484" t="s">
        <v>0</v>
      </c>
      <c r="D805" s="654"/>
      <c r="E805" s="654"/>
      <c r="F805"/>
      <c r="G805" s="256">
        <f t="shared" si="159"/>
        <v>0</v>
      </c>
      <c r="H805" s="256">
        <f t="shared" si="160"/>
        <v>0</v>
      </c>
      <c r="I805" s="684"/>
      <c r="J805"/>
      <c r="K805"/>
      <c r="L805"/>
      <c r="M805"/>
      <c r="N805"/>
      <c r="O805"/>
      <c r="P805"/>
      <c r="Q805"/>
      <c r="R805"/>
      <c r="S805"/>
      <c r="T805"/>
      <c r="U805"/>
      <c r="X805"/>
      <c r="AB805"/>
      <c r="AC805"/>
      <c r="AF805" s="326">
        <f>IF(S.EQC.ApprovePacketLoop2="Y",1,0)</f>
        <v>1</v>
      </c>
      <c r="AG805" s="60">
        <f>IF(AF805=0,,G803)</f>
        <v>0</v>
      </c>
      <c r="AH805" s="60">
        <f t="shared" si="154"/>
        <v>0</v>
      </c>
      <c r="AI805" s="59"/>
      <c r="AJ805" s="152"/>
      <c r="AK805" s="44"/>
      <c r="AL805" s="76"/>
    </row>
    <row r="806" spans="1:39" s="23" customFormat="1" ht="14.1" hidden="1" customHeight="1" outlineLevel="3" thickBot="1" x14ac:dyDescent="0.25">
      <c r="A806" s="144"/>
      <c r="B806" s="409" t="s">
        <v>169</v>
      </c>
      <c r="C806" s="484" t="s">
        <v>0</v>
      </c>
      <c r="D806" s="654"/>
      <c r="E806" s="654"/>
      <c r="F806"/>
      <c r="G806" s="256">
        <f t="shared" si="159"/>
        <v>0</v>
      </c>
      <c r="H806" s="256">
        <f t="shared" si="160"/>
        <v>0</v>
      </c>
      <c r="I806" s="684"/>
      <c r="J806"/>
      <c r="K806"/>
      <c r="L806"/>
      <c r="M806"/>
      <c r="N806"/>
      <c r="O806"/>
      <c r="P806"/>
      <c r="Q806"/>
      <c r="R806"/>
      <c r="S806"/>
      <c r="T806"/>
      <c r="U806"/>
      <c r="X806"/>
      <c r="AB806"/>
      <c r="AC806"/>
      <c r="AF806" s="326">
        <f>IF(S.EQC.ApprovePacketLoop2="Y",1,0)</f>
        <v>1</v>
      </c>
      <c r="AG806" s="60">
        <f>IF(AF806=0,,G803)</f>
        <v>0</v>
      </c>
      <c r="AH806" s="60">
        <f t="shared" si="154"/>
        <v>0</v>
      </c>
      <c r="AI806" s="59"/>
      <c r="AJ806" s="152"/>
      <c r="AK806" s="44"/>
      <c r="AL806" s="76"/>
    </row>
    <row r="807" spans="1:39" ht="14.1" hidden="1" customHeight="1" outlineLevel="3" thickBot="1" x14ac:dyDescent="0.25">
      <c r="A807" s="144"/>
      <c r="B807" s="410" t="s">
        <v>172</v>
      </c>
      <c r="C807" s="420" t="s">
        <v>16</v>
      </c>
      <c r="D807" s="248"/>
      <c r="E807" s="248"/>
      <c r="F807"/>
      <c r="G807" s="256">
        <f t="shared" si="153"/>
        <v>0</v>
      </c>
      <c r="H807" s="256">
        <f t="shared" si="153"/>
        <v>0</v>
      </c>
      <c r="I807" s="684"/>
      <c r="AF807" s="326">
        <f>IF(S.EQC.ApprovePacketLoop3="Y",1,0)</f>
        <v>1</v>
      </c>
      <c r="AG807" s="60">
        <f>IF(AF807=0,,H803)</f>
        <v>0</v>
      </c>
      <c r="AH807" s="60">
        <f t="shared" si="154"/>
        <v>0</v>
      </c>
      <c r="AI807" s="59"/>
      <c r="AJ807" s="44"/>
      <c r="AK807" s="44"/>
      <c r="AL807" s="76"/>
      <c r="AM807"/>
    </row>
    <row r="808" spans="1:39" s="23" customFormat="1" ht="14.1" hidden="1" customHeight="1" outlineLevel="3" x14ac:dyDescent="0.2">
      <c r="A808" s="144"/>
      <c r="B808" s="411" t="s">
        <v>169</v>
      </c>
      <c r="C808" s="484" t="s">
        <v>0</v>
      </c>
      <c r="D808" s="654"/>
      <c r="E808" s="654"/>
      <c r="F808"/>
      <c r="G808" s="256">
        <f t="shared" si="153"/>
        <v>0</v>
      </c>
      <c r="H808" s="256">
        <f t="shared" si="153"/>
        <v>0</v>
      </c>
      <c r="I808" s="684"/>
      <c r="J808"/>
      <c r="K808"/>
      <c r="L808"/>
      <c r="M808"/>
      <c r="N808"/>
      <c r="O808"/>
      <c r="P808"/>
      <c r="Q808"/>
      <c r="R808"/>
      <c r="S808"/>
      <c r="T808"/>
      <c r="U808"/>
      <c r="X808"/>
      <c r="AB808"/>
      <c r="AC808"/>
      <c r="AF808" s="326">
        <f>IF(S.EQC.ApprovePacketLoop3="Y",1,0)</f>
        <v>1</v>
      </c>
      <c r="AG808" s="60">
        <f>IF(AF808=0,,G807)</f>
        <v>0</v>
      </c>
      <c r="AH808" s="60">
        <f t="shared" si="154"/>
        <v>0</v>
      </c>
      <c r="AI808" s="59"/>
      <c r="AJ808" s="152"/>
      <c r="AK808" s="44"/>
      <c r="AL808" s="76"/>
    </row>
    <row r="809" spans="1:39" s="23" customFormat="1" ht="14.1" hidden="1" customHeight="1" outlineLevel="3" x14ac:dyDescent="0.2">
      <c r="A809" s="144"/>
      <c r="B809" s="411" t="s">
        <v>169</v>
      </c>
      <c r="C809" s="484" t="s">
        <v>0</v>
      </c>
      <c r="D809" s="654"/>
      <c r="E809" s="654"/>
      <c r="F809"/>
      <c r="G809" s="256">
        <f t="shared" si="153"/>
        <v>0</v>
      </c>
      <c r="H809" s="256">
        <f t="shared" si="153"/>
        <v>0</v>
      </c>
      <c r="I809" s="684"/>
      <c r="J809"/>
      <c r="K809"/>
      <c r="L809"/>
      <c r="M809"/>
      <c r="N809"/>
      <c r="O809"/>
      <c r="P809"/>
      <c r="Q809"/>
      <c r="R809"/>
      <c r="S809"/>
      <c r="T809"/>
      <c r="U809"/>
      <c r="X809"/>
      <c r="AB809"/>
      <c r="AC809"/>
      <c r="AF809" s="326">
        <f>IF(S.EQC.ApprovePacketLoop3="Y",1,0)</f>
        <v>1</v>
      </c>
      <c r="AG809" s="60">
        <f>IF(AF809=0,,G807)</f>
        <v>0</v>
      </c>
      <c r="AH809" s="60">
        <f t="shared" si="154"/>
        <v>0</v>
      </c>
      <c r="AI809" s="59"/>
      <c r="AJ809" s="152"/>
      <c r="AK809" s="44"/>
      <c r="AL809" s="76"/>
    </row>
    <row r="810" spans="1:39" s="23" customFormat="1" ht="14.1" hidden="1" customHeight="1" outlineLevel="3" x14ac:dyDescent="0.2">
      <c r="A810" s="144"/>
      <c r="B810" s="411" t="s">
        <v>169</v>
      </c>
      <c r="C810" s="484" t="s">
        <v>0</v>
      </c>
      <c r="D810" s="654"/>
      <c r="E810" s="654"/>
      <c r="F810"/>
      <c r="G810" s="256">
        <f t="shared" si="153"/>
        <v>0</v>
      </c>
      <c r="H810" s="256">
        <f t="shared" si="153"/>
        <v>0</v>
      </c>
      <c r="I810" s="684"/>
      <c r="J810"/>
      <c r="K810"/>
      <c r="L810"/>
      <c r="M810"/>
      <c r="N810"/>
      <c r="O810"/>
      <c r="P810"/>
      <c r="Q810"/>
      <c r="R810"/>
      <c r="S810"/>
      <c r="T810"/>
      <c r="U810"/>
      <c r="X810"/>
      <c r="AB810"/>
      <c r="AC810"/>
      <c r="AF810" s="326">
        <f>IF(S.EQC.ApprovePacketLoop3="Y",1,0)</f>
        <v>1</v>
      </c>
      <c r="AG810" s="60">
        <f>IF(AF810=0,,G807)</f>
        <v>0</v>
      </c>
      <c r="AH810" s="60">
        <f t="shared" si="154"/>
        <v>0</v>
      </c>
      <c r="AI810" s="59"/>
      <c r="AJ810" s="152"/>
      <c r="AK810" s="44"/>
      <c r="AL810" s="76"/>
    </row>
    <row r="811" spans="1:39" s="961" customFormat="1" ht="14.1" customHeight="1" outlineLevel="3" thickTop="1" x14ac:dyDescent="0.2">
      <c r="A811" s="144"/>
      <c r="B811" s="411"/>
      <c r="C811" s="484"/>
      <c r="D811" s="644"/>
      <c r="E811" s="654"/>
      <c r="F811" s="644"/>
      <c r="G811" s="644"/>
      <c r="H811" s="644"/>
      <c r="I811" s="684"/>
      <c r="AF811" s="326"/>
      <c r="AG811" s="60"/>
      <c r="AH811" s="60"/>
      <c r="AI811" s="59"/>
      <c r="AJ811" s="152"/>
      <c r="AK811" s="44"/>
      <c r="AL811" s="76"/>
    </row>
    <row r="812" spans="1:39" s="961" customFormat="1" ht="14.1" customHeight="1" outlineLevel="2" x14ac:dyDescent="0.2">
      <c r="A812" s="144" t="s">
        <v>0</v>
      </c>
      <c r="B812" s="1050" t="s">
        <v>735</v>
      </c>
      <c r="C812" s="489" t="s">
        <v>0</v>
      </c>
      <c r="D812" s="490"/>
      <c r="E812" s="490"/>
      <c r="G812" s="256">
        <f t="shared" si="153"/>
        <v>41997</v>
      </c>
      <c r="H812" s="256">
        <f t="shared" si="153"/>
        <v>42013</v>
      </c>
      <c r="I812" s="684"/>
      <c r="AF812" s="326">
        <f>IF(S.EQC.DirReport="Y",1,0)</f>
        <v>1</v>
      </c>
      <c r="AG812" s="60">
        <f>AG824-16</f>
        <v>41997</v>
      </c>
      <c r="AH812" s="60">
        <f>AG824</f>
        <v>42013</v>
      </c>
      <c r="AI812" s="59"/>
      <c r="AJ812" s="44"/>
      <c r="AK812" s="67" t="str">
        <f>IF(S.EQC.DirReport="N","* no Director's Report","* drafts content of Director's Report to EQC")</f>
        <v>* drafts content of Director's Report to EQC</v>
      </c>
      <c r="AL812" s="76"/>
    </row>
    <row r="813" spans="1:39" s="961" customFormat="1" ht="14.1" customHeight="1" outlineLevel="3" x14ac:dyDescent="0.2">
      <c r="A813" s="144"/>
      <c r="B813" s="411"/>
      <c r="C813" s="484"/>
      <c r="D813" s="825"/>
      <c r="E813" s="825"/>
      <c r="G813" s="1053"/>
      <c r="H813" s="1053"/>
      <c r="I813" s="684"/>
      <c r="AF813" s="326"/>
      <c r="AG813" s="60"/>
      <c r="AH813" s="60"/>
      <c r="AI813" s="59"/>
      <c r="AJ813" s="152"/>
      <c r="AK813" s="44"/>
      <c r="AL813" s="76"/>
    </row>
    <row r="814" spans="1:39" s="961" customFormat="1" ht="14.1" customHeight="1" outlineLevel="3" x14ac:dyDescent="0.2">
      <c r="A814" s="144"/>
      <c r="B814" s="411"/>
      <c r="C814" s="484"/>
      <c r="E814" s="825"/>
      <c r="G814" s="1053"/>
      <c r="H814" s="1053"/>
      <c r="I814" s="684"/>
      <c r="AF814" s="326"/>
      <c r="AG814" s="60"/>
      <c r="AH814" s="60"/>
      <c r="AI814" s="59"/>
      <c r="AJ814" s="152"/>
      <c r="AK814" s="44"/>
      <c r="AL814" s="76"/>
    </row>
    <row r="815" spans="1:39" s="23" customFormat="1" ht="14.1" customHeight="1" outlineLevel="2" thickBot="1" x14ac:dyDescent="0.25">
      <c r="A815" s="144" t="s">
        <v>0</v>
      </c>
      <c r="B815" s="1062" t="str">
        <f>AK815</f>
        <v>Jill:</v>
      </c>
      <c r="C815" s="484" t="s">
        <v>0</v>
      </c>
      <c r="D815" s="658"/>
      <c r="E815" s="640"/>
      <c r="F815"/>
      <c r="G815"/>
      <c r="H815"/>
      <c r="I815" s="684"/>
      <c r="J815"/>
      <c r="K815"/>
      <c r="L815"/>
      <c r="M815"/>
      <c r="N815"/>
      <c r="O815"/>
      <c r="P815"/>
      <c r="Q815"/>
      <c r="R815"/>
      <c r="S815"/>
      <c r="T815"/>
      <c r="U815"/>
      <c r="X815"/>
      <c r="AB815"/>
      <c r="AC815"/>
      <c r="AF815" s="326">
        <v>1</v>
      </c>
      <c r="AG815" s="76"/>
      <c r="AH815" s="76"/>
      <c r="AI815" s="59"/>
      <c r="AJ815" s="44"/>
      <c r="AK815" s="67" t="str">
        <f>S.Staff.Subject.Expert.FirstName&amp;":"</f>
        <v>Jill:</v>
      </c>
      <c r="AL815" s="76"/>
    </row>
    <row r="816" spans="1:39" s="23" customFormat="1" ht="14.1" customHeight="1" outlineLevel="2" thickBot="1" x14ac:dyDescent="0.25">
      <c r="A816" s="144"/>
      <c r="B816" s="1052" t="str">
        <f>AK816</f>
        <v>* discusses need for 1|1 commissioners briefings with Leah &amp; Lydia</v>
      </c>
      <c r="C816" s="420" t="s">
        <v>16</v>
      </c>
      <c r="D816" s="659"/>
      <c r="E816" s="659"/>
      <c r="F816"/>
      <c r="G816" s="256">
        <f t="shared" si="153"/>
        <v>41897</v>
      </c>
      <c r="H816" s="256">
        <f t="shared" si="153"/>
        <v>42033</v>
      </c>
      <c r="I816" s="684"/>
      <c r="J816"/>
      <c r="K816"/>
      <c r="L816"/>
      <c r="M816"/>
      <c r="N816"/>
      <c r="O816"/>
      <c r="P816"/>
      <c r="Q816"/>
      <c r="R816"/>
      <c r="S816"/>
      <c r="T816"/>
      <c r="U816"/>
      <c r="X816"/>
      <c r="AB816"/>
      <c r="AC816"/>
      <c r="AF816" s="326">
        <f t="shared" ref="AF816:AF821" si="161">IF(S.EQC.1on1Briefing="Y",1,0)</f>
        <v>1</v>
      </c>
      <c r="AG816" s="60">
        <f>S.Default6</f>
        <v>41897</v>
      </c>
      <c r="AH816" s="60">
        <f>IF(AF816=0,,S.EQC.SubmitStaffRpt)</f>
        <v>42033</v>
      </c>
      <c r="AI816" s="59"/>
      <c r="AJ816" s="152"/>
      <c r="AK816" s="67" t="str">
        <f>"* discusses need for 1|1 commissioners briefings with "&amp;S.Staff.Program.Mgr.FirstName&amp;" &amp; "&amp;S.Staff.Assistant.DA.ShortName</f>
        <v>* discusses need for 1|1 commissioners briefings with Leah &amp; Lydia</v>
      </c>
      <c r="AL816" s="76"/>
    </row>
    <row r="817" spans="1:39" s="23" customFormat="1" ht="14.1" customHeight="1" outlineLevel="2" x14ac:dyDescent="0.2">
      <c r="A817" s="144"/>
      <c r="B817" s="833" t="s">
        <v>612</v>
      </c>
      <c r="C817" s="1012" t="s">
        <v>276</v>
      </c>
      <c r="D817" s="1012"/>
      <c r="E817" s="1012"/>
      <c r="F817" s="1012"/>
      <c r="G817" s="1012"/>
      <c r="H817" s="1012"/>
      <c r="I817" s="869"/>
      <c r="J817" s="832"/>
      <c r="K817" s="832"/>
      <c r="L817" s="832"/>
      <c r="M817" s="832"/>
      <c r="N817" s="832"/>
      <c r="O817" s="832"/>
      <c r="P817" s="832"/>
      <c r="Q817" s="832"/>
      <c r="R817" s="832"/>
      <c r="S817" s="832"/>
      <c r="T817" s="832"/>
      <c r="U817" s="832"/>
      <c r="V817" s="832"/>
      <c r="W817" s="832"/>
      <c r="X817" s="832"/>
      <c r="Y817" s="832"/>
      <c r="Z817" s="832"/>
      <c r="AA817" s="832"/>
      <c r="AB817" s="832"/>
      <c r="AC817" s="832"/>
      <c r="AD817" s="832"/>
      <c r="AF817" s="326">
        <f t="shared" si="161"/>
        <v>1</v>
      </c>
      <c r="AG817" s="80"/>
      <c r="AH817" s="80"/>
      <c r="AI817" s="59"/>
      <c r="AJ817" s="44"/>
      <c r="AK817" s="44"/>
      <c r="AL817" s="76"/>
    </row>
    <row r="818" spans="1:39" s="23" customFormat="1" ht="14.1" customHeight="1" outlineLevel="2" x14ac:dyDescent="0.2">
      <c r="A818" s="144"/>
      <c r="B818" s="833" t="s">
        <v>612</v>
      </c>
      <c r="C818" s="1012" t="s">
        <v>223</v>
      </c>
      <c r="D818" s="1012"/>
      <c r="E818" s="1012"/>
      <c r="F818" s="1012"/>
      <c r="G818" s="1012"/>
      <c r="H818" s="1012"/>
      <c r="I818" s="869"/>
      <c r="J818" s="832"/>
      <c r="K818" s="832"/>
      <c r="L818" s="832"/>
      <c r="M818" s="832"/>
      <c r="N818" s="832"/>
      <c r="O818" s="832"/>
      <c r="P818" s="832"/>
      <c r="Q818" s="832"/>
      <c r="R818" s="832"/>
      <c r="S818" s="832"/>
      <c r="T818" s="832"/>
      <c r="U818" s="832"/>
      <c r="V818" s="832"/>
      <c r="W818" s="832"/>
      <c r="X818" s="832"/>
      <c r="Y818" s="832"/>
      <c r="Z818" s="832"/>
      <c r="AA818" s="832"/>
      <c r="AB818" s="832"/>
      <c r="AC818" s="832"/>
      <c r="AD818" s="832"/>
      <c r="AF818" s="326">
        <f t="shared" si="161"/>
        <v>1</v>
      </c>
      <c r="AG818" s="80"/>
      <c r="AH818" s="80"/>
      <c r="AI818" s="59"/>
      <c r="AJ818" s="44"/>
      <c r="AK818" s="44"/>
      <c r="AL818" s="76"/>
    </row>
    <row r="819" spans="1:39" s="23" customFormat="1" ht="14.1" customHeight="1" outlineLevel="2" x14ac:dyDescent="0.2">
      <c r="A819" s="144"/>
      <c r="B819" s="833" t="s">
        <v>612</v>
      </c>
      <c r="C819" s="1012" t="s">
        <v>224</v>
      </c>
      <c r="D819" s="1012"/>
      <c r="E819" s="1012"/>
      <c r="F819" s="1012"/>
      <c r="G819" s="1012"/>
      <c r="H819" s="1012"/>
      <c r="I819" s="1012"/>
      <c r="J819" s="1012"/>
      <c r="K819" s="1012"/>
      <c r="L819" s="1012"/>
      <c r="M819" s="1012"/>
      <c r="N819" s="1012"/>
      <c r="O819" s="1012"/>
      <c r="P819" s="1012"/>
      <c r="Q819" s="1012"/>
      <c r="R819" s="1012"/>
      <c r="S819" s="1012"/>
      <c r="T819" s="1012"/>
      <c r="U819" s="1012"/>
      <c r="V819" s="1012"/>
      <c r="W819" s="1012"/>
      <c r="X819" s="1012"/>
      <c r="Y819" s="1012"/>
      <c r="Z819" s="1012"/>
      <c r="AA819" s="1012"/>
      <c r="AB819" s="1012"/>
      <c r="AC819" s="1012"/>
      <c r="AD819" s="1012"/>
      <c r="AF819" s="326">
        <f t="shared" si="161"/>
        <v>1</v>
      </c>
      <c r="AG819" s="80"/>
      <c r="AH819" s="80"/>
      <c r="AI819" s="59"/>
      <c r="AJ819" s="44"/>
      <c r="AK819" s="44"/>
      <c r="AL819" s="76"/>
    </row>
    <row r="820" spans="1:39" s="23" customFormat="1" ht="14.1" customHeight="1" outlineLevel="2" x14ac:dyDescent="0.2">
      <c r="A820" s="144"/>
      <c r="B820" s="833" t="s">
        <v>612</v>
      </c>
      <c r="C820" s="1012" t="s">
        <v>225</v>
      </c>
      <c r="D820" s="1012"/>
      <c r="E820" s="1012"/>
      <c r="F820" s="1012"/>
      <c r="G820" s="1012"/>
      <c r="H820" s="1012"/>
      <c r="I820" s="1012"/>
      <c r="J820" s="1012"/>
      <c r="K820" s="1012"/>
      <c r="L820" s="1012"/>
      <c r="M820" s="1012"/>
      <c r="N820" s="1012"/>
      <c r="O820" s="1012"/>
      <c r="P820" s="1012"/>
      <c r="Q820" s="1012"/>
      <c r="R820" s="1012"/>
      <c r="S820" s="1012"/>
      <c r="T820" s="1012"/>
      <c r="U820" s="1012"/>
      <c r="V820" s="1012"/>
      <c r="W820" s="1012"/>
      <c r="X820" s="1012"/>
      <c r="Y820" s="1012"/>
      <c r="Z820" s="1012"/>
      <c r="AA820" s="1012"/>
      <c r="AB820" s="1012"/>
      <c r="AC820" s="1012"/>
      <c r="AD820" s="1012"/>
      <c r="AF820" s="326">
        <f t="shared" si="161"/>
        <v>1</v>
      </c>
      <c r="AG820" s="80"/>
      <c r="AH820" s="80"/>
      <c r="AI820" s="59"/>
      <c r="AJ820" s="44"/>
      <c r="AK820" s="44"/>
      <c r="AL820" s="76"/>
    </row>
    <row r="821" spans="1:39" s="23" customFormat="1" ht="14.1" customHeight="1" outlineLevel="2" x14ac:dyDescent="0.2">
      <c r="A821" s="144"/>
      <c r="B821" s="833" t="s">
        <v>612</v>
      </c>
      <c r="C821" s="1012" t="s">
        <v>226</v>
      </c>
      <c r="D821" s="1012"/>
      <c r="E821" s="1012"/>
      <c r="F821" s="1012"/>
      <c r="G821" s="1012"/>
      <c r="H821" s="1012"/>
      <c r="I821" s="1012"/>
      <c r="J821" s="1012"/>
      <c r="K821" s="1012"/>
      <c r="L821" s="1012"/>
      <c r="M821" s="1012"/>
      <c r="N821" s="1012"/>
      <c r="O821" s="1012"/>
      <c r="P821" s="1012"/>
      <c r="Q821" s="1012"/>
      <c r="R821" s="1012"/>
      <c r="S821" s="1012"/>
      <c r="T821" s="1012"/>
      <c r="U821" s="1012"/>
      <c r="V821" s="1012"/>
      <c r="W821" s="1012"/>
      <c r="X821" s="1012"/>
      <c r="Y821" s="1012"/>
      <c r="Z821" s="1012"/>
      <c r="AA821" s="1012"/>
      <c r="AB821" s="1012"/>
      <c r="AC821" s="1012"/>
      <c r="AD821" s="1012"/>
      <c r="AF821" s="326">
        <f t="shared" si="161"/>
        <v>1</v>
      </c>
      <c r="AG821" s="80"/>
      <c r="AH821" s="80"/>
      <c r="AI821" s="59"/>
      <c r="AJ821" s="44"/>
      <c r="AK821" s="44"/>
      <c r="AL821" s="76"/>
    </row>
    <row r="822" spans="1:39" s="961" customFormat="1" ht="14.1" customHeight="1" outlineLevel="2" x14ac:dyDescent="0.2">
      <c r="A822" s="144"/>
      <c r="B822" s="833"/>
      <c r="C822" s="960"/>
      <c r="D822" s="960"/>
      <c r="E822" s="960"/>
      <c r="F822" s="960"/>
      <c r="G822" s="960"/>
      <c r="H822" s="960"/>
      <c r="I822" s="960"/>
      <c r="J822" s="960"/>
      <c r="K822" s="960"/>
      <c r="L822" s="960"/>
      <c r="M822" s="960"/>
      <c r="N822" s="960"/>
      <c r="O822" s="960"/>
      <c r="P822" s="960"/>
      <c r="Q822" s="960"/>
      <c r="R822" s="960"/>
      <c r="S822" s="960"/>
      <c r="T822" s="960"/>
      <c r="U822" s="960"/>
      <c r="V822" s="960"/>
      <c r="W822" s="960"/>
      <c r="X822" s="960"/>
      <c r="Y822" s="960"/>
      <c r="Z822" s="960"/>
      <c r="AA822" s="960"/>
      <c r="AB822" s="960"/>
      <c r="AC822" s="960"/>
      <c r="AD822" s="960"/>
      <c r="AF822" s="326"/>
      <c r="AG822" s="80"/>
      <c r="AH822" s="80"/>
      <c r="AI822" s="59"/>
      <c r="AJ822" s="44"/>
      <c r="AK822" s="44"/>
      <c r="AL822" s="76"/>
    </row>
    <row r="823" spans="1:39" ht="14.1" customHeight="1" outlineLevel="2" x14ac:dyDescent="0.2">
      <c r="A823" s="144"/>
      <c r="B823" s="1051" t="s">
        <v>613</v>
      </c>
      <c r="C823" s="481"/>
      <c r="D823" s="644"/>
      <c r="E823" s="644"/>
      <c r="F823"/>
      <c r="G823"/>
      <c r="H823"/>
      <c r="I823" s="684"/>
      <c r="AF823" s="326">
        <v>1</v>
      </c>
      <c r="AG823" s="76"/>
      <c r="AH823" s="76"/>
      <c r="AI823" s="59"/>
      <c r="AJ823" s="44"/>
      <c r="AK823" s="44"/>
      <c r="AL823" s="76"/>
      <c r="AM823"/>
    </row>
    <row r="824" spans="1:39" s="961" customFormat="1" ht="14.1" customHeight="1" outlineLevel="2" x14ac:dyDescent="0.2">
      <c r="A824" s="144"/>
      <c r="B824" s="1061" t="s">
        <v>733</v>
      </c>
      <c r="C824" s="484" t="s">
        <v>0</v>
      </c>
      <c r="D824" s="659"/>
      <c r="E824" s="659"/>
      <c r="G824" s="256">
        <f t="shared" ref="G824" si="162">AG824</f>
        <v>42013</v>
      </c>
      <c r="H824" s="256">
        <f t="shared" ref="H824" si="163">AH824</f>
        <v>42017</v>
      </c>
      <c r="I824" s="684"/>
      <c r="AF824" s="326">
        <v>1</v>
      </c>
      <c r="AG824" s="60">
        <f>S.EQC.SubmitStaffRpt-20</f>
        <v>42013</v>
      </c>
      <c r="AH824" s="60">
        <f>S.EQC.SubmitStaffRpt-16</f>
        <v>42017</v>
      </c>
      <c r="AI824" s="59"/>
      <c r="AJ824" s="152"/>
      <c r="AK824" s="67" t="str">
        <f>"- "&amp;S.Staff.Program.Mgr.FirstName&amp;" for lead manager approval"</f>
        <v>- Leah for lead manager approval</v>
      </c>
      <c r="AL824" s="76"/>
    </row>
    <row r="825" spans="1:39" s="23" customFormat="1" ht="14.1" customHeight="1" outlineLevel="2" x14ac:dyDescent="0.2">
      <c r="A825" s="144"/>
      <c r="B825" s="412" t="str">
        <f>AK825</f>
        <v>- Leah for lead manager approval</v>
      </c>
      <c r="C825" s="484" t="s">
        <v>0</v>
      </c>
      <c r="D825" s="659"/>
      <c r="E825" s="659"/>
      <c r="F825"/>
      <c r="G825" s="256">
        <f t="shared" ref="G825:G826" si="164">AG825</f>
        <v>42020</v>
      </c>
      <c r="H825" s="256">
        <f t="shared" ref="H825:H826" si="165">AH825</f>
        <v>42025</v>
      </c>
      <c r="I825" s="684"/>
      <c r="J825"/>
      <c r="K825"/>
      <c r="L825"/>
      <c r="M825"/>
      <c r="N825"/>
      <c r="O825"/>
      <c r="P825"/>
      <c r="Q825"/>
      <c r="R825"/>
      <c r="S825"/>
      <c r="T825"/>
      <c r="U825"/>
      <c r="X825"/>
      <c r="AB825"/>
      <c r="AC825"/>
      <c r="AF825" s="326">
        <v>1</v>
      </c>
      <c r="AG825" s="60">
        <f>S.EQC.SubmitStaffRpt-13</f>
        <v>42020</v>
      </c>
      <c r="AH825" s="60">
        <f>S.EQC.SubmitStaffRpt-8</f>
        <v>42025</v>
      </c>
      <c r="AI825" s="59"/>
      <c r="AJ825" s="152"/>
      <c r="AK825" s="67" t="str">
        <f>"- "&amp;S.Staff.Program.Mgr.FirstName&amp;" for lead manager approval"</f>
        <v>- Leah for lead manager approval</v>
      </c>
      <c r="AL825" s="76"/>
    </row>
    <row r="826" spans="1:39" s="23" customFormat="1" ht="14.1" customHeight="1" outlineLevel="2" x14ac:dyDescent="0.2">
      <c r="A826" s="144"/>
      <c r="B826" s="412" t="str">
        <f>AK826</f>
        <v>- Lydia for division administrator approval</v>
      </c>
      <c r="C826" s="484" t="s">
        <v>0</v>
      </c>
      <c r="D826" s="659"/>
      <c r="E826" s="659"/>
      <c r="F826"/>
      <c r="G826" s="256">
        <f t="shared" si="164"/>
        <v>42027</v>
      </c>
      <c r="H826" s="256">
        <f t="shared" si="165"/>
        <v>42032</v>
      </c>
      <c r="I826" s="684"/>
      <c r="J826"/>
      <c r="K826"/>
      <c r="L826"/>
      <c r="M826"/>
      <c r="N826"/>
      <c r="O826"/>
      <c r="P826"/>
      <c r="Q826"/>
      <c r="R826"/>
      <c r="S826"/>
      <c r="T826"/>
      <c r="U826"/>
      <c r="X826"/>
      <c r="AB826"/>
      <c r="AC826"/>
      <c r="AF826" s="326">
        <v>1</v>
      </c>
      <c r="AG826" s="60">
        <f>S.EQC.SubmitStaffRpt-6</f>
        <v>42027</v>
      </c>
      <c r="AH826" s="60">
        <f>S.EQC.SubmitStaffRpt-1</f>
        <v>42032</v>
      </c>
      <c r="AI826" s="59"/>
      <c r="AJ826" s="152"/>
      <c r="AK826" s="67" t="str">
        <f>"- "&amp;S.Staff.Assistant.DA.ShortName&amp; " for division administrator approval"</f>
        <v>- Lydia for division administrator approval</v>
      </c>
      <c r="AL826" s="76"/>
    </row>
    <row r="827" spans="1:39" s="961" customFormat="1" ht="14.1" customHeight="1" outlineLevel="2" x14ac:dyDescent="0.2">
      <c r="A827" s="144"/>
      <c r="B827" s="1063" t="s">
        <v>734</v>
      </c>
      <c r="C827" s="484" t="s">
        <v>0</v>
      </c>
      <c r="D827" s="40"/>
      <c r="E827" s="659"/>
      <c r="F827" s="40"/>
      <c r="G827" s="40"/>
      <c r="H827" s="1064">
        <f t="shared" ref="H827" si="166">AH827</f>
        <v>42033</v>
      </c>
      <c r="I827" s="684"/>
      <c r="AF827" s="326">
        <v>1</v>
      </c>
      <c r="AG827" s="60">
        <f>S.Default6</f>
        <v>41897</v>
      </c>
      <c r="AH827" s="60">
        <f>S.EQC.SubmitStaffRpt</f>
        <v>42033</v>
      </c>
      <c r="AI827" s="59"/>
      <c r="AJ827" s="152"/>
      <c r="AK827" s="67" t="str">
        <f>"- "&amp;S.Staff.Assistant.DA.ShortName&amp; " for division administrator approval"</f>
        <v>- Lydia for division administrator approval</v>
      </c>
      <c r="AL827" s="76"/>
    </row>
    <row r="828" spans="1:39" s="961" customFormat="1" ht="14.1" customHeight="1" outlineLevel="2" x14ac:dyDescent="0.2">
      <c r="A828" s="144"/>
      <c r="B828" s="412"/>
      <c r="C828" s="484"/>
      <c r="D828" s="40"/>
      <c r="E828" s="1054"/>
      <c r="F828" s="40"/>
      <c r="G828" s="40"/>
      <c r="H828" s="40"/>
      <c r="I828" s="684"/>
      <c r="AF828" s="326"/>
      <c r="AG828" s="60"/>
      <c r="AH828" s="60"/>
      <c r="AI828" s="59"/>
      <c r="AJ828" s="152"/>
      <c r="AK828" s="67"/>
      <c r="AL828" s="76"/>
    </row>
    <row r="829" spans="1:39" s="23" customFormat="1" ht="14.1" customHeight="1" outlineLevel="2" x14ac:dyDescent="0.2">
      <c r="A829" s="144" t="s">
        <v>0</v>
      </c>
      <c r="B829" s="1050" t="s">
        <v>614</v>
      </c>
      <c r="C829" s="289"/>
      <c r="D829" s="659"/>
      <c r="E829" s="405"/>
      <c r="F829" s="40"/>
      <c r="G829" s="256">
        <f t="shared" ref="G829" si="167">AG829</f>
        <v>42059</v>
      </c>
      <c r="H829" s="256">
        <f t="shared" ref="H829" si="168">AH829</f>
        <v>42068</v>
      </c>
      <c r="I829" s="684"/>
      <c r="J829"/>
      <c r="K829"/>
      <c r="L829"/>
      <c r="M829"/>
      <c r="N829"/>
      <c r="O829"/>
      <c r="P829"/>
      <c r="Q829"/>
      <c r="R829"/>
      <c r="S829"/>
      <c r="T829"/>
      <c r="U829"/>
      <c r="X829"/>
      <c r="AB829"/>
      <c r="AC829"/>
      <c r="AF829" s="326">
        <v>1</v>
      </c>
      <c r="AG829" s="60">
        <f>AH841-15</f>
        <v>42059</v>
      </c>
      <c r="AH829" s="60">
        <f>AH841-6</f>
        <v>42068</v>
      </c>
      <c r="AI829" s="59"/>
      <c r="AJ829" s="59"/>
      <c r="AK829" s="74"/>
      <c r="AL829" s="76"/>
    </row>
    <row r="830" spans="1:39" s="23" customFormat="1" ht="14.1" customHeight="1" outlineLevel="2" x14ac:dyDescent="0.2">
      <c r="A830" s="144"/>
      <c r="B830" s="413" t="s">
        <v>615</v>
      </c>
      <c r="C830" s="484" t="s">
        <v>0</v>
      </c>
      <c r="D830" s="659"/>
      <c r="E830" s="405"/>
      <c r="F830" s="40"/>
      <c r="G830" s="40"/>
      <c r="H830" s="40"/>
      <c r="I830" s="684"/>
      <c r="AF830" s="326">
        <v>1</v>
      </c>
      <c r="AG830" s="59"/>
      <c r="AH830" s="59"/>
      <c r="AI830" s="59"/>
      <c r="AJ830" s="44"/>
      <c r="AK830" s="44"/>
      <c r="AL830" s="76"/>
    </row>
    <row r="831" spans="1:39" s="23" customFormat="1" ht="14.1" customHeight="1" outlineLevel="2" x14ac:dyDescent="0.2">
      <c r="A831" s="144"/>
      <c r="B831" s="413" t="s">
        <v>173</v>
      </c>
      <c r="C831" s="484" t="s">
        <v>0</v>
      </c>
      <c r="D831" s="659"/>
      <c r="E831" s="405"/>
      <c r="F831" s="40"/>
      <c r="G831" s="40"/>
      <c r="H831" s="40"/>
      <c r="I831" s="684"/>
      <c r="J831"/>
      <c r="K831"/>
      <c r="L831"/>
      <c r="M831"/>
      <c r="N831"/>
      <c r="O831"/>
      <c r="P831"/>
      <c r="Q831"/>
      <c r="R831"/>
      <c r="S831"/>
      <c r="T831"/>
      <c r="U831"/>
      <c r="X831"/>
      <c r="AB831"/>
      <c r="AC831"/>
      <c r="AF831" s="326">
        <v>1</v>
      </c>
      <c r="AG831" s="59"/>
      <c r="AH831" s="59"/>
      <c r="AI831" s="59"/>
      <c r="AJ831" s="44"/>
      <c r="AK831" s="44"/>
      <c r="AL831" s="76"/>
    </row>
    <row r="832" spans="1:39" s="23" customFormat="1" ht="14.1" customHeight="1" outlineLevel="2" x14ac:dyDescent="0.2">
      <c r="A832" s="144"/>
      <c r="B832" s="413" t="s">
        <v>174</v>
      </c>
      <c r="C832" s="484" t="s">
        <v>0</v>
      </c>
      <c r="D832" s="659"/>
      <c r="E832" s="405"/>
      <c r="F832" s="40"/>
      <c r="G832" s="40"/>
      <c r="H832" s="40"/>
      <c r="I832" s="684"/>
      <c r="J832"/>
      <c r="K832"/>
      <c r="L832"/>
      <c r="M832"/>
      <c r="N832"/>
      <c r="O832"/>
      <c r="P832"/>
      <c r="Q832"/>
      <c r="R832"/>
      <c r="S832"/>
      <c r="T832"/>
      <c r="U832"/>
      <c r="X832"/>
      <c r="AB832"/>
      <c r="AC832"/>
      <c r="AF832" s="326">
        <f>IF(S.AC.CommitteeInvolved="Y",1,0)</f>
        <v>1</v>
      </c>
      <c r="AG832" s="59"/>
      <c r="AH832" s="59"/>
      <c r="AI832" s="59"/>
      <c r="AJ832" s="44"/>
      <c r="AK832" s="44"/>
      <c r="AL832" s="76"/>
    </row>
    <row r="833" spans="1:39" s="23" customFormat="1" ht="14.1" customHeight="1" outlineLevel="2" x14ac:dyDescent="0.2">
      <c r="A833" s="144"/>
      <c r="B833" s="413" t="s">
        <v>175</v>
      </c>
      <c r="C833" s="484" t="s">
        <v>0</v>
      </c>
      <c r="D833" s="659"/>
      <c r="E833" s="405"/>
      <c r="F833" s="40"/>
      <c r="G833" s="40"/>
      <c r="H833" s="40"/>
      <c r="I833" s="684"/>
      <c r="J833"/>
      <c r="K833"/>
      <c r="L833"/>
      <c r="M833"/>
      <c r="N833"/>
      <c r="O833"/>
      <c r="P833"/>
      <c r="Q833"/>
      <c r="R833"/>
      <c r="S833"/>
      <c r="T833"/>
      <c r="U833"/>
      <c r="X833"/>
      <c r="AB833"/>
      <c r="AC833"/>
      <c r="AF833" s="326">
        <f>IF(S.Notice.Involved="Y",1,0)</f>
        <v>1</v>
      </c>
      <c r="AG833" s="59"/>
      <c r="AH833" s="59"/>
      <c r="AI833" s="59"/>
      <c r="AJ833" s="44"/>
      <c r="AK833" s="44"/>
      <c r="AL833" s="76"/>
    </row>
    <row r="834" spans="1:39" s="23" customFormat="1" ht="14.1" customHeight="1" outlineLevel="2" x14ac:dyDescent="0.2">
      <c r="A834" s="144"/>
      <c r="B834" s="413" t="s">
        <v>176</v>
      </c>
      <c r="C834" s="484" t="s">
        <v>0</v>
      </c>
      <c r="D834" s="659"/>
      <c r="E834" s="405"/>
      <c r="F834" s="40"/>
      <c r="G834" s="40"/>
      <c r="H834" s="40"/>
      <c r="I834" s="684"/>
      <c r="J834"/>
      <c r="K834"/>
      <c r="L834"/>
      <c r="M834"/>
      <c r="N834"/>
      <c r="O834"/>
      <c r="P834"/>
      <c r="Q834"/>
      <c r="R834"/>
      <c r="S834"/>
      <c r="T834"/>
      <c r="U834"/>
      <c r="X834"/>
      <c r="AB834"/>
      <c r="AC834"/>
      <c r="AF834" s="326">
        <v>1</v>
      </c>
      <c r="AG834" s="59"/>
      <c r="AH834" s="59"/>
      <c r="AI834" s="59"/>
      <c r="AJ834" s="44"/>
      <c r="AK834" s="44"/>
      <c r="AL834" s="76"/>
    </row>
    <row r="835" spans="1:39" s="961" customFormat="1" ht="14.1" customHeight="1" outlineLevel="2" collapsed="1" x14ac:dyDescent="0.2">
      <c r="A835" s="144" t="s">
        <v>0</v>
      </c>
      <c r="B835" s="250"/>
      <c r="C835" s="484" t="s">
        <v>0</v>
      </c>
      <c r="D835" s="484" t="s">
        <v>0</v>
      </c>
      <c r="E835" s="640"/>
      <c r="I835" s="684"/>
      <c r="AF835" s="326">
        <v>1</v>
      </c>
      <c r="AG835" s="76"/>
      <c r="AH835" s="76"/>
      <c r="AI835" s="59"/>
      <c r="AJ835" s="44"/>
      <c r="AK835" s="67" t="str">
        <f>S.Staff.Subject.Expert.FirstName&amp;":"</f>
        <v>Jill:</v>
      </c>
      <c r="AL835" s="76"/>
    </row>
    <row r="836" spans="1:39" ht="14.1" customHeight="1" outlineLevel="2" x14ac:dyDescent="0.2">
      <c r="A836" s="144"/>
      <c r="B836" s="1049" t="s">
        <v>164</v>
      </c>
      <c r="C836" s="484" t="s">
        <v>0</v>
      </c>
      <c r="D836" s="659"/>
      <c r="E836" s="659"/>
      <c r="F836" s="40"/>
      <c r="G836" s="256">
        <f t="shared" ref="G836:H836" si="169">AG836</f>
        <v>41897</v>
      </c>
      <c r="H836" s="256">
        <f t="shared" si="169"/>
        <v>42052</v>
      </c>
      <c r="I836" s="684"/>
      <c r="AF836" s="326">
        <v>1</v>
      </c>
      <c r="AG836" s="60">
        <f>S.Default6</f>
        <v>41897</v>
      </c>
      <c r="AH836" s="60">
        <f>S.EQC.Meeting-1-21</f>
        <v>42052</v>
      </c>
      <c r="AI836" s="59"/>
      <c r="AJ836" s="44"/>
      <c r="AK836" s="44"/>
      <c r="AL836" s="76"/>
      <c r="AM836"/>
    </row>
    <row r="837" spans="1:39" ht="14.1" customHeight="1" outlineLevel="2" x14ac:dyDescent="0.2">
      <c r="A837" s="144"/>
      <c r="B837" s="1047" t="s">
        <v>166</v>
      </c>
      <c r="C837" s="247" t="s">
        <v>0</v>
      </c>
      <c r="D837" s="659"/>
      <c r="E837" s="659"/>
      <c r="F837" s="40"/>
      <c r="G837" s="40"/>
      <c r="H837" s="40"/>
      <c r="I837" s="684"/>
      <c r="AF837" s="326">
        <v>1</v>
      </c>
      <c r="AG837" s="60">
        <f>S.Default6</f>
        <v>41897</v>
      </c>
      <c r="AH837" s="60">
        <f>S.EQC.Meeting-1-21</f>
        <v>42052</v>
      </c>
      <c r="AI837" s="59"/>
      <c r="AJ837" s="44"/>
      <c r="AK837" s="44" t="s">
        <v>0</v>
      </c>
      <c r="AL837" s="76"/>
      <c r="AM837"/>
    </row>
    <row r="838" spans="1:39" ht="14.1" customHeight="1" outlineLevel="2" x14ac:dyDescent="0.2">
      <c r="A838" s="144"/>
      <c r="B838" s="1048" t="s">
        <v>165</v>
      </c>
      <c r="C838" s="233" t="s">
        <v>0</v>
      </c>
      <c r="D838" s="659"/>
      <c r="E838" s="659"/>
      <c r="F838" s="40"/>
      <c r="G838" s="40"/>
      <c r="H838" s="40"/>
      <c r="I838" s="684"/>
      <c r="AF838" s="326">
        <v>1</v>
      </c>
      <c r="AG838" s="60">
        <f>G837</f>
        <v>0</v>
      </c>
      <c r="AH838" s="60">
        <f>S.EQC.Meeting-1-21</f>
        <v>42052</v>
      </c>
      <c r="AI838" s="59"/>
      <c r="AJ838" s="43"/>
      <c r="AK838" s="43"/>
      <c r="AL838" s="76"/>
      <c r="AM838"/>
    </row>
    <row r="839" spans="1:39" s="961" customFormat="1" ht="14.1" customHeight="1" outlineLevel="2" x14ac:dyDescent="0.2">
      <c r="A839" s="144"/>
      <c r="B839" s="1048" t="s">
        <v>730</v>
      </c>
      <c r="C839" s="233" t="s">
        <v>0</v>
      </c>
      <c r="D839" s="405"/>
      <c r="E839" s="405"/>
      <c r="F839" s="40"/>
      <c r="G839" s="40"/>
      <c r="H839" s="40"/>
      <c r="I839" s="684"/>
      <c r="AF839" s="326">
        <v>1</v>
      </c>
      <c r="AG839" s="60">
        <f>G838</f>
        <v>0</v>
      </c>
      <c r="AH839" s="60">
        <f>S.EQC.Meeting-1-21</f>
        <v>42052</v>
      </c>
      <c r="AI839" s="59"/>
      <c r="AJ839" s="43"/>
      <c r="AK839" s="43"/>
      <c r="AL839" s="76"/>
    </row>
    <row r="840" spans="1:39" s="961" customFormat="1" ht="14.1" customHeight="1" outlineLevel="2" collapsed="1" x14ac:dyDescent="0.2">
      <c r="A840" s="144" t="s">
        <v>0</v>
      </c>
      <c r="B840" s="250"/>
      <c r="C840" s="484" t="s">
        <v>0</v>
      </c>
      <c r="D840" s="484" t="s">
        <v>0</v>
      </c>
      <c r="E840" s="640"/>
      <c r="I840" s="684"/>
      <c r="AF840" s="326">
        <v>1</v>
      </c>
      <c r="AG840" s="76"/>
      <c r="AH840" s="76"/>
      <c r="AI840" s="59"/>
      <c r="AJ840" s="44"/>
      <c r="AK840" s="67" t="str">
        <f>S.Staff.Subject.Expert.FirstName&amp;":"</f>
        <v>Jill:</v>
      </c>
      <c r="AL840" s="76"/>
    </row>
    <row r="841" spans="1:39" ht="14.1" customHeight="1" outlineLevel="2" x14ac:dyDescent="0.2">
      <c r="A841" s="144"/>
      <c r="B841" s="270" t="s">
        <v>122</v>
      </c>
      <c r="C841" s="289"/>
      <c r="D841" s="270"/>
      <c r="E841" s="270"/>
      <c r="F841"/>
      <c r="G841" s="380">
        <f>AG841</f>
        <v>0</v>
      </c>
      <c r="H841" s="381">
        <f>AH841</f>
        <v>42074</v>
      </c>
      <c r="I841" s="684"/>
      <c r="AF841" s="326">
        <v>1</v>
      </c>
      <c r="AG841" s="59"/>
      <c r="AH841" s="60">
        <f>S.EQC.Meeting</f>
        <v>42074</v>
      </c>
      <c r="AI841" s="59"/>
      <c r="AJ841" s="44"/>
      <c r="AK841" s="44"/>
      <c r="AL841" s="76"/>
      <c r="AM841"/>
    </row>
    <row r="842" spans="1:39" s="23" customFormat="1" ht="14.1" customHeight="1" outlineLevel="2" x14ac:dyDescent="0.2">
      <c r="A842" s="144"/>
      <c r="B842" s="195" t="str">
        <f>AK842</f>
        <v>Jill collects emails about EQC preparations for Rule Record and saves as:</v>
      </c>
      <c r="C842" s="447" t="str">
        <f>HYPERLINK("\\deqhq1\Rule_Development\Currrent Plan","i")</f>
        <v>i</v>
      </c>
      <c r="D842" s="257"/>
      <c r="E842" s="689"/>
      <c r="F842"/>
      <c r="G842" s="464">
        <f>AG842</f>
        <v>42074</v>
      </c>
      <c r="H842" s="464">
        <f>AH842</f>
        <v>42074</v>
      </c>
      <c r="I842" s="684"/>
      <c r="J842"/>
      <c r="K842"/>
      <c r="L842"/>
      <c r="M842"/>
      <c r="N842"/>
      <c r="O842"/>
      <c r="P842"/>
      <c r="Q842"/>
      <c r="R842"/>
      <c r="S842"/>
      <c r="T842"/>
      <c r="U842"/>
      <c r="X842"/>
      <c r="AB842"/>
      <c r="AC842"/>
      <c r="AF842" s="326">
        <v>1</v>
      </c>
      <c r="AG842" s="60">
        <f>S.EQC.Meeting</f>
        <v>42074</v>
      </c>
      <c r="AH842" s="60">
        <f>G842</f>
        <v>42074</v>
      </c>
      <c r="AI842" s="59"/>
      <c r="AJ842" s="59"/>
      <c r="AK842" s="78" t="str">
        <f>S.Staff.Subject.Expert.FirstName&amp;" collects emails about EQC preparations for Rule Record and saves as:"</f>
        <v>Jill collects emails about EQC preparations for Rule Record and saves as:</v>
      </c>
      <c r="AL842" s="76"/>
    </row>
    <row r="843" spans="1:39" s="23" customFormat="1" ht="14.1" customHeight="1" outlineLevel="2" x14ac:dyDescent="0.2">
      <c r="A843" s="144"/>
      <c r="B843" s="242" t="s">
        <v>92</v>
      </c>
      <c r="C843" s="233"/>
      <c r="D843" s="243"/>
      <c r="E843" s="243"/>
      <c r="F843" s="227"/>
      <c r="G843" s="223"/>
      <c r="H843" s="223"/>
      <c r="I843" s="684"/>
      <c r="J843"/>
      <c r="K843"/>
      <c r="L843"/>
      <c r="M843"/>
      <c r="N843"/>
      <c r="O843"/>
      <c r="P843"/>
      <c r="Q843"/>
      <c r="R843"/>
      <c r="S843"/>
      <c r="T843"/>
      <c r="U843"/>
      <c r="X843"/>
      <c r="AB843"/>
      <c r="AC843"/>
      <c r="AF843" s="326">
        <v>1</v>
      </c>
      <c r="AG843" s="58"/>
      <c r="AH843" s="58"/>
      <c r="AI843" s="58"/>
      <c r="AJ843" s="44"/>
      <c r="AK843" s="58" t="s">
        <v>0</v>
      </c>
      <c r="AL843" s="76"/>
    </row>
    <row r="844" spans="1:39" ht="5.25" customHeight="1" outlineLevel="1" x14ac:dyDescent="0.2">
      <c r="A844" s="144"/>
      <c r="B844" s="196"/>
      <c r="C844" s="101"/>
      <c r="D844" s="100"/>
      <c r="E844" s="100"/>
      <c r="F844" s="102"/>
      <c r="G844" s="126"/>
      <c r="H844" s="127"/>
      <c r="I844" s="684"/>
      <c r="AF844" s="326" t="s">
        <v>0</v>
      </c>
      <c r="AG844" s="47"/>
      <c r="AH844" s="47"/>
      <c r="AI844" s="59"/>
      <c r="AJ844" s="44"/>
      <c r="AK844" s="44"/>
      <c r="AL844" s="76"/>
      <c r="AM844"/>
    </row>
    <row r="845" spans="1:39" s="23" customFormat="1" ht="18" customHeight="1" outlineLevel="1" x14ac:dyDescent="0.3">
      <c r="A845" s="144"/>
      <c r="B845" s="993" t="s">
        <v>128</v>
      </c>
      <c r="C845" s="993"/>
      <c r="D845" s="993"/>
      <c r="E845" s="993"/>
      <c r="F845" s="993"/>
      <c r="G845" s="993"/>
      <c r="H845" s="993"/>
      <c r="I845" s="684"/>
      <c r="J845"/>
      <c r="K845"/>
      <c r="L845"/>
      <c r="M845"/>
      <c r="N845"/>
      <c r="O845"/>
      <c r="P845"/>
      <c r="Q845"/>
      <c r="R845"/>
      <c r="S845"/>
      <c r="T845"/>
      <c r="U845"/>
      <c r="X845"/>
      <c r="AB845"/>
      <c r="AC845"/>
      <c r="AF845" s="326" t="s">
        <v>0</v>
      </c>
      <c r="AG845" s="59"/>
      <c r="AH845" s="59"/>
      <c r="AI845" s="59"/>
      <c r="AJ845" s="68"/>
      <c r="AK845" s="58"/>
      <c r="AL845" s="76"/>
    </row>
    <row r="846" spans="1:39" s="341" customFormat="1" ht="14.1" customHeight="1" outlineLevel="2" x14ac:dyDescent="0.2">
      <c r="A846" s="338"/>
      <c r="B846" s="397" t="s">
        <v>0</v>
      </c>
      <c r="C846" s="339" t="s">
        <v>0</v>
      </c>
      <c r="D846" s="339"/>
      <c r="E846" s="339"/>
      <c r="F846" s="347"/>
      <c r="G846" s="340" t="s">
        <v>45</v>
      </c>
      <c r="H846" s="340" t="s">
        <v>100</v>
      </c>
      <c r="I846" s="684"/>
      <c r="J846"/>
      <c r="K846"/>
      <c r="L846"/>
      <c r="M846"/>
      <c r="N846"/>
      <c r="O846"/>
      <c r="P846"/>
      <c r="Q846"/>
      <c r="R846"/>
      <c r="S846"/>
      <c r="T846"/>
      <c r="U846"/>
      <c r="V846" s="23"/>
      <c r="W846" s="23"/>
      <c r="X846"/>
      <c r="Y846" s="23"/>
      <c r="Z846" s="23"/>
      <c r="AA846" s="23"/>
      <c r="AB846"/>
      <c r="AC846"/>
      <c r="AD846" s="23"/>
      <c r="AE846" s="23"/>
      <c r="AF846" s="343" t="s">
        <v>0</v>
      </c>
      <c r="AG846" s="342"/>
      <c r="AH846" s="342"/>
      <c r="AI846" s="344"/>
      <c r="AJ846" s="345"/>
      <c r="AK846" s="346"/>
      <c r="AL846" s="342"/>
    </row>
    <row r="847" spans="1:39" ht="14.1" customHeight="1" outlineLevel="2" x14ac:dyDescent="0.25">
      <c r="A847" s="144"/>
      <c r="B847" s="112"/>
      <c r="C847" s="128" t="s">
        <v>0</v>
      </c>
      <c r="D847" s="113"/>
      <c r="E847" s="113"/>
      <c r="F847" s="124"/>
      <c r="G847" s="167">
        <f>AG847</f>
        <v>42074</v>
      </c>
      <c r="H847" s="188">
        <f>AH847</f>
        <v>42164</v>
      </c>
      <c r="I847" s="684"/>
      <c r="AF847" s="326" t="s">
        <v>0</v>
      </c>
      <c r="AG847" s="60">
        <f>S.PostEQC.BANNER.Begin</f>
        <v>42074</v>
      </c>
      <c r="AH847" s="60">
        <f>S.PostEQC.BANNER.End</f>
        <v>42164</v>
      </c>
      <c r="AI847" s="59"/>
      <c r="AJ847" s="44"/>
      <c r="AK847" s="44"/>
      <c r="AL847" s="76"/>
      <c r="AM847"/>
    </row>
    <row r="848" spans="1:39" ht="6" customHeight="1" outlineLevel="2" x14ac:dyDescent="0.2">
      <c r="A848" s="144"/>
      <c r="B848" s="105"/>
      <c r="C848" s="97"/>
      <c r="D848" s="630"/>
      <c r="E848" s="630"/>
      <c r="F848" s="98"/>
      <c r="G848" s="97"/>
      <c r="H848" s="97"/>
      <c r="I848" s="684"/>
      <c r="AF848" s="326" t="s">
        <v>0</v>
      </c>
      <c r="AG848" s="47"/>
      <c r="AH848" s="47"/>
      <c r="AI848" s="59"/>
      <c r="AJ848" s="44"/>
      <c r="AK848" s="44"/>
      <c r="AL848" s="76"/>
      <c r="AM848"/>
    </row>
    <row r="849" spans="1:39" s="23" customFormat="1" ht="14.1" customHeight="1" outlineLevel="2" x14ac:dyDescent="0.2">
      <c r="A849" s="144"/>
      <c r="B849" s="477" t="s">
        <v>234</v>
      </c>
      <c r="C849" s="447" t="str">
        <f>HYPERLINK("\\deqhq1\Rule_Resources\i\0-VersionHistory.pdf","i")</f>
        <v>i</v>
      </c>
      <c r="D849" s="631"/>
      <c r="E849" s="631"/>
      <c r="F849" s="83"/>
      <c r="G849" s="82"/>
      <c r="H849" s="82"/>
      <c r="I849" s="684"/>
      <c r="J849"/>
      <c r="K849"/>
      <c r="L849"/>
      <c r="M849"/>
      <c r="N849"/>
      <c r="O849"/>
      <c r="P849"/>
      <c r="Q849"/>
      <c r="R849"/>
      <c r="S849"/>
      <c r="T849"/>
      <c r="U849"/>
      <c r="X849"/>
      <c r="AB849"/>
      <c r="AC849"/>
      <c r="AF849" s="327" t="s">
        <v>0</v>
      </c>
      <c r="AG849" s="47"/>
      <c r="AH849" s="47"/>
      <c r="AI849" s="69"/>
      <c r="AJ849" s="69"/>
      <c r="AK849" s="35"/>
      <c r="AL849" s="76"/>
    </row>
    <row r="850" spans="1:39" s="23" customFormat="1" ht="14.1" customHeight="1" outlineLevel="2" x14ac:dyDescent="0.2">
      <c r="A850" s="144"/>
      <c r="B850" s="473" t="s">
        <v>222</v>
      </c>
      <c r="C850" s="473"/>
      <c r="D850" s="473"/>
      <c r="E850" s="473"/>
      <c r="F850" s="473"/>
      <c r="G850" s="473"/>
      <c r="H850" s="473"/>
      <c r="I850" s="684"/>
      <c r="J850"/>
      <c r="K850"/>
      <c r="L850"/>
      <c r="M850"/>
      <c r="N850"/>
      <c r="O850"/>
      <c r="P850"/>
      <c r="Q850"/>
      <c r="R850"/>
      <c r="S850"/>
      <c r="T850"/>
      <c r="U850"/>
      <c r="X850"/>
      <c r="AB850"/>
      <c r="AC850"/>
      <c r="AF850" s="326">
        <f>IF(S.Notice.Involved="Y",1,0)</f>
        <v>1</v>
      </c>
      <c r="AG850" s="47"/>
      <c r="AH850" s="47"/>
      <c r="AI850" s="47"/>
      <c r="AJ850" s="44"/>
      <c r="AK850" s="72"/>
      <c r="AL850" s="76"/>
    </row>
    <row r="851" spans="1:39" s="23" customFormat="1" ht="14.1" customHeight="1" outlineLevel="2" x14ac:dyDescent="0.2">
      <c r="A851" s="144" t="s">
        <v>0</v>
      </c>
      <c r="B851" s="268" t="str">
        <f>AK851</f>
        <v>Jill:</v>
      </c>
      <c r="C851" s="223"/>
      <c r="D851" s="272"/>
      <c r="E851" s="272"/>
      <c r="F851" s="227"/>
      <c r="G851" s="223"/>
      <c r="H851" s="223"/>
      <c r="I851" s="684"/>
      <c r="J851"/>
      <c r="K851"/>
      <c r="L851"/>
      <c r="M851"/>
      <c r="N851"/>
      <c r="O851"/>
      <c r="P851"/>
      <c r="Q851"/>
      <c r="R851"/>
      <c r="S851"/>
      <c r="T851"/>
      <c r="U851"/>
      <c r="X851"/>
      <c r="AB851"/>
      <c r="AC851"/>
      <c r="AF851" s="326">
        <v>1</v>
      </c>
      <c r="AG851" s="80"/>
      <c r="AH851" s="80"/>
      <c r="AI851" s="59"/>
      <c r="AJ851" s="152"/>
      <c r="AK851" s="67" t="str">
        <f>S.Staff.Subject.Expert.FirstName&amp;":"</f>
        <v>Jill:</v>
      </c>
      <c r="AL851" s="76"/>
    </row>
    <row r="852" spans="1:39" ht="14.1" customHeight="1" outlineLevel="2" x14ac:dyDescent="0.2">
      <c r="A852" s="144"/>
      <c r="B852" s="207" t="s">
        <v>123</v>
      </c>
      <c r="C852" s="484" t="s">
        <v>0</v>
      </c>
      <c r="D852" s="492"/>
      <c r="E852" s="830"/>
      <c r="F852"/>
      <c r="G852"/>
      <c r="H852" s="221">
        <f t="shared" ref="H852" si="170">AH852</f>
        <v>42074</v>
      </c>
      <c r="I852" s="684"/>
      <c r="AF852" s="326">
        <v>1</v>
      </c>
      <c r="AG852" s="80"/>
      <c r="AH852" s="60">
        <f t="shared" ref="AH852" si="171">S.PostEQC.BANNER.Begin</f>
        <v>42074</v>
      </c>
      <c r="AI852" s="59"/>
      <c r="AJ852" s="44"/>
      <c r="AK852" s="204"/>
      <c r="AL852" s="76"/>
      <c r="AM852"/>
    </row>
    <row r="853" spans="1:39" s="23" customFormat="1" ht="14.1" customHeight="1" outlineLevel="2" x14ac:dyDescent="0.2">
      <c r="A853" s="144"/>
      <c r="B853" s="372" t="s">
        <v>124</v>
      </c>
      <c r="C853" s="484" t="s">
        <v>0</v>
      </c>
      <c r="D853" s="492"/>
      <c r="E853" s="830"/>
      <c r="F853"/>
      <c r="G853"/>
      <c r="H853"/>
      <c r="I853" s="684"/>
      <c r="J853"/>
      <c r="K853"/>
      <c r="L853"/>
      <c r="M853"/>
      <c r="N853"/>
      <c r="O853"/>
      <c r="P853"/>
      <c r="Q853"/>
      <c r="R853"/>
      <c r="S853"/>
      <c r="T853"/>
      <c r="U853"/>
      <c r="X853"/>
      <c r="AB853"/>
      <c r="AC853"/>
      <c r="AF853" s="326">
        <v>1</v>
      </c>
      <c r="AG853" s="80"/>
      <c r="AH853" s="80"/>
      <c r="AI853" s="59"/>
      <c r="AJ853" s="44"/>
      <c r="AK853" s="204"/>
      <c r="AL853" s="76"/>
    </row>
    <row r="854" spans="1:39" s="23" customFormat="1" ht="14.1" customHeight="1" outlineLevel="2" x14ac:dyDescent="0.2">
      <c r="A854" s="144"/>
      <c r="B854" s="372" t="s">
        <v>247</v>
      </c>
      <c r="C854" s="484" t="s">
        <v>0</v>
      </c>
      <c r="D854" s="492"/>
      <c r="E854" s="830"/>
      <c r="F854"/>
      <c r="G854"/>
      <c r="H854"/>
      <c r="I854" s="684"/>
      <c r="J854"/>
      <c r="K854"/>
      <c r="L854"/>
      <c r="M854"/>
      <c r="N854"/>
      <c r="O854"/>
      <c r="P854"/>
      <c r="Q854"/>
      <c r="R854"/>
      <c r="S854"/>
      <c r="T854"/>
      <c r="U854"/>
      <c r="X854"/>
      <c r="AB854"/>
      <c r="AC854"/>
      <c r="AF854" s="326">
        <v>1</v>
      </c>
      <c r="AG854" s="80"/>
      <c r="AH854" s="80"/>
      <c r="AI854" s="59"/>
      <c r="AJ854" s="44"/>
      <c r="AK854" s="204"/>
      <c r="AL854" s="76"/>
    </row>
    <row r="855" spans="1:39" s="23" customFormat="1" ht="14.1" customHeight="1" outlineLevel="2" x14ac:dyDescent="0.2">
      <c r="A855" s="144"/>
      <c r="B855" s="372" t="s">
        <v>248</v>
      </c>
      <c r="C855" s="484" t="s">
        <v>0</v>
      </c>
      <c r="D855" s="492"/>
      <c r="E855" s="830"/>
      <c r="F855"/>
      <c r="G855"/>
      <c r="H855"/>
      <c r="I855" s="684"/>
      <c r="J855"/>
      <c r="K855"/>
      <c r="L855"/>
      <c r="M855"/>
      <c r="N855"/>
      <c r="O855"/>
      <c r="P855"/>
      <c r="Q855"/>
      <c r="R855"/>
      <c r="S855"/>
      <c r="T855"/>
      <c r="U855"/>
      <c r="X855"/>
      <c r="AB855"/>
      <c r="AC855"/>
      <c r="AF855" s="326">
        <v>1</v>
      </c>
      <c r="AG855" s="80"/>
      <c r="AH855" s="80"/>
      <c r="AI855" s="59"/>
      <c r="AJ855" s="44"/>
      <c r="AK855" s="204"/>
      <c r="AL855" s="76"/>
    </row>
    <row r="856" spans="1:39" s="23" customFormat="1" ht="14.1" customHeight="1" outlineLevel="2" x14ac:dyDescent="0.2">
      <c r="A856" s="144"/>
      <c r="B856" s="372" t="s">
        <v>232</v>
      </c>
      <c r="C856" s="484" t="s">
        <v>0</v>
      </c>
      <c r="D856" s="492"/>
      <c r="E856" s="830"/>
      <c r="F856"/>
      <c r="G856"/>
      <c r="H856"/>
      <c r="I856" s="684"/>
      <c r="J856"/>
      <c r="K856"/>
      <c r="L856"/>
      <c r="M856"/>
      <c r="N856"/>
      <c r="O856"/>
      <c r="P856"/>
      <c r="Q856"/>
      <c r="R856"/>
      <c r="S856"/>
      <c r="T856"/>
      <c r="U856"/>
      <c r="X856"/>
      <c r="AB856"/>
      <c r="AC856"/>
      <c r="AF856" s="326">
        <v>1</v>
      </c>
      <c r="AG856" s="80"/>
      <c r="AH856" s="80"/>
      <c r="AI856" s="59"/>
      <c r="AJ856" s="44"/>
      <c r="AK856" s="204"/>
      <c r="AL856" s="76"/>
    </row>
    <row r="857" spans="1:39" s="23" customFormat="1" ht="14.1" customHeight="1" outlineLevel="2" x14ac:dyDescent="0.2">
      <c r="A857" s="144"/>
      <c r="B857" s="372" t="s">
        <v>232</v>
      </c>
      <c r="C857" s="484" t="s">
        <v>0</v>
      </c>
      <c r="D857" s="492"/>
      <c r="E857" s="830"/>
      <c r="F857"/>
      <c r="G857"/>
      <c r="H857"/>
      <c r="I857" s="684"/>
      <c r="J857"/>
      <c r="K857"/>
      <c r="L857"/>
      <c r="M857"/>
      <c r="N857"/>
      <c r="O857"/>
      <c r="P857"/>
      <c r="Q857"/>
      <c r="R857"/>
      <c r="S857"/>
      <c r="T857"/>
      <c r="U857"/>
      <c r="X857"/>
      <c r="AB857"/>
      <c r="AC857"/>
      <c r="AF857" s="326">
        <v>1</v>
      </c>
      <c r="AG857" s="80"/>
      <c r="AH857" s="80"/>
      <c r="AI857" s="59"/>
      <c r="AJ857" s="44"/>
      <c r="AK857" s="204"/>
      <c r="AL857" s="76"/>
    </row>
    <row r="858" spans="1:39" s="23" customFormat="1" ht="14.1" customHeight="1" outlineLevel="2" thickBot="1" x14ac:dyDescent="0.25">
      <c r="A858" s="144"/>
      <c r="B858" s="207" t="str">
        <f t="shared" ref="B858" si="172">AK858</f>
        <v>* emails Maggie to affirm EQC action and document readiness</v>
      </c>
      <c r="C858" s="484" t="s">
        <v>0</v>
      </c>
      <c r="D858" s="492"/>
      <c r="E858" s="830"/>
      <c r="F858"/>
      <c r="G858"/>
      <c r="H858"/>
      <c r="I858" s="684"/>
      <c r="J858"/>
      <c r="K858"/>
      <c r="L858"/>
      <c r="M858"/>
      <c r="N858"/>
      <c r="O858"/>
      <c r="P858"/>
      <c r="Q858"/>
      <c r="R858"/>
      <c r="S858"/>
      <c r="T858"/>
      <c r="U858"/>
      <c r="X858"/>
      <c r="AB858"/>
      <c r="AC858"/>
      <c r="AF858" s="326">
        <v>1</v>
      </c>
      <c r="AG858" s="80"/>
      <c r="AH858" s="80"/>
      <c r="AI858" s="59"/>
      <c r="AJ858" s="44"/>
      <c r="AK858" s="201" t="str">
        <f>"* emails "&amp;S.Staff.AgencyRulesCoordinator&amp;" to affirm EQC action and document readiness"</f>
        <v>* emails Maggie to affirm EQC action and document readiness</v>
      </c>
      <c r="AL858" s="76"/>
    </row>
    <row r="859" spans="1:39" ht="14.1" customHeight="1" outlineLevel="2" thickBot="1" x14ac:dyDescent="0.25">
      <c r="A859" s="144"/>
      <c r="B859" s="234" t="s">
        <v>135</v>
      </c>
      <c r="C859" s="478" t="s">
        <v>16</v>
      </c>
      <c r="D859" s="277"/>
      <c r="E859" s="689"/>
      <c r="F859"/>
      <c r="G859"/>
      <c r="H859" s="221">
        <f t="shared" ref="H859:H863" si="173">AH859</f>
        <v>42074</v>
      </c>
      <c r="I859" s="684"/>
      <c r="AF859" s="326">
        <f>IF(S.PostEQC.NotifyStakeholders="N",,1)</f>
        <v>1</v>
      </c>
      <c r="AG859" s="80"/>
      <c r="AH859" s="60">
        <f>IF(AF859=0,,S.PostEQC.BANNER.Begin)</f>
        <v>42074</v>
      </c>
      <c r="AI859" s="59"/>
      <c r="AJ859" s="59"/>
      <c r="AK859" s="45" t="s">
        <v>0</v>
      </c>
      <c r="AL859" s="76"/>
      <c r="AM859"/>
    </row>
    <row r="860" spans="1:39" s="23" customFormat="1" ht="14.1" customHeight="1" outlineLevel="2" x14ac:dyDescent="0.2">
      <c r="A860" s="144"/>
      <c r="B860" s="234" t="str">
        <f>AK860</f>
        <v>* coordinates EPA.SIP.SUBMITAL with AndreaG</v>
      </c>
      <c r="C860" s="484" t="s">
        <v>0</v>
      </c>
      <c r="D860" s="248"/>
      <c r="E860" s="689"/>
      <c r="F860"/>
      <c r="G860"/>
      <c r="H860" s="221">
        <f t="shared" ref="H860" si="174">AH860</f>
        <v>42074</v>
      </c>
      <c r="I860" s="684"/>
      <c r="J860"/>
      <c r="K860"/>
      <c r="L860"/>
      <c r="M860"/>
      <c r="N860"/>
      <c r="O860"/>
      <c r="P860"/>
      <c r="Q860"/>
      <c r="R860"/>
      <c r="S860"/>
      <c r="T860"/>
      <c r="U860"/>
      <c r="X860"/>
      <c r="AB860"/>
      <c r="AC860"/>
      <c r="AF860" s="327">
        <f>IF(S.SIP.Involved="Y",1,0)</f>
        <v>1</v>
      </c>
      <c r="AG860" s="80"/>
      <c r="AH860" s="60">
        <f>S.PostEQC.BANNER.Begin</f>
        <v>42074</v>
      </c>
      <c r="AI860" s="59"/>
      <c r="AJ860" s="59"/>
      <c r="AK860" s="67" t="str">
        <f>"* coordinates EPA.SIP.SUBMITAL with "&amp;S.Staff.SIPCo</f>
        <v>* coordinates EPA.SIP.SUBMITAL with AndreaG</v>
      </c>
      <c r="AL860" s="76"/>
    </row>
    <row r="861" spans="1:39" ht="14.1" customHeight="1" outlineLevel="2" x14ac:dyDescent="0.25">
      <c r="A861" s="144"/>
      <c r="B861" s="207" t="str">
        <f>AK861</f>
        <v>* coordinates AC.THANK.YOU email or letter with Leah</v>
      </c>
      <c r="C861" s="445" t="str">
        <f>HYPERLINK("\\deqhq1\Rule_Resources\i\AC.THANK.YOU.docx","i")</f>
        <v>i</v>
      </c>
      <c r="D861" s="660"/>
      <c r="E861" s="831"/>
      <c r="F861"/>
      <c r="G861"/>
      <c r="H861" s="221">
        <f t="shared" si="173"/>
        <v>42074</v>
      </c>
      <c r="I861" s="684"/>
      <c r="AF861" s="326">
        <f>IF(S.AC.CommitteeInvolved="Y",1,0)</f>
        <v>1</v>
      </c>
      <c r="AG861" s="80"/>
      <c r="AH861" s="60">
        <f>IF(AF861=0,,S.PostEQC.BANNER.Begin)</f>
        <v>42074</v>
      </c>
      <c r="AI861" s="59"/>
      <c r="AJ861" s="59"/>
      <c r="AK861" s="67" t="str">
        <f>"* coordinates AC.THANK.YOU email or letter with "&amp;S.Staff.Program.Mgr.FirstName</f>
        <v>* coordinates AC.THANK.YOU email or letter with Leah</v>
      </c>
      <c r="AL861" s="76"/>
      <c r="AM861"/>
    </row>
    <row r="862" spans="1:39" ht="14.1" customHeight="1" outlineLevel="2" x14ac:dyDescent="0.25">
      <c r="A862" s="144"/>
      <c r="B862" s="207" t="str">
        <f>AK862</f>
        <v>* coordinates AC.SURVEY with Leah</v>
      </c>
      <c r="C862" s="444" t="str">
        <f>HYPERLINK("\\deqhq1\Rule_Resources\i\AC.SURVEY.docx","i")</f>
        <v>i</v>
      </c>
      <c r="D862" s="248"/>
      <c r="E862" s="689"/>
      <c r="F862"/>
      <c r="G862"/>
      <c r="H862" s="221">
        <f t="shared" si="173"/>
        <v>42074</v>
      </c>
      <c r="I862" s="684"/>
      <c r="AF862" s="326">
        <f>IF(S.AC.CommitteeInvolved="Y",1,0)</f>
        <v>1</v>
      </c>
      <c r="AG862" s="80"/>
      <c r="AH862" s="60">
        <f>IF(AF862=0,,S.PostEQC.BANNER.Begin)</f>
        <v>42074</v>
      </c>
      <c r="AI862" s="59"/>
      <c r="AJ862" s="59"/>
      <c r="AK862" s="67" t="str">
        <f>"* coordinates AC.SURVEY with "&amp;S.Staff.Program.Mgr.FirstName</f>
        <v>* coordinates AC.SURVEY with Leah</v>
      </c>
      <c r="AL862" s="76"/>
      <c r="AM862"/>
    </row>
    <row r="863" spans="1:39" ht="14.1" customHeight="1" outlineLevel="2" x14ac:dyDescent="0.2">
      <c r="A863" s="144"/>
      <c r="B863" s="207" t="s">
        <v>178</v>
      </c>
      <c r="C863" s="484" t="s">
        <v>0</v>
      </c>
      <c r="D863" s="248"/>
      <c r="E863" s="689"/>
      <c r="F863"/>
      <c r="G863"/>
      <c r="H863" s="221">
        <f t="shared" si="173"/>
        <v>42074</v>
      </c>
      <c r="I863" s="684"/>
      <c r="AF863" s="326">
        <v>1</v>
      </c>
      <c r="AG863" s="80"/>
      <c r="AH863" s="60">
        <f>S.PostEQC.BANNER.Begin</f>
        <v>42074</v>
      </c>
      <c r="AI863" s="59"/>
      <c r="AJ863" s="59"/>
      <c r="AK863" s="44" t="s">
        <v>0</v>
      </c>
      <c r="AL863" s="76"/>
      <c r="AM863"/>
    </row>
    <row r="864" spans="1:39" s="23" customFormat="1" ht="14.1" customHeight="1" outlineLevel="2" x14ac:dyDescent="0.2">
      <c r="A864" s="144"/>
      <c r="B864" s="268" t="str">
        <f>AK864</f>
        <v>AndreaG:</v>
      </c>
      <c r="C864" s="271"/>
      <c r="D864" s="272"/>
      <c r="E864" s="272"/>
      <c r="F864" s="227"/>
      <c r="G864" s="271"/>
      <c r="H864" s="271"/>
      <c r="I864" s="684"/>
      <c r="J864"/>
      <c r="K864"/>
      <c r="L864"/>
      <c r="M864"/>
      <c r="N864"/>
      <c r="O864"/>
      <c r="P864"/>
      <c r="Q864"/>
      <c r="R864"/>
      <c r="S864"/>
      <c r="T864"/>
      <c r="U864"/>
      <c r="X864"/>
      <c r="AB864"/>
      <c r="AC864"/>
      <c r="AF864" s="326">
        <v>1</v>
      </c>
      <c r="AG864" s="80"/>
      <c r="AH864" s="80"/>
      <c r="AI864" s="59"/>
      <c r="AJ864" s="152"/>
      <c r="AK864" s="67" t="str">
        <f>S.Staff.RG.Lead.FirstName&amp;":"</f>
        <v>AndreaG:</v>
      </c>
      <c r="AL864" s="76"/>
    </row>
    <row r="865" spans="1:39" s="23" customFormat="1" ht="14.1" customHeight="1" outlineLevel="2" x14ac:dyDescent="0.2">
      <c r="A865" s="144"/>
      <c r="B865" s="234" t="str">
        <f>AK865</f>
        <v>* submits Part 2 of signed DAS approval within 10 days of effective date</v>
      </c>
      <c r="C865" s="485" t="s">
        <v>0</v>
      </c>
      <c r="D865" s="248"/>
      <c r="E865" s="689"/>
      <c r="F865"/>
      <c r="G865"/>
      <c r="H865" s="221">
        <f>AH865</f>
        <v>0</v>
      </c>
      <c r="I865" s="684"/>
      <c r="J865"/>
      <c r="K865"/>
      <c r="L865"/>
      <c r="M865"/>
      <c r="N865"/>
      <c r="O865"/>
      <c r="P865"/>
      <c r="Q865"/>
      <c r="R865"/>
      <c r="S865"/>
      <c r="T865"/>
      <c r="U865"/>
      <c r="X865"/>
      <c r="AB865"/>
      <c r="AC865"/>
      <c r="AF865" s="326">
        <f>IF(S.Fee.Involved="Y",1,0)</f>
        <v>0</v>
      </c>
      <c r="AG865" s="80"/>
      <c r="AH865" s="60">
        <f>IF(AF865=0,,S.PostEQC.BANNER.Begin)</f>
        <v>0</v>
      </c>
      <c r="AI865" s="59"/>
      <c r="AJ865" s="59"/>
      <c r="AK865" s="200" t="str">
        <f>IF(S.Fee.DASApprovalRequired="Y","* submits Part 2 of signed DAS approval within 10 days of effective date",IF(S.Fee.Involved="Y","* prepares and emails DAS notification for fees that don't require approval","* no DAS involvement"))</f>
        <v>* submits Part 2 of signed DAS approval within 10 days of effective date</v>
      </c>
      <c r="AL865" s="76"/>
    </row>
    <row r="866" spans="1:39" s="23" customFormat="1" ht="14.1" customHeight="1" outlineLevel="2" x14ac:dyDescent="0.2">
      <c r="A866" s="144"/>
      <c r="B866" s="234" t="str">
        <f t="shared" ref="B866" si="175">AK866</f>
        <v>* scans/saves as Rule_Development|7-PostEQC|DAS.PART2.pdf</v>
      </c>
      <c r="C866" s="485" t="s">
        <v>0</v>
      </c>
      <c r="D866" s="248"/>
      <c r="E866" s="689"/>
      <c r="F866"/>
      <c r="G866"/>
      <c r="H866" s="221">
        <f t="shared" ref="H866" si="176">AH866</f>
        <v>0</v>
      </c>
      <c r="I866" s="684"/>
      <c r="J866"/>
      <c r="K866"/>
      <c r="L866"/>
      <c r="M866"/>
      <c r="N866"/>
      <c r="O866"/>
      <c r="P866"/>
      <c r="Q866"/>
      <c r="R866"/>
      <c r="S866"/>
      <c r="T866"/>
      <c r="U866"/>
      <c r="X866"/>
      <c r="AB866"/>
      <c r="AC866"/>
      <c r="AF866" s="326">
        <f>IF(S.Fee.Involved="Y",1,0)</f>
        <v>0</v>
      </c>
      <c r="AG866" s="80"/>
      <c r="AH866" s="60">
        <f>IF(AF866=0,,S.PostEQC.BANNER.Begin)</f>
        <v>0</v>
      </c>
      <c r="AI866" s="59"/>
      <c r="AJ866" s="59"/>
      <c r="AK866" s="200" t="str">
        <f>IF(S.Fee.DASApprovalRequired="Y","* scans/saves as Rule_Development|7-PostEQC|DAS.PART2.pdf",IF(S.Fee.Involved="Y","* drafts email DAS notification for fees that don't require approval","* no DAS involvement"))</f>
        <v>* scans/saves as Rule_Development|7-PostEQC|DAS.PART2.pdf</v>
      </c>
      <c r="AL866" s="76"/>
    </row>
    <row r="867" spans="1:39" s="23" customFormat="1" ht="14.1" customHeight="1" outlineLevel="2" x14ac:dyDescent="0.2">
      <c r="A867" s="144"/>
      <c r="B867" s="234" t="str">
        <f t="shared" ref="B867" si="177">AK867</f>
        <v>* emails DAS.PART2.pdf to DAS (requests delivery receipt)</v>
      </c>
      <c r="C867" s="485" t="s">
        <v>0</v>
      </c>
      <c r="D867" s="248"/>
      <c r="E867" s="689"/>
      <c r="F867"/>
      <c r="G867"/>
      <c r="H867" s="221">
        <f t="shared" ref="H867" si="178">AH867</f>
        <v>0</v>
      </c>
      <c r="I867" s="684"/>
      <c r="J867"/>
      <c r="K867"/>
      <c r="L867"/>
      <c r="M867"/>
      <c r="N867"/>
      <c r="O867"/>
      <c r="P867"/>
      <c r="Q867"/>
      <c r="R867"/>
      <c r="S867"/>
      <c r="T867"/>
      <c r="U867"/>
      <c r="X867"/>
      <c r="AB867"/>
      <c r="AC867"/>
      <c r="AF867" s="326">
        <f>IF(S.Fee.Involved="Y",1,0)</f>
        <v>0</v>
      </c>
      <c r="AG867" s="80"/>
      <c r="AH867" s="60">
        <f>IF(AF867=0,,S.PostEQC.BANNER.Begin)</f>
        <v>0</v>
      </c>
      <c r="AI867" s="59"/>
      <c r="AJ867" s="59"/>
      <c r="AK867" s="200" t="str">
        <f>IF(S.Fee.DASApprovalRequired="Y","* emails DAS.PART2.pdf to DAS (requests delivery receipt)",IF(S.Fee.Involved="Y","* emails DAS.NOTIFICATION to DAS (requests delivery receipt) ","* no DAS involvement"))</f>
        <v>* emails DAS.PART2.pdf to DAS (requests delivery receipt)</v>
      </c>
      <c r="AL867" s="76"/>
    </row>
    <row r="868" spans="1:39" s="23" customFormat="1" ht="14.1" customHeight="1" outlineLevel="2" x14ac:dyDescent="0.2">
      <c r="A868" s="144"/>
      <c r="B868" s="234" t="str">
        <f t="shared" ref="B868" si="179">AK868</f>
        <v>* saves receipts as Rule_Dev.|7-PostEQC|PROOF.DAS.DELIVERY.pdf</v>
      </c>
      <c r="C868" s="485" t="s">
        <v>0</v>
      </c>
      <c r="D868" s="248"/>
      <c r="E868" s="689"/>
      <c r="F868"/>
      <c r="G868"/>
      <c r="H868" s="221">
        <f t="shared" ref="H868" si="180">AH868</f>
        <v>0</v>
      </c>
      <c r="I868" s="684"/>
      <c r="J868"/>
      <c r="K868"/>
      <c r="L868"/>
      <c r="M868"/>
      <c r="N868"/>
      <c r="O868"/>
      <c r="P868"/>
      <c r="Q868"/>
      <c r="R868"/>
      <c r="S868"/>
      <c r="T868"/>
      <c r="U868"/>
      <c r="X868"/>
      <c r="AB868"/>
      <c r="AC868"/>
      <c r="AF868" s="326">
        <f>IF(S.Fee.Involved="Y",1,0)</f>
        <v>0</v>
      </c>
      <c r="AG868" s="80"/>
      <c r="AH868" s="60">
        <f>IF(AF868=0,,S.PostEQC.BANNER.Begin)</f>
        <v>0</v>
      </c>
      <c r="AI868" s="59"/>
      <c r="AJ868" s="59"/>
      <c r="AK868" s="200" t="str">
        <f>IF(S.Fee.DASApprovalRequired="Y","* saves receipts as Rule_Dev.|7-PostEQC|PROOF.DAS.DELIVERY.pdf",IF(S.Fee.Involved="Y","* saves reciepts as Rule_Dev.|7-PostEQC|PROOF.DAS.DELIVERY.pdf","* no DAS involvement"))</f>
        <v>* saves receipts as Rule_Dev.|7-PostEQC|PROOF.DAS.DELIVERY.pdf</v>
      </c>
      <c r="AL868" s="76"/>
    </row>
    <row r="869" spans="1:39" s="23" customFormat="1" ht="14.1" customHeight="1" outlineLevel="2" x14ac:dyDescent="0.2">
      <c r="A869" s="144"/>
      <c r="B869" s="203" t="str">
        <f>AK869</f>
        <v>Maggie:</v>
      </c>
      <c r="C869" s="265"/>
      <c r="D869" s="643"/>
      <c r="E869" s="643"/>
      <c r="F869" s="227"/>
      <c r="G869" s="223"/>
      <c r="H869" s="223"/>
      <c r="I869" s="684"/>
      <c r="J869"/>
      <c r="K869"/>
      <c r="L869"/>
      <c r="M869"/>
      <c r="N869"/>
      <c r="O869"/>
      <c r="P869"/>
      <c r="Q869"/>
      <c r="R869"/>
      <c r="S869"/>
      <c r="T869"/>
      <c r="U869"/>
      <c r="X869"/>
      <c r="AB869"/>
      <c r="AC869"/>
      <c r="AF869" s="326">
        <v>1</v>
      </c>
      <c r="AG869" s="47"/>
      <c r="AH869" s="47"/>
      <c r="AI869" s="47"/>
      <c r="AJ869" s="61"/>
      <c r="AK869" s="202" t="str">
        <f>S.Staff.AgencyRulesCoordinator&amp;":"</f>
        <v>Maggie:</v>
      </c>
      <c r="AL869" s="76"/>
    </row>
    <row r="870" spans="1:39" ht="14.1" customHeight="1" outlineLevel="2" x14ac:dyDescent="0.2">
      <c r="A870" s="144"/>
      <c r="B870" s="206" t="s">
        <v>94</v>
      </c>
      <c r="C870" s="450" t="str">
        <f>HYPERLINK("http://arcweb.sos.state.or.us/pages/rules/resources/fileonline.html","i")</f>
        <v>i</v>
      </c>
      <c r="D870" s="322"/>
      <c r="E870" s="689"/>
      <c r="F870"/>
      <c r="G870"/>
      <c r="H870" s="221">
        <f t="shared" ref="H870:H877" si="181">AH870</f>
        <v>42076</v>
      </c>
      <c r="I870" s="684"/>
      <c r="AF870" s="326">
        <v>1</v>
      </c>
      <c r="AG870" s="47"/>
      <c r="AH870" s="60">
        <f>S.PostEQC.FileRuleWithSOS</f>
        <v>42076</v>
      </c>
      <c r="AI870" s="59"/>
      <c r="AJ870" s="61"/>
      <c r="AK870" s="44"/>
      <c r="AL870" s="76"/>
      <c r="AM870"/>
    </row>
    <row r="871" spans="1:39" s="23" customFormat="1" ht="14.1" customHeight="1" outlineLevel="2" x14ac:dyDescent="0.2">
      <c r="A871" s="144"/>
      <c r="B871" s="275" t="s">
        <v>36</v>
      </c>
      <c r="C871" s="289"/>
      <c r="D871" s="322"/>
      <c r="E871" s="689"/>
      <c r="F871"/>
      <c r="G871"/>
      <c r="H871" s="221">
        <f t="shared" si="181"/>
        <v>42076</v>
      </c>
      <c r="I871" s="684"/>
      <c r="J871"/>
      <c r="K871"/>
      <c r="L871"/>
      <c r="M871"/>
      <c r="N871"/>
      <c r="O871"/>
      <c r="P871"/>
      <c r="Q871"/>
      <c r="R871"/>
      <c r="S871"/>
      <c r="T871"/>
      <c r="U871"/>
      <c r="X871"/>
      <c r="AB871"/>
      <c r="AC871"/>
      <c r="AF871" s="326">
        <v>1</v>
      </c>
      <c r="AG871" s="71"/>
      <c r="AH871" s="60">
        <f>S.PostEQC.RuleEffective</f>
        <v>42076</v>
      </c>
      <c r="AI871" s="59"/>
      <c r="AJ871" s="59"/>
      <c r="AK871" s="44"/>
      <c r="AL871" s="76"/>
    </row>
    <row r="872" spans="1:39" s="23" customFormat="1" ht="14.1" customHeight="1" outlineLevel="2" x14ac:dyDescent="0.2">
      <c r="A872" s="144"/>
      <c r="B872" s="206" t="s">
        <v>235</v>
      </c>
      <c r="C872" s="450" t="str">
        <f>HYPERLINK("http://www.lc.state.or.us/arrs.htm","i")</f>
        <v>i</v>
      </c>
      <c r="D872" s="660"/>
      <c r="E872" s="831"/>
      <c r="F872"/>
      <c r="G872"/>
      <c r="H872" s="224">
        <f t="shared" si="181"/>
        <v>42076</v>
      </c>
      <c r="I872" s="684"/>
      <c r="J872"/>
      <c r="K872"/>
      <c r="L872"/>
      <c r="M872"/>
      <c r="N872"/>
      <c r="O872"/>
      <c r="P872"/>
      <c r="Q872"/>
      <c r="R872"/>
      <c r="S872"/>
      <c r="T872"/>
      <c r="U872"/>
      <c r="X872"/>
      <c r="AB872"/>
      <c r="AC872"/>
      <c r="AF872" s="326">
        <v>1</v>
      </c>
      <c r="AG872" s="71"/>
      <c r="AH872" s="60">
        <f>S.PostEQC.FileRuleWithSOS</f>
        <v>42076</v>
      </c>
      <c r="AI872" s="59"/>
      <c r="AJ872" s="61"/>
      <c r="AK872" s="44"/>
      <c r="AL872" s="76"/>
    </row>
    <row r="873" spans="1:39" s="23" customFormat="1" ht="14.1" customHeight="1" outlineLevel="2" x14ac:dyDescent="0.2">
      <c r="A873" s="144"/>
      <c r="B873" s="372" t="s">
        <v>245</v>
      </c>
      <c r="C873" s="271"/>
      <c r="D873" s="661"/>
      <c r="E873" s="661"/>
      <c r="F873" s="227"/>
      <c r="G873" s="271"/>
      <c r="H873" s="271"/>
      <c r="I873" s="684"/>
      <c r="J873"/>
      <c r="K873"/>
      <c r="L873"/>
      <c r="M873"/>
      <c r="N873"/>
      <c r="O873"/>
      <c r="P873"/>
      <c r="Q873"/>
      <c r="R873"/>
      <c r="S873"/>
      <c r="T873"/>
      <c r="U873"/>
      <c r="X873"/>
      <c r="AB873"/>
      <c r="AC873"/>
      <c r="AF873" s="326">
        <v>1</v>
      </c>
      <c r="AG873" s="71"/>
      <c r="AH873" s="71"/>
      <c r="AI873" s="59"/>
      <c r="AJ873" s="61"/>
      <c r="AK873" s="41"/>
      <c r="AL873" s="76"/>
    </row>
    <row r="874" spans="1:39" s="23" customFormat="1" ht="14.1" customHeight="1" outlineLevel="2" x14ac:dyDescent="0.2">
      <c r="A874" s="144"/>
      <c r="B874" s="372" t="s">
        <v>246</v>
      </c>
      <c r="C874" s="271"/>
      <c r="D874" s="661"/>
      <c r="E874" s="661"/>
      <c r="F874" s="227"/>
      <c r="G874" s="271"/>
      <c r="H874" s="271"/>
      <c r="I874" s="684"/>
      <c r="J874"/>
      <c r="K874"/>
      <c r="L874"/>
      <c r="M874"/>
      <c r="N874"/>
      <c r="O874"/>
      <c r="P874"/>
      <c r="Q874"/>
      <c r="R874"/>
      <c r="S874"/>
      <c r="T874"/>
      <c r="U874"/>
      <c r="X874"/>
      <c r="AB874"/>
      <c r="AC874"/>
      <c r="AF874" s="326">
        <v>1</v>
      </c>
      <c r="AG874" s="71"/>
      <c r="AH874" s="71"/>
      <c r="AI874" s="59"/>
      <c r="AJ874" s="61"/>
      <c r="AK874" s="41"/>
      <c r="AL874" s="76"/>
    </row>
    <row r="875" spans="1:39" s="23" customFormat="1" ht="14.1" customHeight="1" outlineLevel="2" x14ac:dyDescent="0.2">
      <c r="A875" s="144"/>
      <c r="B875" s="372" t="s">
        <v>125</v>
      </c>
      <c r="C875" s="271"/>
      <c r="D875" s="661"/>
      <c r="E875" s="661"/>
      <c r="F875" s="227"/>
      <c r="G875" s="271"/>
      <c r="H875" s="271"/>
      <c r="I875" s="684"/>
      <c r="J875"/>
      <c r="K875"/>
      <c r="L875"/>
      <c r="M875"/>
      <c r="N875"/>
      <c r="O875"/>
      <c r="P875"/>
      <c r="Q875"/>
      <c r="R875"/>
      <c r="S875"/>
      <c r="T875"/>
      <c r="U875"/>
      <c r="X875"/>
      <c r="AB875"/>
      <c r="AC875"/>
      <c r="AF875" s="326">
        <v>1</v>
      </c>
      <c r="AG875" s="71"/>
      <c r="AH875" s="71"/>
      <c r="AI875" s="59"/>
      <c r="AJ875" s="61"/>
      <c r="AK875" s="41"/>
      <c r="AL875" s="76"/>
    </row>
    <row r="876" spans="1:39" s="23" customFormat="1" ht="14.1" customHeight="1" outlineLevel="2" thickBot="1" x14ac:dyDescent="0.25">
      <c r="A876" s="144"/>
      <c r="B876" s="332" t="s">
        <v>126</v>
      </c>
      <c r="C876" s="271"/>
      <c r="D876" s="661"/>
      <c r="E876" s="661"/>
      <c r="F876" s="227"/>
      <c r="G876" s="271"/>
      <c r="H876" s="271"/>
      <c r="I876" s="684"/>
      <c r="J876"/>
      <c r="K876"/>
      <c r="L876"/>
      <c r="M876"/>
      <c r="N876"/>
      <c r="O876"/>
      <c r="P876"/>
      <c r="Q876"/>
      <c r="R876"/>
      <c r="S876"/>
      <c r="T876"/>
      <c r="U876"/>
      <c r="X876"/>
      <c r="AB876"/>
      <c r="AC876"/>
      <c r="AF876" s="326">
        <v>1</v>
      </c>
      <c r="AG876" s="71"/>
      <c r="AH876" s="71"/>
      <c r="AI876" s="59"/>
      <c r="AJ876" s="61"/>
      <c r="AK876" s="41"/>
      <c r="AL876" s="76"/>
    </row>
    <row r="877" spans="1:39" s="23" customFormat="1" ht="14.1" customHeight="1" outlineLevel="2" thickBot="1" x14ac:dyDescent="0.25">
      <c r="A877" s="144"/>
      <c r="B877" s="207" t="s">
        <v>250</v>
      </c>
      <c r="C877" s="323" t="str">
        <f>HYPERLINK("http://oarnoticefilings.sos.state.or.us","i")</f>
        <v>i</v>
      </c>
      <c r="D877" s="662"/>
      <c r="E877" s="831"/>
      <c r="F877"/>
      <c r="G877"/>
      <c r="H877" s="221">
        <f t="shared" si="181"/>
        <v>42076</v>
      </c>
      <c r="I877" s="684"/>
      <c r="J877"/>
      <c r="K877"/>
      <c r="L877"/>
      <c r="M877"/>
      <c r="N877"/>
      <c r="O877"/>
      <c r="P877"/>
      <c r="Q877"/>
      <c r="R877"/>
      <c r="S877"/>
      <c r="T877"/>
      <c r="U877"/>
      <c r="X877"/>
      <c r="AB877"/>
      <c r="AC877"/>
      <c r="AF877" s="326">
        <v>1</v>
      </c>
      <c r="AG877" s="71"/>
      <c r="AH877" s="60">
        <f>S.PostEQC.FileRuleWithSOS</f>
        <v>42076</v>
      </c>
      <c r="AI877" s="59"/>
      <c r="AJ877" s="61"/>
      <c r="AK877" s="44"/>
      <c r="AL877" s="76"/>
    </row>
    <row r="878" spans="1:39" s="23" customFormat="1" ht="14.1" customHeight="1" outlineLevel="2" x14ac:dyDescent="0.2">
      <c r="A878" s="144"/>
      <c r="B878" s="493" t="s">
        <v>249</v>
      </c>
      <c r="C878" s="271"/>
      <c r="D878" s="661"/>
      <c r="E878" s="661"/>
      <c r="F878" s="227"/>
      <c r="G878" s="271"/>
      <c r="H878" s="271"/>
      <c r="I878" s="684"/>
      <c r="J878"/>
      <c r="K878"/>
      <c r="L878"/>
      <c r="M878"/>
      <c r="N878"/>
      <c r="O878"/>
      <c r="P878"/>
      <c r="Q878"/>
      <c r="R878"/>
      <c r="S878"/>
      <c r="T878"/>
      <c r="U878"/>
      <c r="X878"/>
      <c r="AB878"/>
      <c r="AC878"/>
      <c r="AF878" s="326">
        <v>1</v>
      </c>
      <c r="AG878" s="71"/>
      <c r="AH878" s="71"/>
      <c r="AI878" s="59"/>
      <c r="AJ878" s="61"/>
      <c r="AK878" s="41"/>
      <c r="AL878" s="76"/>
    </row>
    <row r="879" spans="1:39" ht="14.1" customHeight="1" outlineLevel="2" x14ac:dyDescent="0.2">
      <c r="A879" s="144"/>
      <c r="B879" s="193" t="s">
        <v>244</v>
      </c>
      <c r="C879" s="271"/>
      <c r="D879" s="661"/>
      <c r="E879" s="661"/>
      <c r="F879" s="227"/>
      <c r="G879" s="271"/>
      <c r="H879" s="271"/>
      <c r="I879" s="684"/>
      <c r="AF879" s="326">
        <v>1</v>
      </c>
      <c r="AG879" s="71"/>
      <c r="AH879" s="71"/>
      <c r="AI879" s="59"/>
      <c r="AJ879" s="61"/>
      <c r="AK879" s="41"/>
      <c r="AL879" s="76"/>
      <c r="AM879"/>
    </row>
    <row r="880" spans="1:39" s="23" customFormat="1" ht="14.1" customHeight="1" outlineLevel="2" x14ac:dyDescent="0.2">
      <c r="A880" s="144"/>
      <c r="B880" s="194" t="str">
        <f>AK880</f>
        <v>reserved for temporary rules</v>
      </c>
      <c r="C880" s="271"/>
      <c r="D880" s="661"/>
      <c r="E880" s="661"/>
      <c r="F880" s="227"/>
      <c r="G880" s="271"/>
      <c r="H880" s="271"/>
      <c r="I880" s="684"/>
      <c r="J880"/>
      <c r="K880"/>
      <c r="L880"/>
      <c r="M880"/>
      <c r="N880"/>
      <c r="O880"/>
      <c r="P880"/>
      <c r="Q880"/>
      <c r="R880"/>
      <c r="S880"/>
      <c r="T880"/>
      <c r="U880"/>
      <c r="X880"/>
      <c r="AB880"/>
      <c r="AC880"/>
      <c r="AF880" s="326">
        <f>IF(S.General.RuleType="T",1,0)</f>
        <v>0</v>
      </c>
      <c r="AG880" s="71"/>
      <c r="AH880" s="71"/>
      <c r="AI880" s="59"/>
      <c r="AJ880" s="61"/>
      <c r="AK880" s="193" t="str">
        <f>IF(S.General.RuleType="P","reserved for temporary rules","1a Justification.SOS.Stamped.pdf")</f>
        <v>reserved for temporary rules</v>
      </c>
      <c r="AL880" s="76"/>
    </row>
    <row r="881" spans="1:38" s="23" customFormat="1" ht="14.1" customHeight="1" outlineLevel="2" x14ac:dyDescent="0.2">
      <c r="A881" s="144"/>
      <c r="B881" s="193" t="s">
        <v>237</v>
      </c>
      <c r="C881" s="271"/>
      <c r="D881" s="661"/>
      <c r="E881" s="661"/>
      <c r="F881" s="227"/>
      <c r="G881" s="271"/>
      <c r="H881" s="271"/>
      <c r="I881" s="684"/>
      <c r="J881"/>
      <c r="K881"/>
      <c r="L881"/>
      <c r="M881"/>
      <c r="N881"/>
      <c r="O881"/>
      <c r="P881"/>
      <c r="Q881"/>
      <c r="R881"/>
      <c r="S881"/>
      <c r="T881"/>
      <c r="U881"/>
      <c r="X881"/>
      <c r="AB881"/>
      <c r="AC881"/>
      <c r="AF881" s="326">
        <v>1</v>
      </c>
      <c r="AG881" s="71"/>
      <c r="AH881" s="71"/>
      <c r="AI881" s="59"/>
      <c r="AJ881" s="61"/>
      <c r="AK881" s="41"/>
      <c r="AL881" s="76"/>
    </row>
    <row r="882" spans="1:38" s="23" customFormat="1" ht="14.1" customHeight="1" outlineLevel="2" x14ac:dyDescent="0.2">
      <c r="A882" s="144"/>
      <c r="B882" s="194" t="s">
        <v>238</v>
      </c>
      <c r="C882" s="271"/>
      <c r="D882" s="661"/>
      <c r="E882" s="661"/>
      <c r="F882" s="227"/>
      <c r="G882" s="271"/>
      <c r="H882" s="271"/>
      <c r="I882" s="684"/>
      <c r="J882"/>
      <c r="K882"/>
      <c r="L882"/>
      <c r="M882"/>
      <c r="N882"/>
      <c r="O882"/>
      <c r="P882"/>
      <c r="Q882"/>
      <c r="R882"/>
      <c r="S882"/>
      <c r="T882"/>
      <c r="U882"/>
      <c r="X882"/>
      <c r="AB882"/>
      <c r="AC882"/>
      <c r="AF882" s="326">
        <v>1</v>
      </c>
      <c r="AG882" s="71"/>
      <c r="AH882" s="71"/>
      <c r="AI882" s="59"/>
      <c r="AJ882" s="61"/>
      <c r="AK882" s="41"/>
      <c r="AL882" s="76"/>
    </row>
    <row r="883" spans="1:38" s="23" customFormat="1" ht="14.1" customHeight="1" outlineLevel="2" x14ac:dyDescent="0.2">
      <c r="A883" s="144"/>
      <c r="B883" s="194" t="s">
        <v>239</v>
      </c>
      <c r="C883" s="271"/>
      <c r="D883" s="661"/>
      <c r="E883" s="661"/>
      <c r="F883" s="227"/>
      <c r="G883" s="271"/>
      <c r="H883" s="271"/>
      <c r="I883" s="684"/>
      <c r="J883"/>
      <c r="K883"/>
      <c r="L883"/>
      <c r="M883"/>
      <c r="N883"/>
      <c r="O883"/>
      <c r="P883"/>
      <c r="Q883"/>
      <c r="R883"/>
      <c r="S883"/>
      <c r="T883"/>
      <c r="U883"/>
      <c r="X883"/>
      <c r="AB883"/>
      <c r="AC883"/>
      <c r="AF883" s="326">
        <v>1</v>
      </c>
      <c r="AG883" s="71"/>
      <c r="AH883" s="71"/>
      <c r="AI883" s="59"/>
      <c r="AJ883" s="61"/>
      <c r="AK883" s="41"/>
      <c r="AL883" s="76"/>
    </row>
    <row r="884" spans="1:38" s="23" customFormat="1" ht="14.1" customHeight="1" outlineLevel="2" x14ac:dyDescent="0.2">
      <c r="A884" s="144"/>
      <c r="B884" s="193" t="s">
        <v>236</v>
      </c>
      <c r="C884" s="271"/>
      <c r="D884" s="661"/>
      <c r="E884" s="661"/>
      <c r="F884" s="227"/>
      <c r="G884" s="271"/>
      <c r="H884" s="271"/>
      <c r="I884" s="684"/>
      <c r="J884"/>
      <c r="K884"/>
      <c r="L884"/>
      <c r="M884"/>
      <c r="N884"/>
      <c r="O884"/>
      <c r="P884"/>
      <c r="Q884"/>
      <c r="R884"/>
      <c r="S884"/>
      <c r="T884"/>
      <c r="U884"/>
      <c r="X884"/>
      <c r="AB884"/>
      <c r="AC884"/>
      <c r="AF884" s="326">
        <v>1</v>
      </c>
      <c r="AG884" s="71"/>
      <c r="AH884" s="71"/>
      <c r="AI884" s="432"/>
      <c r="AJ884" s="61"/>
      <c r="AK884" s="41"/>
      <c r="AL884" s="76"/>
    </row>
    <row r="885" spans="1:38" s="23" customFormat="1" ht="14.1" customHeight="1" outlineLevel="2" x14ac:dyDescent="0.2">
      <c r="A885" s="144"/>
      <c r="B885" s="193" t="s">
        <v>240</v>
      </c>
      <c r="C885" s="271"/>
      <c r="D885" s="661"/>
      <c r="E885" s="661"/>
      <c r="F885" s="227"/>
      <c r="G885" s="271"/>
      <c r="H885" s="271"/>
      <c r="I885" s="684"/>
      <c r="J885"/>
      <c r="K885"/>
      <c r="L885"/>
      <c r="M885"/>
      <c r="N885"/>
      <c r="O885"/>
      <c r="P885"/>
      <c r="Q885"/>
      <c r="R885"/>
      <c r="S885"/>
      <c r="T885"/>
      <c r="U885"/>
      <c r="X885"/>
      <c r="AB885"/>
      <c r="AC885"/>
      <c r="AF885" s="326">
        <v>1</v>
      </c>
      <c r="AG885" s="71"/>
      <c r="AH885" s="71"/>
      <c r="AI885" s="59"/>
      <c r="AJ885" s="61"/>
      <c r="AK885" s="41"/>
      <c r="AL885" s="76"/>
    </row>
    <row r="886" spans="1:38" s="23" customFormat="1" ht="14.1" customHeight="1" outlineLevel="2" x14ac:dyDescent="0.2">
      <c r="A886" s="144"/>
      <c r="B886" s="193" t="s">
        <v>241</v>
      </c>
      <c r="C886" s="271"/>
      <c r="D886" s="661"/>
      <c r="E886" s="661"/>
      <c r="F886" s="227"/>
      <c r="G886" s="271"/>
      <c r="H886" s="271"/>
      <c r="I886" s="684"/>
      <c r="J886"/>
      <c r="K886"/>
      <c r="L886"/>
      <c r="M886"/>
      <c r="N886"/>
      <c r="O886"/>
      <c r="P886"/>
      <c r="Q886"/>
      <c r="R886"/>
      <c r="S886"/>
      <c r="T886"/>
      <c r="U886"/>
      <c r="X886"/>
      <c r="AB886"/>
      <c r="AC886"/>
      <c r="AF886" s="326">
        <v>1</v>
      </c>
      <c r="AG886" s="71"/>
      <c r="AH886" s="71"/>
      <c r="AI886" s="59"/>
      <c r="AJ886" s="61"/>
      <c r="AK886" s="41"/>
      <c r="AL886" s="76"/>
    </row>
    <row r="887" spans="1:38" s="23" customFormat="1" ht="14.1" customHeight="1" outlineLevel="2" x14ac:dyDescent="0.2">
      <c r="A887" s="144"/>
      <c r="B887" s="193" t="s">
        <v>242</v>
      </c>
      <c r="C887" s="271"/>
      <c r="D887" s="661"/>
      <c r="E887" s="661"/>
      <c r="F887" s="227"/>
      <c r="G887" s="271"/>
      <c r="H887" s="271"/>
      <c r="I887" s="684"/>
      <c r="J887"/>
      <c r="K887"/>
      <c r="L887"/>
      <c r="M887"/>
      <c r="N887"/>
      <c r="O887"/>
      <c r="P887"/>
      <c r="Q887"/>
      <c r="R887"/>
      <c r="S887"/>
      <c r="T887"/>
      <c r="U887"/>
      <c r="X887"/>
      <c r="AB887"/>
      <c r="AC887"/>
      <c r="AF887" s="326">
        <v>1</v>
      </c>
      <c r="AG887" s="71"/>
      <c r="AH887" s="71"/>
      <c r="AI887" s="59"/>
      <c r="AJ887" s="61"/>
      <c r="AK887" s="41"/>
      <c r="AL887" s="76"/>
    </row>
    <row r="888" spans="1:38" s="23" customFormat="1" ht="14.1" customHeight="1" outlineLevel="2" x14ac:dyDescent="0.2">
      <c r="A888" s="144"/>
      <c r="B888" s="193" t="s">
        <v>243</v>
      </c>
      <c r="C888" s="271"/>
      <c r="D888" s="661"/>
      <c r="E888" s="661"/>
      <c r="F888" s="227"/>
      <c r="G888" s="271"/>
      <c r="H888" s="271"/>
      <c r="I888" s="684"/>
      <c r="J888"/>
      <c r="K888"/>
      <c r="L888"/>
      <c r="M888"/>
      <c r="N888"/>
      <c r="O888"/>
      <c r="P888"/>
      <c r="Q888"/>
      <c r="R888"/>
      <c r="S888"/>
      <c r="T888"/>
      <c r="U888"/>
      <c r="X888"/>
      <c r="AB888"/>
      <c r="AC888"/>
      <c r="AF888" s="326">
        <v>1</v>
      </c>
      <c r="AG888" s="71"/>
      <c r="AH888" s="71"/>
      <c r="AI888" s="59"/>
      <c r="AJ888" s="61"/>
      <c r="AK888" s="41"/>
      <c r="AL888" s="76"/>
    </row>
    <row r="889" spans="1:38" s="23" customFormat="1" ht="14.1" customHeight="1" outlineLevel="2" x14ac:dyDescent="0.25">
      <c r="A889" s="144"/>
      <c r="B889" s="268" t="str">
        <f>AK889</f>
        <v>* coordinates with Jill to:</v>
      </c>
      <c r="C889" s="446" t="str">
        <f>HYPERLINK("\\deqhq1\Rule_Resources\i\EMAIL.Post.EQC.CloseOut.docx","i")</f>
        <v>i</v>
      </c>
      <c r="D889" s="248"/>
      <c r="E889" s="248"/>
      <c r="F889" s="220">
        <f t="shared" ref="F889" si="182">NETWORKDAYS(G889,H889,S.DDL_DEQClosed)</f>
        <v>1</v>
      </c>
      <c r="G889" s="221">
        <f t="shared" ref="G889" si="183">AG889</f>
        <v>42076</v>
      </c>
      <c r="H889" s="221">
        <f t="shared" ref="H889" si="184">AH889</f>
        <v>42076</v>
      </c>
      <c r="I889" s="684"/>
      <c r="J889"/>
      <c r="K889"/>
      <c r="L889"/>
      <c r="M889"/>
      <c r="N889"/>
      <c r="O889"/>
      <c r="P889"/>
      <c r="Q889"/>
      <c r="R889"/>
      <c r="S889"/>
      <c r="T889"/>
      <c r="U889"/>
      <c r="X889"/>
      <c r="AB889"/>
      <c r="AC889"/>
      <c r="AF889" s="326">
        <v>1</v>
      </c>
      <c r="AG889" s="60">
        <f>S.PostEQC.FileRuleWithSOS</f>
        <v>42076</v>
      </c>
      <c r="AH889" s="60">
        <f t="shared" ref="AH889" si="185">G889</f>
        <v>42076</v>
      </c>
      <c r="AI889" s="59"/>
      <c r="AJ889" s="43"/>
      <c r="AK889" s="78" t="str">
        <f>"* coordinates with "&amp;S.Staff.Subject.Expert.FirstName&amp;" to:"</f>
        <v>* coordinates with Jill to:</v>
      </c>
      <c r="AL889" s="76"/>
    </row>
    <row r="890" spans="1:38" s="23" customFormat="1" ht="14.1" customHeight="1" outlineLevel="2" x14ac:dyDescent="0.25">
      <c r="A890" s="144" t="s">
        <v>0</v>
      </c>
      <c r="B890" s="494" t="s">
        <v>251</v>
      </c>
      <c r="C890" s="446" t="str">
        <f>HYPERLINK("\\deqhq1\Rule_Development\Filed Rules","i")</f>
        <v>i</v>
      </c>
      <c r="D890" s="647"/>
      <c r="E890" s="647"/>
      <c r="F890" s="244"/>
      <c r="G890" s="244"/>
      <c r="H890" s="244"/>
      <c r="I890" s="684"/>
      <c r="J890"/>
      <c r="K890"/>
      <c r="L890"/>
      <c r="M890"/>
      <c r="N890"/>
      <c r="O890"/>
      <c r="P890"/>
      <c r="Q890"/>
      <c r="R890"/>
      <c r="S890"/>
      <c r="T890"/>
      <c r="U890"/>
      <c r="X890"/>
      <c r="AB890"/>
      <c r="AC890"/>
      <c r="AF890" s="326">
        <v>1</v>
      </c>
      <c r="AG890" s="58"/>
      <c r="AH890" s="58"/>
      <c r="AI890" s="59"/>
      <c r="AJ890" s="43"/>
      <c r="AK890" s="41"/>
      <c r="AL890" s="76"/>
    </row>
    <row r="891" spans="1:38" s="23" customFormat="1" ht="14.1" customHeight="1" outlineLevel="2" x14ac:dyDescent="0.2">
      <c r="A891" s="144" t="s">
        <v>0</v>
      </c>
      <c r="B891" s="494" t="s">
        <v>252</v>
      </c>
      <c r="C891" s="286"/>
      <c r="D891" s="647"/>
      <c r="E891" s="647"/>
      <c r="F891" s="244"/>
      <c r="G891" s="244"/>
      <c r="H891" s="244"/>
      <c r="I891" s="684"/>
      <c r="J891"/>
      <c r="K891"/>
      <c r="L891"/>
      <c r="M891"/>
      <c r="N891"/>
      <c r="O891"/>
      <c r="P891"/>
      <c r="Q891"/>
      <c r="R891"/>
      <c r="S891"/>
      <c r="T891"/>
      <c r="U891"/>
      <c r="X891"/>
      <c r="AB891"/>
      <c r="AC891"/>
      <c r="AF891" s="326">
        <v>1</v>
      </c>
      <c r="AG891" s="58"/>
      <c r="AH891" s="58"/>
      <c r="AI891" s="59"/>
      <c r="AJ891" s="43"/>
      <c r="AK891" s="41"/>
      <c r="AL891" s="76"/>
    </row>
    <row r="892" spans="1:38" s="23" customFormat="1" ht="14.1" customHeight="1" outlineLevel="2" x14ac:dyDescent="0.2">
      <c r="A892" s="144" t="s">
        <v>0</v>
      </c>
      <c r="B892" s="372" t="s">
        <v>253</v>
      </c>
      <c r="C892" s="271"/>
      <c r="D892" s="662"/>
      <c r="E892" s="831"/>
      <c r="F892"/>
      <c r="G892"/>
      <c r="H892" s="221">
        <f t="shared" ref="H892" si="186">AH892</f>
        <v>42076</v>
      </c>
      <c r="I892" s="684"/>
      <c r="J892"/>
      <c r="K892"/>
      <c r="L892"/>
      <c r="M892"/>
      <c r="N892"/>
      <c r="O892"/>
      <c r="P892"/>
      <c r="Q892"/>
      <c r="R892"/>
      <c r="S892"/>
      <c r="T892"/>
      <c r="U892"/>
      <c r="X892"/>
      <c r="AB892"/>
      <c r="AC892"/>
      <c r="AF892" s="326">
        <v>1</v>
      </c>
      <c r="AG892" s="80"/>
      <c r="AH892" s="60">
        <f>S.PostEQC.FileRuleWithSOS</f>
        <v>42076</v>
      </c>
      <c r="AI892" s="59"/>
      <c r="AJ892" s="61"/>
      <c r="AK892" s="41"/>
      <c r="AL892" s="76"/>
    </row>
    <row r="893" spans="1:38" s="23" customFormat="1" ht="14.1" customHeight="1" outlineLevel="2" x14ac:dyDescent="0.2">
      <c r="A893" s="144" t="s">
        <v>0</v>
      </c>
      <c r="B893" s="494" t="s">
        <v>254</v>
      </c>
      <c r="C893" s="271"/>
      <c r="D893" s="272"/>
      <c r="E893" s="272"/>
      <c r="F893" s="227"/>
      <c r="G893" s="271"/>
      <c r="H893" s="271"/>
      <c r="I893" s="684"/>
      <c r="J893"/>
      <c r="K893"/>
      <c r="L893"/>
      <c r="M893"/>
      <c r="N893"/>
      <c r="O893"/>
      <c r="P893"/>
      <c r="Q893"/>
      <c r="R893"/>
      <c r="S893"/>
      <c r="T893"/>
      <c r="U893"/>
      <c r="X893"/>
      <c r="AB893"/>
      <c r="AC893"/>
      <c r="AF893" s="326">
        <v>1</v>
      </c>
      <c r="AG893" s="80"/>
      <c r="AH893" s="80"/>
      <c r="AI893" s="59"/>
      <c r="AJ893" s="152"/>
      <c r="AK893" s="41"/>
      <c r="AL893" s="76"/>
    </row>
    <row r="894" spans="1:38" s="23" customFormat="1" ht="14.1" customHeight="1" outlineLevel="2" x14ac:dyDescent="0.2">
      <c r="A894" s="144"/>
      <c r="B894" s="268" t="str">
        <f>AK894</f>
        <v>Jill:</v>
      </c>
      <c r="C894" s="271"/>
      <c r="D894" s="272"/>
      <c r="E894" s="272"/>
      <c r="F894" s="227"/>
      <c r="G894" s="271"/>
      <c r="H894" s="271"/>
      <c r="I894" s="684"/>
      <c r="J894"/>
      <c r="K894"/>
      <c r="L894"/>
      <c r="M894"/>
      <c r="N894"/>
      <c r="O894"/>
      <c r="P894"/>
      <c r="Q894"/>
      <c r="R894"/>
      <c r="S894"/>
      <c r="T894"/>
      <c r="U894"/>
      <c r="X894"/>
      <c r="AB894"/>
      <c r="AC894"/>
      <c r="AF894" s="326">
        <v>1</v>
      </c>
      <c r="AG894" s="80"/>
      <c r="AH894" s="80"/>
      <c r="AI894" s="59"/>
      <c r="AJ894" s="152"/>
      <c r="AK894" s="67" t="str">
        <f>S.Staff.Subject.Expert.FirstName&amp;":"</f>
        <v>Jill:</v>
      </c>
      <c r="AL894" s="76"/>
    </row>
    <row r="895" spans="1:38" s="23" customFormat="1" ht="14.1" customHeight="1" outlineLevel="2" x14ac:dyDescent="0.2">
      <c r="A895" s="144"/>
      <c r="B895" s="234" t="s">
        <v>163</v>
      </c>
      <c r="C895" s="481"/>
      <c r="D895" s="248"/>
      <c r="E895" s="322"/>
      <c r="F895" s="278">
        <f>NETWORKDAYS(G895,H895,S.DDL_DEQClosed)</f>
        <v>1</v>
      </c>
      <c r="G895" s="221">
        <f>AG895</f>
        <v>42076</v>
      </c>
      <c r="H895" s="221">
        <f>AH895</f>
        <v>42076</v>
      </c>
      <c r="I895" s="684"/>
      <c r="J895"/>
      <c r="K895"/>
      <c r="L895"/>
      <c r="M895"/>
      <c r="N895"/>
      <c r="O895"/>
      <c r="P895"/>
      <c r="Q895"/>
      <c r="R895"/>
      <c r="S895"/>
      <c r="T895"/>
      <c r="U895"/>
      <c r="X895"/>
      <c r="AB895"/>
      <c r="AC895"/>
      <c r="AF895" s="326">
        <v>1</v>
      </c>
      <c r="AG895" s="60">
        <f>S.PostEQC.FileRuleWithSOS</f>
        <v>42076</v>
      </c>
      <c r="AH895" s="60">
        <f>G895</f>
        <v>42076</v>
      </c>
      <c r="AI895" s="59"/>
      <c r="AJ895" s="59"/>
      <c r="AK895" s="58" t="s">
        <v>0</v>
      </c>
      <c r="AL895" s="76"/>
    </row>
    <row r="896" spans="1:38" s="23" customFormat="1" ht="14.1" customHeight="1" outlineLevel="2" x14ac:dyDescent="0.2">
      <c r="A896" s="144"/>
      <c r="B896" s="242" t="s">
        <v>93</v>
      </c>
      <c r="C896" s="233"/>
      <c r="D896" s="243"/>
      <c r="E896" s="243"/>
      <c r="F896" s="227"/>
      <c r="G896" s="229"/>
      <c r="H896" s="223"/>
      <c r="I896" s="684"/>
      <c r="J896"/>
      <c r="K896"/>
      <c r="L896"/>
      <c r="M896"/>
      <c r="N896"/>
      <c r="O896"/>
      <c r="P896"/>
      <c r="Q896"/>
      <c r="R896"/>
      <c r="S896"/>
      <c r="T896"/>
      <c r="U896"/>
      <c r="X896"/>
      <c r="AB896"/>
      <c r="AC896"/>
      <c r="AF896" s="326">
        <v>1</v>
      </c>
      <c r="AG896" s="58"/>
      <c r="AH896" s="58"/>
      <c r="AI896" s="58"/>
      <c r="AJ896" s="44"/>
      <c r="AK896" s="58" t="s">
        <v>0</v>
      </c>
      <c r="AL896" s="76"/>
    </row>
    <row r="897" spans="1:39" s="23" customFormat="1" ht="14.1" customHeight="1" outlineLevel="2" thickBot="1" x14ac:dyDescent="0.25">
      <c r="A897" s="144"/>
      <c r="B897" s="234" t="s">
        <v>127</v>
      </c>
      <c r="C897" s="481"/>
      <c r="D897" s="248" t="s">
        <v>0</v>
      </c>
      <c r="E897" s="322"/>
      <c r="F897" s="278">
        <f>NETWORKDAYS(G897,H897,S.DDL_DEQClosed)</f>
        <v>1</v>
      </c>
      <c r="G897" s="221">
        <f t="shared" ref="G897:H899" si="187">AG897</f>
        <v>42093</v>
      </c>
      <c r="H897" s="221">
        <f t="shared" si="187"/>
        <v>42093</v>
      </c>
      <c r="I897" s="684"/>
      <c r="J897"/>
      <c r="K897"/>
      <c r="L897"/>
      <c r="M897"/>
      <c r="N897"/>
      <c r="O897"/>
      <c r="P897"/>
      <c r="Q897"/>
      <c r="R897"/>
      <c r="S897"/>
      <c r="T897"/>
      <c r="U897"/>
      <c r="X897"/>
      <c r="AB897"/>
      <c r="AC897"/>
      <c r="AF897" s="326">
        <v>1</v>
      </c>
      <c r="AG897" s="60">
        <f>AH897</f>
        <v>42093</v>
      </c>
      <c r="AH897" s="60">
        <f>WORKDAY(S.PostEQC.FileRuleWithSOS+14,1,S.DDL_DEQClosed)</f>
        <v>42093</v>
      </c>
      <c r="AI897" s="59"/>
      <c r="AJ897" s="59"/>
      <c r="AK897" s="58" t="s">
        <v>0</v>
      </c>
      <c r="AL897" s="76"/>
    </row>
    <row r="898" spans="1:39" s="23" customFormat="1" ht="14.1" customHeight="1" outlineLevel="2" thickBot="1" x14ac:dyDescent="0.25">
      <c r="A898" s="144"/>
      <c r="B898" s="307" t="str">
        <f>AK898</f>
        <v>If errors, Jill works with Maggie to correct and selects 'Y'  &gt;</v>
      </c>
      <c r="C898" s="478" t="s">
        <v>16</v>
      </c>
      <c r="D898" s="322" t="s">
        <v>0</v>
      </c>
      <c r="E898" s="322"/>
      <c r="F898" s="220">
        <f>NETWORKDAYS(G898,H898,S.DDL_DEQClosed)</f>
        <v>1</v>
      </c>
      <c r="G898" s="221">
        <f t="shared" si="187"/>
        <v>42093</v>
      </c>
      <c r="H898" s="221">
        <f t="shared" si="187"/>
        <v>42093</v>
      </c>
      <c r="I898" s="684"/>
      <c r="J898"/>
      <c r="K898"/>
      <c r="L898"/>
      <c r="M898"/>
      <c r="N898"/>
      <c r="O898"/>
      <c r="P898"/>
      <c r="Q898"/>
      <c r="R898"/>
      <c r="S898"/>
      <c r="T898"/>
      <c r="U898"/>
      <c r="X898"/>
      <c r="AB898"/>
      <c r="AC898"/>
      <c r="AF898" s="326">
        <f>IF(C898="Y",1,0)</f>
        <v>1</v>
      </c>
      <c r="AG898" s="60">
        <f>IF(AF898=0,,H897)</f>
        <v>42093</v>
      </c>
      <c r="AH898" s="60">
        <f>IF(AF898=0,,G898)</f>
        <v>42093</v>
      </c>
      <c r="AI898" s="59"/>
      <c r="AJ898" s="59"/>
      <c r="AK898" s="78" t="str">
        <f>"If errors, "&amp;S.Staff.Subject.Expert.FirstName&amp;" works with "&amp;S.Staff.AgencyRulesCoordinator&amp;" to correct and selects 'Y'  &gt;"</f>
        <v>If errors, Jill works with Maggie to correct and selects 'Y'  &gt;</v>
      </c>
      <c r="AL898" s="76"/>
    </row>
    <row r="899" spans="1:39" s="23" customFormat="1" ht="14.1" customHeight="1" outlineLevel="2" x14ac:dyDescent="0.2">
      <c r="A899" s="144"/>
      <c r="B899" s="232" t="str">
        <f>AK899</f>
        <v>AndreaG submits SIP to EPA within 60 days AFTER adoption</v>
      </c>
      <c r="C899" s="481"/>
      <c r="D899" s="248"/>
      <c r="E899" s="322"/>
      <c r="F899" s="278">
        <f>NETWORKDAYS(G899,H899,S.DDL_DEQClosed)</f>
        <v>34</v>
      </c>
      <c r="G899" s="228">
        <f t="shared" si="187"/>
        <v>42074</v>
      </c>
      <c r="H899" s="221">
        <f t="shared" si="187"/>
        <v>42121</v>
      </c>
      <c r="I899" s="684"/>
      <c r="J899"/>
      <c r="K899"/>
      <c r="L899"/>
      <c r="M899"/>
      <c r="N899"/>
      <c r="O899"/>
      <c r="P899"/>
      <c r="Q899"/>
      <c r="R899"/>
      <c r="S899"/>
      <c r="T899"/>
      <c r="U899"/>
      <c r="X899"/>
      <c r="AB899"/>
      <c r="AC899"/>
      <c r="AF899" s="326">
        <v>1</v>
      </c>
      <c r="AG899" s="60">
        <f>S.EQC.Meeting</f>
        <v>42074</v>
      </c>
      <c r="AH899" s="60">
        <f>WORKDAY(S.EQC.Meeting+44,1,S.DDL_DEQClosed)</f>
        <v>42121</v>
      </c>
      <c r="AI899" s="59"/>
      <c r="AJ899" s="59"/>
      <c r="AK899" s="78" t="str">
        <f>S.Staff.SIPCo&amp;" submits SIP to EPA within 60 days AFTER adoption"</f>
        <v>AndreaG submits SIP to EPA within 60 days AFTER adoption</v>
      </c>
      <c r="AL899" s="76"/>
    </row>
    <row r="900" spans="1:39" s="23" customFormat="1" ht="14.1" customHeight="1" outlineLevel="2" x14ac:dyDescent="0.2">
      <c r="A900" s="144"/>
      <c r="B900" s="268" t="str">
        <f>AK900</f>
        <v>Jill:</v>
      </c>
      <c r="C900" s="271"/>
      <c r="D900" s="272"/>
      <c r="E900" s="272"/>
      <c r="F900" s="227"/>
      <c r="G900" s="271"/>
      <c r="H900" s="271"/>
      <c r="I900" s="684"/>
      <c r="J900"/>
      <c r="K900"/>
      <c r="L900"/>
      <c r="M900"/>
      <c r="N900"/>
      <c r="O900"/>
      <c r="P900"/>
      <c r="Q900"/>
      <c r="R900"/>
      <c r="S900"/>
      <c r="T900"/>
      <c r="U900"/>
      <c r="X900"/>
      <c r="AB900"/>
      <c r="AC900"/>
      <c r="AF900" s="326">
        <v>1</v>
      </c>
      <c r="AG900" s="80"/>
      <c r="AH900" s="80"/>
      <c r="AI900" s="59"/>
      <c r="AJ900" s="152"/>
      <c r="AK900" s="67" t="str">
        <f>S.Staff.Subject.Expert.FirstName&amp;":"</f>
        <v>Jill:</v>
      </c>
      <c r="AL900" s="76"/>
    </row>
    <row r="901" spans="1:39" ht="14.1" customHeight="1" outlineLevel="2" x14ac:dyDescent="0.2">
      <c r="A901" s="144"/>
      <c r="B901" s="207" t="s">
        <v>214</v>
      </c>
      <c r="C901" s="484"/>
      <c r="D901" s="248"/>
      <c r="E901" s="248"/>
      <c r="F901" s="220">
        <f t="shared" ref="F901" si="188">NETWORKDAYS(G901,H901,S.DDL_DEQClosed)</f>
        <v>62</v>
      </c>
      <c r="G901" s="264">
        <f t="shared" ref="G901:H901" si="189">AG901</f>
        <v>42076</v>
      </c>
      <c r="H901" s="264">
        <f t="shared" si="189"/>
        <v>42164</v>
      </c>
      <c r="I901" s="684"/>
      <c r="AF901" s="326">
        <v>1</v>
      </c>
      <c r="AG901" s="60">
        <f>AH889</f>
        <v>42076</v>
      </c>
      <c r="AH901" s="60">
        <f>S.PostEQC.BANNER.End</f>
        <v>42164</v>
      </c>
      <c r="AI901" s="59"/>
      <c r="AJ901" s="46"/>
      <c r="AK901" s="41"/>
      <c r="AL901" s="76"/>
      <c r="AM901"/>
    </row>
    <row r="902" spans="1:39" s="23" customFormat="1" ht="14.1" customHeight="1" outlineLevel="2" x14ac:dyDescent="0.2">
      <c r="A902" s="144"/>
      <c r="B902" s="207" t="s">
        <v>209</v>
      </c>
      <c r="C902" s="484"/>
      <c r="D902" s="248"/>
      <c r="E902" s="689"/>
      <c r="F902"/>
      <c r="G902"/>
      <c r="H902" s="264">
        <f t="shared" ref="H902" si="190">AH902</f>
        <v>42164</v>
      </c>
      <c r="I902" s="684"/>
      <c r="J902"/>
      <c r="K902"/>
      <c r="L902"/>
      <c r="M902"/>
      <c r="N902"/>
      <c r="O902"/>
      <c r="P902"/>
      <c r="Q902"/>
      <c r="R902"/>
      <c r="S902"/>
      <c r="T902"/>
      <c r="U902"/>
      <c r="X902"/>
      <c r="AB902"/>
      <c r="AC902"/>
      <c r="AF902" s="326">
        <v>1</v>
      </c>
      <c r="AG902" s="60">
        <f>AH890</f>
        <v>0</v>
      </c>
      <c r="AH902" s="60">
        <f>S.PostEQC.BANNER.End</f>
        <v>42164</v>
      </c>
      <c r="AI902" s="59"/>
      <c r="AJ902" s="46"/>
      <c r="AK902" s="41"/>
      <c r="AL902" s="76"/>
    </row>
    <row r="903" spans="1:39" s="23" customFormat="1" ht="14.1" customHeight="1" outlineLevel="2" x14ac:dyDescent="0.2">
      <c r="A903" s="144"/>
      <c r="B903" s="207" t="str">
        <f>AK903</f>
        <v>* delivers archival box to Maggie</v>
      </c>
      <c r="C903" s="484"/>
      <c r="D903" s="248"/>
      <c r="E903" s="689"/>
      <c r="F903"/>
      <c r="G903"/>
      <c r="H903" s="264">
        <f t="shared" ref="H903" si="191">AH903</f>
        <v>42164</v>
      </c>
      <c r="I903" s="684"/>
      <c r="J903"/>
      <c r="K903"/>
      <c r="L903"/>
      <c r="M903"/>
      <c r="N903"/>
      <c r="O903"/>
      <c r="P903"/>
      <c r="Q903"/>
      <c r="R903"/>
      <c r="S903"/>
      <c r="T903"/>
      <c r="U903"/>
      <c r="X903"/>
      <c r="AB903"/>
      <c r="AC903"/>
      <c r="AF903" s="326">
        <v>1</v>
      </c>
      <c r="AG903" s="60">
        <f>AH890</f>
        <v>0</v>
      </c>
      <c r="AH903" s="60">
        <f>S.PostEQC.BANNER.End</f>
        <v>42164</v>
      </c>
      <c r="AI903" s="59"/>
      <c r="AJ903" s="46"/>
      <c r="AK903" s="78" t="str">
        <f>"* delivers archival box to "&amp;S.Staff.AgencyRulesCoordinator</f>
        <v>* delivers archival box to Maggie</v>
      </c>
      <c r="AL903" s="76"/>
    </row>
    <row r="904" spans="1:39" s="23" customFormat="1" ht="14.1" customHeight="1" outlineLevel="2" x14ac:dyDescent="0.2">
      <c r="A904" s="144" t="s">
        <v>0</v>
      </c>
      <c r="B904" s="276" t="str">
        <f>AK904</f>
        <v>AndreaG coordinates retiring Q-Time number(s) with RobertB</v>
      </c>
      <c r="C904" s="233" t="s">
        <v>0</v>
      </c>
      <c r="D904" s="248"/>
      <c r="E904" s="248"/>
      <c r="F904" s="220">
        <f>NETWORKDAYS(G904,H904,S.DDL_DEQClosed)</f>
        <v>1</v>
      </c>
      <c r="G904" s="221">
        <f>AG904</f>
        <v>42076</v>
      </c>
      <c r="H904" s="221">
        <f>AH904</f>
        <v>42076</v>
      </c>
      <c r="I904" s="684"/>
      <c r="J904"/>
      <c r="K904"/>
      <c r="L904"/>
      <c r="M904"/>
      <c r="N904"/>
      <c r="O904"/>
      <c r="P904"/>
      <c r="Q904"/>
      <c r="R904"/>
      <c r="S904"/>
      <c r="T904"/>
      <c r="U904"/>
      <c r="X904"/>
      <c r="AB904"/>
      <c r="AC904"/>
      <c r="AF904" s="326">
        <v>1</v>
      </c>
      <c r="AG904" s="60">
        <f>AH889</f>
        <v>42076</v>
      </c>
      <c r="AH904" s="60">
        <f>G904</f>
        <v>42076</v>
      </c>
      <c r="AI904" s="59"/>
      <c r="AJ904" s="43"/>
      <c r="AK904" s="63" t="str">
        <f>S.Staff.RG.Lead.FirstName&amp;" coordinates retiring Q-Time number(s) with "&amp;S.Staff.TimeAccounting</f>
        <v>AndreaG coordinates retiring Q-Time number(s) with RobertB</v>
      </c>
      <c r="AL904" s="76"/>
    </row>
    <row r="905" spans="1:39" s="23" customFormat="1" ht="14.1" customHeight="1" outlineLevel="2" x14ac:dyDescent="0.2">
      <c r="A905" s="144"/>
      <c r="B905" s="268" t="str">
        <f>AK905</f>
        <v>At the close of the rulemaking records, Maggie archives the record</v>
      </c>
      <c r="C905" s="271"/>
      <c r="D905" s="272"/>
      <c r="E905" s="272"/>
      <c r="F905" s="227"/>
      <c r="G905" s="271"/>
      <c r="H905" s="271"/>
      <c r="I905" s="684"/>
      <c r="J905"/>
      <c r="K905"/>
      <c r="L905"/>
      <c r="M905"/>
      <c r="N905"/>
      <c r="O905"/>
      <c r="P905"/>
      <c r="Q905"/>
      <c r="R905"/>
      <c r="S905"/>
      <c r="T905"/>
      <c r="U905"/>
      <c r="X905"/>
      <c r="AB905"/>
      <c r="AC905"/>
      <c r="AF905" s="326">
        <v>1</v>
      </c>
      <c r="AG905" s="80"/>
      <c r="AH905" s="80"/>
      <c r="AI905" s="59"/>
      <c r="AJ905" s="152"/>
      <c r="AK905" s="67" t="str">
        <f>"At the close of the rulemaking records, "&amp;S.Staff.AgencyRulesCoordinator&amp;" archives the record"</f>
        <v>At the close of the rulemaking records, Maggie archives the record</v>
      </c>
      <c r="AL905" s="76"/>
    </row>
    <row r="906" spans="1:39" s="23" customFormat="1" ht="14.1" customHeight="1" outlineLevel="2" x14ac:dyDescent="0.2">
      <c r="A906" s="144"/>
      <c r="B906" s="440" t="s">
        <v>216</v>
      </c>
      <c r="C906" s="447" t="str">
        <f>HYPERLINK("\\deqhq1\Rule_Development\Currrent Plan","i")</f>
        <v>i</v>
      </c>
      <c r="D906" s="272"/>
      <c r="E906" s="272"/>
      <c r="F906" s="227"/>
      <c r="G906" s="271"/>
      <c r="H906" s="271"/>
      <c r="I906" s="684"/>
      <c r="J906"/>
      <c r="K906"/>
      <c r="L906"/>
      <c r="M906"/>
      <c r="N906"/>
      <c r="O906"/>
      <c r="P906"/>
      <c r="Q906"/>
      <c r="R906"/>
      <c r="S906"/>
      <c r="T906"/>
      <c r="U906"/>
      <c r="X906"/>
      <c r="AB906"/>
      <c r="AC906"/>
      <c r="AF906" s="326">
        <v>1</v>
      </c>
      <c r="AG906" s="80"/>
      <c r="AH906" s="80"/>
      <c r="AI906" s="59"/>
      <c r="AJ906" s="152"/>
      <c r="AK906" s="41"/>
      <c r="AL906" s="76"/>
    </row>
    <row r="907" spans="1:39" s="23" customFormat="1" ht="14.1" customHeight="1" outlineLevel="2" x14ac:dyDescent="0.2">
      <c r="A907" s="144"/>
      <c r="B907" s="440" t="s">
        <v>217</v>
      </c>
      <c r="C907" s="271"/>
      <c r="D907" s="272"/>
      <c r="E907" s="272"/>
      <c r="F907" s="227"/>
      <c r="G907" s="271"/>
      <c r="H907" s="271"/>
      <c r="I907" s="684"/>
      <c r="J907"/>
      <c r="K907"/>
      <c r="L907"/>
      <c r="M907"/>
      <c r="N907"/>
      <c r="O907"/>
      <c r="P907"/>
      <c r="Q907"/>
      <c r="R907"/>
      <c r="S907"/>
      <c r="T907"/>
      <c r="U907"/>
      <c r="X907"/>
      <c r="AB907"/>
      <c r="AC907"/>
      <c r="AF907" s="326">
        <v>1</v>
      </c>
      <c r="AG907" s="80"/>
      <c r="AH907" s="80"/>
      <c r="AI907" s="59"/>
      <c r="AJ907" s="152"/>
      <c r="AK907" s="41"/>
      <c r="AL907" s="76"/>
    </row>
    <row r="908" spans="1:39" s="23" customFormat="1" ht="14.1" customHeight="1" outlineLevel="2" x14ac:dyDescent="0.2">
      <c r="A908" s="144"/>
      <c r="B908" s="209" t="s">
        <v>95</v>
      </c>
      <c r="C908" s="484"/>
      <c r="D908" s="248"/>
      <c r="E908" s="248"/>
      <c r="F908" s="220">
        <f t="shared" ref="F908" si="192">NETWORKDAYS(G908,H908,S.DDL_DEQClosed)</f>
        <v>62</v>
      </c>
      <c r="G908" s="264">
        <f t="shared" ref="G908" si="193">AG908</f>
        <v>42076</v>
      </c>
      <c r="H908" s="264">
        <f t="shared" ref="H908" si="194">AH908</f>
        <v>42164</v>
      </c>
      <c r="I908" s="684"/>
      <c r="J908"/>
      <c r="K908"/>
      <c r="L908"/>
      <c r="M908"/>
      <c r="N908"/>
      <c r="O908"/>
      <c r="P908"/>
      <c r="Q908"/>
      <c r="R908"/>
      <c r="S908"/>
      <c r="T908"/>
      <c r="U908"/>
      <c r="X908"/>
      <c r="AB908"/>
      <c r="AC908"/>
      <c r="AF908" s="326">
        <v>1</v>
      </c>
      <c r="AG908" s="60">
        <f>AH889</f>
        <v>42076</v>
      </c>
      <c r="AH908" s="60">
        <f>S.PostEQC.BANNER.End</f>
        <v>42164</v>
      </c>
      <c r="AI908" s="59"/>
      <c r="AJ908" s="46"/>
      <c r="AK908" s="41"/>
      <c r="AL908" s="76"/>
    </row>
    <row r="909" spans="1:39" s="23" customFormat="1" ht="14.1" customHeight="1" outlineLevel="2" x14ac:dyDescent="0.2">
      <c r="A909" s="144"/>
      <c r="B909" s="268" t="str">
        <f>AK909</f>
        <v>Jill takes a vacation</v>
      </c>
      <c r="C909" s="271"/>
      <c r="D909" s="272"/>
      <c r="E909" s="272"/>
      <c r="F909" s="227"/>
      <c r="G909" s="271"/>
      <c r="H909" s="271"/>
      <c r="I909" s="684"/>
      <c r="J909"/>
      <c r="K909"/>
      <c r="L909"/>
      <c r="M909"/>
      <c r="N909"/>
      <c r="O909"/>
      <c r="P909"/>
      <c r="Q909"/>
      <c r="R909"/>
      <c r="S909"/>
      <c r="T909"/>
      <c r="U909"/>
      <c r="X909"/>
      <c r="AB909"/>
      <c r="AC909"/>
      <c r="AF909" s="326">
        <v>1</v>
      </c>
      <c r="AG909" s="80"/>
      <c r="AH909" s="80"/>
      <c r="AI909" s="59"/>
      <c r="AJ909" s="152"/>
      <c r="AK909" s="67" t="str">
        <f>S.Staff.Subject.Expert.FirstName&amp;" takes a vacation"</f>
        <v>Jill takes a vacation</v>
      </c>
      <c r="AL909" s="76"/>
    </row>
    <row r="910" spans="1:39" outlineLevel="1" x14ac:dyDescent="0.2">
      <c r="A910" s="144"/>
      <c r="B910" s="279"/>
      <c r="C910" s="265"/>
      <c r="D910" s="643"/>
      <c r="E910" s="643"/>
      <c r="F910" s="280"/>
      <c r="G910" s="265"/>
      <c r="H910" s="431" t="str">
        <f>"$H"&amp;"$"&amp;ROW(S.General.LastCellSchedule)</f>
        <v>$H$910</v>
      </c>
      <c r="I910" s="684"/>
      <c r="AF910" s="328" t="s">
        <v>0</v>
      </c>
      <c r="AG910" s="47"/>
      <c r="AH910" s="47"/>
      <c r="AI910" s="433" t="s">
        <v>0</v>
      </c>
      <c r="AJ910" s="46"/>
      <c r="AK910" s="36"/>
      <c r="AL910" s="76"/>
      <c r="AM910"/>
    </row>
    <row r="911" spans="1:39" ht="12.75" customHeight="1" x14ac:dyDescent="0.2">
      <c r="A911" s="144"/>
      <c r="B911" s="158"/>
      <c r="C911" s="159"/>
      <c r="D911" s="663"/>
      <c r="E911" s="663"/>
      <c r="F911" s="160"/>
      <c r="G911" s="159"/>
      <c r="H911" s="159"/>
      <c r="I911" s="684"/>
      <c r="AF911" s="496" t="s">
        <v>0</v>
      </c>
      <c r="AG911" s="495"/>
      <c r="AH911" s="495"/>
      <c r="AI911" s="495"/>
      <c r="AJ911" s="495"/>
      <c r="AK911" s="495"/>
      <c r="AL911" s="495"/>
      <c r="AM911" s="75"/>
    </row>
    <row r="912" spans="1:39" x14ac:dyDescent="0.2">
      <c r="I912" s="684"/>
    </row>
    <row r="913" spans="3:39" x14ac:dyDescent="0.2">
      <c r="I913" s="684"/>
    </row>
    <row r="914" spans="3:39" x14ac:dyDescent="0.2">
      <c r="I914" s="684"/>
    </row>
    <row r="915" spans="3:39" x14ac:dyDescent="0.2">
      <c r="I915" s="684"/>
    </row>
    <row r="916" spans="3:39" x14ac:dyDescent="0.2">
      <c r="I916" s="684"/>
    </row>
    <row r="917" spans="3:39" x14ac:dyDescent="0.2">
      <c r="I917" s="684"/>
    </row>
    <row r="918" spans="3:39" x14ac:dyDescent="0.2">
      <c r="I918" s="684"/>
    </row>
    <row r="919" spans="3:39" x14ac:dyDescent="0.2">
      <c r="I919" s="684"/>
    </row>
    <row r="920" spans="3:39" x14ac:dyDescent="0.2">
      <c r="I920" s="684"/>
    </row>
    <row r="921" spans="3:39" x14ac:dyDescent="0.2">
      <c r="I921" s="684"/>
    </row>
    <row r="922" spans="3:39" x14ac:dyDescent="0.2">
      <c r="I922" s="684"/>
    </row>
    <row r="923" spans="3:39" x14ac:dyDescent="0.2">
      <c r="I923" s="684"/>
    </row>
    <row r="924" spans="3:39" x14ac:dyDescent="0.2">
      <c r="I924" s="684"/>
    </row>
    <row r="925" spans="3:39" x14ac:dyDescent="0.2">
      <c r="C925"/>
      <c r="D925"/>
      <c r="E925"/>
      <c r="F925"/>
      <c r="G925"/>
      <c r="H925"/>
      <c r="I925" s="684"/>
      <c r="V925"/>
      <c r="W925"/>
      <c r="Y925"/>
      <c r="Z925"/>
      <c r="AA925"/>
      <c r="AD925"/>
      <c r="AE925"/>
      <c r="AF925"/>
      <c r="AH925"/>
      <c r="AI925"/>
      <c r="AJ925"/>
      <c r="AM925"/>
    </row>
    <row r="926" spans="3:39" x14ac:dyDescent="0.2">
      <c r="C926"/>
      <c r="D926"/>
      <c r="E926"/>
      <c r="F926"/>
      <c r="G926"/>
      <c r="H926"/>
      <c r="I926" s="684"/>
      <c r="V926"/>
      <c r="W926"/>
      <c r="Y926"/>
      <c r="Z926"/>
      <c r="AA926"/>
      <c r="AD926"/>
      <c r="AE926"/>
      <c r="AF926"/>
      <c r="AH926"/>
      <c r="AI926"/>
      <c r="AJ926"/>
      <c r="AM926"/>
    </row>
    <row r="927" spans="3:39" x14ac:dyDescent="0.2">
      <c r="C927"/>
      <c r="D927"/>
      <c r="E927"/>
      <c r="F927"/>
      <c r="G927"/>
      <c r="H927"/>
      <c r="I927" s="684"/>
      <c r="V927"/>
      <c r="W927"/>
      <c r="Y927"/>
      <c r="Z927"/>
      <c r="AA927"/>
      <c r="AD927"/>
      <c r="AE927"/>
      <c r="AF927"/>
      <c r="AH927"/>
      <c r="AI927"/>
      <c r="AJ927"/>
      <c r="AM927"/>
    </row>
    <row r="928" spans="3:39" x14ac:dyDescent="0.2">
      <c r="C928"/>
      <c r="D928"/>
      <c r="E928"/>
      <c r="F928"/>
      <c r="G928"/>
      <c r="H928"/>
      <c r="I928" s="684"/>
      <c r="V928"/>
      <c r="W928"/>
      <c r="Y928"/>
      <c r="Z928"/>
      <c r="AA928"/>
      <c r="AD928"/>
      <c r="AE928"/>
      <c r="AF928"/>
      <c r="AH928"/>
      <c r="AI928"/>
      <c r="AJ928"/>
      <c r="AM928"/>
    </row>
    <row r="929" spans="3:39" x14ac:dyDescent="0.2">
      <c r="C929"/>
      <c r="D929"/>
      <c r="E929"/>
      <c r="F929"/>
      <c r="G929"/>
      <c r="H929"/>
      <c r="I929" s="684"/>
      <c r="V929"/>
      <c r="W929"/>
      <c r="Y929"/>
      <c r="Z929"/>
      <c r="AA929"/>
      <c r="AD929"/>
      <c r="AE929"/>
      <c r="AF929"/>
      <c r="AH929"/>
      <c r="AI929"/>
      <c r="AJ929"/>
      <c r="AM929"/>
    </row>
    <row r="930" spans="3:39" x14ac:dyDescent="0.2">
      <c r="C930"/>
      <c r="D930"/>
      <c r="E930"/>
      <c r="F930"/>
      <c r="G930"/>
      <c r="H930"/>
      <c r="I930" s="684"/>
      <c r="V930"/>
      <c r="W930"/>
      <c r="Y930"/>
      <c r="Z930"/>
      <c r="AA930"/>
      <c r="AD930"/>
      <c r="AE930"/>
      <c r="AF930"/>
      <c r="AH930"/>
      <c r="AI930"/>
      <c r="AJ930"/>
      <c r="AM930"/>
    </row>
    <row r="931" spans="3:39" x14ac:dyDescent="0.2">
      <c r="C931"/>
      <c r="D931"/>
      <c r="E931"/>
      <c r="F931"/>
      <c r="G931"/>
      <c r="H931"/>
      <c r="I931" s="684"/>
      <c r="V931"/>
      <c r="W931"/>
      <c r="Y931"/>
      <c r="Z931"/>
      <c r="AA931"/>
      <c r="AD931"/>
      <c r="AE931"/>
      <c r="AF931"/>
      <c r="AH931"/>
      <c r="AI931"/>
      <c r="AJ931"/>
      <c r="AM931"/>
    </row>
    <row r="932" spans="3:39" x14ac:dyDescent="0.2">
      <c r="C932"/>
      <c r="D932"/>
      <c r="E932"/>
      <c r="F932"/>
      <c r="G932"/>
      <c r="H932"/>
      <c r="I932" s="684"/>
      <c r="V932"/>
      <c r="W932"/>
      <c r="Y932"/>
      <c r="Z932"/>
      <c r="AA932"/>
      <c r="AD932"/>
      <c r="AE932"/>
      <c r="AF932"/>
      <c r="AH932"/>
      <c r="AI932"/>
      <c r="AJ932"/>
      <c r="AM932"/>
    </row>
    <row r="933" spans="3:39" x14ac:dyDescent="0.2">
      <c r="C933"/>
      <c r="D933"/>
      <c r="E933"/>
      <c r="F933"/>
      <c r="G933"/>
      <c r="H933"/>
      <c r="I933" s="684"/>
      <c r="V933"/>
      <c r="W933"/>
      <c r="Y933"/>
      <c r="Z933"/>
      <c r="AA933"/>
      <c r="AD933"/>
      <c r="AE933"/>
      <c r="AF933"/>
      <c r="AH933"/>
      <c r="AI933"/>
      <c r="AJ933"/>
      <c r="AM933"/>
    </row>
    <row r="934" spans="3:39" x14ac:dyDescent="0.2">
      <c r="C934"/>
      <c r="D934"/>
      <c r="E934"/>
      <c r="F934"/>
      <c r="G934"/>
      <c r="H934"/>
      <c r="I934" s="684"/>
      <c r="V934"/>
      <c r="W934"/>
      <c r="Y934"/>
      <c r="Z934"/>
      <c r="AA934"/>
      <c r="AD934"/>
      <c r="AE934"/>
      <c r="AF934"/>
      <c r="AH934"/>
      <c r="AI934"/>
      <c r="AJ934"/>
      <c r="AM934"/>
    </row>
    <row r="935" spans="3:39" x14ac:dyDescent="0.2">
      <c r="C935"/>
      <c r="D935"/>
      <c r="E935"/>
      <c r="F935"/>
      <c r="G935"/>
      <c r="H935"/>
      <c r="I935" s="684"/>
      <c r="V935"/>
      <c r="W935"/>
      <c r="Y935"/>
      <c r="Z935"/>
      <c r="AA935"/>
      <c r="AD935"/>
      <c r="AE935"/>
      <c r="AF935"/>
      <c r="AH935"/>
      <c r="AI935"/>
      <c r="AJ935"/>
      <c r="AM935"/>
    </row>
    <row r="936" spans="3:39" x14ac:dyDescent="0.2">
      <c r="C936"/>
      <c r="D936"/>
      <c r="E936"/>
      <c r="F936"/>
      <c r="G936"/>
      <c r="H936"/>
      <c r="I936" s="684"/>
      <c r="V936"/>
      <c r="W936"/>
      <c r="Y936"/>
      <c r="Z936"/>
      <c r="AA936"/>
      <c r="AD936"/>
      <c r="AE936"/>
      <c r="AF936"/>
      <c r="AH936"/>
      <c r="AI936"/>
      <c r="AJ936"/>
      <c r="AM936"/>
    </row>
    <row r="937" spans="3:39" x14ac:dyDescent="0.2">
      <c r="C937"/>
      <c r="D937"/>
      <c r="E937"/>
      <c r="F937"/>
      <c r="G937"/>
      <c r="H937"/>
      <c r="I937" s="684"/>
      <c r="V937"/>
      <c r="W937"/>
      <c r="Y937"/>
      <c r="Z937"/>
      <c r="AA937"/>
      <c r="AD937"/>
      <c r="AE937"/>
      <c r="AF937"/>
      <c r="AH937"/>
      <c r="AI937"/>
      <c r="AJ937"/>
      <c r="AM937"/>
    </row>
    <row r="938" spans="3:39" x14ac:dyDescent="0.2">
      <c r="C938"/>
      <c r="D938"/>
      <c r="E938"/>
      <c r="F938"/>
      <c r="G938"/>
      <c r="H938"/>
      <c r="I938" s="684"/>
      <c r="V938"/>
      <c r="W938"/>
      <c r="Y938"/>
      <c r="Z938"/>
      <c r="AA938"/>
      <c r="AD938"/>
      <c r="AE938"/>
      <c r="AF938"/>
      <c r="AH938"/>
      <c r="AI938"/>
      <c r="AJ938"/>
      <c r="AM938"/>
    </row>
    <row r="939" spans="3:39" x14ac:dyDescent="0.2">
      <c r="C939"/>
      <c r="D939"/>
      <c r="E939"/>
      <c r="F939"/>
      <c r="G939"/>
      <c r="H939"/>
      <c r="I939" s="684"/>
      <c r="V939"/>
      <c r="W939"/>
      <c r="Y939"/>
      <c r="Z939"/>
      <c r="AA939"/>
      <c r="AD939"/>
      <c r="AE939"/>
      <c r="AF939"/>
      <c r="AH939"/>
      <c r="AI939"/>
      <c r="AJ939"/>
      <c r="AM939"/>
    </row>
    <row r="940" spans="3:39" x14ac:dyDescent="0.2">
      <c r="C940"/>
      <c r="D940"/>
      <c r="E940"/>
      <c r="F940"/>
      <c r="G940"/>
      <c r="H940"/>
      <c r="I940" s="684"/>
      <c r="V940"/>
      <c r="W940"/>
      <c r="Y940"/>
      <c r="Z940"/>
      <c r="AA940"/>
      <c r="AD940"/>
      <c r="AE940"/>
      <c r="AF940"/>
      <c r="AH940"/>
      <c r="AI940"/>
      <c r="AJ940"/>
      <c r="AM940"/>
    </row>
    <row r="941" spans="3:39" x14ac:dyDescent="0.2">
      <c r="C941"/>
      <c r="D941"/>
      <c r="E941"/>
      <c r="F941"/>
      <c r="G941"/>
      <c r="H941"/>
      <c r="I941" s="684"/>
      <c r="V941"/>
      <c r="W941"/>
      <c r="Y941"/>
      <c r="Z941"/>
      <c r="AA941"/>
      <c r="AD941"/>
      <c r="AE941"/>
      <c r="AF941"/>
      <c r="AH941"/>
      <c r="AI941"/>
      <c r="AJ941"/>
      <c r="AM941"/>
    </row>
    <row r="942" spans="3:39" x14ac:dyDescent="0.2">
      <c r="C942"/>
      <c r="D942"/>
      <c r="E942"/>
      <c r="F942"/>
      <c r="G942"/>
      <c r="H942"/>
      <c r="I942" s="684"/>
      <c r="V942"/>
      <c r="W942"/>
      <c r="Y942"/>
      <c r="Z942"/>
      <c r="AA942"/>
      <c r="AD942"/>
      <c r="AE942"/>
      <c r="AF942"/>
      <c r="AH942"/>
      <c r="AI942"/>
      <c r="AJ942"/>
      <c r="AM942"/>
    </row>
    <row r="943" spans="3:39" x14ac:dyDescent="0.2">
      <c r="C943"/>
      <c r="D943"/>
      <c r="E943"/>
      <c r="F943"/>
      <c r="G943"/>
      <c r="H943"/>
      <c r="I943" s="684"/>
      <c r="V943"/>
      <c r="W943"/>
      <c r="Y943"/>
      <c r="Z943"/>
      <c r="AA943"/>
      <c r="AD943"/>
      <c r="AE943"/>
      <c r="AF943"/>
      <c r="AH943"/>
      <c r="AI943"/>
      <c r="AJ943"/>
      <c r="AM943"/>
    </row>
    <row r="944" spans="3:39" x14ac:dyDescent="0.2">
      <c r="C944"/>
      <c r="D944"/>
      <c r="E944"/>
      <c r="F944"/>
      <c r="G944"/>
      <c r="H944"/>
      <c r="I944" s="684"/>
      <c r="V944"/>
      <c r="W944"/>
      <c r="Y944"/>
      <c r="Z944"/>
      <c r="AA944"/>
      <c r="AD944"/>
      <c r="AE944"/>
      <c r="AF944"/>
      <c r="AH944"/>
      <c r="AI944"/>
      <c r="AJ944"/>
      <c r="AM944"/>
    </row>
    <row r="945" spans="3:39" x14ac:dyDescent="0.2">
      <c r="C945"/>
      <c r="D945"/>
      <c r="E945"/>
      <c r="F945"/>
      <c r="G945"/>
      <c r="H945"/>
      <c r="I945" s="684"/>
      <c r="V945"/>
      <c r="W945"/>
      <c r="Y945"/>
      <c r="Z945"/>
      <c r="AA945"/>
      <c r="AD945"/>
      <c r="AE945"/>
      <c r="AF945"/>
      <c r="AH945"/>
      <c r="AI945"/>
      <c r="AJ945"/>
      <c r="AM945"/>
    </row>
    <row r="946" spans="3:39" x14ac:dyDescent="0.2">
      <c r="C946"/>
      <c r="D946"/>
      <c r="E946"/>
      <c r="F946"/>
      <c r="G946"/>
      <c r="H946"/>
      <c r="I946" s="684"/>
      <c r="V946"/>
      <c r="W946"/>
      <c r="Y946"/>
      <c r="Z946"/>
      <c r="AA946"/>
      <c r="AD946"/>
      <c r="AE946"/>
      <c r="AF946"/>
      <c r="AH946"/>
      <c r="AI946"/>
      <c r="AJ946"/>
      <c r="AM946"/>
    </row>
    <row r="947" spans="3:39" x14ac:dyDescent="0.2">
      <c r="C947"/>
      <c r="D947"/>
      <c r="E947"/>
      <c r="F947"/>
      <c r="G947"/>
      <c r="H947"/>
      <c r="I947" s="684"/>
      <c r="V947"/>
      <c r="W947"/>
      <c r="Y947"/>
      <c r="Z947"/>
      <c r="AA947"/>
      <c r="AD947"/>
      <c r="AE947"/>
      <c r="AF947"/>
      <c r="AH947"/>
      <c r="AI947"/>
      <c r="AJ947"/>
      <c r="AM947"/>
    </row>
    <row r="948" spans="3:39" x14ac:dyDescent="0.2">
      <c r="C948"/>
      <c r="D948"/>
      <c r="E948"/>
      <c r="F948"/>
      <c r="G948"/>
      <c r="H948"/>
      <c r="I948" s="684"/>
      <c r="V948"/>
      <c r="W948"/>
      <c r="Y948"/>
      <c r="Z948"/>
      <c r="AA948"/>
      <c r="AD948"/>
      <c r="AE948"/>
      <c r="AF948"/>
      <c r="AH948"/>
      <c r="AI948"/>
      <c r="AJ948"/>
      <c r="AM948"/>
    </row>
    <row r="949" spans="3:39" x14ac:dyDescent="0.2">
      <c r="C949"/>
      <c r="D949"/>
      <c r="E949"/>
      <c r="F949"/>
      <c r="G949"/>
      <c r="H949"/>
      <c r="I949" s="684"/>
      <c r="V949"/>
      <c r="W949"/>
      <c r="Y949"/>
      <c r="Z949"/>
      <c r="AA949"/>
      <c r="AD949"/>
      <c r="AE949"/>
      <c r="AF949"/>
      <c r="AH949"/>
      <c r="AI949"/>
      <c r="AJ949"/>
      <c r="AM949"/>
    </row>
    <row r="950" spans="3:39" x14ac:dyDescent="0.2">
      <c r="C950"/>
      <c r="D950"/>
      <c r="E950"/>
      <c r="F950"/>
      <c r="G950"/>
      <c r="H950"/>
      <c r="I950" s="684"/>
      <c r="V950"/>
      <c r="W950"/>
      <c r="Y950"/>
      <c r="Z950"/>
      <c r="AA950"/>
      <c r="AD950"/>
      <c r="AE950"/>
      <c r="AF950"/>
      <c r="AH950"/>
      <c r="AI950"/>
      <c r="AJ950"/>
      <c r="AM950"/>
    </row>
    <row r="951" spans="3:39" x14ac:dyDescent="0.2">
      <c r="C951"/>
      <c r="D951"/>
      <c r="E951"/>
      <c r="F951"/>
      <c r="G951"/>
      <c r="H951"/>
      <c r="I951" s="684"/>
      <c r="V951"/>
      <c r="W951"/>
      <c r="Y951"/>
      <c r="Z951"/>
      <c r="AA951"/>
      <c r="AD951"/>
      <c r="AE951"/>
      <c r="AF951"/>
      <c r="AH951"/>
      <c r="AI951"/>
      <c r="AJ951"/>
      <c r="AM951"/>
    </row>
    <row r="952" spans="3:39" x14ac:dyDescent="0.2">
      <c r="C952"/>
      <c r="D952"/>
      <c r="E952"/>
      <c r="F952"/>
      <c r="G952"/>
      <c r="H952"/>
      <c r="I952" s="684"/>
      <c r="V952"/>
      <c r="W952"/>
      <c r="Y952"/>
      <c r="Z952"/>
      <c r="AA952"/>
      <c r="AD952"/>
      <c r="AE952"/>
      <c r="AF952"/>
      <c r="AH952"/>
      <c r="AI952"/>
      <c r="AJ952"/>
      <c r="AM952"/>
    </row>
    <row r="953" spans="3:39" x14ac:dyDescent="0.2">
      <c r="C953"/>
      <c r="D953"/>
      <c r="E953"/>
      <c r="F953"/>
      <c r="G953"/>
      <c r="H953"/>
      <c r="I953" s="684"/>
      <c r="V953"/>
      <c r="W953"/>
      <c r="Y953"/>
      <c r="Z953"/>
      <c r="AA953"/>
      <c r="AD953"/>
      <c r="AE953"/>
      <c r="AF953"/>
      <c r="AH953"/>
      <c r="AI953"/>
      <c r="AJ953"/>
      <c r="AM953"/>
    </row>
    <row r="954" spans="3:39" x14ac:dyDescent="0.2">
      <c r="C954"/>
      <c r="D954"/>
      <c r="E954"/>
      <c r="F954"/>
      <c r="G954"/>
      <c r="H954"/>
      <c r="I954" s="684"/>
      <c r="V954"/>
      <c r="W954"/>
      <c r="Y954"/>
      <c r="Z954"/>
      <c r="AA954"/>
      <c r="AD954"/>
      <c r="AE954"/>
      <c r="AF954"/>
      <c r="AH954"/>
      <c r="AI954"/>
      <c r="AJ954"/>
      <c r="AM954"/>
    </row>
    <row r="955" spans="3:39" x14ac:dyDescent="0.2">
      <c r="C955"/>
      <c r="D955"/>
      <c r="E955"/>
      <c r="F955"/>
      <c r="G955"/>
      <c r="H955"/>
      <c r="I955" s="684"/>
      <c r="V955"/>
      <c r="W955"/>
      <c r="Y955"/>
      <c r="Z955"/>
      <c r="AA955"/>
      <c r="AD955"/>
      <c r="AE955"/>
      <c r="AF955"/>
      <c r="AH955"/>
      <c r="AI955"/>
      <c r="AJ955"/>
      <c r="AM955"/>
    </row>
    <row r="956" spans="3:39" x14ac:dyDescent="0.2">
      <c r="C956"/>
      <c r="D956"/>
      <c r="E956"/>
      <c r="F956"/>
      <c r="G956"/>
      <c r="H956"/>
      <c r="I956" s="684"/>
      <c r="V956"/>
      <c r="W956"/>
      <c r="Y956"/>
      <c r="Z956"/>
      <c r="AA956"/>
      <c r="AD956"/>
      <c r="AE956"/>
      <c r="AF956"/>
      <c r="AH956"/>
      <c r="AI956"/>
      <c r="AJ956"/>
      <c r="AM956"/>
    </row>
    <row r="957" spans="3:39" x14ac:dyDescent="0.2">
      <c r="C957"/>
      <c r="D957"/>
      <c r="E957"/>
      <c r="F957"/>
      <c r="G957"/>
      <c r="H957"/>
      <c r="I957" s="684"/>
      <c r="V957"/>
      <c r="W957"/>
      <c r="Y957"/>
      <c r="Z957"/>
      <c r="AA957"/>
      <c r="AD957"/>
      <c r="AE957"/>
      <c r="AF957"/>
      <c r="AH957"/>
      <c r="AI957"/>
      <c r="AJ957"/>
      <c r="AM957"/>
    </row>
    <row r="958" spans="3:39" x14ac:dyDescent="0.2">
      <c r="C958"/>
      <c r="D958"/>
      <c r="E958"/>
      <c r="F958"/>
      <c r="G958"/>
      <c r="H958"/>
      <c r="I958" s="684"/>
      <c r="V958"/>
      <c r="W958"/>
      <c r="Y958"/>
      <c r="Z958"/>
      <c r="AA958"/>
      <c r="AD958"/>
      <c r="AE958"/>
      <c r="AF958"/>
      <c r="AH958"/>
      <c r="AI958"/>
      <c r="AJ958"/>
      <c r="AM958"/>
    </row>
    <row r="959" spans="3:39" x14ac:dyDescent="0.2">
      <c r="C959"/>
      <c r="D959"/>
      <c r="E959"/>
      <c r="F959"/>
      <c r="G959"/>
      <c r="H959"/>
      <c r="I959" s="684"/>
      <c r="V959"/>
      <c r="W959"/>
      <c r="Y959"/>
      <c r="Z959"/>
      <c r="AA959"/>
      <c r="AD959"/>
      <c r="AE959"/>
      <c r="AF959"/>
      <c r="AH959"/>
      <c r="AI959"/>
      <c r="AJ959"/>
      <c r="AM959"/>
    </row>
    <row r="960" spans="3:39" x14ac:dyDescent="0.2">
      <c r="C960"/>
      <c r="D960"/>
      <c r="E960"/>
      <c r="F960"/>
      <c r="G960"/>
      <c r="H960"/>
      <c r="I960" s="684"/>
      <c r="V960"/>
      <c r="W960"/>
      <c r="Y960"/>
      <c r="Z960"/>
      <c r="AA960"/>
      <c r="AD960"/>
      <c r="AE960"/>
      <c r="AF960"/>
      <c r="AH960"/>
      <c r="AI960"/>
      <c r="AJ960"/>
      <c r="AM960"/>
    </row>
    <row r="961" spans="3:39" x14ac:dyDescent="0.2">
      <c r="C961"/>
      <c r="D961"/>
      <c r="E961"/>
      <c r="F961"/>
      <c r="G961"/>
      <c r="H961"/>
      <c r="I961" s="684"/>
      <c r="V961"/>
      <c r="W961"/>
      <c r="Y961"/>
      <c r="Z961"/>
      <c r="AA961"/>
      <c r="AD961"/>
      <c r="AE961"/>
      <c r="AF961"/>
      <c r="AH961"/>
      <c r="AI961"/>
      <c r="AJ961"/>
      <c r="AM961"/>
    </row>
    <row r="962" spans="3:39" x14ac:dyDescent="0.2">
      <c r="C962"/>
      <c r="D962"/>
      <c r="E962"/>
      <c r="F962"/>
      <c r="G962"/>
      <c r="H962"/>
      <c r="I962" s="684"/>
      <c r="V962"/>
      <c r="W962"/>
      <c r="Y962"/>
      <c r="Z962"/>
      <c r="AA962"/>
      <c r="AD962"/>
      <c r="AE962"/>
      <c r="AF962"/>
      <c r="AH962"/>
      <c r="AI962"/>
      <c r="AJ962"/>
      <c r="AM962"/>
    </row>
    <row r="963" spans="3:39" x14ac:dyDescent="0.2">
      <c r="C963"/>
      <c r="D963"/>
      <c r="E963"/>
      <c r="F963"/>
      <c r="G963"/>
      <c r="H963"/>
      <c r="I963" s="684"/>
      <c r="V963"/>
      <c r="W963"/>
      <c r="Y963"/>
      <c r="Z963"/>
      <c r="AA963"/>
      <c r="AD963"/>
      <c r="AE963"/>
      <c r="AF963"/>
      <c r="AH963"/>
      <c r="AI963"/>
      <c r="AJ963"/>
      <c r="AM963"/>
    </row>
    <row r="964" spans="3:39" x14ac:dyDescent="0.2">
      <c r="C964"/>
      <c r="D964"/>
      <c r="E964"/>
      <c r="F964"/>
      <c r="G964"/>
      <c r="H964"/>
      <c r="I964" s="684"/>
      <c r="V964"/>
      <c r="W964"/>
      <c r="Y964"/>
      <c r="Z964"/>
      <c r="AA964"/>
      <c r="AD964"/>
      <c r="AE964"/>
      <c r="AF964"/>
      <c r="AH964"/>
      <c r="AI964"/>
      <c r="AJ964"/>
      <c r="AM964"/>
    </row>
    <row r="965" spans="3:39" x14ac:dyDescent="0.2">
      <c r="C965"/>
      <c r="D965"/>
      <c r="E965"/>
      <c r="F965"/>
      <c r="G965"/>
      <c r="H965"/>
      <c r="I965" s="684"/>
      <c r="V965"/>
      <c r="W965"/>
      <c r="Y965"/>
      <c r="Z965"/>
      <c r="AA965"/>
      <c r="AD965"/>
      <c r="AE965"/>
      <c r="AF965"/>
      <c r="AH965"/>
      <c r="AI965"/>
      <c r="AJ965"/>
      <c r="AM965"/>
    </row>
    <row r="966" spans="3:39" x14ac:dyDescent="0.2">
      <c r="C966"/>
      <c r="D966"/>
      <c r="E966"/>
      <c r="F966"/>
      <c r="G966"/>
      <c r="H966"/>
      <c r="I966" s="684"/>
      <c r="V966"/>
      <c r="W966"/>
      <c r="Y966"/>
      <c r="Z966"/>
      <c r="AA966"/>
      <c r="AD966"/>
      <c r="AE966"/>
      <c r="AF966"/>
      <c r="AH966"/>
      <c r="AI966"/>
      <c r="AJ966"/>
      <c r="AM966"/>
    </row>
    <row r="967" spans="3:39" x14ac:dyDescent="0.2">
      <c r="C967"/>
      <c r="D967"/>
      <c r="E967"/>
      <c r="F967"/>
      <c r="G967"/>
      <c r="H967"/>
      <c r="I967" s="684"/>
      <c r="V967"/>
      <c r="W967"/>
      <c r="Y967"/>
      <c r="Z967"/>
      <c r="AA967"/>
      <c r="AD967"/>
      <c r="AE967"/>
      <c r="AF967"/>
      <c r="AH967"/>
      <c r="AI967"/>
      <c r="AJ967"/>
      <c r="AM967"/>
    </row>
    <row r="968" spans="3:39" x14ac:dyDescent="0.2">
      <c r="C968"/>
      <c r="D968"/>
      <c r="E968"/>
      <c r="F968"/>
      <c r="G968"/>
      <c r="H968"/>
      <c r="I968" s="684"/>
      <c r="V968"/>
      <c r="W968"/>
      <c r="Y968"/>
      <c r="Z968"/>
      <c r="AA968"/>
      <c r="AD968"/>
      <c r="AE968"/>
      <c r="AF968"/>
      <c r="AH968"/>
      <c r="AI968"/>
      <c r="AJ968"/>
      <c r="AM968"/>
    </row>
    <row r="969" spans="3:39" x14ac:dyDescent="0.2">
      <c r="C969"/>
      <c r="D969"/>
      <c r="E969"/>
      <c r="F969"/>
      <c r="G969"/>
      <c r="H969"/>
      <c r="I969" s="684"/>
      <c r="V969"/>
      <c r="W969"/>
      <c r="Y969"/>
      <c r="Z969"/>
      <c r="AA969"/>
      <c r="AD969"/>
      <c r="AE969"/>
      <c r="AF969"/>
      <c r="AH969"/>
      <c r="AI969"/>
      <c r="AJ969"/>
      <c r="AM969"/>
    </row>
    <row r="970" spans="3:39" x14ac:dyDescent="0.2">
      <c r="C970"/>
      <c r="D970"/>
      <c r="E970"/>
      <c r="F970"/>
      <c r="G970"/>
      <c r="H970"/>
      <c r="I970" s="684"/>
      <c r="V970"/>
      <c r="W970"/>
      <c r="Y970"/>
      <c r="Z970"/>
      <c r="AA970"/>
      <c r="AD970"/>
      <c r="AE970"/>
      <c r="AF970"/>
      <c r="AH970"/>
      <c r="AI970"/>
      <c r="AJ970"/>
      <c r="AM970"/>
    </row>
    <row r="971" spans="3:39" x14ac:dyDescent="0.2">
      <c r="C971"/>
      <c r="D971"/>
      <c r="E971"/>
      <c r="F971"/>
      <c r="G971"/>
      <c r="H971"/>
      <c r="I971" s="684"/>
      <c r="V971"/>
      <c r="W971"/>
      <c r="Y971"/>
      <c r="Z971"/>
      <c r="AA971"/>
      <c r="AD971"/>
      <c r="AE971"/>
      <c r="AF971"/>
      <c r="AH971"/>
      <c r="AI971"/>
      <c r="AJ971"/>
      <c r="AM971"/>
    </row>
    <row r="972" spans="3:39" x14ac:dyDescent="0.2">
      <c r="C972"/>
      <c r="D972"/>
      <c r="E972"/>
      <c r="F972"/>
      <c r="G972"/>
      <c r="H972"/>
      <c r="I972" s="684"/>
      <c r="V972"/>
      <c r="W972"/>
      <c r="Y972"/>
      <c r="Z972"/>
      <c r="AA972"/>
      <c r="AD972"/>
      <c r="AE972"/>
      <c r="AF972"/>
      <c r="AH972"/>
      <c r="AI972"/>
      <c r="AJ972"/>
      <c r="AM972"/>
    </row>
    <row r="973" spans="3:39" x14ac:dyDescent="0.2">
      <c r="C973"/>
      <c r="D973"/>
      <c r="E973"/>
      <c r="F973"/>
      <c r="G973"/>
      <c r="H973"/>
      <c r="I973" s="684"/>
      <c r="V973"/>
      <c r="W973"/>
      <c r="Y973"/>
      <c r="Z973"/>
      <c r="AA973"/>
      <c r="AD973"/>
      <c r="AE973"/>
      <c r="AF973"/>
      <c r="AH973"/>
      <c r="AI973"/>
      <c r="AJ973"/>
      <c r="AM973"/>
    </row>
    <row r="974" spans="3:39" x14ac:dyDescent="0.2">
      <c r="C974"/>
      <c r="D974"/>
      <c r="E974"/>
      <c r="F974"/>
      <c r="G974"/>
      <c r="H974"/>
      <c r="I974" s="684"/>
      <c r="V974"/>
      <c r="W974"/>
      <c r="Y974"/>
      <c r="Z974"/>
      <c r="AA974"/>
      <c r="AD974"/>
      <c r="AE974"/>
      <c r="AF974"/>
      <c r="AH974"/>
      <c r="AI974"/>
      <c r="AJ974"/>
      <c r="AM974"/>
    </row>
    <row r="975" spans="3:39" x14ac:dyDescent="0.2">
      <c r="C975"/>
      <c r="D975"/>
      <c r="E975"/>
      <c r="F975"/>
      <c r="G975"/>
      <c r="H975"/>
      <c r="I975" s="684"/>
      <c r="V975"/>
      <c r="W975"/>
      <c r="Y975"/>
      <c r="Z975"/>
      <c r="AA975"/>
      <c r="AD975"/>
      <c r="AE975"/>
      <c r="AF975"/>
      <c r="AH975"/>
      <c r="AI975"/>
      <c r="AJ975"/>
      <c r="AM975"/>
    </row>
    <row r="976" spans="3:39" x14ac:dyDescent="0.2">
      <c r="C976"/>
      <c r="D976"/>
      <c r="E976"/>
      <c r="F976"/>
      <c r="G976"/>
      <c r="H976"/>
      <c r="I976" s="684"/>
      <c r="V976"/>
      <c r="W976"/>
      <c r="Y976"/>
      <c r="Z976"/>
      <c r="AA976"/>
      <c r="AD976"/>
      <c r="AE976"/>
      <c r="AF976"/>
      <c r="AH976"/>
      <c r="AI976"/>
      <c r="AJ976"/>
      <c r="AM976"/>
    </row>
    <row r="977" spans="3:39" x14ac:dyDescent="0.2">
      <c r="C977"/>
      <c r="D977"/>
      <c r="E977"/>
      <c r="F977"/>
      <c r="G977"/>
      <c r="H977"/>
      <c r="I977" s="684"/>
      <c r="V977"/>
      <c r="W977"/>
      <c r="Y977"/>
      <c r="Z977"/>
      <c r="AA977"/>
      <c r="AD977"/>
      <c r="AE977"/>
      <c r="AF977"/>
      <c r="AH977"/>
      <c r="AI977"/>
      <c r="AJ977"/>
      <c r="AM977"/>
    </row>
    <row r="978" spans="3:39" x14ac:dyDescent="0.2">
      <c r="C978"/>
      <c r="D978"/>
      <c r="E978"/>
      <c r="F978"/>
      <c r="G978"/>
      <c r="H978"/>
      <c r="I978" s="684"/>
      <c r="V978"/>
      <c r="W978"/>
      <c r="Y978"/>
      <c r="Z978"/>
      <c r="AA978"/>
      <c r="AD978"/>
      <c r="AE978"/>
      <c r="AF978"/>
      <c r="AH978"/>
      <c r="AI978"/>
      <c r="AJ978"/>
      <c r="AM978"/>
    </row>
    <row r="979" spans="3:39" x14ac:dyDescent="0.2">
      <c r="C979"/>
      <c r="D979"/>
      <c r="E979"/>
      <c r="F979"/>
      <c r="G979"/>
      <c r="H979"/>
      <c r="I979" s="684"/>
      <c r="V979"/>
      <c r="W979"/>
      <c r="Y979"/>
      <c r="Z979"/>
      <c r="AA979"/>
      <c r="AD979"/>
      <c r="AE979"/>
      <c r="AF979"/>
      <c r="AH979"/>
      <c r="AI979"/>
      <c r="AJ979"/>
      <c r="AM979"/>
    </row>
    <row r="980" spans="3:39" x14ac:dyDescent="0.2">
      <c r="C980"/>
      <c r="D980"/>
      <c r="E980"/>
      <c r="F980"/>
      <c r="G980"/>
      <c r="H980"/>
      <c r="I980" s="684"/>
      <c r="V980"/>
      <c r="W980"/>
      <c r="Y980"/>
      <c r="Z980"/>
      <c r="AA980"/>
      <c r="AD980"/>
      <c r="AE980"/>
      <c r="AF980"/>
      <c r="AH980"/>
      <c r="AI980"/>
      <c r="AJ980"/>
      <c r="AM980"/>
    </row>
    <row r="981" spans="3:39" x14ac:dyDescent="0.2">
      <c r="C981"/>
      <c r="D981"/>
      <c r="E981"/>
      <c r="F981"/>
      <c r="G981"/>
      <c r="H981"/>
      <c r="I981" s="684"/>
      <c r="V981"/>
      <c r="W981"/>
      <c r="Y981"/>
      <c r="Z981"/>
      <c r="AA981"/>
      <c r="AD981"/>
      <c r="AE981"/>
      <c r="AF981"/>
      <c r="AH981"/>
      <c r="AI981"/>
      <c r="AJ981"/>
      <c r="AM981"/>
    </row>
    <row r="982" spans="3:39" x14ac:dyDescent="0.2">
      <c r="C982"/>
      <c r="D982"/>
      <c r="E982"/>
      <c r="F982"/>
      <c r="G982"/>
      <c r="H982"/>
      <c r="I982" s="684"/>
      <c r="V982"/>
      <c r="W982"/>
      <c r="Y982"/>
      <c r="Z982"/>
      <c r="AA982"/>
      <c r="AD982"/>
      <c r="AE982"/>
      <c r="AF982"/>
      <c r="AH982"/>
      <c r="AI982"/>
      <c r="AJ982"/>
      <c r="AM982"/>
    </row>
    <row r="983" spans="3:39" x14ac:dyDescent="0.2">
      <c r="C983"/>
      <c r="D983"/>
      <c r="E983"/>
      <c r="F983"/>
      <c r="G983"/>
      <c r="H983"/>
      <c r="I983" s="684"/>
      <c r="V983"/>
      <c r="W983"/>
      <c r="Y983"/>
      <c r="Z983"/>
      <c r="AA983"/>
      <c r="AD983"/>
      <c r="AE983"/>
      <c r="AF983"/>
      <c r="AH983"/>
      <c r="AI983"/>
      <c r="AJ983"/>
      <c r="AM983"/>
    </row>
    <row r="984" spans="3:39" x14ac:dyDescent="0.2">
      <c r="C984"/>
      <c r="D984"/>
      <c r="E984"/>
      <c r="F984"/>
      <c r="G984"/>
      <c r="H984"/>
      <c r="I984" s="684"/>
      <c r="V984"/>
      <c r="W984"/>
      <c r="Y984"/>
      <c r="Z984"/>
      <c r="AA984"/>
      <c r="AD984"/>
      <c r="AE984"/>
      <c r="AF984"/>
      <c r="AH984"/>
      <c r="AI984"/>
      <c r="AJ984"/>
      <c r="AM984"/>
    </row>
    <row r="985" spans="3:39" x14ac:dyDescent="0.2">
      <c r="C985"/>
      <c r="D985"/>
      <c r="E985"/>
      <c r="F985"/>
      <c r="G985"/>
      <c r="H985"/>
      <c r="I985" s="684"/>
      <c r="V985"/>
      <c r="W985"/>
      <c r="Y985"/>
      <c r="Z985"/>
      <c r="AA985"/>
      <c r="AD985"/>
      <c r="AE985"/>
      <c r="AF985"/>
      <c r="AH985"/>
      <c r="AI985"/>
      <c r="AJ985"/>
      <c r="AM985"/>
    </row>
    <row r="986" spans="3:39" x14ac:dyDescent="0.2">
      <c r="C986"/>
      <c r="D986"/>
      <c r="E986"/>
      <c r="F986"/>
      <c r="G986"/>
      <c r="H986"/>
      <c r="I986" s="684"/>
      <c r="V986"/>
      <c r="W986"/>
      <c r="Y986"/>
      <c r="Z986"/>
      <c r="AA986"/>
      <c r="AD986"/>
      <c r="AE986"/>
      <c r="AF986"/>
      <c r="AH986"/>
      <c r="AI986"/>
      <c r="AJ986"/>
      <c r="AM986"/>
    </row>
    <row r="987" spans="3:39" x14ac:dyDescent="0.2">
      <c r="C987"/>
      <c r="D987"/>
      <c r="E987"/>
      <c r="F987"/>
      <c r="G987"/>
      <c r="H987"/>
      <c r="I987" s="684"/>
      <c r="V987"/>
      <c r="W987"/>
      <c r="Y987"/>
      <c r="Z987"/>
      <c r="AA987"/>
      <c r="AD987"/>
      <c r="AE987"/>
      <c r="AF987"/>
      <c r="AH987"/>
      <c r="AI987"/>
      <c r="AJ987"/>
      <c r="AM987"/>
    </row>
    <row r="988" spans="3:39" x14ac:dyDescent="0.2">
      <c r="C988"/>
      <c r="D988"/>
      <c r="E988"/>
      <c r="F988"/>
      <c r="G988"/>
      <c r="H988"/>
      <c r="I988" s="684"/>
      <c r="V988"/>
      <c r="W988"/>
      <c r="Y988"/>
      <c r="Z988"/>
      <c r="AA988"/>
      <c r="AD988"/>
      <c r="AE988"/>
      <c r="AF988"/>
      <c r="AH988"/>
      <c r="AI988"/>
      <c r="AJ988"/>
      <c r="AM988"/>
    </row>
    <row r="989" spans="3:39" x14ac:dyDescent="0.2">
      <c r="C989"/>
      <c r="D989"/>
      <c r="E989"/>
      <c r="F989"/>
      <c r="G989"/>
      <c r="H989"/>
      <c r="I989" s="684"/>
      <c r="V989"/>
      <c r="W989"/>
      <c r="Y989"/>
      <c r="Z989"/>
      <c r="AA989"/>
      <c r="AD989"/>
      <c r="AE989"/>
      <c r="AF989"/>
      <c r="AH989"/>
      <c r="AI989"/>
      <c r="AJ989"/>
      <c r="AM989"/>
    </row>
    <row r="990" spans="3:39" x14ac:dyDescent="0.2">
      <c r="C990"/>
      <c r="D990"/>
      <c r="E990"/>
      <c r="F990"/>
      <c r="G990"/>
      <c r="H990"/>
      <c r="I990" s="684"/>
      <c r="V990"/>
      <c r="W990"/>
      <c r="Y990"/>
      <c r="Z990"/>
      <c r="AA990"/>
      <c r="AD990"/>
      <c r="AE990"/>
      <c r="AF990"/>
      <c r="AH990"/>
      <c r="AI990"/>
      <c r="AJ990"/>
      <c r="AM990"/>
    </row>
    <row r="991" spans="3:39" x14ac:dyDescent="0.2">
      <c r="C991"/>
      <c r="D991"/>
      <c r="E991"/>
      <c r="F991"/>
      <c r="G991"/>
      <c r="H991"/>
      <c r="I991" s="684"/>
      <c r="V991"/>
      <c r="W991"/>
      <c r="Y991"/>
      <c r="Z991"/>
      <c r="AA991"/>
      <c r="AD991"/>
      <c r="AE991"/>
      <c r="AF991"/>
      <c r="AH991"/>
      <c r="AI991"/>
      <c r="AJ991"/>
      <c r="AM991"/>
    </row>
    <row r="992" spans="3:39" x14ac:dyDescent="0.2">
      <c r="C992"/>
      <c r="D992"/>
      <c r="E992"/>
      <c r="F992"/>
      <c r="G992"/>
      <c r="H992"/>
      <c r="I992" s="684"/>
      <c r="V992"/>
      <c r="W992"/>
      <c r="Y992"/>
      <c r="Z992"/>
      <c r="AA992"/>
      <c r="AD992"/>
      <c r="AE992"/>
      <c r="AF992"/>
      <c r="AH992"/>
      <c r="AI992"/>
      <c r="AJ992"/>
      <c r="AM992"/>
    </row>
    <row r="993" spans="3:39" x14ac:dyDescent="0.2">
      <c r="C993"/>
      <c r="D993"/>
      <c r="E993"/>
      <c r="F993"/>
      <c r="G993"/>
      <c r="H993"/>
      <c r="I993" s="684"/>
      <c r="V993"/>
      <c r="W993"/>
      <c r="Y993"/>
      <c r="Z993"/>
      <c r="AA993"/>
      <c r="AD993"/>
      <c r="AE993"/>
      <c r="AF993"/>
      <c r="AH993"/>
      <c r="AI993"/>
      <c r="AJ993"/>
      <c r="AM993"/>
    </row>
    <row r="994" spans="3:39" x14ac:dyDescent="0.2">
      <c r="C994"/>
      <c r="D994"/>
      <c r="E994"/>
      <c r="F994"/>
      <c r="G994"/>
      <c r="H994"/>
      <c r="I994" s="684"/>
      <c r="V994"/>
      <c r="W994"/>
      <c r="Y994"/>
      <c r="Z994"/>
      <c r="AA994"/>
      <c r="AD994"/>
      <c r="AE994"/>
      <c r="AF994"/>
      <c r="AH994"/>
      <c r="AI994"/>
      <c r="AJ994"/>
      <c r="AM994"/>
    </row>
    <row r="995" spans="3:39" x14ac:dyDescent="0.2">
      <c r="C995"/>
      <c r="D995"/>
      <c r="E995"/>
      <c r="F995"/>
      <c r="G995"/>
      <c r="H995"/>
      <c r="I995" s="684"/>
      <c r="V995"/>
      <c r="W995"/>
      <c r="Y995"/>
      <c r="Z995"/>
      <c r="AA995"/>
      <c r="AD995"/>
      <c r="AE995"/>
      <c r="AF995"/>
      <c r="AH995"/>
      <c r="AI995"/>
      <c r="AJ995"/>
      <c r="AM995"/>
    </row>
    <row r="996" spans="3:39" x14ac:dyDescent="0.2">
      <c r="C996"/>
      <c r="D996"/>
      <c r="E996"/>
      <c r="F996"/>
      <c r="G996"/>
      <c r="H996"/>
      <c r="I996" s="684"/>
      <c r="V996"/>
      <c r="W996"/>
      <c r="Y996"/>
      <c r="Z996"/>
      <c r="AA996"/>
      <c r="AD996"/>
      <c r="AE996"/>
      <c r="AF996"/>
      <c r="AH996"/>
      <c r="AI996"/>
      <c r="AJ996"/>
      <c r="AM996"/>
    </row>
    <row r="997" spans="3:39" x14ac:dyDescent="0.2">
      <c r="C997"/>
      <c r="D997"/>
      <c r="E997"/>
      <c r="F997"/>
      <c r="G997"/>
      <c r="H997"/>
      <c r="I997" s="684"/>
      <c r="V997"/>
      <c r="W997"/>
      <c r="Y997"/>
      <c r="Z997"/>
      <c r="AA997"/>
      <c r="AD997"/>
      <c r="AE997"/>
      <c r="AF997"/>
      <c r="AH997"/>
      <c r="AI997"/>
      <c r="AJ997"/>
      <c r="AM997"/>
    </row>
    <row r="998" spans="3:39" x14ac:dyDescent="0.2">
      <c r="C998"/>
      <c r="D998"/>
      <c r="E998"/>
      <c r="F998"/>
      <c r="G998"/>
      <c r="H998"/>
      <c r="I998" s="684"/>
      <c r="V998"/>
      <c r="W998"/>
      <c r="Y998"/>
      <c r="Z998"/>
      <c r="AA998"/>
      <c r="AD998"/>
      <c r="AE998"/>
      <c r="AF998"/>
      <c r="AH998"/>
      <c r="AI998"/>
      <c r="AJ998"/>
      <c r="AM998"/>
    </row>
    <row r="999" spans="3:39" x14ac:dyDescent="0.2">
      <c r="C999"/>
      <c r="D999"/>
      <c r="E999"/>
      <c r="F999"/>
      <c r="G999"/>
      <c r="H999"/>
      <c r="I999" s="684"/>
      <c r="V999"/>
      <c r="W999"/>
      <c r="Y999"/>
      <c r="Z999"/>
      <c r="AA999"/>
      <c r="AD999"/>
      <c r="AE999"/>
      <c r="AF999"/>
      <c r="AH999"/>
      <c r="AI999"/>
      <c r="AJ999"/>
      <c r="AM999"/>
    </row>
    <row r="1000" spans="3:39" x14ac:dyDescent="0.2">
      <c r="C1000"/>
      <c r="D1000"/>
      <c r="E1000"/>
      <c r="F1000"/>
      <c r="G1000"/>
      <c r="H1000"/>
      <c r="I1000" s="684"/>
      <c r="V1000"/>
      <c r="W1000"/>
      <c r="Y1000"/>
      <c r="Z1000"/>
      <c r="AA1000"/>
      <c r="AD1000"/>
      <c r="AE1000"/>
      <c r="AF1000"/>
      <c r="AH1000"/>
      <c r="AI1000"/>
      <c r="AJ1000"/>
      <c r="AM1000"/>
    </row>
    <row r="1001" spans="3:39" x14ac:dyDescent="0.2">
      <c r="C1001"/>
      <c r="D1001"/>
      <c r="E1001"/>
      <c r="F1001"/>
      <c r="G1001"/>
      <c r="H1001"/>
      <c r="I1001" s="684"/>
      <c r="V1001"/>
      <c r="W1001"/>
      <c r="Y1001"/>
      <c r="Z1001"/>
      <c r="AA1001"/>
      <c r="AD1001"/>
      <c r="AE1001"/>
      <c r="AF1001"/>
      <c r="AH1001"/>
      <c r="AI1001"/>
      <c r="AJ1001"/>
      <c r="AM1001"/>
    </row>
    <row r="1002" spans="3:39" x14ac:dyDescent="0.2">
      <c r="C1002"/>
      <c r="D1002"/>
      <c r="E1002"/>
      <c r="F1002"/>
      <c r="G1002"/>
      <c r="H1002"/>
      <c r="I1002" s="684"/>
      <c r="V1002"/>
      <c r="W1002"/>
      <c r="Y1002"/>
      <c r="Z1002"/>
      <c r="AA1002"/>
      <c r="AD1002"/>
      <c r="AE1002"/>
      <c r="AF1002"/>
      <c r="AH1002"/>
      <c r="AI1002"/>
      <c r="AJ1002"/>
      <c r="AM1002"/>
    </row>
    <row r="1003" spans="3:39" x14ac:dyDescent="0.2">
      <c r="C1003"/>
      <c r="D1003"/>
      <c r="E1003"/>
      <c r="F1003"/>
      <c r="G1003"/>
      <c r="H1003"/>
      <c r="I1003" s="684"/>
      <c r="V1003"/>
      <c r="W1003"/>
      <c r="Y1003"/>
      <c r="Z1003"/>
      <c r="AA1003"/>
      <c r="AD1003"/>
      <c r="AE1003"/>
      <c r="AF1003"/>
      <c r="AH1003"/>
      <c r="AI1003"/>
      <c r="AJ1003"/>
      <c r="AM1003"/>
    </row>
    <row r="1004" spans="3:39" x14ac:dyDescent="0.2">
      <c r="C1004"/>
      <c r="D1004"/>
      <c r="E1004"/>
      <c r="F1004"/>
      <c r="G1004"/>
      <c r="H1004"/>
      <c r="I1004" s="684"/>
      <c r="V1004"/>
      <c r="W1004"/>
      <c r="Y1004"/>
      <c r="Z1004"/>
      <c r="AA1004"/>
      <c r="AD1004"/>
      <c r="AE1004"/>
      <c r="AF1004"/>
      <c r="AH1004"/>
      <c r="AI1004"/>
      <c r="AJ1004"/>
      <c r="AM1004"/>
    </row>
    <row r="1005" spans="3:39" x14ac:dyDescent="0.2">
      <c r="C1005"/>
      <c r="D1005"/>
      <c r="E1005"/>
      <c r="F1005"/>
      <c r="G1005"/>
      <c r="H1005"/>
      <c r="I1005" s="684"/>
      <c r="V1005"/>
      <c r="W1005"/>
      <c r="Y1005"/>
      <c r="Z1005"/>
      <c r="AA1005"/>
      <c r="AD1005"/>
      <c r="AE1005"/>
      <c r="AF1005"/>
      <c r="AH1005"/>
      <c r="AI1005"/>
      <c r="AJ1005"/>
      <c r="AM1005"/>
    </row>
    <row r="1006" spans="3:39" x14ac:dyDescent="0.2">
      <c r="C1006"/>
      <c r="D1006"/>
      <c r="E1006"/>
      <c r="F1006"/>
      <c r="G1006"/>
      <c r="H1006"/>
      <c r="I1006" s="684"/>
      <c r="V1006"/>
      <c r="W1006"/>
      <c r="Y1006"/>
      <c r="Z1006"/>
      <c r="AA1006"/>
      <c r="AD1006"/>
      <c r="AE1006"/>
      <c r="AF1006"/>
      <c r="AH1006"/>
      <c r="AI1006"/>
      <c r="AJ1006"/>
      <c r="AM1006"/>
    </row>
    <row r="1007" spans="3:39" x14ac:dyDescent="0.2">
      <c r="C1007"/>
      <c r="D1007"/>
      <c r="E1007"/>
      <c r="F1007"/>
      <c r="G1007"/>
      <c r="H1007"/>
      <c r="I1007" s="684"/>
      <c r="V1007"/>
      <c r="W1007"/>
      <c r="Y1007"/>
      <c r="Z1007"/>
      <c r="AA1007"/>
      <c r="AD1007"/>
      <c r="AE1007"/>
      <c r="AF1007"/>
      <c r="AH1007"/>
      <c r="AI1007"/>
      <c r="AJ1007"/>
      <c r="AM1007"/>
    </row>
    <row r="1008" spans="3:39" x14ac:dyDescent="0.2">
      <c r="C1008"/>
      <c r="D1008"/>
      <c r="E1008"/>
      <c r="F1008"/>
      <c r="G1008"/>
      <c r="H1008"/>
      <c r="I1008" s="684"/>
      <c r="V1008"/>
      <c r="W1008"/>
      <c r="Y1008"/>
      <c r="Z1008"/>
      <c r="AA1008"/>
      <c r="AD1008"/>
      <c r="AE1008"/>
      <c r="AF1008"/>
      <c r="AH1008"/>
      <c r="AI1008"/>
      <c r="AJ1008"/>
      <c r="AM1008"/>
    </row>
    <row r="1009" spans="3:39" x14ac:dyDescent="0.2">
      <c r="C1009"/>
      <c r="D1009"/>
      <c r="E1009"/>
      <c r="F1009"/>
      <c r="G1009"/>
      <c r="H1009"/>
      <c r="I1009" s="684"/>
      <c r="V1009"/>
      <c r="W1009"/>
      <c r="Y1009"/>
      <c r="Z1009"/>
      <c r="AA1009"/>
      <c r="AD1009"/>
      <c r="AE1009"/>
      <c r="AF1009"/>
      <c r="AH1009"/>
      <c r="AI1009"/>
      <c r="AJ1009"/>
      <c r="AM1009"/>
    </row>
    <row r="1010" spans="3:39" x14ac:dyDescent="0.2">
      <c r="C1010"/>
      <c r="D1010"/>
      <c r="E1010"/>
      <c r="F1010"/>
      <c r="G1010"/>
      <c r="H1010"/>
      <c r="I1010" s="684"/>
      <c r="V1010"/>
      <c r="W1010"/>
      <c r="Y1010"/>
      <c r="Z1010"/>
      <c r="AA1010"/>
      <c r="AD1010"/>
      <c r="AE1010"/>
      <c r="AF1010"/>
      <c r="AH1010"/>
      <c r="AI1010"/>
      <c r="AJ1010"/>
      <c r="AM1010"/>
    </row>
    <row r="1011" spans="3:39" x14ac:dyDescent="0.2">
      <c r="C1011"/>
      <c r="D1011"/>
      <c r="E1011"/>
      <c r="F1011"/>
      <c r="G1011"/>
      <c r="H1011"/>
      <c r="I1011" s="684"/>
      <c r="V1011"/>
      <c r="W1011"/>
      <c r="Y1011"/>
      <c r="Z1011"/>
      <c r="AA1011"/>
      <c r="AD1011"/>
      <c r="AE1011"/>
      <c r="AF1011"/>
      <c r="AH1011"/>
      <c r="AI1011"/>
      <c r="AJ1011"/>
      <c r="AM1011"/>
    </row>
    <row r="1012" spans="3:39" x14ac:dyDescent="0.2">
      <c r="C1012"/>
      <c r="D1012"/>
      <c r="E1012"/>
      <c r="F1012"/>
      <c r="G1012"/>
      <c r="H1012"/>
      <c r="I1012" s="684"/>
      <c r="V1012"/>
      <c r="W1012"/>
      <c r="Y1012"/>
      <c r="Z1012"/>
      <c r="AA1012"/>
      <c r="AD1012"/>
      <c r="AE1012"/>
      <c r="AF1012"/>
      <c r="AH1012"/>
      <c r="AI1012"/>
      <c r="AJ1012"/>
      <c r="AM1012"/>
    </row>
    <row r="1013" spans="3:39" x14ac:dyDescent="0.2">
      <c r="C1013"/>
      <c r="D1013"/>
      <c r="E1013"/>
      <c r="F1013"/>
      <c r="G1013"/>
      <c r="H1013"/>
      <c r="I1013" s="684"/>
      <c r="V1013"/>
      <c r="W1013"/>
      <c r="Y1013"/>
      <c r="Z1013"/>
      <c r="AA1013"/>
      <c r="AD1013"/>
      <c r="AE1013"/>
      <c r="AF1013"/>
      <c r="AH1013"/>
      <c r="AI1013"/>
      <c r="AJ1013"/>
      <c r="AM1013"/>
    </row>
    <row r="1014" spans="3:39" x14ac:dyDescent="0.2">
      <c r="C1014"/>
      <c r="D1014"/>
      <c r="E1014"/>
      <c r="F1014"/>
      <c r="G1014"/>
      <c r="H1014"/>
      <c r="I1014" s="684"/>
      <c r="V1014"/>
      <c r="W1014"/>
      <c r="Y1014"/>
      <c r="Z1014"/>
      <c r="AA1014"/>
      <c r="AD1014"/>
      <c r="AE1014"/>
      <c r="AF1014"/>
      <c r="AH1014"/>
      <c r="AI1014"/>
      <c r="AJ1014"/>
      <c r="AM1014"/>
    </row>
    <row r="1015" spans="3:39" x14ac:dyDescent="0.2">
      <c r="C1015"/>
      <c r="D1015"/>
      <c r="E1015"/>
      <c r="F1015"/>
      <c r="G1015"/>
      <c r="H1015"/>
      <c r="I1015" s="684"/>
      <c r="V1015"/>
      <c r="W1015"/>
      <c r="Y1015"/>
      <c r="Z1015"/>
      <c r="AA1015"/>
      <c r="AD1015"/>
      <c r="AE1015"/>
      <c r="AF1015"/>
      <c r="AH1015"/>
      <c r="AI1015"/>
      <c r="AJ1015"/>
      <c r="AM1015"/>
    </row>
    <row r="1016" spans="3:39" x14ac:dyDescent="0.2">
      <c r="C1016"/>
      <c r="D1016"/>
      <c r="E1016"/>
      <c r="F1016"/>
      <c r="G1016"/>
      <c r="H1016"/>
      <c r="I1016" s="684"/>
      <c r="V1016"/>
      <c r="W1016"/>
      <c r="Y1016"/>
      <c r="Z1016"/>
      <c r="AA1016"/>
      <c r="AD1016"/>
      <c r="AE1016"/>
      <c r="AF1016"/>
      <c r="AH1016"/>
      <c r="AI1016"/>
      <c r="AJ1016"/>
      <c r="AM1016"/>
    </row>
    <row r="1017" spans="3:39" x14ac:dyDescent="0.2">
      <c r="C1017"/>
      <c r="D1017"/>
      <c r="E1017"/>
      <c r="F1017"/>
      <c r="G1017"/>
      <c r="H1017"/>
      <c r="I1017" s="684"/>
      <c r="V1017"/>
      <c r="W1017"/>
      <c r="Y1017"/>
      <c r="Z1017"/>
      <c r="AA1017"/>
      <c r="AD1017"/>
      <c r="AE1017"/>
      <c r="AF1017"/>
      <c r="AH1017"/>
      <c r="AI1017"/>
      <c r="AJ1017"/>
      <c r="AM1017"/>
    </row>
    <row r="1018" spans="3:39" x14ac:dyDescent="0.2">
      <c r="C1018"/>
      <c r="D1018"/>
      <c r="E1018"/>
      <c r="F1018"/>
      <c r="G1018"/>
      <c r="H1018"/>
      <c r="I1018" s="684"/>
      <c r="V1018"/>
      <c r="W1018"/>
      <c r="Y1018"/>
      <c r="Z1018"/>
      <c r="AA1018"/>
      <c r="AD1018"/>
      <c r="AE1018"/>
      <c r="AF1018"/>
      <c r="AH1018"/>
      <c r="AI1018"/>
      <c r="AJ1018"/>
      <c r="AM1018"/>
    </row>
    <row r="1019" spans="3:39" x14ac:dyDescent="0.2">
      <c r="C1019"/>
      <c r="D1019"/>
      <c r="E1019"/>
      <c r="F1019"/>
      <c r="G1019"/>
      <c r="H1019"/>
      <c r="I1019" s="684"/>
      <c r="V1019"/>
      <c r="W1019"/>
      <c r="Y1019"/>
      <c r="Z1019"/>
      <c r="AA1019"/>
      <c r="AD1019"/>
      <c r="AE1019"/>
      <c r="AF1019"/>
      <c r="AH1019"/>
      <c r="AI1019"/>
      <c r="AJ1019"/>
      <c r="AM1019"/>
    </row>
    <row r="1020" spans="3:39" x14ac:dyDescent="0.2">
      <c r="C1020"/>
      <c r="D1020"/>
      <c r="E1020"/>
      <c r="F1020"/>
      <c r="G1020"/>
      <c r="H1020"/>
      <c r="I1020" s="684"/>
      <c r="V1020"/>
      <c r="W1020"/>
      <c r="Y1020"/>
      <c r="Z1020"/>
      <c r="AA1020"/>
      <c r="AD1020"/>
      <c r="AE1020"/>
      <c r="AF1020"/>
      <c r="AH1020"/>
      <c r="AI1020"/>
      <c r="AJ1020"/>
      <c r="AM1020"/>
    </row>
    <row r="1021" spans="3:39" x14ac:dyDescent="0.2">
      <c r="C1021"/>
      <c r="D1021"/>
      <c r="E1021"/>
      <c r="F1021"/>
      <c r="G1021"/>
      <c r="H1021"/>
      <c r="I1021" s="684"/>
      <c r="V1021"/>
      <c r="W1021"/>
      <c r="Y1021"/>
      <c r="Z1021"/>
      <c r="AA1021"/>
      <c r="AD1021"/>
      <c r="AE1021"/>
      <c r="AF1021"/>
      <c r="AH1021"/>
      <c r="AI1021"/>
      <c r="AJ1021"/>
      <c r="AM1021"/>
    </row>
    <row r="1022" spans="3:39" x14ac:dyDescent="0.2">
      <c r="C1022"/>
      <c r="D1022"/>
      <c r="E1022"/>
      <c r="F1022"/>
      <c r="G1022"/>
      <c r="H1022"/>
      <c r="I1022" s="684"/>
      <c r="V1022"/>
      <c r="W1022"/>
      <c r="Y1022"/>
      <c r="Z1022"/>
      <c r="AA1022"/>
      <c r="AD1022"/>
      <c r="AE1022"/>
      <c r="AF1022"/>
      <c r="AH1022"/>
      <c r="AI1022"/>
      <c r="AJ1022"/>
      <c r="AM1022"/>
    </row>
    <row r="1023" spans="3:39" x14ac:dyDescent="0.2">
      <c r="C1023"/>
      <c r="D1023"/>
      <c r="E1023"/>
      <c r="F1023"/>
      <c r="G1023"/>
      <c r="H1023"/>
      <c r="I1023" s="684"/>
      <c r="V1023"/>
      <c r="W1023"/>
      <c r="Y1023"/>
      <c r="Z1023"/>
      <c r="AA1023"/>
      <c r="AD1023"/>
      <c r="AE1023"/>
      <c r="AF1023"/>
      <c r="AH1023"/>
      <c r="AI1023"/>
      <c r="AJ1023"/>
      <c r="AM1023"/>
    </row>
    <row r="1024" spans="3:39" x14ac:dyDescent="0.2">
      <c r="C1024"/>
      <c r="D1024"/>
      <c r="E1024"/>
      <c r="F1024"/>
      <c r="G1024"/>
      <c r="H1024"/>
      <c r="I1024" s="684"/>
      <c r="V1024"/>
      <c r="W1024"/>
      <c r="Y1024"/>
      <c r="Z1024"/>
      <c r="AA1024"/>
      <c r="AD1024"/>
      <c r="AE1024"/>
      <c r="AF1024"/>
      <c r="AH1024"/>
      <c r="AI1024"/>
      <c r="AJ1024"/>
      <c r="AM1024"/>
    </row>
    <row r="1025" spans="3:39" x14ac:dyDescent="0.2">
      <c r="C1025"/>
      <c r="D1025"/>
      <c r="E1025"/>
      <c r="F1025"/>
      <c r="G1025"/>
      <c r="H1025"/>
      <c r="I1025" s="684"/>
      <c r="V1025"/>
      <c r="W1025"/>
      <c r="Y1025"/>
      <c r="Z1025"/>
      <c r="AA1025"/>
      <c r="AD1025"/>
      <c r="AE1025"/>
      <c r="AF1025"/>
      <c r="AH1025"/>
      <c r="AI1025"/>
      <c r="AJ1025"/>
      <c r="AM1025"/>
    </row>
    <row r="1026" spans="3:39" x14ac:dyDescent="0.2">
      <c r="C1026"/>
      <c r="D1026"/>
      <c r="E1026"/>
      <c r="F1026"/>
      <c r="G1026"/>
      <c r="H1026"/>
      <c r="I1026" s="684"/>
      <c r="V1026"/>
      <c r="W1026"/>
      <c r="Y1026"/>
      <c r="Z1026"/>
      <c r="AA1026"/>
      <c r="AD1026"/>
      <c r="AE1026"/>
      <c r="AF1026"/>
      <c r="AH1026"/>
      <c r="AI1026"/>
      <c r="AJ1026"/>
      <c r="AM1026"/>
    </row>
    <row r="1027" spans="3:39" x14ac:dyDescent="0.2">
      <c r="C1027"/>
      <c r="D1027"/>
      <c r="E1027"/>
      <c r="F1027"/>
      <c r="G1027"/>
      <c r="H1027"/>
      <c r="I1027" s="684"/>
      <c r="V1027"/>
      <c r="W1027"/>
      <c r="Y1027"/>
      <c r="Z1027"/>
      <c r="AA1027"/>
      <c r="AD1027"/>
      <c r="AE1027"/>
      <c r="AF1027"/>
      <c r="AH1027"/>
      <c r="AI1027"/>
      <c r="AJ1027"/>
      <c r="AM1027"/>
    </row>
    <row r="1028" spans="3:39" x14ac:dyDescent="0.2">
      <c r="C1028"/>
      <c r="D1028"/>
      <c r="E1028"/>
      <c r="F1028"/>
      <c r="G1028"/>
      <c r="H1028"/>
      <c r="I1028" s="684"/>
      <c r="V1028"/>
      <c r="W1028"/>
      <c r="Y1028"/>
      <c r="Z1028"/>
      <c r="AA1028"/>
      <c r="AD1028"/>
      <c r="AE1028"/>
      <c r="AF1028"/>
      <c r="AH1028"/>
      <c r="AI1028"/>
      <c r="AJ1028"/>
      <c r="AM1028"/>
    </row>
    <row r="1029" spans="3:39" x14ac:dyDescent="0.2">
      <c r="C1029"/>
      <c r="D1029"/>
      <c r="E1029"/>
      <c r="F1029"/>
      <c r="G1029"/>
      <c r="H1029"/>
      <c r="I1029" s="684"/>
      <c r="V1029"/>
      <c r="W1029"/>
      <c r="Y1029"/>
      <c r="Z1029"/>
      <c r="AA1029"/>
      <c r="AD1029"/>
      <c r="AE1029"/>
      <c r="AF1029"/>
      <c r="AH1029"/>
      <c r="AI1029"/>
      <c r="AJ1029"/>
      <c r="AM1029"/>
    </row>
    <row r="1030" spans="3:39" x14ac:dyDescent="0.2">
      <c r="C1030"/>
      <c r="D1030"/>
      <c r="E1030"/>
      <c r="F1030"/>
      <c r="G1030"/>
      <c r="H1030"/>
      <c r="I1030" s="684"/>
      <c r="V1030"/>
      <c r="W1030"/>
      <c r="Y1030"/>
      <c r="Z1030"/>
      <c r="AA1030"/>
      <c r="AD1030"/>
      <c r="AE1030"/>
      <c r="AF1030"/>
      <c r="AH1030"/>
      <c r="AI1030"/>
      <c r="AJ1030"/>
      <c r="AM1030"/>
    </row>
    <row r="1031" spans="3:39" x14ac:dyDescent="0.2">
      <c r="C1031"/>
      <c r="D1031"/>
      <c r="E1031"/>
      <c r="F1031"/>
      <c r="G1031"/>
      <c r="H1031"/>
      <c r="I1031" s="684"/>
      <c r="V1031"/>
      <c r="W1031"/>
      <c r="Y1031"/>
      <c r="Z1031"/>
      <c r="AA1031"/>
      <c r="AD1031"/>
      <c r="AE1031"/>
      <c r="AF1031"/>
      <c r="AH1031"/>
      <c r="AI1031"/>
      <c r="AJ1031"/>
      <c r="AM1031"/>
    </row>
    <row r="1032" spans="3:39" x14ac:dyDescent="0.2">
      <c r="C1032"/>
      <c r="D1032"/>
      <c r="E1032"/>
      <c r="F1032"/>
      <c r="G1032"/>
      <c r="H1032"/>
      <c r="I1032" s="684"/>
      <c r="V1032"/>
      <c r="W1032"/>
      <c r="Y1032"/>
      <c r="Z1032"/>
      <c r="AA1032"/>
      <c r="AD1032"/>
      <c r="AE1032"/>
      <c r="AF1032"/>
      <c r="AH1032"/>
      <c r="AI1032"/>
      <c r="AJ1032"/>
      <c r="AM1032"/>
    </row>
    <row r="1033" spans="3:39" x14ac:dyDescent="0.2">
      <c r="C1033"/>
      <c r="D1033"/>
      <c r="E1033"/>
      <c r="F1033"/>
      <c r="G1033"/>
      <c r="H1033"/>
      <c r="I1033" s="684"/>
      <c r="V1033"/>
      <c r="W1033"/>
      <c r="Y1033"/>
      <c r="Z1033"/>
      <c r="AA1033"/>
      <c r="AD1033"/>
      <c r="AE1033"/>
      <c r="AF1033"/>
      <c r="AH1033"/>
      <c r="AI1033"/>
      <c r="AJ1033"/>
      <c r="AM1033"/>
    </row>
    <row r="1034" spans="3:39" x14ac:dyDescent="0.2">
      <c r="C1034"/>
      <c r="D1034"/>
      <c r="E1034"/>
      <c r="F1034"/>
      <c r="G1034"/>
      <c r="H1034"/>
      <c r="I1034" s="684"/>
      <c r="V1034"/>
      <c r="W1034"/>
      <c r="Y1034"/>
      <c r="Z1034"/>
      <c r="AA1034"/>
      <c r="AD1034"/>
      <c r="AE1034"/>
      <c r="AF1034"/>
      <c r="AH1034"/>
      <c r="AI1034"/>
      <c r="AJ1034"/>
      <c r="AM1034"/>
    </row>
    <row r="1035" spans="3:39" x14ac:dyDescent="0.2">
      <c r="C1035"/>
      <c r="D1035"/>
      <c r="E1035"/>
      <c r="F1035"/>
      <c r="G1035"/>
      <c r="H1035"/>
      <c r="I1035" s="684"/>
      <c r="V1035"/>
      <c r="W1035"/>
      <c r="Y1035"/>
      <c r="Z1035"/>
      <c r="AA1035"/>
      <c r="AD1035"/>
      <c r="AE1035"/>
      <c r="AF1035"/>
      <c r="AH1035"/>
      <c r="AI1035"/>
      <c r="AJ1035"/>
      <c r="AM1035"/>
    </row>
    <row r="1036" spans="3:39" x14ac:dyDescent="0.2">
      <c r="C1036"/>
      <c r="D1036"/>
      <c r="E1036"/>
      <c r="F1036"/>
      <c r="G1036"/>
      <c r="H1036"/>
      <c r="I1036" s="684"/>
      <c r="V1036"/>
      <c r="W1036"/>
      <c r="Y1036"/>
      <c r="Z1036"/>
      <c r="AA1036"/>
      <c r="AD1036"/>
      <c r="AE1036"/>
      <c r="AF1036"/>
      <c r="AH1036"/>
      <c r="AI1036"/>
      <c r="AJ1036"/>
      <c r="AM1036"/>
    </row>
    <row r="1037" spans="3:39" x14ac:dyDescent="0.2">
      <c r="C1037"/>
      <c r="D1037"/>
      <c r="E1037"/>
      <c r="F1037"/>
      <c r="G1037"/>
      <c r="H1037"/>
      <c r="I1037" s="684"/>
      <c r="V1037"/>
      <c r="W1037"/>
      <c r="Y1037"/>
      <c r="Z1037"/>
      <c r="AA1037"/>
      <c r="AD1037"/>
      <c r="AE1037"/>
      <c r="AF1037"/>
      <c r="AH1037"/>
      <c r="AI1037"/>
      <c r="AJ1037"/>
      <c r="AM1037"/>
    </row>
    <row r="1038" spans="3:39" x14ac:dyDescent="0.2">
      <c r="C1038"/>
      <c r="D1038"/>
      <c r="E1038"/>
      <c r="F1038"/>
      <c r="G1038"/>
      <c r="H1038"/>
      <c r="I1038" s="684"/>
      <c r="V1038"/>
      <c r="W1038"/>
      <c r="Y1038"/>
      <c r="Z1038"/>
      <c r="AA1038"/>
      <c r="AD1038"/>
      <c r="AE1038"/>
      <c r="AF1038"/>
      <c r="AH1038"/>
      <c r="AI1038"/>
      <c r="AJ1038"/>
      <c r="AM1038"/>
    </row>
    <row r="1039" spans="3:39" x14ac:dyDescent="0.2">
      <c r="C1039"/>
      <c r="D1039"/>
      <c r="E1039"/>
      <c r="F1039"/>
      <c r="G1039"/>
      <c r="H1039"/>
      <c r="I1039" s="684"/>
      <c r="V1039"/>
      <c r="W1039"/>
      <c r="Y1039"/>
      <c r="Z1039"/>
      <c r="AA1039"/>
      <c r="AD1039"/>
      <c r="AE1039"/>
      <c r="AF1039"/>
      <c r="AH1039"/>
      <c r="AI1039"/>
      <c r="AJ1039"/>
      <c r="AM1039"/>
    </row>
    <row r="1040" spans="3:39" x14ac:dyDescent="0.2">
      <c r="C1040"/>
      <c r="D1040"/>
      <c r="E1040"/>
      <c r="F1040"/>
      <c r="G1040"/>
      <c r="H1040"/>
      <c r="I1040" s="684"/>
      <c r="V1040"/>
      <c r="W1040"/>
      <c r="Y1040"/>
      <c r="Z1040"/>
      <c r="AA1040"/>
      <c r="AD1040"/>
      <c r="AE1040"/>
      <c r="AF1040"/>
      <c r="AH1040"/>
      <c r="AI1040"/>
      <c r="AJ1040"/>
      <c r="AM1040"/>
    </row>
    <row r="1041" spans="3:39" x14ac:dyDescent="0.2">
      <c r="C1041"/>
      <c r="D1041"/>
      <c r="E1041"/>
      <c r="F1041"/>
      <c r="G1041"/>
      <c r="H1041"/>
      <c r="I1041" s="684"/>
      <c r="V1041"/>
      <c r="W1041"/>
      <c r="Y1041"/>
      <c r="Z1041"/>
      <c r="AA1041"/>
      <c r="AD1041"/>
      <c r="AE1041"/>
      <c r="AF1041"/>
      <c r="AH1041"/>
      <c r="AI1041"/>
      <c r="AJ1041"/>
      <c r="AM1041"/>
    </row>
    <row r="1042" spans="3:39" x14ac:dyDescent="0.2">
      <c r="C1042"/>
      <c r="D1042"/>
      <c r="E1042"/>
      <c r="F1042"/>
      <c r="G1042"/>
      <c r="H1042"/>
      <c r="I1042" s="684"/>
      <c r="V1042"/>
      <c r="W1042"/>
      <c r="Y1042"/>
      <c r="Z1042"/>
      <c r="AA1042"/>
      <c r="AD1042"/>
      <c r="AE1042"/>
      <c r="AF1042"/>
      <c r="AH1042"/>
      <c r="AI1042"/>
      <c r="AJ1042"/>
      <c r="AM1042"/>
    </row>
    <row r="1043" spans="3:39" x14ac:dyDescent="0.2">
      <c r="C1043"/>
      <c r="D1043"/>
      <c r="E1043"/>
      <c r="F1043"/>
      <c r="G1043"/>
      <c r="H1043"/>
      <c r="I1043" s="684"/>
      <c r="V1043"/>
      <c r="W1043"/>
      <c r="Y1043"/>
      <c r="Z1043"/>
      <c r="AA1043"/>
      <c r="AD1043"/>
      <c r="AE1043"/>
      <c r="AF1043"/>
      <c r="AH1043"/>
      <c r="AI1043"/>
      <c r="AJ1043"/>
      <c r="AM1043"/>
    </row>
    <row r="1044" spans="3:39" x14ac:dyDescent="0.2">
      <c r="C1044"/>
      <c r="D1044"/>
      <c r="E1044"/>
      <c r="F1044"/>
      <c r="G1044"/>
      <c r="H1044"/>
      <c r="I1044" s="684"/>
      <c r="V1044"/>
      <c r="W1044"/>
      <c r="Y1044"/>
      <c r="Z1044"/>
      <c r="AA1044"/>
      <c r="AD1044"/>
      <c r="AE1044"/>
      <c r="AF1044"/>
      <c r="AH1044"/>
      <c r="AI1044"/>
      <c r="AJ1044"/>
      <c r="AM1044"/>
    </row>
    <row r="1045" spans="3:39" x14ac:dyDescent="0.2">
      <c r="C1045"/>
      <c r="D1045"/>
      <c r="E1045"/>
      <c r="F1045"/>
      <c r="G1045"/>
      <c r="H1045"/>
      <c r="I1045" s="684"/>
      <c r="V1045"/>
      <c r="W1045"/>
      <c r="Y1045"/>
      <c r="Z1045"/>
      <c r="AA1045"/>
      <c r="AD1045"/>
      <c r="AE1045"/>
      <c r="AF1045"/>
      <c r="AH1045"/>
      <c r="AI1045"/>
      <c r="AJ1045"/>
      <c r="AM1045"/>
    </row>
    <row r="1046" spans="3:39" x14ac:dyDescent="0.2">
      <c r="C1046"/>
      <c r="D1046"/>
      <c r="E1046"/>
      <c r="F1046"/>
      <c r="G1046"/>
      <c r="H1046"/>
      <c r="I1046" s="684"/>
      <c r="V1046"/>
      <c r="W1046"/>
      <c r="Y1046"/>
      <c r="Z1046"/>
      <c r="AA1046"/>
      <c r="AD1046"/>
      <c r="AE1046"/>
      <c r="AF1046"/>
      <c r="AH1046"/>
      <c r="AI1046"/>
      <c r="AJ1046"/>
      <c r="AM1046"/>
    </row>
    <row r="1047" spans="3:39" x14ac:dyDescent="0.2">
      <c r="C1047"/>
      <c r="D1047"/>
      <c r="E1047"/>
      <c r="F1047"/>
      <c r="G1047"/>
      <c r="H1047"/>
      <c r="I1047" s="684"/>
      <c r="V1047"/>
      <c r="W1047"/>
      <c r="Y1047"/>
      <c r="Z1047"/>
      <c r="AA1047"/>
      <c r="AD1047"/>
      <c r="AE1047"/>
      <c r="AF1047"/>
      <c r="AH1047"/>
      <c r="AI1047"/>
      <c r="AJ1047"/>
      <c r="AM1047"/>
    </row>
    <row r="1048" spans="3:39" x14ac:dyDescent="0.2">
      <c r="C1048"/>
      <c r="D1048"/>
      <c r="E1048"/>
      <c r="F1048"/>
      <c r="G1048"/>
      <c r="H1048"/>
      <c r="I1048" s="684"/>
      <c r="V1048"/>
      <c r="W1048"/>
      <c r="Y1048"/>
      <c r="Z1048"/>
      <c r="AA1048"/>
      <c r="AD1048"/>
      <c r="AE1048"/>
      <c r="AF1048"/>
      <c r="AH1048"/>
      <c r="AI1048"/>
      <c r="AJ1048"/>
      <c r="AM1048"/>
    </row>
    <row r="1049" spans="3:39" x14ac:dyDescent="0.2">
      <c r="C1049"/>
      <c r="D1049"/>
      <c r="E1049"/>
      <c r="F1049"/>
      <c r="G1049"/>
      <c r="H1049"/>
      <c r="I1049" s="684"/>
      <c r="V1049"/>
      <c r="W1049"/>
      <c r="Y1049"/>
      <c r="Z1049"/>
      <c r="AA1049"/>
      <c r="AD1049"/>
      <c r="AE1049"/>
      <c r="AF1049"/>
      <c r="AH1049"/>
      <c r="AI1049"/>
      <c r="AJ1049"/>
      <c r="AM1049"/>
    </row>
    <row r="1050" spans="3:39" x14ac:dyDescent="0.2">
      <c r="C1050"/>
      <c r="D1050"/>
      <c r="E1050"/>
      <c r="F1050"/>
      <c r="G1050"/>
      <c r="H1050"/>
      <c r="I1050" s="684"/>
      <c r="V1050"/>
      <c r="W1050"/>
      <c r="Y1050"/>
      <c r="Z1050"/>
      <c r="AA1050"/>
      <c r="AD1050"/>
      <c r="AE1050"/>
      <c r="AF1050"/>
      <c r="AH1050"/>
      <c r="AI1050"/>
      <c r="AJ1050"/>
      <c r="AM1050"/>
    </row>
    <row r="1051" spans="3:39" x14ac:dyDescent="0.2">
      <c r="C1051"/>
      <c r="D1051"/>
      <c r="E1051"/>
      <c r="F1051"/>
      <c r="G1051"/>
      <c r="H1051"/>
      <c r="I1051" s="684"/>
      <c r="V1051"/>
      <c r="W1051"/>
      <c r="Y1051"/>
      <c r="Z1051"/>
      <c r="AA1051"/>
      <c r="AD1051"/>
      <c r="AE1051"/>
      <c r="AF1051"/>
      <c r="AH1051"/>
      <c r="AI1051"/>
      <c r="AJ1051"/>
      <c r="AM1051"/>
    </row>
    <row r="1052" spans="3:39" x14ac:dyDescent="0.2">
      <c r="C1052"/>
      <c r="D1052"/>
      <c r="E1052"/>
      <c r="F1052"/>
      <c r="G1052"/>
      <c r="H1052"/>
      <c r="I1052" s="684"/>
      <c r="V1052"/>
      <c r="W1052"/>
      <c r="Y1052"/>
      <c r="Z1052"/>
      <c r="AA1052"/>
      <c r="AD1052"/>
      <c r="AE1052"/>
      <c r="AF1052"/>
      <c r="AH1052"/>
      <c r="AI1052"/>
      <c r="AJ1052"/>
      <c r="AM1052"/>
    </row>
    <row r="1053" spans="3:39" x14ac:dyDescent="0.2">
      <c r="C1053"/>
      <c r="D1053"/>
      <c r="E1053"/>
      <c r="F1053"/>
      <c r="G1053"/>
      <c r="H1053"/>
      <c r="I1053" s="684"/>
      <c r="V1053"/>
      <c r="W1053"/>
      <c r="Y1053"/>
      <c r="Z1053"/>
      <c r="AA1053"/>
      <c r="AD1053"/>
      <c r="AE1053"/>
      <c r="AF1053"/>
      <c r="AH1053"/>
      <c r="AI1053"/>
      <c r="AJ1053"/>
      <c r="AM1053"/>
    </row>
    <row r="1054" spans="3:39" x14ac:dyDescent="0.2">
      <c r="C1054"/>
      <c r="D1054"/>
      <c r="E1054"/>
      <c r="F1054"/>
      <c r="G1054"/>
      <c r="H1054"/>
      <c r="I1054" s="684"/>
      <c r="V1054"/>
      <c r="W1054"/>
      <c r="Y1054"/>
      <c r="Z1054"/>
      <c r="AA1054"/>
      <c r="AD1054"/>
      <c r="AE1054"/>
      <c r="AF1054"/>
      <c r="AH1054"/>
      <c r="AI1054"/>
      <c r="AJ1054"/>
      <c r="AM1054"/>
    </row>
    <row r="1055" spans="3:39" x14ac:dyDescent="0.2">
      <c r="C1055"/>
      <c r="D1055"/>
      <c r="E1055"/>
      <c r="F1055"/>
      <c r="G1055"/>
      <c r="H1055"/>
      <c r="I1055" s="684"/>
      <c r="V1055"/>
      <c r="W1055"/>
      <c r="Y1055"/>
      <c r="Z1055"/>
      <c r="AA1055"/>
      <c r="AD1055"/>
      <c r="AE1055"/>
      <c r="AF1055"/>
      <c r="AH1055"/>
      <c r="AI1055"/>
      <c r="AJ1055"/>
      <c r="AM1055"/>
    </row>
    <row r="1056" spans="3:39" x14ac:dyDescent="0.2">
      <c r="C1056"/>
      <c r="D1056"/>
      <c r="E1056"/>
      <c r="F1056"/>
      <c r="G1056"/>
      <c r="H1056"/>
      <c r="I1056" s="684"/>
      <c r="V1056"/>
      <c r="W1056"/>
      <c r="Y1056"/>
      <c r="Z1056"/>
      <c r="AA1056"/>
      <c r="AD1056"/>
      <c r="AE1056"/>
      <c r="AF1056"/>
      <c r="AH1056"/>
      <c r="AI1056"/>
      <c r="AJ1056"/>
      <c r="AM1056"/>
    </row>
    <row r="1057" spans="3:39" x14ac:dyDescent="0.2">
      <c r="C1057"/>
      <c r="D1057"/>
      <c r="E1057"/>
      <c r="F1057"/>
      <c r="G1057"/>
      <c r="H1057"/>
      <c r="I1057" s="684"/>
      <c r="V1057"/>
      <c r="W1057"/>
      <c r="Y1057"/>
      <c r="Z1057"/>
      <c r="AA1057"/>
      <c r="AD1057"/>
      <c r="AE1057"/>
      <c r="AF1057"/>
      <c r="AH1057"/>
      <c r="AI1057"/>
      <c r="AJ1057"/>
      <c r="AM1057"/>
    </row>
    <row r="1058" spans="3:39" x14ac:dyDescent="0.2">
      <c r="C1058"/>
      <c r="D1058"/>
      <c r="E1058"/>
      <c r="F1058"/>
      <c r="G1058"/>
      <c r="H1058"/>
      <c r="I1058" s="684"/>
      <c r="V1058"/>
      <c r="W1058"/>
      <c r="Y1058"/>
      <c r="Z1058"/>
      <c r="AA1058"/>
      <c r="AD1058"/>
      <c r="AE1058"/>
      <c r="AF1058"/>
      <c r="AH1058"/>
      <c r="AI1058"/>
      <c r="AJ1058"/>
      <c r="AM1058"/>
    </row>
    <row r="1059" spans="3:39" x14ac:dyDescent="0.2">
      <c r="C1059"/>
      <c r="D1059"/>
      <c r="E1059"/>
      <c r="F1059"/>
      <c r="G1059"/>
      <c r="H1059"/>
      <c r="I1059" s="684"/>
      <c r="V1059"/>
      <c r="W1059"/>
      <c r="Y1059"/>
      <c r="Z1059"/>
      <c r="AA1059"/>
      <c r="AD1059"/>
      <c r="AE1059"/>
      <c r="AF1059"/>
      <c r="AH1059"/>
      <c r="AI1059"/>
      <c r="AJ1059"/>
      <c r="AM1059"/>
    </row>
    <row r="1060" spans="3:39" x14ac:dyDescent="0.2">
      <c r="C1060"/>
      <c r="D1060"/>
      <c r="E1060"/>
      <c r="F1060"/>
      <c r="G1060"/>
      <c r="H1060"/>
      <c r="I1060" s="684"/>
      <c r="V1060"/>
      <c r="W1060"/>
      <c r="Y1060"/>
      <c r="Z1060"/>
      <c r="AA1060"/>
      <c r="AD1060"/>
      <c r="AE1060"/>
      <c r="AF1060"/>
      <c r="AH1060"/>
      <c r="AI1060"/>
      <c r="AJ1060"/>
      <c r="AM1060"/>
    </row>
    <row r="1061" spans="3:39" x14ac:dyDescent="0.2">
      <c r="C1061"/>
      <c r="D1061"/>
      <c r="E1061"/>
      <c r="F1061"/>
      <c r="G1061"/>
      <c r="H1061"/>
      <c r="I1061" s="684"/>
      <c r="V1061"/>
      <c r="W1061"/>
      <c r="Y1061"/>
      <c r="Z1061"/>
      <c r="AA1061"/>
      <c r="AD1061"/>
      <c r="AE1061"/>
      <c r="AF1061"/>
      <c r="AH1061"/>
      <c r="AI1061"/>
      <c r="AJ1061"/>
      <c r="AM1061"/>
    </row>
    <row r="1062" spans="3:39" x14ac:dyDescent="0.2">
      <c r="C1062"/>
      <c r="D1062"/>
      <c r="E1062"/>
      <c r="F1062"/>
      <c r="G1062"/>
      <c r="H1062"/>
      <c r="I1062" s="684"/>
      <c r="V1062"/>
      <c r="W1062"/>
      <c r="Y1062"/>
      <c r="Z1062"/>
      <c r="AA1062"/>
      <c r="AD1062"/>
      <c r="AE1062"/>
      <c r="AF1062"/>
      <c r="AH1062"/>
      <c r="AI1062"/>
      <c r="AJ1062"/>
      <c r="AM1062"/>
    </row>
    <row r="1063" spans="3:39" x14ac:dyDescent="0.2">
      <c r="C1063"/>
      <c r="D1063"/>
      <c r="E1063"/>
      <c r="F1063"/>
      <c r="G1063"/>
      <c r="H1063"/>
      <c r="I1063" s="684"/>
      <c r="V1063"/>
      <c r="W1063"/>
      <c r="Y1063"/>
      <c r="Z1063"/>
      <c r="AA1063"/>
      <c r="AD1063"/>
      <c r="AE1063"/>
      <c r="AF1063"/>
      <c r="AH1063"/>
      <c r="AI1063"/>
      <c r="AJ1063"/>
      <c r="AM1063"/>
    </row>
    <row r="1064" spans="3:39" x14ac:dyDescent="0.2">
      <c r="C1064"/>
      <c r="D1064"/>
      <c r="E1064"/>
      <c r="F1064"/>
      <c r="G1064"/>
      <c r="H1064"/>
      <c r="I1064" s="684"/>
      <c r="V1064"/>
      <c r="W1064"/>
      <c r="Y1064"/>
      <c r="Z1064"/>
      <c r="AA1064"/>
      <c r="AD1064"/>
      <c r="AE1064"/>
      <c r="AF1064"/>
      <c r="AH1064"/>
      <c r="AI1064"/>
      <c r="AJ1064"/>
      <c r="AM1064"/>
    </row>
    <row r="1065" spans="3:39" x14ac:dyDescent="0.2">
      <c r="C1065"/>
      <c r="D1065"/>
      <c r="E1065"/>
      <c r="F1065"/>
      <c r="G1065"/>
      <c r="H1065"/>
      <c r="I1065" s="684"/>
      <c r="V1065"/>
      <c r="W1065"/>
      <c r="Y1065"/>
      <c r="Z1065"/>
      <c r="AA1065"/>
      <c r="AD1065"/>
      <c r="AE1065"/>
      <c r="AF1065"/>
      <c r="AH1065"/>
      <c r="AI1065"/>
      <c r="AJ1065"/>
      <c r="AM1065"/>
    </row>
    <row r="1066" spans="3:39" x14ac:dyDescent="0.2">
      <c r="C1066"/>
      <c r="D1066"/>
      <c r="E1066"/>
      <c r="F1066"/>
      <c r="G1066"/>
      <c r="H1066"/>
      <c r="I1066" s="684"/>
      <c r="V1066"/>
      <c r="W1066"/>
      <c r="Y1066"/>
      <c r="Z1066"/>
      <c r="AA1066"/>
      <c r="AD1066"/>
      <c r="AE1066"/>
      <c r="AF1066"/>
      <c r="AH1066"/>
      <c r="AI1066"/>
      <c r="AJ1066"/>
      <c r="AM1066"/>
    </row>
    <row r="1067" spans="3:39" x14ac:dyDescent="0.2">
      <c r="C1067"/>
      <c r="D1067"/>
      <c r="E1067"/>
      <c r="F1067"/>
      <c r="G1067"/>
      <c r="H1067"/>
      <c r="I1067" s="684"/>
      <c r="V1067"/>
      <c r="W1067"/>
      <c r="Y1067"/>
      <c r="Z1067"/>
      <c r="AA1067"/>
      <c r="AD1067"/>
      <c r="AE1067"/>
      <c r="AF1067"/>
      <c r="AH1067"/>
      <c r="AI1067"/>
      <c r="AJ1067"/>
      <c r="AM1067"/>
    </row>
    <row r="1068" spans="3:39" x14ac:dyDescent="0.2">
      <c r="C1068"/>
      <c r="D1068"/>
      <c r="E1068"/>
      <c r="F1068"/>
      <c r="G1068"/>
      <c r="H1068"/>
      <c r="I1068" s="684"/>
      <c r="V1068"/>
      <c r="W1068"/>
      <c r="Y1068"/>
      <c r="Z1068"/>
      <c r="AA1068"/>
      <c r="AD1068"/>
      <c r="AE1068"/>
      <c r="AF1068"/>
      <c r="AH1068"/>
      <c r="AI1068"/>
      <c r="AJ1068"/>
      <c r="AM1068"/>
    </row>
    <row r="1069" spans="3:39" x14ac:dyDescent="0.2">
      <c r="C1069"/>
      <c r="D1069"/>
      <c r="E1069"/>
      <c r="F1069"/>
      <c r="G1069"/>
      <c r="H1069"/>
      <c r="I1069" s="684"/>
      <c r="V1069"/>
      <c r="W1069"/>
      <c r="Y1069"/>
      <c r="Z1069"/>
      <c r="AA1069"/>
      <c r="AD1069"/>
      <c r="AE1069"/>
      <c r="AF1069"/>
      <c r="AH1069"/>
      <c r="AI1069"/>
      <c r="AJ1069"/>
      <c r="AM1069"/>
    </row>
    <row r="1070" spans="3:39" x14ac:dyDescent="0.2">
      <c r="C1070"/>
      <c r="D1070"/>
      <c r="E1070"/>
      <c r="F1070"/>
      <c r="G1070"/>
      <c r="H1070"/>
      <c r="I1070" s="684"/>
      <c r="V1070"/>
      <c r="W1070"/>
      <c r="Y1070"/>
      <c r="Z1070"/>
      <c r="AA1070"/>
      <c r="AD1070"/>
      <c r="AE1070"/>
      <c r="AF1070"/>
      <c r="AH1070"/>
      <c r="AI1070"/>
      <c r="AJ1070"/>
      <c r="AM1070"/>
    </row>
    <row r="1071" spans="3:39" x14ac:dyDescent="0.2">
      <c r="C1071"/>
      <c r="D1071"/>
      <c r="E1071"/>
      <c r="F1071"/>
      <c r="G1071"/>
      <c r="H1071"/>
      <c r="I1071" s="684"/>
      <c r="V1071"/>
      <c r="W1071"/>
      <c r="Y1071"/>
      <c r="Z1071"/>
      <c r="AA1071"/>
      <c r="AD1071"/>
      <c r="AE1071"/>
      <c r="AF1071"/>
      <c r="AH1071"/>
      <c r="AI1071"/>
      <c r="AJ1071"/>
      <c r="AM1071"/>
    </row>
    <row r="1072" spans="3:39" x14ac:dyDescent="0.2">
      <c r="C1072"/>
      <c r="D1072"/>
      <c r="E1072"/>
      <c r="F1072"/>
      <c r="G1072"/>
      <c r="H1072"/>
      <c r="I1072" s="684"/>
      <c r="V1072"/>
      <c r="W1072"/>
      <c r="Y1072"/>
      <c r="Z1072"/>
      <c r="AA1072"/>
      <c r="AD1072"/>
      <c r="AE1072"/>
      <c r="AF1072"/>
      <c r="AH1072"/>
      <c r="AI1072"/>
      <c r="AJ1072"/>
      <c r="AM1072"/>
    </row>
    <row r="1073" spans="3:39" x14ac:dyDescent="0.2">
      <c r="C1073"/>
      <c r="D1073"/>
      <c r="E1073"/>
      <c r="F1073"/>
      <c r="G1073"/>
      <c r="H1073"/>
      <c r="I1073" s="684"/>
      <c r="V1073"/>
      <c r="W1073"/>
      <c r="Y1073"/>
      <c r="Z1073"/>
      <c r="AA1073"/>
      <c r="AD1073"/>
      <c r="AE1073"/>
      <c r="AF1073"/>
      <c r="AH1073"/>
      <c r="AI1073"/>
      <c r="AJ1073"/>
      <c r="AM1073"/>
    </row>
    <row r="1074" spans="3:39" x14ac:dyDescent="0.2">
      <c r="C1074"/>
      <c r="D1074"/>
      <c r="E1074"/>
      <c r="F1074"/>
      <c r="G1074"/>
      <c r="H1074"/>
      <c r="I1074" s="684"/>
      <c r="V1074"/>
      <c r="W1074"/>
      <c r="Y1074"/>
      <c r="Z1074"/>
      <c r="AA1074"/>
      <c r="AD1074"/>
      <c r="AE1074"/>
      <c r="AF1074"/>
      <c r="AH1074"/>
      <c r="AI1074"/>
      <c r="AJ1074"/>
      <c r="AM1074"/>
    </row>
    <row r="1075" spans="3:39" x14ac:dyDescent="0.2">
      <c r="C1075"/>
      <c r="D1075"/>
      <c r="E1075"/>
      <c r="F1075"/>
      <c r="G1075"/>
      <c r="H1075"/>
      <c r="I1075" s="684"/>
      <c r="V1075"/>
      <c r="W1075"/>
      <c r="Y1075"/>
      <c r="Z1075"/>
      <c r="AA1075"/>
      <c r="AD1075"/>
      <c r="AE1075"/>
      <c r="AF1075"/>
      <c r="AH1075"/>
      <c r="AI1075"/>
      <c r="AJ1075"/>
      <c r="AM1075"/>
    </row>
    <row r="1076" spans="3:39" x14ac:dyDescent="0.2">
      <c r="C1076"/>
      <c r="D1076"/>
      <c r="E1076"/>
      <c r="F1076"/>
      <c r="G1076"/>
      <c r="H1076"/>
      <c r="I1076" s="684"/>
      <c r="V1076"/>
      <c r="W1076"/>
      <c r="Y1076"/>
      <c r="Z1076"/>
      <c r="AA1076"/>
      <c r="AD1076"/>
      <c r="AE1076"/>
      <c r="AF1076"/>
      <c r="AH1076"/>
      <c r="AI1076"/>
      <c r="AJ1076"/>
      <c r="AM1076"/>
    </row>
    <row r="1077" spans="3:39" x14ac:dyDescent="0.2">
      <c r="C1077"/>
      <c r="D1077"/>
      <c r="E1077"/>
      <c r="F1077"/>
      <c r="G1077"/>
      <c r="H1077"/>
      <c r="I1077" s="684"/>
      <c r="V1077"/>
      <c r="W1077"/>
      <c r="Y1077"/>
      <c r="Z1077"/>
      <c r="AA1077"/>
      <c r="AD1077"/>
      <c r="AE1077"/>
      <c r="AF1077"/>
      <c r="AH1077"/>
      <c r="AI1077"/>
      <c r="AJ1077"/>
      <c r="AM1077"/>
    </row>
    <row r="1078" spans="3:39" x14ac:dyDescent="0.2">
      <c r="C1078"/>
      <c r="D1078"/>
      <c r="E1078"/>
      <c r="F1078"/>
      <c r="G1078"/>
      <c r="H1078"/>
      <c r="I1078" s="684"/>
      <c r="V1078"/>
      <c r="W1078"/>
      <c r="Y1078"/>
      <c r="Z1078"/>
      <c r="AA1078"/>
      <c r="AD1078"/>
      <c r="AE1078"/>
      <c r="AF1078"/>
      <c r="AH1078"/>
      <c r="AI1078"/>
      <c r="AJ1078"/>
      <c r="AM1078"/>
    </row>
    <row r="1079" spans="3:39" x14ac:dyDescent="0.2">
      <c r="C1079"/>
      <c r="D1079"/>
      <c r="E1079"/>
      <c r="F1079"/>
      <c r="G1079"/>
      <c r="H1079"/>
      <c r="I1079" s="684"/>
      <c r="V1079"/>
      <c r="W1079"/>
      <c r="Y1079"/>
      <c r="Z1079"/>
      <c r="AA1079"/>
      <c r="AD1079"/>
      <c r="AE1079"/>
      <c r="AF1079"/>
      <c r="AH1079"/>
      <c r="AI1079"/>
      <c r="AJ1079"/>
      <c r="AM1079"/>
    </row>
    <row r="1080" spans="3:39" x14ac:dyDescent="0.2">
      <c r="C1080"/>
      <c r="D1080"/>
      <c r="E1080"/>
      <c r="F1080"/>
      <c r="G1080"/>
      <c r="H1080"/>
      <c r="I1080" s="684"/>
      <c r="V1080"/>
      <c r="W1080"/>
      <c r="Y1080"/>
      <c r="Z1080"/>
      <c r="AA1080"/>
      <c r="AD1080"/>
      <c r="AE1080"/>
      <c r="AF1080"/>
      <c r="AH1080"/>
      <c r="AI1080"/>
      <c r="AJ1080"/>
      <c r="AM1080"/>
    </row>
    <row r="1081" spans="3:39" x14ac:dyDescent="0.2">
      <c r="C1081"/>
      <c r="D1081"/>
      <c r="E1081"/>
      <c r="F1081"/>
      <c r="G1081"/>
      <c r="H1081"/>
      <c r="I1081" s="684"/>
      <c r="V1081"/>
      <c r="W1081"/>
      <c r="Y1081"/>
      <c r="Z1081"/>
      <c r="AA1081"/>
      <c r="AD1081"/>
      <c r="AE1081"/>
      <c r="AF1081"/>
      <c r="AH1081"/>
      <c r="AI1081"/>
      <c r="AJ1081"/>
      <c r="AM1081"/>
    </row>
    <row r="1082" spans="3:39" x14ac:dyDescent="0.2">
      <c r="C1082"/>
      <c r="D1082"/>
      <c r="E1082"/>
      <c r="F1082"/>
      <c r="G1082"/>
      <c r="H1082"/>
      <c r="I1082" s="684"/>
      <c r="V1082"/>
      <c r="W1082"/>
      <c r="Y1082"/>
      <c r="Z1082"/>
      <c r="AA1082"/>
      <c r="AD1082"/>
      <c r="AE1082"/>
      <c r="AF1082"/>
      <c r="AH1082"/>
      <c r="AI1082"/>
      <c r="AJ1082"/>
      <c r="AM1082"/>
    </row>
    <row r="1083" spans="3:39" x14ac:dyDescent="0.2">
      <c r="C1083"/>
      <c r="D1083"/>
      <c r="E1083"/>
      <c r="F1083"/>
      <c r="G1083"/>
      <c r="H1083"/>
      <c r="I1083" s="684"/>
      <c r="V1083"/>
      <c r="W1083"/>
      <c r="Y1083"/>
      <c r="Z1083"/>
      <c r="AA1083"/>
      <c r="AD1083"/>
      <c r="AE1083"/>
      <c r="AF1083"/>
      <c r="AH1083"/>
      <c r="AI1083"/>
      <c r="AJ1083"/>
      <c r="AM1083"/>
    </row>
    <row r="1084" spans="3:39" x14ac:dyDescent="0.2">
      <c r="C1084"/>
      <c r="D1084"/>
      <c r="E1084"/>
      <c r="F1084"/>
      <c r="G1084"/>
      <c r="H1084"/>
      <c r="I1084" s="684"/>
      <c r="V1084"/>
      <c r="W1084"/>
      <c r="Y1084"/>
      <c r="Z1084"/>
      <c r="AA1084"/>
      <c r="AD1084"/>
      <c r="AE1084"/>
      <c r="AF1084"/>
      <c r="AH1084"/>
      <c r="AI1084"/>
      <c r="AJ1084"/>
      <c r="AM1084"/>
    </row>
    <row r="1085" spans="3:39" x14ac:dyDescent="0.2">
      <c r="C1085"/>
      <c r="D1085"/>
      <c r="E1085"/>
      <c r="F1085"/>
      <c r="G1085"/>
      <c r="H1085"/>
      <c r="I1085" s="684"/>
      <c r="V1085"/>
      <c r="W1085"/>
      <c r="Y1085"/>
      <c r="Z1085"/>
      <c r="AA1085"/>
      <c r="AD1085"/>
      <c r="AE1085"/>
      <c r="AF1085"/>
      <c r="AH1085"/>
      <c r="AI1085"/>
      <c r="AJ1085"/>
      <c r="AM1085"/>
    </row>
    <row r="1086" spans="3:39" x14ac:dyDescent="0.2">
      <c r="C1086"/>
      <c r="D1086"/>
      <c r="E1086"/>
      <c r="F1086"/>
      <c r="G1086"/>
      <c r="H1086"/>
      <c r="I1086" s="684"/>
      <c r="V1086"/>
      <c r="W1086"/>
      <c r="Y1086"/>
      <c r="Z1086"/>
      <c r="AA1086"/>
      <c r="AD1086"/>
      <c r="AE1086"/>
      <c r="AF1086"/>
      <c r="AH1086"/>
      <c r="AI1086"/>
      <c r="AJ1086"/>
      <c r="AM1086"/>
    </row>
    <row r="1087" spans="3:39" x14ac:dyDescent="0.2">
      <c r="C1087"/>
      <c r="D1087"/>
      <c r="E1087"/>
      <c r="F1087"/>
      <c r="G1087"/>
      <c r="H1087"/>
      <c r="I1087" s="684"/>
      <c r="V1087"/>
      <c r="W1087"/>
      <c r="Y1087"/>
      <c r="Z1087"/>
      <c r="AA1087"/>
      <c r="AD1087"/>
      <c r="AE1087"/>
      <c r="AF1087"/>
      <c r="AH1087"/>
      <c r="AI1087"/>
      <c r="AJ1087"/>
      <c r="AM1087"/>
    </row>
    <row r="1088" spans="3:39" x14ac:dyDescent="0.2">
      <c r="C1088"/>
      <c r="D1088"/>
      <c r="E1088"/>
      <c r="F1088"/>
      <c r="G1088"/>
      <c r="H1088"/>
      <c r="I1088" s="684"/>
      <c r="V1088"/>
      <c r="W1088"/>
      <c r="Y1088"/>
      <c r="Z1088"/>
      <c r="AA1088"/>
      <c r="AD1088"/>
      <c r="AE1088"/>
      <c r="AF1088"/>
      <c r="AH1088"/>
      <c r="AI1088"/>
      <c r="AJ1088"/>
      <c r="AM1088"/>
    </row>
    <row r="1089" spans="3:39" x14ac:dyDescent="0.2">
      <c r="C1089"/>
      <c r="D1089"/>
      <c r="E1089"/>
      <c r="F1089"/>
      <c r="G1089"/>
      <c r="H1089"/>
      <c r="I1089" s="684"/>
      <c r="V1089"/>
      <c r="W1089"/>
      <c r="Y1089"/>
      <c r="Z1089"/>
      <c r="AA1089"/>
      <c r="AD1089"/>
      <c r="AE1089"/>
      <c r="AF1089"/>
      <c r="AH1089"/>
      <c r="AI1089"/>
      <c r="AJ1089"/>
      <c r="AM1089"/>
    </row>
    <row r="1090" spans="3:39" x14ac:dyDescent="0.2">
      <c r="C1090"/>
      <c r="D1090"/>
      <c r="E1090"/>
      <c r="F1090"/>
      <c r="G1090"/>
      <c r="H1090"/>
      <c r="I1090" s="684"/>
      <c r="V1090"/>
      <c r="W1090"/>
      <c r="Y1090"/>
      <c r="Z1090"/>
      <c r="AA1090"/>
      <c r="AD1090"/>
      <c r="AE1090"/>
      <c r="AF1090"/>
      <c r="AH1090"/>
      <c r="AI1090"/>
      <c r="AJ1090"/>
      <c r="AM1090"/>
    </row>
    <row r="1091" spans="3:39" x14ac:dyDescent="0.2">
      <c r="C1091"/>
      <c r="D1091"/>
      <c r="E1091"/>
      <c r="F1091"/>
      <c r="G1091"/>
      <c r="H1091"/>
      <c r="I1091" s="684"/>
      <c r="V1091"/>
      <c r="W1091"/>
      <c r="Y1091"/>
      <c r="Z1091"/>
      <c r="AA1091"/>
      <c r="AD1091"/>
      <c r="AE1091"/>
      <c r="AF1091"/>
      <c r="AH1091"/>
      <c r="AI1091"/>
      <c r="AJ1091"/>
      <c r="AM1091"/>
    </row>
    <row r="1092" spans="3:39" x14ac:dyDescent="0.2">
      <c r="C1092"/>
      <c r="D1092"/>
      <c r="E1092"/>
      <c r="F1092"/>
      <c r="G1092"/>
      <c r="H1092"/>
      <c r="I1092" s="684"/>
      <c r="V1092"/>
      <c r="W1092"/>
      <c r="Y1092"/>
      <c r="Z1092"/>
      <c r="AA1092"/>
      <c r="AD1092"/>
      <c r="AE1092"/>
      <c r="AF1092"/>
      <c r="AH1092"/>
      <c r="AI1092"/>
      <c r="AJ1092"/>
      <c r="AM1092"/>
    </row>
    <row r="1093" spans="3:39" x14ac:dyDescent="0.2">
      <c r="C1093"/>
      <c r="D1093"/>
      <c r="E1093"/>
      <c r="F1093"/>
      <c r="G1093"/>
      <c r="H1093"/>
      <c r="I1093" s="684"/>
      <c r="V1093"/>
      <c r="W1093"/>
      <c r="Y1093"/>
      <c r="Z1093"/>
      <c r="AA1093"/>
      <c r="AD1093"/>
      <c r="AE1093"/>
      <c r="AF1093"/>
      <c r="AH1093"/>
      <c r="AI1093"/>
      <c r="AJ1093"/>
      <c r="AM1093"/>
    </row>
    <row r="1094" spans="3:39" x14ac:dyDescent="0.2">
      <c r="C1094"/>
      <c r="D1094"/>
      <c r="E1094"/>
      <c r="F1094"/>
      <c r="G1094"/>
      <c r="H1094"/>
      <c r="I1094" s="684"/>
      <c r="V1094"/>
      <c r="W1094"/>
      <c r="Y1094"/>
      <c r="Z1094"/>
      <c r="AA1094"/>
      <c r="AD1094"/>
      <c r="AE1094"/>
      <c r="AF1094"/>
      <c r="AH1094"/>
      <c r="AI1094"/>
      <c r="AJ1094"/>
      <c r="AM1094"/>
    </row>
    <row r="1095" spans="3:39" x14ac:dyDescent="0.2">
      <c r="C1095"/>
      <c r="D1095"/>
      <c r="E1095"/>
      <c r="F1095"/>
      <c r="G1095"/>
      <c r="H1095"/>
      <c r="I1095" s="684"/>
      <c r="V1095"/>
      <c r="W1095"/>
      <c r="Y1095"/>
      <c r="Z1095"/>
      <c r="AA1095"/>
      <c r="AD1095"/>
      <c r="AE1095"/>
      <c r="AF1095"/>
      <c r="AH1095"/>
      <c r="AI1095"/>
      <c r="AJ1095"/>
      <c r="AM1095"/>
    </row>
    <row r="1096" spans="3:39" x14ac:dyDescent="0.2">
      <c r="C1096"/>
      <c r="D1096"/>
      <c r="E1096"/>
      <c r="F1096"/>
      <c r="G1096"/>
      <c r="H1096"/>
      <c r="I1096" s="684"/>
      <c r="V1096"/>
      <c r="W1096"/>
      <c r="Y1096"/>
      <c r="Z1096"/>
      <c r="AA1096"/>
      <c r="AD1096"/>
      <c r="AE1096"/>
      <c r="AF1096"/>
      <c r="AH1096"/>
      <c r="AI1096"/>
      <c r="AJ1096"/>
      <c r="AM1096"/>
    </row>
    <row r="1097" spans="3:39" x14ac:dyDescent="0.2">
      <c r="C1097"/>
      <c r="D1097"/>
      <c r="E1097"/>
      <c r="F1097"/>
      <c r="G1097"/>
      <c r="H1097"/>
      <c r="I1097" s="684"/>
      <c r="V1097"/>
      <c r="W1097"/>
      <c r="Y1097"/>
      <c r="Z1097"/>
      <c r="AA1097"/>
      <c r="AD1097"/>
      <c r="AE1097"/>
      <c r="AF1097"/>
      <c r="AH1097"/>
      <c r="AI1097"/>
      <c r="AJ1097"/>
      <c r="AM1097"/>
    </row>
    <row r="1098" spans="3:39" x14ac:dyDescent="0.2">
      <c r="C1098"/>
      <c r="D1098"/>
      <c r="E1098"/>
      <c r="F1098"/>
      <c r="G1098"/>
      <c r="H1098"/>
      <c r="I1098" s="684"/>
      <c r="V1098"/>
      <c r="W1098"/>
      <c r="Y1098"/>
      <c r="Z1098"/>
      <c r="AA1098"/>
      <c r="AD1098"/>
      <c r="AE1098"/>
      <c r="AF1098"/>
      <c r="AH1098"/>
      <c r="AI1098"/>
      <c r="AJ1098"/>
      <c r="AM1098"/>
    </row>
    <row r="1099" spans="3:39" x14ac:dyDescent="0.2">
      <c r="C1099"/>
      <c r="D1099"/>
      <c r="E1099"/>
      <c r="F1099"/>
      <c r="G1099"/>
      <c r="H1099"/>
      <c r="I1099" s="684"/>
      <c r="V1099"/>
      <c r="W1099"/>
      <c r="Y1099"/>
      <c r="Z1099"/>
      <c r="AA1099"/>
      <c r="AD1099"/>
      <c r="AE1099"/>
      <c r="AF1099"/>
      <c r="AH1099"/>
      <c r="AI1099"/>
      <c r="AJ1099"/>
      <c r="AM1099"/>
    </row>
    <row r="1100" spans="3:39" x14ac:dyDescent="0.2">
      <c r="C1100"/>
      <c r="D1100"/>
      <c r="E1100"/>
      <c r="F1100"/>
      <c r="G1100"/>
      <c r="H1100"/>
      <c r="I1100" s="684"/>
      <c r="V1100"/>
      <c r="W1100"/>
      <c r="Y1100"/>
      <c r="Z1100"/>
      <c r="AA1100"/>
      <c r="AD1100"/>
      <c r="AE1100"/>
      <c r="AF1100"/>
      <c r="AH1100"/>
      <c r="AI1100"/>
      <c r="AJ1100"/>
      <c r="AM1100"/>
    </row>
    <row r="1101" spans="3:39" x14ac:dyDescent="0.2">
      <c r="C1101"/>
      <c r="D1101"/>
      <c r="E1101"/>
      <c r="F1101"/>
      <c r="G1101"/>
      <c r="H1101"/>
      <c r="I1101" s="684"/>
      <c r="V1101"/>
      <c r="W1101"/>
      <c r="Y1101"/>
      <c r="Z1101"/>
      <c r="AA1101"/>
      <c r="AD1101"/>
      <c r="AE1101"/>
      <c r="AF1101"/>
      <c r="AH1101"/>
      <c r="AI1101"/>
      <c r="AJ1101"/>
      <c r="AM1101"/>
    </row>
    <row r="1102" spans="3:39" x14ac:dyDescent="0.2">
      <c r="C1102"/>
      <c r="D1102"/>
      <c r="E1102"/>
      <c r="F1102"/>
      <c r="G1102"/>
      <c r="H1102"/>
      <c r="I1102" s="684"/>
      <c r="V1102"/>
      <c r="W1102"/>
      <c r="Y1102"/>
      <c r="Z1102"/>
      <c r="AA1102"/>
      <c r="AD1102"/>
      <c r="AE1102"/>
      <c r="AF1102"/>
      <c r="AH1102"/>
      <c r="AI1102"/>
      <c r="AJ1102"/>
      <c r="AM1102"/>
    </row>
    <row r="1103" spans="3:39" x14ac:dyDescent="0.2">
      <c r="C1103"/>
      <c r="D1103"/>
      <c r="E1103"/>
      <c r="F1103"/>
      <c r="G1103"/>
      <c r="H1103"/>
      <c r="I1103" s="684"/>
      <c r="V1103"/>
      <c r="W1103"/>
      <c r="Y1103"/>
      <c r="Z1103"/>
      <c r="AA1103"/>
      <c r="AD1103"/>
      <c r="AE1103"/>
      <c r="AF1103"/>
      <c r="AH1103"/>
      <c r="AI1103"/>
      <c r="AJ1103"/>
      <c r="AM1103"/>
    </row>
    <row r="1104" spans="3:39" x14ac:dyDescent="0.2">
      <c r="C1104"/>
      <c r="D1104"/>
      <c r="E1104"/>
      <c r="F1104"/>
      <c r="G1104"/>
      <c r="H1104"/>
      <c r="I1104" s="684"/>
      <c r="V1104"/>
      <c r="W1104"/>
      <c r="Y1104"/>
      <c r="Z1104"/>
      <c r="AA1104"/>
      <c r="AD1104"/>
      <c r="AE1104"/>
      <c r="AF1104"/>
      <c r="AH1104"/>
      <c r="AI1104"/>
      <c r="AJ1104"/>
      <c r="AM1104"/>
    </row>
    <row r="1105" spans="3:39" x14ac:dyDescent="0.2">
      <c r="C1105"/>
      <c r="D1105"/>
      <c r="E1105"/>
      <c r="F1105"/>
      <c r="G1105"/>
      <c r="H1105"/>
      <c r="I1105" s="684"/>
      <c r="V1105"/>
      <c r="W1105"/>
      <c r="Y1105"/>
      <c r="Z1105"/>
      <c r="AA1105"/>
      <c r="AD1105"/>
      <c r="AE1105"/>
      <c r="AF1105"/>
      <c r="AH1105"/>
      <c r="AI1105"/>
      <c r="AJ1105"/>
      <c r="AM1105"/>
    </row>
    <row r="1106" spans="3:39" x14ac:dyDescent="0.2">
      <c r="C1106"/>
      <c r="D1106"/>
      <c r="E1106"/>
      <c r="F1106"/>
      <c r="G1106"/>
      <c r="H1106"/>
      <c r="I1106" s="684"/>
      <c r="V1106"/>
      <c r="W1106"/>
      <c r="Y1106"/>
      <c r="Z1106"/>
      <c r="AA1106"/>
      <c r="AD1106"/>
      <c r="AE1106"/>
      <c r="AF1106"/>
      <c r="AH1106"/>
      <c r="AI1106"/>
      <c r="AJ1106"/>
      <c r="AM1106"/>
    </row>
    <row r="1107" spans="3:39" x14ac:dyDescent="0.2">
      <c r="C1107"/>
      <c r="D1107"/>
      <c r="E1107"/>
      <c r="F1107"/>
      <c r="G1107"/>
      <c r="H1107"/>
      <c r="I1107" s="684"/>
      <c r="V1107"/>
      <c r="W1107"/>
      <c r="Y1107"/>
      <c r="Z1107"/>
      <c r="AA1107"/>
      <c r="AD1107"/>
      <c r="AE1107"/>
      <c r="AF1107"/>
      <c r="AH1107"/>
      <c r="AI1107"/>
      <c r="AJ1107"/>
      <c r="AM1107"/>
    </row>
    <row r="1108" spans="3:39" x14ac:dyDescent="0.2">
      <c r="C1108"/>
      <c r="D1108"/>
      <c r="E1108"/>
      <c r="F1108"/>
      <c r="G1108"/>
      <c r="H1108"/>
      <c r="I1108" s="684"/>
      <c r="V1108"/>
      <c r="W1108"/>
      <c r="Y1108"/>
      <c r="Z1108"/>
      <c r="AA1108"/>
      <c r="AD1108"/>
      <c r="AE1108"/>
      <c r="AF1108"/>
      <c r="AH1108"/>
      <c r="AI1108"/>
      <c r="AJ1108"/>
      <c r="AM1108"/>
    </row>
    <row r="1109" spans="3:39" x14ac:dyDescent="0.2">
      <c r="C1109"/>
      <c r="D1109"/>
      <c r="E1109"/>
      <c r="F1109"/>
      <c r="G1109"/>
      <c r="H1109"/>
      <c r="I1109" s="684"/>
      <c r="V1109"/>
      <c r="W1109"/>
      <c r="Y1109"/>
      <c r="Z1109"/>
      <c r="AA1109"/>
      <c r="AD1109"/>
      <c r="AE1109"/>
      <c r="AF1109"/>
      <c r="AH1109"/>
      <c r="AI1109"/>
      <c r="AJ1109"/>
      <c r="AM1109"/>
    </row>
    <row r="1110" spans="3:39" x14ac:dyDescent="0.2">
      <c r="C1110"/>
      <c r="D1110"/>
      <c r="E1110"/>
      <c r="F1110"/>
      <c r="G1110"/>
      <c r="H1110"/>
      <c r="I1110" s="684"/>
      <c r="V1110"/>
      <c r="W1110"/>
      <c r="Y1110"/>
      <c r="Z1110"/>
      <c r="AA1110"/>
      <c r="AD1110"/>
      <c r="AE1110"/>
      <c r="AF1110"/>
      <c r="AH1110"/>
      <c r="AI1110"/>
      <c r="AJ1110"/>
      <c r="AM1110"/>
    </row>
    <row r="1111" spans="3:39" x14ac:dyDescent="0.2">
      <c r="C1111"/>
      <c r="D1111"/>
      <c r="E1111"/>
      <c r="F1111"/>
      <c r="G1111"/>
      <c r="H1111"/>
      <c r="I1111" s="684"/>
      <c r="V1111"/>
      <c r="W1111"/>
      <c r="Y1111"/>
      <c r="Z1111"/>
      <c r="AA1111"/>
      <c r="AD1111"/>
      <c r="AE1111"/>
      <c r="AF1111"/>
      <c r="AH1111"/>
      <c r="AI1111"/>
      <c r="AJ1111"/>
      <c r="AM1111"/>
    </row>
    <row r="1112" spans="3:39" x14ac:dyDescent="0.2">
      <c r="C1112"/>
      <c r="D1112"/>
      <c r="E1112"/>
      <c r="F1112"/>
      <c r="G1112"/>
      <c r="H1112"/>
      <c r="I1112" s="684"/>
      <c r="V1112"/>
      <c r="W1112"/>
      <c r="Y1112"/>
      <c r="Z1112"/>
      <c r="AA1112"/>
      <c r="AD1112"/>
      <c r="AE1112"/>
      <c r="AF1112"/>
      <c r="AH1112"/>
      <c r="AI1112"/>
      <c r="AJ1112"/>
      <c r="AM1112"/>
    </row>
    <row r="1113" spans="3:39" x14ac:dyDescent="0.2">
      <c r="C1113"/>
      <c r="D1113"/>
      <c r="E1113"/>
      <c r="F1113"/>
      <c r="G1113"/>
      <c r="H1113"/>
      <c r="I1113" s="684"/>
      <c r="V1113"/>
      <c r="W1113"/>
      <c r="Y1113"/>
      <c r="Z1113"/>
      <c r="AA1113"/>
      <c r="AD1113"/>
      <c r="AE1113"/>
      <c r="AF1113"/>
      <c r="AH1113"/>
      <c r="AI1113"/>
      <c r="AJ1113"/>
      <c r="AM1113"/>
    </row>
    <row r="1114" spans="3:39" x14ac:dyDescent="0.2">
      <c r="C1114"/>
      <c r="D1114"/>
      <c r="E1114"/>
      <c r="F1114"/>
      <c r="G1114"/>
      <c r="H1114"/>
      <c r="I1114" s="684"/>
      <c r="V1114"/>
      <c r="W1114"/>
      <c r="Y1114"/>
      <c r="Z1114"/>
      <c r="AA1114"/>
      <c r="AD1114"/>
      <c r="AE1114"/>
      <c r="AF1114"/>
      <c r="AH1114"/>
      <c r="AI1114"/>
      <c r="AJ1114"/>
      <c r="AM1114"/>
    </row>
    <row r="1115" spans="3:39" x14ac:dyDescent="0.2">
      <c r="C1115"/>
      <c r="D1115"/>
      <c r="E1115"/>
      <c r="F1115"/>
      <c r="G1115"/>
      <c r="H1115"/>
      <c r="I1115" s="684"/>
      <c r="V1115"/>
      <c r="W1115"/>
      <c r="Y1115"/>
      <c r="Z1115"/>
      <c r="AA1115"/>
      <c r="AD1115"/>
      <c r="AE1115"/>
      <c r="AF1115"/>
      <c r="AH1115"/>
      <c r="AI1115"/>
      <c r="AJ1115"/>
      <c r="AM1115"/>
    </row>
    <row r="1116" spans="3:39" x14ac:dyDescent="0.2">
      <c r="C1116"/>
      <c r="D1116"/>
      <c r="E1116"/>
      <c r="F1116"/>
      <c r="G1116"/>
      <c r="H1116"/>
      <c r="I1116" s="684"/>
      <c r="V1116"/>
      <c r="W1116"/>
      <c r="Y1116"/>
      <c r="Z1116"/>
      <c r="AA1116"/>
      <c r="AD1116"/>
      <c r="AE1116"/>
      <c r="AF1116"/>
      <c r="AH1116"/>
      <c r="AI1116"/>
      <c r="AJ1116"/>
      <c r="AM1116"/>
    </row>
    <row r="1117" spans="3:39" x14ac:dyDescent="0.2">
      <c r="C1117"/>
      <c r="D1117"/>
      <c r="E1117"/>
      <c r="F1117"/>
      <c r="G1117"/>
      <c r="H1117"/>
      <c r="I1117" s="684"/>
      <c r="V1117"/>
      <c r="W1117"/>
      <c r="Y1117"/>
      <c r="Z1117"/>
      <c r="AA1117"/>
      <c r="AD1117"/>
      <c r="AE1117"/>
      <c r="AF1117"/>
      <c r="AH1117"/>
      <c r="AI1117"/>
      <c r="AJ1117"/>
      <c r="AM1117"/>
    </row>
    <row r="1118" spans="3:39" x14ac:dyDescent="0.2">
      <c r="C1118"/>
      <c r="D1118"/>
      <c r="E1118"/>
      <c r="F1118"/>
      <c r="G1118"/>
      <c r="H1118"/>
      <c r="I1118" s="684"/>
      <c r="V1118"/>
      <c r="W1118"/>
      <c r="Y1118"/>
      <c r="Z1118"/>
      <c r="AA1118"/>
      <c r="AD1118"/>
      <c r="AE1118"/>
      <c r="AF1118"/>
      <c r="AH1118"/>
      <c r="AI1118"/>
      <c r="AJ1118"/>
      <c r="AM1118"/>
    </row>
    <row r="1119" spans="3:39" x14ac:dyDescent="0.2">
      <c r="C1119"/>
      <c r="D1119"/>
      <c r="E1119"/>
      <c r="F1119"/>
      <c r="G1119"/>
      <c r="H1119"/>
      <c r="I1119" s="684"/>
      <c r="V1119"/>
      <c r="W1119"/>
      <c r="Y1119"/>
      <c r="Z1119"/>
      <c r="AA1119"/>
      <c r="AD1119"/>
      <c r="AE1119"/>
      <c r="AF1119"/>
      <c r="AH1119"/>
      <c r="AI1119"/>
      <c r="AJ1119"/>
      <c r="AM1119"/>
    </row>
    <row r="1120" spans="3:39" x14ac:dyDescent="0.2">
      <c r="C1120"/>
      <c r="D1120"/>
      <c r="E1120"/>
      <c r="F1120"/>
      <c r="G1120"/>
      <c r="H1120"/>
      <c r="I1120" s="684"/>
      <c r="V1120"/>
      <c r="W1120"/>
      <c r="Y1120"/>
      <c r="Z1120"/>
      <c r="AA1120"/>
      <c r="AD1120"/>
      <c r="AE1120"/>
      <c r="AF1120"/>
      <c r="AH1120"/>
      <c r="AI1120"/>
      <c r="AJ1120"/>
      <c r="AM1120"/>
    </row>
    <row r="1121" spans="3:39" x14ac:dyDescent="0.2">
      <c r="C1121"/>
      <c r="D1121"/>
      <c r="E1121"/>
      <c r="F1121"/>
      <c r="G1121"/>
      <c r="H1121"/>
      <c r="I1121" s="684"/>
      <c r="V1121"/>
      <c r="W1121"/>
      <c r="Y1121"/>
      <c r="Z1121"/>
      <c r="AA1121"/>
      <c r="AD1121"/>
      <c r="AE1121"/>
      <c r="AF1121"/>
      <c r="AH1121"/>
      <c r="AI1121"/>
      <c r="AJ1121"/>
      <c r="AM1121"/>
    </row>
    <row r="1122" spans="3:39" x14ac:dyDescent="0.2">
      <c r="C1122"/>
      <c r="D1122"/>
      <c r="E1122"/>
      <c r="F1122"/>
      <c r="G1122"/>
      <c r="H1122"/>
      <c r="I1122" s="684"/>
      <c r="V1122"/>
      <c r="W1122"/>
      <c r="Y1122"/>
      <c r="Z1122"/>
      <c r="AA1122"/>
      <c r="AD1122"/>
      <c r="AE1122"/>
      <c r="AF1122"/>
      <c r="AH1122"/>
      <c r="AI1122"/>
      <c r="AJ1122"/>
      <c r="AM1122"/>
    </row>
    <row r="1123" spans="3:39" x14ac:dyDescent="0.2">
      <c r="C1123"/>
      <c r="D1123"/>
      <c r="E1123"/>
      <c r="F1123"/>
      <c r="G1123"/>
      <c r="H1123"/>
      <c r="I1123" s="684"/>
      <c r="V1123"/>
      <c r="W1123"/>
      <c r="Y1123"/>
      <c r="Z1123"/>
      <c r="AA1123"/>
      <c r="AD1123"/>
      <c r="AE1123"/>
      <c r="AF1123"/>
      <c r="AH1123"/>
      <c r="AI1123"/>
      <c r="AJ1123"/>
      <c r="AM1123"/>
    </row>
    <row r="1124" spans="3:39" x14ac:dyDescent="0.2">
      <c r="C1124"/>
      <c r="D1124"/>
      <c r="E1124"/>
      <c r="F1124"/>
      <c r="G1124"/>
      <c r="H1124"/>
      <c r="I1124" s="684"/>
      <c r="V1124"/>
      <c r="W1124"/>
      <c r="Y1124"/>
      <c r="Z1124"/>
      <c r="AA1124"/>
      <c r="AD1124"/>
      <c r="AE1124"/>
      <c r="AF1124"/>
      <c r="AH1124"/>
      <c r="AI1124"/>
      <c r="AJ1124"/>
      <c r="AM1124"/>
    </row>
    <row r="1125" spans="3:39" x14ac:dyDescent="0.2">
      <c r="C1125"/>
      <c r="D1125"/>
      <c r="E1125"/>
      <c r="F1125"/>
      <c r="G1125"/>
      <c r="H1125"/>
      <c r="I1125" s="684"/>
      <c r="V1125"/>
      <c r="W1125"/>
      <c r="Y1125"/>
      <c r="Z1125"/>
      <c r="AA1125"/>
      <c r="AD1125"/>
      <c r="AE1125"/>
      <c r="AF1125"/>
      <c r="AH1125"/>
      <c r="AI1125"/>
      <c r="AJ1125"/>
      <c r="AM1125"/>
    </row>
    <row r="1126" spans="3:39" x14ac:dyDescent="0.2">
      <c r="C1126"/>
      <c r="D1126"/>
      <c r="E1126"/>
      <c r="F1126"/>
      <c r="G1126"/>
      <c r="H1126"/>
      <c r="I1126" s="684"/>
      <c r="V1126"/>
      <c r="W1126"/>
      <c r="Y1126"/>
      <c r="Z1126"/>
      <c r="AA1126"/>
      <c r="AD1126"/>
      <c r="AE1126"/>
      <c r="AF1126"/>
      <c r="AH1126"/>
      <c r="AI1126"/>
      <c r="AJ1126"/>
      <c r="AM1126"/>
    </row>
    <row r="1127" spans="3:39" x14ac:dyDescent="0.2">
      <c r="C1127"/>
      <c r="D1127"/>
      <c r="E1127"/>
      <c r="F1127"/>
      <c r="G1127"/>
      <c r="H1127"/>
      <c r="I1127" s="684"/>
      <c r="V1127"/>
      <c r="W1127"/>
      <c r="Y1127"/>
      <c r="Z1127"/>
      <c r="AA1127"/>
      <c r="AD1127"/>
      <c r="AE1127"/>
      <c r="AF1127"/>
      <c r="AH1127"/>
      <c r="AI1127"/>
      <c r="AJ1127"/>
      <c r="AM1127"/>
    </row>
    <row r="1128" spans="3:39" x14ac:dyDescent="0.2">
      <c r="C1128"/>
      <c r="D1128"/>
      <c r="E1128"/>
      <c r="F1128"/>
      <c r="G1128"/>
      <c r="H1128"/>
      <c r="I1128" s="684"/>
      <c r="V1128"/>
      <c r="W1128"/>
      <c r="Y1128"/>
      <c r="Z1128"/>
      <c r="AA1128"/>
      <c r="AD1128"/>
      <c r="AE1128"/>
      <c r="AF1128"/>
      <c r="AH1128"/>
      <c r="AI1128"/>
      <c r="AJ1128"/>
      <c r="AM1128"/>
    </row>
    <row r="1129" spans="3:39" x14ac:dyDescent="0.2">
      <c r="C1129"/>
      <c r="D1129"/>
      <c r="E1129"/>
      <c r="F1129"/>
      <c r="G1129"/>
      <c r="H1129"/>
      <c r="I1129" s="684"/>
      <c r="V1129"/>
      <c r="W1129"/>
      <c r="Y1129"/>
      <c r="Z1129"/>
      <c r="AA1129"/>
      <c r="AD1129"/>
      <c r="AE1129"/>
      <c r="AF1129"/>
      <c r="AH1129"/>
      <c r="AI1129"/>
      <c r="AJ1129"/>
      <c r="AM1129"/>
    </row>
    <row r="1130" spans="3:39" x14ac:dyDescent="0.2">
      <c r="C1130"/>
      <c r="D1130"/>
      <c r="E1130"/>
      <c r="F1130"/>
      <c r="G1130"/>
      <c r="H1130"/>
      <c r="I1130" s="684"/>
      <c r="V1130"/>
      <c r="W1130"/>
      <c r="Y1130"/>
      <c r="Z1130"/>
      <c r="AA1130"/>
      <c r="AD1130"/>
      <c r="AE1130"/>
      <c r="AF1130"/>
      <c r="AH1130"/>
      <c r="AI1130"/>
      <c r="AJ1130"/>
      <c r="AM1130"/>
    </row>
    <row r="1131" spans="3:39" x14ac:dyDescent="0.2">
      <c r="C1131"/>
      <c r="D1131"/>
      <c r="E1131"/>
      <c r="F1131"/>
      <c r="G1131"/>
      <c r="H1131"/>
      <c r="I1131" s="684"/>
      <c r="V1131"/>
      <c r="W1131"/>
      <c r="Y1131"/>
      <c r="Z1131"/>
      <c r="AA1131"/>
      <c r="AD1131"/>
      <c r="AE1131"/>
      <c r="AF1131"/>
      <c r="AH1131"/>
      <c r="AI1131"/>
      <c r="AJ1131"/>
      <c r="AM1131"/>
    </row>
    <row r="1132" spans="3:39" x14ac:dyDescent="0.2">
      <c r="C1132"/>
      <c r="D1132"/>
      <c r="E1132"/>
      <c r="F1132"/>
      <c r="G1132"/>
      <c r="H1132"/>
      <c r="I1132" s="684"/>
      <c r="V1132"/>
      <c r="W1132"/>
      <c r="Y1132"/>
      <c r="Z1132"/>
      <c r="AA1132"/>
      <c r="AD1132"/>
      <c r="AE1132"/>
      <c r="AF1132"/>
      <c r="AH1132"/>
      <c r="AI1132"/>
      <c r="AJ1132"/>
      <c r="AM1132"/>
    </row>
    <row r="1133" spans="3:39" x14ac:dyDescent="0.2">
      <c r="C1133"/>
      <c r="D1133"/>
      <c r="E1133"/>
      <c r="F1133"/>
      <c r="G1133"/>
      <c r="H1133"/>
      <c r="I1133" s="684"/>
      <c r="V1133"/>
      <c r="W1133"/>
      <c r="Y1133"/>
      <c r="Z1133"/>
      <c r="AA1133"/>
      <c r="AD1133"/>
      <c r="AE1133"/>
      <c r="AF1133"/>
      <c r="AH1133"/>
      <c r="AI1133"/>
      <c r="AJ1133"/>
      <c r="AM1133"/>
    </row>
    <row r="1134" spans="3:39" x14ac:dyDescent="0.2">
      <c r="C1134"/>
      <c r="D1134"/>
      <c r="E1134"/>
      <c r="F1134"/>
      <c r="G1134"/>
      <c r="H1134"/>
      <c r="I1134" s="684"/>
      <c r="V1134"/>
      <c r="W1134"/>
      <c r="Y1134"/>
      <c r="Z1134"/>
      <c r="AA1134"/>
      <c r="AD1134"/>
      <c r="AE1134"/>
      <c r="AF1134"/>
      <c r="AH1134"/>
      <c r="AI1134"/>
      <c r="AJ1134"/>
      <c r="AM1134"/>
    </row>
    <row r="1135" spans="3:39" x14ac:dyDescent="0.2">
      <c r="C1135"/>
      <c r="D1135"/>
      <c r="E1135"/>
      <c r="F1135"/>
      <c r="G1135"/>
      <c r="H1135"/>
      <c r="I1135" s="684"/>
      <c r="V1135"/>
      <c r="W1135"/>
      <c r="Y1135"/>
      <c r="Z1135"/>
      <c r="AA1135"/>
      <c r="AD1135"/>
      <c r="AE1135"/>
      <c r="AF1135"/>
      <c r="AH1135"/>
      <c r="AI1135"/>
      <c r="AJ1135"/>
      <c r="AM1135"/>
    </row>
    <row r="1136" spans="3:39" x14ac:dyDescent="0.2">
      <c r="C1136"/>
      <c r="D1136"/>
      <c r="E1136"/>
      <c r="F1136"/>
      <c r="G1136"/>
      <c r="H1136"/>
      <c r="I1136" s="684"/>
      <c r="V1136"/>
      <c r="W1136"/>
      <c r="Y1136"/>
      <c r="Z1136"/>
      <c r="AA1136"/>
      <c r="AD1136"/>
      <c r="AE1136"/>
      <c r="AF1136"/>
      <c r="AH1136"/>
      <c r="AI1136"/>
      <c r="AJ1136"/>
      <c r="AM1136"/>
    </row>
    <row r="1137" spans="3:39" x14ac:dyDescent="0.2">
      <c r="C1137"/>
      <c r="D1137"/>
      <c r="E1137"/>
      <c r="F1137"/>
      <c r="G1137"/>
      <c r="H1137"/>
      <c r="I1137" s="684"/>
      <c r="V1137"/>
      <c r="W1137"/>
      <c r="Y1137"/>
      <c r="Z1137"/>
      <c r="AA1137"/>
      <c r="AD1137"/>
      <c r="AE1137"/>
      <c r="AF1137"/>
      <c r="AH1137"/>
      <c r="AI1137"/>
      <c r="AJ1137"/>
      <c r="AM1137"/>
    </row>
    <row r="1138" spans="3:39" x14ac:dyDescent="0.2">
      <c r="C1138"/>
      <c r="D1138"/>
      <c r="E1138"/>
      <c r="F1138"/>
      <c r="G1138"/>
      <c r="H1138"/>
      <c r="I1138" s="684"/>
      <c r="V1138"/>
      <c r="W1138"/>
      <c r="Y1138"/>
      <c r="Z1138"/>
      <c r="AA1138"/>
      <c r="AD1138"/>
      <c r="AE1138"/>
      <c r="AF1138"/>
      <c r="AH1138"/>
      <c r="AI1138"/>
      <c r="AJ1138"/>
      <c r="AM1138"/>
    </row>
    <row r="1139" spans="3:39" x14ac:dyDescent="0.2">
      <c r="C1139"/>
      <c r="D1139"/>
      <c r="E1139"/>
      <c r="F1139"/>
      <c r="G1139"/>
      <c r="H1139"/>
      <c r="I1139" s="684"/>
      <c r="V1139"/>
      <c r="W1139"/>
      <c r="Y1139"/>
      <c r="Z1139"/>
      <c r="AA1139"/>
      <c r="AD1139"/>
      <c r="AE1139"/>
      <c r="AF1139"/>
      <c r="AH1139"/>
      <c r="AI1139"/>
      <c r="AJ1139"/>
      <c r="AM1139"/>
    </row>
    <row r="1140" spans="3:39" x14ac:dyDescent="0.2">
      <c r="C1140"/>
      <c r="D1140"/>
      <c r="E1140"/>
      <c r="F1140"/>
      <c r="G1140"/>
      <c r="H1140"/>
      <c r="I1140" s="684"/>
      <c r="V1140"/>
      <c r="W1140"/>
      <c r="Y1140"/>
      <c r="Z1140"/>
      <c r="AA1140"/>
      <c r="AD1140"/>
      <c r="AE1140"/>
      <c r="AF1140"/>
      <c r="AH1140"/>
      <c r="AI1140"/>
      <c r="AJ1140"/>
      <c r="AM1140"/>
    </row>
    <row r="1141" spans="3:39" x14ac:dyDescent="0.2">
      <c r="C1141"/>
      <c r="D1141"/>
      <c r="E1141"/>
      <c r="F1141"/>
      <c r="G1141"/>
      <c r="H1141"/>
      <c r="I1141" s="684"/>
      <c r="V1141"/>
      <c r="W1141"/>
      <c r="Y1141"/>
      <c r="Z1141"/>
      <c r="AA1141"/>
      <c r="AD1141"/>
      <c r="AE1141"/>
      <c r="AF1141"/>
      <c r="AH1141"/>
      <c r="AI1141"/>
      <c r="AJ1141"/>
      <c r="AM1141"/>
    </row>
    <row r="1142" spans="3:39" x14ac:dyDescent="0.2">
      <c r="C1142"/>
      <c r="D1142"/>
      <c r="E1142"/>
      <c r="F1142"/>
      <c r="G1142"/>
      <c r="H1142"/>
      <c r="I1142" s="684"/>
      <c r="V1142"/>
      <c r="W1142"/>
      <c r="Y1142"/>
      <c r="Z1142"/>
      <c r="AA1142"/>
      <c r="AD1142"/>
      <c r="AE1142"/>
      <c r="AF1142"/>
      <c r="AH1142"/>
      <c r="AI1142"/>
      <c r="AJ1142"/>
      <c r="AM1142"/>
    </row>
    <row r="1143" spans="3:39" x14ac:dyDescent="0.2">
      <c r="C1143"/>
      <c r="D1143"/>
      <c r="E1143"/>
      <c r="F1143"/>
      <c r="G1143"/>
      <c r="H1143"/>
      <c r="I1143" s="684"/>
      <c r="V1143"/>
      <c r="W1143"/>
      <c r="Y1143"/>
      <c r="Z1143"/>
      <c r="AA1143"/>
      <c r="AD1143"/>
      <c r="AE1143"/>
      <c r="AF1143"/>
      <c r="AH1143"/>
      <c r="AI1143"/>
      <c r="AJ1143"/>
      <c r="AM1143"/>
    </row>
    <row r="1144" spans="3:39" x14ac:dyDescent="0.2">
      <c r="C1144"/>
      <c r="D1144"/>
      <c r="E1144"/>
      <c r="F1144"/>
      <c r="G1144"/>
      <c r="H1144"/>
      <c r="I1144" s="684"/>
      <c r="V1144"/>
      <c r="W1144"/>
      <c r="Y1144"/>
      <c r="Z1144"/>
      <c r="AA1144"/>
      <c r="AD1144"/>
      <c r="AE1144"/>
      <c r="AF1144"/>
      <c r="AH1144"/>
      <c r="AI1144"/>
      <c r="AJ1144"/>
      <c r="AM1144"/>
    </row>
    <row r="1145" spans="3:39" x14ac:dyDescent="0.2">
      <c r="C1145"/>
      <c r="D1145"/>
      <c r="E1145"/>
      <c r="F1145"/>
      <c r="G1145"/>
      <c r="H1145"/>
      <c r="I1145" s="684"/>
      <c r="V1145"/>
      <c r="W1145"/>
      <c r="Y1145"/>
      <c r="Z1145"/>
      <c r="AA1145"/>
      <c r="AD1145"/>
      <c r="AE1145"/>
      <c r="AF1145"/>
      <c r="AH1145"/>
      <c r="AI1145"/>
      <c r="AJ1145"/>
      <c r="AM1145"/>
    </row>
    <row r="1146" spans="3:39" x14ac:dyDescent="0.2">
      <c r="C1146"/>
      <c r="D1146"/>
      <c r="E1146"/>
      <c r="F1146"/>
      <c r="G1146"/>
      <c r="H1146"/>
      <c r="I1146" s="684"/>
      <c r="V1146"/>
      <c r="W1146"/>
      <c r="Y1146"/>
      <c r="Z1146"/>
      <c r="AA1146"/>
      <c r="AD1146"/>
      <c r="AE1146"/>
      <c r="AF1146"/>
      <c r="AH1146"/>
      <c r="AI1146"/>
      <c r="AJ1146"/>
      <c r="AM1146"/>
    </row>
    <row r="1147" spans="3:39" x14ac:dyDescent="0.2">
      <c r="C1147"/>
      <c r="D1147"/>
      <c r="E1147"/>
      <c r="F1147"/>
      <c r="G1147"/>
      <c r="H1147"/>
      <c r="I1147" s="684"/>
      <c r="V1147"/>
      <c r="W1147"/>
      <c r="Y1147"/>
      <c r="Z1147"/>
      <c r="AA1147"/>
      <c r="AD1147"/>
      <c r="AE1147"/>
      <c r="AF1147"/>
      <c r="AH1147"/>
      <c r="AI1147"/>
      <c r="AJ1147"/>
      <c r="AM1147"/>
    </row>
    <row r="1148" spans="3:39" x14ac:dyDescent="0.2">
      <c r="C1148"/>
      <c r="D1148"/>
      <c r="E1148"/>
      <c r="F1148"/>
      <c r="G1148"/>
      <c r="H1148"/>
      <c r="I1148" s="684"/>
      <c r="V1148"/>
      <c r="W1148"/>
      <c r="Y1148"/>
      <c r="Z1148"/>
      <c r="AA1148"/>
      <c r="AD1148"/>
      <c r="AE1148"/>
      <c r="AF1148"/>
      <c r="AH1148"/>
      <c r="AI1148"/>
      <c r="AJ1148"/>
      <c r="AM1148"/>
    </row>
    <row r="1149" spans="3:39" x14ac:dyDescent="0.2">
      <c r="C1149"/>
      <c r="D1149"/>
      <c r="E1149"/>
      <c r="F1149"/>
      <c r="G1149"/>
      <c r="H1149"/>
      <c r="I1149" s="684"/>
      <c r="V1149"/>
      <c r="W1149"/>
      <c r="Y1149"/>
      <c r="Z1149"/>
      <c r="AA1149"/>
      <c r="AD1149"/>
      <c r="AE1149"/>
      <c r="AF1149"/>
      <c r="AH1149"/>
      <c r="AI1149"/>
      <c r="AJ1149"/>
      <c r="AM1149"/>
    </row>
    <row r="1150" spans="3:39" x14ac:dyDescent="0.2">
      <c r="C1150"/>
      <c r="D1150"/>
      <c r="E1150"/>
      <c r="F1150"/>
      <c r="G1150"/>
      <c r="H1150"/>
      <c r="I1150" s="684"/>
      <c r="V1150"/>
      <c r="W1150"/>
      <c r="Y1150"/>
      <c r="Z1150"/>
      <c r="AA1150"/>
      <c r="AD1150"/>
      <c r="AE1150"/>
      <c r="AF1150"/>
      <c r="AH1150"/>
      <c r="AI1150"/>
      <c r="AJ1150"/>
      <c r="AM1150"/>
    </row>
    <row r="1151" spans="3:39" x14ac:dyDescent="0.2">
      <c r="C1151"/>
      <c r="D1151"/>
      <c r="E1151"/>
      <c r="F1151"/>
      <c r="G1151"/>
      <c r="H1151"/>
      <c r="I1151" s="684"/>
      <c r="V1151"/>
      <c r="W1151"/>
      <c r="Y1151"/>
      <c r="Z1151"/>
      <c r="AA1151"/>
      <c r="AD1151"/>
      <c r="AE1151"/>
      <c r="AF1151"/>
      <c r="AH1151"/>
      <c r="AI1151"/>
      <c r="AJ1151"/>
      <c r="AM1151"/>
    </row>
    <row r="1152" spans="3:39" x14ac:dyDescent="0.2">
      <c r="C1152"/>
      <c r="D1152"/>
      <c r="E1152"/>
      <c r="F1152"/>
      <c r="G1152"/>
      <c r="H1152"/>
      <c r="I1152" s="684"/>
      <c r="V1152"/>
      <c r="W1152"/>
      <c r="Y1152"/>
      <c r="Z1152"/>
      <c r="AA1152"/>
      <c r="AD1152"/>
      <c r="AE1152"/>
      <c r="AF1152"/>
      <c r="AH1152"/>
      <c r="AI1152"/>
      <c r="AJ1152"/>
      <c r="AM1152"/>
    </row>
    <row r="1153" spans="3:39" x14ac:dyDescent="0.2">
      <c r="C1153"/>
      <c r="D1153"/>
      <c r="E1153"/>
      <c r="F1153"/>
      <c r="G1153"/>
      <c r="H1153"/>
      <c r="I1153" s="684"/>
      <c r="V1153"/>
      <c r="W1153"/>
      <c r="Y1153"/>
      <c r="Z1153"/>
      <c r="AA1153"/>
      <c r="AD1153"/>
      <c r="AE1153"/>
      <c r="AF1153"/>
      <c r="AH1153"/>
      <c r="AI1153"/>
      <c r="AJ1153"/>
      <c r="AM1153"/>
    </row>
    <row r="1154" spans="3:39" x14ac:dyDescent="0.2">
      <c r="C1154"/>
      <c r="D1154"/>
      <c r="E1154"/>
      <c r="F1154"/>
      <c r="G1154"/>
      <c r="H1154"/>
      <c r="I1154" s="684"/>
      <c r="V1154"/>
      <c r="W1154"/>
      <c r="Y1154"/>
      <c r="Z1154"/>
      <c r="AA1154"/>
      <c r="AD1154"/>
      <c r="AE1154"/>
      <c r="AF1154"/>
      <c r="AH1154"/>
      <c r="AI1154"/>
      <c r="AJ1154"/>
      <c r="AM1154"/>
    </row>
    <row r="1155" spans="3:39" x14ac:dyDescent="0.2">
      <c r="C1155"/>
      <c r="D1155"/>
      <c r="E1155"/>
      <c r="F1155"/>
      <c r="G1155"/>
      <c r="H1155"/>
      <c r="I1155" s="684"/>
      <c r="V1155"/>
      <c r="W1155"/>
      <c r="Y1155"/>
      <c r="Z1155"/>
      <c r="AA1155"/>
      <c r="AD1155"/>
      <c r="AE1155"/>
      <c r="AF1155"/>
      <c r="AH1155"/>
      <c r="AI1155"/>
      <c r="AJ1155"/>
      <c r="AM1155"/>
    </row>
    <row r="1156" spans="3:39" x14ac:dyDescent="0.2">
      <c r="C1156"/>
      <c r="D1156"/>
      <c r="E1156"/>
      <c r="F1156"/>
      <c r="G1156"/>
      <c r="H1156"/>
      <c r="I1156" s="684"/>
      <c r="V1156"/>
      <c r="W1156"/>
      <c r="Y1156"/>
      <c r="Z1156"/>
      <c r="AA1156"/>
      <c r="AD1156"/>
      <c r="AE1156"/>
      <c r="AF1156"/>
      <c r="AH1156"/>
      <c r="AI1156"/>
      <c r="AJ1156"/>
      <c r="AM1156"/>
    </row>
    <row r="1157" spans="3:39" x14ac:dyDescent="0.2">
      <c r="C1157"/>
      <c r="D1157"/>
      <c r="E1157"/>
      <c r="F1157"/>
      <c r="G1157"/>
      <c r="H1157"/>
      <c r="I1157" s="684"/>
      <c r="V1157"/>
      <c r="W1157"/>
      <c r="Y1157"/>
      <c r="Z1157"/>
      <c r="AA1157"/>
      <c r="AD1157"/>
      <c r="AE1157"/>
      <c r="AF1157"/>
      <c r="AH1157"/>
      <c r="AI1157"/>
      <c r="AJ1157"/>
      <c r="AM1157"/>
    </row>
    <row r="1158" spans="3:39" x14ac:dyDescent="0.2">
      <c r="C1158"/>
      <c r="D1158"/>
      <c r="E1158"/>
      <c r="F1158"/>
      <c r="G1158"/>
      <c r="H1158"/>
      <c r="I1158" s="684"/>
      <c r="V1158"/>
      <c r="W1158"/>
      <c r="Y1158"/>
      <c r="Z1158"/>
      <c r="AA1158"/>
      <c r="AD1158"/>
      <c r="AE1158"/>
      <c r="AF1158"/>
      <c r="AH1158"/>
      <c r="AI1158"/>
      <c r="AJ1158"/>
      <c r="AM1158"/>
    </row>
    <row r="1159" spans="3:39" x14ac:dyDescent="0.2">
      <c r="C1159"/>
      <c r="D1159"/>
      <c r="E1159"/>
      <c r="F1159"/>
      <c r="G1159"/>
      <c r="H1159"/>
      <c r="I1159" s="684"/>
      <c r="V1159"/>
      <c r="W1159"/>
      <c r="Y1159"/>
      <c r="Z1159"/>
      <c r="AA1159"/>
      <c r="AD1159"/>
      <c r="AE1159"/>
      <c r="AF1159"/>
      <c r="AH1159"/>
      <c r="AI1159"/>
      <c r="AJ1159"/>
      <c r="AM1159"/>
    </row>
    <row r="1160" spans="3:39" x14ac:dyDescent="0.2">
      <c r="C1160"/>
      <c r="D1160"/>
      <c r="E1160"/>
      <c r="F1160"/>
      <c r="G1160"/>
      <c r="H1160"/>
      <c r="I1160" s="684"/>
      <c r="V1160"/>
      <c r="W1160"/>
      <c r="Y1160"/>
      <c r="Z1160"/>
      <c r="AA1160"/>
      <c r="AD1160"/>
      <c r="AE1160"/>
      <c r="AF1160"/>
      <c r="AH1160"/>
      <c r="AI1160"/>
      <c r="AJ1160"/>
      <c r="AM1160"/>
    </row>
    <row r="1161" spans="3:39" x14ac:dyDescent="0.2">
      <c r="C1161"/>
      <c r="D1161"/>
      <c r="E1161"/>
      <c r="F1161"/>
      <c r="G1161"/>
      <c r="H1161"/>
      <c r="I1161" s="684"/>
      <c r="V1161"/>
      <c r="W1161"/>
      <c r="Y1161"/>
      <c r="Z1161"/>
      <c r="AA1161"/>
      <c r="AD1161"/>
      <c r="AE1161"/>
      <c r="AF1161"/>
      <c r="AH1161"/>
      <c r="AI1161"/>
      <c r="AJ1161"/>
      <c r="AM1161"/>
    </row>
    <row r="1162" spans="3:39" x14ac:dyDescent="0.2">
      <c r="C1162"/>
      <c r="D1162"/>
      <c r="E1162"/>
      <c r="F1162"/>
      <c r="G1162"/>
      <c r="H1162"/>
      <c r="I1162" s="684"/>
      <c r="V1162"/>
      <c r="W1162"/>
      <c r="Y1162"/>
      <c r="Z1162"/>
      <c r="AA1162"/>
      <c r="AD1162"/>
      <c r="AE1162"/>
      <c r="AF1162"/>
      <c r="AH1162"/>
      <c r="AI1162"/>
      <c r="AJ1162"/>
      <c r="AM1162"/>
    </row>
    <row r="1163" spans="3:39" x14ac:dyDescent="0.2">
      <c r="C1163"/>
      <c r="D1163"/>
      <c r="E1163"/>
      <c r="F1163"/>
      <c r="G1163"/>
      <c r="H1163"/>
      <c r="I1163" s="684"/>
      <c r="V1163"/>
      <c r="W1163"/>
      <c r="Y1163"/>
      <c r="Z1163"/>
      <c r="AA1163"/>
      <c r="AD1163"/>
      <c r="AE1163"/>
      <c r="AF1163"/>
      <c r="AH1163"/>
      <c r="AI1163"/>
      <c r="AJ1163"/>
      <c r="AM1163"/>
    </row>
    <row r="1164" spans="3:39" x14ac:dyDescent="0.2">
      <c r="C1164"/>
      <c r="D1164"/>
      <c r="E1164"/>
      <c r="F1164"/>
      <c r="G1164"/>
      <c r="H1164"/>
      <c r="I1164" s="684"/>
      <c r="V1164"/>
      <c r="W1164"/>
      <c r="Y1164"/>
      <c r="Z1164"/>
      <c r="AA1164"/>
      <c r="AD1164"/>
      <c r="AE1164"/>
      <c r="AF1164"/>
      <c r="AH1164"/>
      <c r="AI1164"/>
      <c r="AJ1164"/>
      <c r="AM1164"/>
    </row>
    <row r="1165" spans="3:39" x14ac:dyDescent="0.2">
      <c r="C1165"/>
      <c r="D1165"/>
      <c r="E1165"/>
      <c r="F1165"/>
      <c r="G1165"/>
      <c r="H1165"/>
      <c r="I1165" s="684"/>
      <c r="V1165"/>
      <c r="W1165"/>
      <c r="Y1165"/>
      <c r="Z1165"/>
      <c r="AA1165"/>
      <c r="AD1165"/>
      <c r="AE1165"/>
      <c r="AF1165"/>
      <c r="AH1165"/>
      <c r="AI1165"/>
      <c r="AJ1165"/>
      <c r="AM1165"/>
    </row>
    <row r="1166" spans="3:39" x14ac:dyDescent="0.2">
      <c r="C1166"/>
      <c r="D1166"/>
      <c r="E1166"/>
      <c r="F1166"/>
      <c r="G1166"/>
      <c r="H1166"/>
      <c r="I1166" s="684"/>
      <c r="V1166"/>
      <c r="W1166"/>
      <c r="Y1166"/>
      <c r="Z1166"/>
      <c r="AA1166"/>
      <c r="AD1166"/>
      <c r="AE1166"/>
      <c r="AF1166"/>
      <c r="AH1166"/>
      <c r="AI1166"/>
      <c r="AJ1166"/>
      <c r="AM1166"/>
    </row>
    <row r="1167" spans="3:39" x14ac:dyDescent="0.2">
      <c r="C1167"/>
      <c r="D1167"/>
      <c r="E1167"/>
      <c r="F1167"/>
      <c r="G1167"/>
      <c r="H1167"/>
      <c r="I1167" s="684"/>
      <c r="V1167"/>
      <c r="W1167"/>
      <c r="Y1167"/>
      <c r="Z1167"/>
      <c r="AA1167"/>
      <c r="AD1167"/>
      <c r="AE1167"/>
      <c r="AF1167"/>
      <c r="AH1167"/>
      <c r="AI1167"/>
      <c r="AJ1167"/>
      <c r="AM1167"/>
    </row>
    <row r="1168" spans="3:39" x14ac:dyDescent="0.2">
      <c r="C1168"/>
      <c r="D1168"/>
      <c r="E1168"/>
      <c r="F1168"/>
      <c r="G1168"/>
      <c r="H1168"/>
      <c r="I1168" s="684"/>
      <c r="V1168"/>
      <c r="W1168"/>
      <c r="Y1168"/>
      <c r="Z1168"/>
      <c r="AA1168"/>
      <c r="AD1168"/>
      <c r="AE1168"/>
      <c r="AF1168"/>
      <c r="AH1168"/>
      <c r="AI1168"/>
      <c r="AJ1168"/>
      <c r="AM1168"/>
    </row>
    <row r="1169" spans="3:39" x14ac:dyDescent="0.2">
      <c r="C1169"/>
      <c r="D1169"/>
      <c r="E1169"/>
      <c r="F1169"/>
      <c r="G1169"/>
      <c r="H1169"/>
      <c r="I1169" s="684"/>
      <c r="V1169"/>
      <c r="W1169"/>
      <c r="Y1169"/>
      <c r="Z1169"/>
      <c r="AA1169"/>
      <c r="AD1169"/>
      <c r="AE1169"/>
      <c r="AF1169"/>
      <c r="AH1169"/>
      <c r="AI1169"/>
      <c r="AJ1169"/>
      <c r="AM1169"/>
    </row>
    <row r="1170" spans="3:39" x14ac:dyDescent="0.2">
      <c r="C1170"/>
      <c r="D1170"/>
      <c r="E1170"/>
      <c r="F1170"/>
      <c r="G1170"/>
      <c r="H1170"/>
      <c r="I1170" s="684"/>
      <c r="V1170"/>
      <c r="W1170"/>
      <c r="Y1170"/>
      <c r="Z1170"/>
      <c r="AA1170"/>
      <c r="AD1170"/>
      <c r="AE1170"/>
      <c r="AF1170"/>
      <c r="AH1170"/>
      <c r="AI1170"/>
      <c r="AJ1170"/>
      <c r="AM1170"/>
    </row>
    <row r="1171" spans="3:39" x14ac:dyDescent="0.2">
      <c r="C1171"/>
      <c r="D1171"/>
      <c r="E1171"/>
      <c r="F1171"/>
      <c r="G1171"/>
      <c r="H1171"/>
      <c r="I1171" s="684"/>
      <c r="V1171"/>
      <c r="W1171"/>
      <c r="Y1171"/>
      <c r="Z1171"/>
      <c r="AA1171"/>
      <c r="AD1171"/>
      <c r="AE1171"/>
      <c r="AF1171"/>
      <c r="AH1171"/>
      <c r="AI1171"/>
      <c r="AJ1171"/>
      <c r="AM1171"/>
    </row>
    <row r="1172" spans="3:39" x14ac:dyDescent="0.2">
      <c r="C1172"/>
      <c r="D1172"/>
      <c r="E1172"/>
      <c r="F1172"/>
      <c r="G1172"/>
      <c r="H1172"/>
      <c r="I1172" s="684"/>
      <c r="V1172"/>
      <c r="W1172"/>
      <c r="Y1172"/>
      <c r="Z1172"/>
      <c r="AA1172"/>
      <c r="AD1172"/>
      <c r="AE1172"/>
      <c r="AF1172"/>
      <c r="AH1172"/>
      <c r="AI1172"/>
      <c r="AJ1172"/>
      <c r="AM1172"/>
    </row>
    <row r="1173" spans="3:39" x14ac:dyDescent="0.2">
      <c r="C1173"/>
      <c r="D1173"/>
      <c r="E1173"/>
      <c r="F1173"/>
      <c r="G1173"/>
      <c r="H1173"/>
      <c r="I1173" s="684"/>
      <c r="V1173"/>
      <c r="W1173"/>
      <c r="Y1173"/>
      <c r="Z1173"/>
      <c r="AA1173"/>
      <c r="AD1173"/>
      <c r="AE1173"/>
      <c r="AF1173"/>
      <c r="AH1173"/>
      <c r="AI1173"/>
      <c r="AJ1173"/>
      <c r="AM1173"/>
    </row>
    <row r="1174" spans="3:39" x14ac:dyDescent="0.2">
      <c r="C1174"/>
      <c r="D1174"/>
      <c r="E1174"/>
      <c r="F1174"/>
      <c r="G1174"/>
      <c r="H1174"/>
      <c r="I1174" s="684"/>
      <c r="V1174"/>
      <c r="W1174"/>
      <c r="Y1174"/>
      <c r="Z1174"/>
      <c r="AA1174"/>
      <c r="AD1174"/>
      <c r="AE1174"/>
      <c r="AF1174"/>
      <c r="AH1174"/>
      <c r="AI1174"/>
      <c r="AJ1174"/>
      <c r="AM1174"/>
    </row>
    <row r="1175" spans="3:39" x14ac:dyDescent="0.2">
      <c r="C1175"/>
      <c r="D1175"/>
      <c r="E1175"/>
      <c r="F1175"/>
      <c r="G1175"/>
      <c r="H1175"/>
      <c r="I1175" s="684"/>
      <c r="V1175"/>
      <c r="W1175"/>
      <c r="Y1175"/>
      <c r="Z1175"/>
      <c r="AA1175"/>
      <c r="AD1175"/>
      <c r="AE1175"/>
      <c r="AF1175"/>
      <c r="AH1175"/>
      <c r="AI1175"/>
      <c r="AJ1175"/>
      <c r="AM1175"/>
    </row>
    <row r="1176" spans="3:39" x14ac:dyDescent="0.2">
      <c r="C1176"/>
      <c r="D1176"/>
      <c r="E1176"/>
      <c r="F1176"/>
      <c r="G1176"/>
      <c r="H1176"/>
      <c r="I1176" s="684"/>
      <c r="V1176"/>
      <c r="W1176"/>
      <c r="Y1176"/>
      <c r="Z1176"/>
      <c r="AA1176"/>
      <c r="AD1176"/>
      <c r="AE1176"/>
      <c r="AF1176"/>
      <c r="AH1176"/>
      <c r="AI1176"/>
      <c r="AJ1176"/>
      <c r="AM1176"/>
    </row>
    <row r="1177" spans="3:39" x14ac:dyDescent="0.2">
      <c r="C1177"/>
      <c r="D1177"/>
      <c r="E1177"/>
      <c r="F1177"/>
      <c r="G1177"/>
      <c r="H1177"/>
      <c r="I1177" s="684"/>
      <c r="V1177"/>
      <c r="W1177"/>
      <c r="Y1177"/>
      <c r="Z1177"/>
      <c r="AA1177"/>
      <c r="AD1177"/>
      <c r="AE1177"/>
      <c r="AF1177"/>
      <c r="AH1177"/>
      <c r="AI1177"/>
      <c r="AJ1177"/>
      <c r="AM1177"/>
    </row>
    <row r="1178" spans="3:39" x14ac:dyDescent="0.2">
      <c r="C1178"/>
      <c r="D1178"/>
      <c r="E1178"/>
      <c r="F1178"/>
      <c r="G1178"/>
      <c r="H1178"/>
      <c r="I1178" s="684"/>
      <c r="V1178"/>
      <c r="W1178"/>
      <c r="Y1178"/>
      <c r="Z1178"/>
      <c r="AA1178"/>
      <c r="AD1178"/>
      <c r="AE1178"/>
      <c r="AF1178"/>
      <c r="AH1178"/>
      <c r="AI1178"/>
      <c r="AJ1178"/>
      <c r="AM1178"/>
    </row>
    <row r="1179" spans="3:39" x14ac:dyDescent="0.2">
      <c r="C1179"/>
      <c r="D1179"/>
      <c r="E1179"/>
      <c r="F1179"/>
      <c r="G1179"/>
      <c r="H1179"/>
      <c r="I1179" s="684"/>
      <c r="V1179"/>
      <c r="W1179"/>
      <c r="Y1179"/>
      <c r="Z1179"/>
      <c r="AA1179"/>
      <c r="AD1179"/>
      <c r="AE1179"/>
      <c r="AF1179"/>
      <c r="AH1179"/>
      <c r="AI1179"/>
      <c r="AJ1179"/>
      <c r="AM1179"/>
    </row>
    <row r="1180" spans="3:39" x14ac:dyDescent="0.2">
      <c r="C1180"/>
      <c r="D1180"/>
      <c r="E1180"/>
      <c r="F1180"/>
      <c r="G1180"/>
      <c r="H1180"/>
      <c r="I1180" s="684"/>
      <c r="V1180"/>
      <c r="W1180"/>
      <c r="Y1180"/>
      <c r="Z1180"/>
      <c r="AA1180"/>
      <c r="AD1180"/>
      <c r="AE1180"/>
      <c r="AF1180"/>
      <c r="AH1180"/>
      <c r="AI1180"/>
      <c r="AJ1180"/>
      <c r="AM1180"/>
    </row>
    <row r="1181" spans="3:39" x14ac:dyDescent="0.2">
      <c r="C1181"/>
      <c r="D1181"/>
      <c r="E1181"/>
      <c r="F1181"/>
      <c r="G1181"/>
      <c r="H1181"/>
      <c r="I1181" s="684"/>
      <c r="V1181"/>
      <c r="W1181"/>
      <c r="Y1181"/>
      <c r="Z1181"/>
      <c r="AA1181"/>
      <c r="AD1181"/>
      <c r="AE1181"/>
      <c r="AF1181"/>
      <c r="AH1181"/>
      <c r="AI1181"/>
      <c r="AJ1181"/>
      <c r="AM1181"/>
    </row>
    <row r="1182" spans="3:39" x14ac:dyDescent="0.2">
      <c r="C1182"/>
      <c r="D1182"/>
      <c r="E1182"/>
      <c r="F1182"/>
      <c r="G1182"/>
      <c r="H1182"/>
      <c r="I1182" s="684"/>
      <c r="V1182"/>
      <c r="W1182"/>
      <c r="Y1182"/>
      <c r="Z1182"/>
      <c r="AA1182"/>
      <c r="AD1182"/>
      <c r="AE1182"/>
      <c r="AF1182"/>
      <c r="AH1182"/>
      <c r="AI1182"/>
      <c r="AJ1182"/>
      <c r="AM1182"/>
    </row>
    <row r="1183" spans="3:39" x14ac:dyDescent="0.2">
      <c r="C1183"/>
      <c r="D1183"/>
      <c r="E1183"/>
      <c r="F1183"/>
      <c r="G1183"/>
      <c r="H1183"/>
      <c r="I1183" s="684"/>
      <c r="V1183"/>
      <c r="W1183"/>
      <c r="Y1183"/>
      <c r="Z1183"/>
      <c r="AA1183"/>
      <c r="AD1183"/>
      <c r="AE1183"/>
      <c r="AF1183"/>
      <c r="AH1183"/>
      <c r="AI1183"/>
      <c r="AJ1183"/>
      <c r="AM1183"/>
    </row>
    <row r="1184" spans="3:39" x14ac:dyDescent="0.2">
      <c r="C1184"/>
      <c r="D1184"/>
      <c r="E1184"/>
      <c r="F1184"/>
      <c r="G1184"/>
      <c r="H1184"/>
      <c r="I1184" s="684"/>
      <c r="V1184"/>
      <c r="W1184"/>
      <c r="Y1184"/>
      <c r="Z1184"/>
      <c r="AA1184"/>
      <c r="AD1184"/>
      <c r="AE1184"/>
      <c r="AF1184"/>
      <c r="AH1184"/>
      <c r="AI1184"/>
      <c r="AJ1184"/>
      <c r="AM1184"/>
    </row>
    <row r="1185" spans="3:39" x14ac:dyDescent="0.2">
      <c r="C1185"/>
      <c r="D1185"/>
      <c r="E1185"/>
      <c r="F1185"/>
      <c r="G1185"/>
      <c r="H1185"/>
      <c r="I1185" s="684"/>
      <c r="V1185"/>
      <c r="W1185"/>
      <c r="Y1185"/>
      <c r="Z1185"/>
      <c r="AA1185"/>
      <c r="AD1185"/>
      <c r="AE1185"/>
      <c r="AF1185"/>
      <c r="AH1185"/>
      <c r="AI1185"/>
      <c r="AJ1185"/>
      <c r="AM1185"/>
    </row>
    <row r="1186" spans="3:39" x14ac:dyDescent="0.2">
      <c r="C1186"/>
      <c r="D1186"/>
      <c r="E1186"/>
      <c r="F1186"/>
      <c r="G1186"/>
      <c r="H1186"/>
      <c r="I1186" s="684"/>
      <c r="V1186"/>
      <c r="W1186"/>
      <c r="Y1186"/>
      <c r="Z1186"/>
      <c r="AA1186"/>
      <c r="AD1186"/>
      <c r="AE1186"/>
      <c r="AF1186"/>
      <c r="AH1186"/>
      <c r="AI1186"/>
      <c r="AJ1186"/>
      <c r="AM1186"/>
    </row>
    <row r="1187" spans="3:39" x14ac:dyDescent="0.2">
      <c r="C1187"/>
      <c r="D1187"/>
      <c r="E1187"/>
      <c r="F1187"/>
      <c r="G1187"/>
      <c r="H1187"/>
      <c r="I1187" s="684"/>
      <c r="V1187"/>
      <c r="W1187"/>
      <c r="Y1187"/>
      <c r="Z1187"/>
      <c r="AA1187"/>
      <c r="AD1187"/>
      <c r="AE1187"/>
      <c r="AF1187"/>
      <c r="AH1187"/>
      <c r="AI1187"/>
      <c r="AJ1187"/>
      <c r="AM1187"/>
    </row>
    <row r="1188" spans="3:39" x14ac:dyDescent="0.2">
      <c r="C1188"/>
      <c r="D1188"/>
      <c r="E1188"/>
      <c r="F1188"/>
      <c r="G1188"/>
      <c r="H1188"/>
      <c r="I1188" s="684"/>
      <c r="V1188"/>
      <c r="W1188"/>
      <c r="Y1188"/>
      <c r="Z1188"/>
      <c r="AA1188"/>
      <c r="AD1188"/>
      <c r="AE1188"/>
      <c r="AF1188"/>
      <c r="AH1188"/>
      <c r="AI1188"/>
      <c r="AJ1188"/>
      <c r="AM1188"/>
    </row>
    <row r="1189" spans="3:39" x14ac:dyDescent="0.2">
      <c r="C1189"/>
      <c r="D1189"/>
      <c r="E1189"/>
      <c r="F1189"/>
      <c r="G1189"/>
      <c r="H1189"/>
      <c r="I1189" s="684"/>
      <c r="V1189"/>
      <c r="W1189"/>
      <c r="Y1189"/>
      <c r="Z1189"/>
      <c r="AA1189"/>
      <c r="AD1189"/>
      <c r="AE1189"/>
      <c r="AF1189"/>
      <c r="AH1189"/>
      <c r="AI1189"/>
      <c r="AJ1189"/>
      <c r="AM1189"/>
    </row>
    <row r="1190" spans="3:39" x14ac:dyDescent="0.2">
      <c r="C1190"/>
      <c r="D1190"/>
      <c r="E1190"/>
      <c r="F1190"/>
      <c r="G1190"/>
      <c r="H1190"/>
      <c r="I1190" s="684"/>
      <c r="V1190"/>
      <c r="W1190"/>
      <c r="Y1190"/>
      <c r="Z1190"/>
      <c r="AA1190"/>
      <c r="AD1190"/>
      <c r="AE1190"/>
      <c r="AF1190"/>
      <c r="AH1190"/>
      <c r="AI1190"/>
      <c r="AJ1190"/>
      <c r="AM1190"/>
    </row>
    <row r="1191" spans="3:39" x14ac:dyDescent="0.2">
      <c r="C1191"/>
      <c r="D1191"/>
      <c r="E1191"/>
      <c r="F1191"/>
      <c r="G1191"/>
      <c r="H1191"/>
      <c r="I1191" s="684"/>
      <c r="V1191"/>
      <c r="W1191"/>
      <c r="Y1191"/>
      <c r="Z1191"/>
      <c r="AA1191"/>
      <c r="AD1191"/>
      <c r="AE1191"/>
      <c r="AF1191"/>
      <c r="AH1191"/>
      <c r="AI1191"/>
      <c r="AJ1191"/>
      <c r="AM1191"/>
    </row>
    <row r="1192" spans="3:39" x14ac:dyDescent="0.2">
      <c r="C1192"/>
      <c r="D1192"/>
      <c r="E1192"/>
      <c r="F1192"/>
      <c r="G1192"/>
      <c r="H1192"/>
      <c r="I1192" s="684"/>
      <c r="V1192"/>
      <c r="W1192"/>
      <c r="Y1192"/>
      <c r="Z1192"/>
      <c r="AA1192"/>
      <c r="AD1192"/>
      <c r="AE1192"/>
      <c r="AF1192"/>
      <c r="AH1192"/>
      <c r="AI1192"/>
      <c r="AJ1192"/>
      <c r="AM1192"/>
    </row>
    <row r="1193" spans="3:39" x14ac:dyDescent="0.2">
      <c r="C1193"/>
      <c r="D1193"/>
      <c r="E1193"/>
      <c r="F1193"/>
      <c r="G1193"/>
      <c r="H1193"/>
      <c r="I1193" s="684"/>
      <c r="V1193"/>
      <c r="W1193"/>
      <c r="Y1193"/>
      <c r="Z1193"/>
      <c r="AA1193"/>
      <c r="AD1193"/>
      <c r="AE1193"/>
      <c r="AF1193"/>
      <c r="AH1193"/>
      <c r="AI1193"/>
      <c r="AJ1193"/>
      <c r="AM1193"/>
    </row>
    <row r="1194" spans="3:39" x14ac:dyDescent="0.2">
      <c r="C1194"/>
      <c r="D1194"/>
      <c r="E1194"/>
      <c r="F1194"/>
      <c r="G1194"/>
      <c r="H1194"/>
      <c r="I1194" s="684"/>
      <c r="V1194"/>
      <c r="W1194"/>
      <c r="Y1194"/>
      <c r="Z1194"/>
      <c r="AA1194"/>
      <c r="AD1194"/>
      <c r="AE1194"/>
      <c r="AF1194"/>
      <c r="AH1194"/>
      <c r="AI1194"/>
      <c r="AJ1194"/>
      <c r="AM1194"/>
    </row>
    <row r="1195" spans="3:39" x14ac:dyDescent="0.2">
      <c r="C1195"/>
      <c r="D1195"/>
      <c r="E1195"/>
      <c r="F1195"/>
      <c r="G1195"/>
      <c r="H1195"/>
      <c r="I1195" s="684"/>
      <c r="V1195"/>
      <c r="W1195"/>
      <c r="Y1195"/>
      <c r="Z1195"/>
      <c r="AA1195"/>
      <c r="AD1195"/>
      <c r="AE1195"/>
      <c r="AF1195"/>
      <c r="AH1195"/>
      <c r="AI1195"/>
      <c r="AJ1195"/>
      <c r="AM1195"/>
    </row>
    <row r="1196" spans="3:39" x14ac:dyDescent="0.2">
      <c r="C1196"/>
      <c r="D1196"/>
      <c r="E1196"/>
      <c r="F1196"/>
      <c r="G1196"/>
      <c r="H1196"/>
      <c r="I1196" s="684"/>
      <c r="V1196"/>
      <c r="W1196"/>
      <c r="Y1196"/>
      <c r="Z1196"/>
      <c r="AA1196"/>
      <c r="AD1196"/>
      <c r="AE1196"/>
      <c r="AF1196"/>
      <c r="AH1196"/>
      <c r="AI1196"/>
      <c r="AJ1196"/>
      <c r="AM1196"/>
    </row>
    <row r="1197" spans="3:39" x14ac:dyDescent="0.2">
      <c r="C1197"/>
      <c r="D1197"/>
      <c r="E1197"/>
      <c r="F1197"/>
      <c r="G1197"/>
      <c r="H1197"/>
      <c r="I1197" s="684"/>
      <c r="V1197"/>
      <c r="W1197"/>
      <c r="Y1197"/>
      <c r="Z1197"/>
      <c r="AA1197"/>
      <c r="AD1197"/>
      <c r="AE1197"/>
      <c r="AF1197"/>
      <c r="AH1197"/>
      <c r="AI1197"/>
      <c r="AJ1197"/>
      <c r="AM1197"/>
    </row>
    <row r="1198" spans="3:39" x14ac:dyDescent="0.2">
      <c r="C1198"/>
      <c r="D1198"/>
      <c r="E1198"/>
      <c r="F1198"/>
      <c r="G1198"/>
      <c r="H1198"/>
      <c r="I1198" s="684"/>
      <c r="V1198"/>
      <c r="W1198"/>
      <c r="Y1198"/>
      <c r="Z1198"/>
      <c r="AA1198"/>
      <c r="AD1198"/>
      <c r="AE1198"/>
      <c r="AF1198"/>
      <c r="AH1198"/>
      <c r="AI1198"/>
      <c r="AJ1198"/>
      <c r="AM1198"/>
    </row>
    <row r="1199" spans="3:39" x14ac:dyDescent="0.2">
      <c r="C1199"/>
      <c r="D1199"/>
      <c r="E1199"/>
      <c r="F1199"/>
      <c r="G1199"/>
      <c r="H1199"/>
      <c r="I1199" s="684"/>
      <c r="V1199"/>
      <c r="W1199"/>
      <c r="Y1199"/>
      <c r="Z1199"/>
      <c r="AA1199"/>
      <c r="AD1199"/>
      <c r="AE1199"/>
      <c r="AF1199"/>
      <c r="AH1199"/>
      <c r="AI1199"/>
      <c r="AJ1199"/>
      <c r="AM1199"/>
    </row>
    <row r="1200" spans="3:39" x14ac:dyDescent="0.2">
      <c r="C1200"/>
      <c r="D1200"/>
      <c r="E1200"/>
      <c r="F1200"/>
      <c r="G1200"/>
      <c r="H1200"/>
      <c r="I1200" s="684"/>
      <c r="V1200"/>
      <c r="W1200"/>
      <c r="Y1200"/>
      <c r="Z1200"/>
      <c r="AA1200"/>
      <c r="AD1200"/>
      <c r="AE1200"/>
      <c r="AF1200"/>
      <c r="AH1200"/>
      <c r="AI1200"/>
      <c r="AJ1200"/>
      <c r="AM1200"/>
    </row>
    <row r="1201" spans="3:39" x14ac:dyDescent="0.2">
      <c r="C1201"/>
      <c r="D1201"/>
      <c r="E1201"/>
      <c r="F1201"/>
      <c r="G1201"/>
      <c r="H1201"/>
      <c r="I1201" s="684"/>
      <c r="V1201"/>
      <c r="W1201"/>
      <c r="Y1201"/>
      <c r="Z1201"/>
      <c r="AA1201"/>
      <c r="AD1201"/>
      <c r="AE1201"/>
      <c r="AF1201"/>
      <c r="AH1201"/>
      <c r="AI1201"/>
      <c r="AJ1201"/>
      <c r="AM1201"/>
    </row>
    <row r="1202" spans="3:39" x14ac:dyDescent="0.2">
      <c r="C1202"/>
      <c r="D1202"/>
      <c r="E1202"/>
      <c r="F1202"/>
      <c r="G1202"/>
      <c r="H1202"/>
      <c r="I1202" s="684"/>
      <c r="V1202"/>
      <c r="W1202"/>
      <c r="Y1202"/>
      <c r="Z1202"/>
      <c r="AA1202"/>
      <c r="AD1202"/>
      <c r="AE1202"/>
      <c r="AF1202"/>
      <c r="AH1202"/>
      <c r="AI1202"/>
      <c r="AJ1202"/>
      <c r="AM1202"/>
    </row>
    <row r="1203" spans="3:39" x14ac:dyDescent="0.2">
      <c r="C1203"/>
      <c r="D1203"/>
      <c r="E1203"/>
      <c r="F1203"/>
      <c r="G1203"/>
      <c r="H1203"/>
      <c r="I1203" s="684"/>
      <c r="V1203"/>
      <c r="W1203"/>
      <c r="Y1203"/>
      <c r="Z1203"/>
      <c r="AA1203"/>
      <c r="AD1203"/>
      <c r="AE1203"/>
      <c r="AF1203"/>
      <c r="AH1203"/>
      <c r="AI1203"/>
      <c r="AJ1203"/>
      <c r="AM1203"/>
    </row>
    <row r="1204" spans="3:39" x14ac:dyDescent="0.2">
      <c r="C1204"/>
      <c r="D1204"/>
      <c r="E1204"/>
      <c r="F1204"/>
      <c r="G1204"/>
      <c r="H1204"/>
      <c r="I1204" s="684"/>
      <c r="V1204"/>
      <c r="W1204"/>
      <c r="Y1204"/>
      <c r="Z1204"/>
      <c r="AA1204"/>
      <c r="AD1204"/>
      <c r="AE1204"/>
      <c r="AF1204"/>
      <c r="AH1204"/>
      <c r="AI1204"/>
      <c r="AJ1204"/>
      <c r="AM1204"/>
    </row>
    <row r="1205" spans="3:39" x14ac:dyDescent="0.2">
      <c r="C1205"/>
      <c r="D1205"/>
      <c r="E1205"/>
      <c r="F1205"/>
      <c r="G1205"/>
      <c r="H1205"/>
      <c r="I1205" s="684"/>
      <c r="V1205"/>
      <c r="W1205"/>
      <c r="Y1205"/>
      <c r="Z1205"/>
      <c r="AA1205"/>
      <c r="AD1205"/>
      <c r="AE1205"/>
      <c r="AF1205"/>
      <c r="AH1205"/>
      <c r="AI1205"/>
      <c r="AJ1205"/>
      <c r="AM1205"/>
    </row>
    <row r="1206" spans="3:39" x14ac:dyDescent="0.2">
      <c r="C1206"/>
      <c r="D1206"/>
      <c r="E1206"/>
      <c r="F1206"/>
      <c r="G1206"/>
      <c r="H1206"/>
      <c r="I1206" s="684"/>
      <c r="V1206"/>
      <c r="W1206"/>
      <c r="Y1206"/>
      <c r="Z1206"/>
      <c r="AA1206"/>
      <c r="AD1206"/>
      <c r="AE1206"/>
      <c r="AF1206"/>
      <c r="AH1206"/>
      <c r="AI1206"/>
      <c r="AJ1206"/>
      <c r="AM1206"/>
    </row>
    <row r="1207" spans="3:39" x14ac:dyDescent="0.2">
      <c r="C1207"/>
      <c r="D1207"/>
      <c r="E1207"/>
      <c r="F1207"/>
      <c r="G1207"/>
      <c r="H1207"/>
      <c r="I1207" s="684"/>
      <c r="V1207"/>
      <c r="W1207"/>
      <c r="Y1207"/>
      <c r="Z1207"/>
      <c r="AA1207"/>
      <c r="AD1207"/>
      <c r="AE1207"/>
      <c r="AF1207"/>
      <c r="AH1207"/>
      <c r="AI1207"/>
      <c r="AJ1207"/>
      <c r="AM1207"/>
    </row>
    <row r="1208" spans="3:39" x14ac:dyDescent="0.2">
      <c r="C1208"/>
      <c r="D1208"/>
      <c r="E1208"/>
      <c r="F1208"/>
      <c r="G1208"/>
      <c r="H1208"/>
      <c r="I1208" s="684"/>
      <c r="V1208"/>
      <c r="W1208"/>
      <c r="Y1208"/>
      <c r="Z1208"/>
      <c r="AA1208"/>
      <c r="AD1208"/>
      <c r="AE1208"/>
      <c r="AF1208"/>
      <c r="AH1208"/>
      <c r="AI1208"/>
      <c r="AJ1208"/>
      <c r="AM1208"/>
    </row>
    <row r="1209" spans="3:39" x14ac:dyDescent="0.2">
      <c r="C1209"/>
      <c r="D1209"/>
      <c r="E1209"/>
      <c r="F1209"/>
      <c r="G1209"/>
      <c r="H1209"/>
      <c r="I1209" s="684"/>
      <c r="V1209"/>
      <c r="W1209"/>
      <c r="Y1209"/>
      <c r="Z1209"/>
      <c r="AA1209"/>
      <c r="AD1209"/>
      <c r="AE1209"/>
      <c r="AF1209"/>
      <c r="AH1209"/>
      <c r="AI1209"/>
      <c r="AJ1209"/>
      <c r="AM1209"/>
    </row>
    <row r="1210" spans="3:39" x14ac:dyDescent="0.2">
      <c r="C1210"/>
      <c r="D1210"/>
      <c r="E1210"/>
      <c r="F1210"/>
      <c r="G1210"/>
      <c r="H1210"/>
      <c r="I1210" s="684"/>
      <c r="V1210"/>
      <c r="W1210"/>
      <c r="Y1210"/>
      <c r="Z1210"/>
      <c r="AA1210"/>
      <c r="AD1210"/>
      <c r="AE1210"/>
      <c r="AF1210"/>
      <c r="AH1210"/>
      <c r="AI1210"/>
      <c r="AJ1210"/>
      <c r="AM1210"/>
    </row>
    <row r="1211" spans="3:39" x14ac:dyDescent="0.2">
      <c r="C1211"/>
      <c r="D1211"/>
      <c r="E1211"/>
      <c r="F1211"/>
      <c r="G1211"/>
      <c r="H1211"/>
      <c r="I1211" s="684"/>
      <c r="V1211"/>
      <c r="W1211"/>
      <c r="Y1211"/>
      <c r="Z1211"/>
      <c r="AA1211"/>
      <c r="AD1211"/>
      <c r="AE1211"/>
      <c r="AF1211"/>
      <c r="AH1211"/>
      <c r="AI1211"/>
      <c r="AJ1211"/>
      <c r="AM1211"/>
    </row>
    <row r="1212" spans="3:39" x14ac:dyDescent="0.2">
      <c r="C1212"/>
      <c r="D1212"/>
      <c r="E1212"/>
      <c r="F1212"/>
      <c r="G1212"/>
      <c r="H1212"/>
      <c r="I1212" s="684"/>
      <c r="V1212"/>
      <c r="W1212"/>
      <c r="Y1212"/>
      <c r="Z1212"/>
      <c r="AA1212"/>
      <c r="AD1212"/>
      <c r="AE1212"/>
      <c r="AF1212"/>
      <c r="AH1212"/>
      <c r="AI1212"/>
      <c r="AJ1212"/>
      <c r="AM1212"/>
    </row>
    <row r="1213" spans="3:39" x14ac:dyDescent="0.2">
      <c r="C1213"/>
      <c r="D1213"/>
      <c r="E1213"/>
      <c r="F1213"/>
      <c r="G1213"/>
      <c r="H1213"/>
      <c r="I1213" s="684"/>
      <c r="V1213"/>
      <c r="W1213"/>
      <c r="Y1213"/>
      <c r="Z1213"/>
      <c r="AA1213"/>
      <c r="AD1213"/>
      <c r="AE1213"/>
      <c r="AF1213"/>
      <c r="AH1213"/>
      <c r="AI1213"/>
      <c r="AJ1213"/>
      <c r="AM1213"/>
    </row>
    <row r="1214" spans="3:39" x14ac:dyDescent="0.2">
      <c r="C1214"/>
      <c r="D1214"/>
      <c r="E1214"/>
      <c r="F1214"/>
      <c r="G1214"/>
      <c r="H1214"/>
      <c r="I1214" s="684"/>
      <c r="V1214"/>
      <c r="W1214"/>
      <c r="Y1214"/>
      <c r="Z1214"/>
      <c r="AA1214"/>
      <c r="AD1214"/>
      <c r="AE1214"/>
      <c r="AF1214"/>
      <c r="AH1214"/>
      <c r="AI1214"/>
      <c r="AJ1214"/>
      <c r="AM1214"/>
    </row>
    <row r="1215" spans="3:39" x14ac:dyDescent="0.2">
      <c r="C1215"/>
      <c r="D1215"/>
      <c r="E1215"/>
      <c r="F1215"/>
      <c r="G1215"/>
      <c r="H1215"/>
      <c r="I1215" s="684"/>
      <c r="V1215"/>
      <c r="W1215"/>
      <c r="Y1215"/>
      <c r="Z1215"/>
      <c r="AA1215"/>
      <c r="AD1215"/>
      <c r="AE1215"/>
      <c r="AF1215"/>
      <c r="AH1215"/>
      <c r="AI1215"/>
      <c r="AJ1215"/>
      <c r="AM1215"/>
    </row>
    <row r="1216" spans="3:39" x14ac:dyDescent="0.2">
      <c r="C1216"/>
      <c r="D1216"/>
      <c r="E1216"/>
      <c r="F1216"/>
      <c r="G1216"/>
      <c r="H1216"/>
      <c r="I1216" s="684"/>
      <c r="V1216"/>
      <c r="W1216"/>
      <c r="Y1216"/>
      <c r="Z1216"/>
      <c r="AA1216"/>
      <c r="AD1216"/>
      <c r="AE1216"/>
      <c r="AF1216"/>
      <c r="AH1216"/>
      <c r="AI1216"/>
      <c r="AJ1216"/>
      <c r="AM1216"/>
    </row>
    <row r="1217" spans="3:39" x14ac:dyDescent="0.2">
      <c r="C1217"/>
      <c r="D1217"/>
      <c r="E1217"/>
      <c r="F1217"/>
      <c r="G1217"/>
      <c r="H1217"/>
      <c r="I1217" s="684"/>
      <c r="V1217"/>
      <c r="W1217"/>
      <c r="Y1217"/>
      <c r="Z1217"/>
      <c r="AA1217"/>
      <c r="AD1217"/>
      <c r="AE1217"/>
      <c r="AF1217"/>
      <c r="AH1217"/>
      <c r="AI1217"/>
      <c r="AJ1217"/>
      <c r="AM1217"/>
    </row>
    <row r="1218" spans="3:39" x14ac:dyDescent="0.2">
      <c r="C1218"/>
      <c r="D1218"/>
      <c r="E1218"/>
      <c r="F1218"/>
      <c r="G1218"/>
      <c r="H1218"/>
      <c r="I1218" s="684"/>
      <c r="V1218"/>
      <c r="W1218"/>
      <c r="Y1218"/>
      <c r="Z1218"/>
      <c r="AA1218"/>
      <c r="AD1218"/>
      <c r="AE1218"/>
      <c r="AF1218"/>
      <c r="AH1218"/>
      <c r="AI1218"/>
      <c r="AJ1218"/>
      <c r="AM1218"/>
    </row>
    <row r="1219" spans="3:39" x14ac:dyDescent="0.2">
      <c r="C1219"/>
      <c r="D1219"/>
      <c r="E1219"/>
      <c r="F1219"/>
      <c r="G1219"/>
      <c r="H1219"/>
      <c r="I1219" s="684"/>
      <c r="V1219"/>
      <c r="W1219"/>
      <c r="Y1219"/>
      <c r="Z1219"/>
      <c r="AA1219"/>
      <c r="AD1219"/>
      <c r="AE1219"/>
      <c r="AF1219"/>
      <c r="AH1219"/>
      <c r="AI1219"/>
      <c r="AJ1219"/>
      <c r="AM1219"/>
    </row>
    <row r="1220" spans="3:39" x14ac:dyDescent="0.2">
      <c r="C1220"/>
      <c r="D1220"/>
      <c r="E1220"/>
      <c r="F1220"/>
      <c r="G1220"/>
      <c r="H1220"/>
      <c r="I1220" s="684"/>
      <c r="V1220"/>
      <c r="W1220"/>
      <c r="Y1220"/>
      <c r="Z1220"/>
      <c r="AA1220"/>
      <c r="AD1220"/>
      <c r="AE1220"/>
      <c r="AF1220"/>
      <c r="AH1220"/>
      <c r="AI1220"/>
      <c r="AJ1220"/>
      <c r="AM1220"/>
    </row>
    <row r="1221" spans="3:39" x14ac:dyDescent="0.2">
      <c r="C1221"/>
      <c r="D1221"/>
      <c r="E1221"/>
      <c r="F1221"/>
      <c r="G1221"/>
      <c r="H1221"/>
      <c r="I1221" s="684"/>
      <c r="V1221"/>
      <c r="W1221"/>
      <c r="Y1221"/>
      <c r="Z1221"/>
      <c r="AA1221"/>
      <c r="AD1221"/>
      <c r="AE1221"/>
      <c r="AF1221"/>
      <c r="AH1221"/>
      <c r="AI1221"/>
      <c r="AJ1221"/>
      <c r="AM1221"/>
    </row>
    <row r="1222" spans="3:39" x14ac:dyDescent="0.2">
      <c r="C1222"/>
      <c r="D1222"/>
      <c r="E1222"/>
      <c r="F1222"/>
      <c r="G1222"/>
      <c r="H1222"/>
      <c r="I1222" s="684"/>
      <c r="V1222"/>
      <c r="W1222"/>
      <c r="Y1222"/>
      <c r="Z1222"/>
      <c r="AA1222"/>
      <c r="AD1222"/>
      <c r="AE1222"/>
      <c r="AF1222"/>
      <c r="AH1222"/>
      <c r="AI1222"/>
      <c r="AJ1222"/>
      <c r="AM1222"/>
    </row>
    <row r="1223" spans="3:39" x14ac:dyDescent="0.2">
      <c r="C1223"/>
      <c r="D1223"/>
      <c r="E1223"/>
      <c r="F1223"/>
      <c r="G1223"/>
      <c r="H1223"/>
      <c r="I1223" s="684"/>
      <c r="V1223"/>
      <c r="W1223"/>
      <c r="Y1223"/>
      <c r="Z1223"/>
      <c r="AA1223"/>
      <c r="AD1223"/>
      <c r="AE1223"/>
      <c r="AF1223"/>
      <c r="AH1223"/>
      <c r="AI1223"/>
      <c r="AJ1223"/>
      <c r="AM1223"/>
    </row>
    <row r="1224" spans="3:39" x14ac:dyDescent="0.2">
      <c r="C1224"/>
      <c r="D1224"/>
      <c r="E1224"/>
      <c r="F1224"/>
      <c r="G1224"/>
      <c r="H1224"/>
      <c r="I1224" s="684"/>
      <c r="V1224"/>
      <c r="W1224"/>
      <c r="Y1224"/>
      <c r="Z1224"/>
      <c r="AA1224"/>
      <c r="AD1224"/>
      <c r="AE1224"/>
      <c r="AF1224"/>
      <c r="AH1224"/>
      <c r="AI1224"/>
      <c r="AJ1224"/>
      <c r="AM1224"/>
    </row>
    <row r="1225" spans="3:39" x14ac:dyDescent="0.2">
      <c r="C1225"/>
      <c r="D1225"/>
      <c r="E1225"/>
      <c r="F1225"/>
      <c r="G1225"/>
      <c r="H1225"/>
      <c r="I1225" s="684"/>
      <c r="V1225"/>
      <c r="W1225"/>
      <c r="Y1225"/>
      <c r="Z1225"/>
      <c r="AA1225"/>
      <c r="AD1225"/>
      <c r="AE1225"/>
      <c r="AF1225"/>
      <c r="AH1225"/>
      <c r="AI1225"/>
      <c r="AJ1225"/>
      <c r="AM1225"/>
    </row>
    <row r="1226" spans="3:39" x14ac:dyDescent="0.2">
      <c r="C1226"/>
      <c r="D1226"/>
      <c r="E1226"/>
      <c r="F1226"/>
      <c r="G1226"/>
      <c r="H1226"/>
      <c r="I1226" s="684"/>
      <c r="V1226"/>
      <c r="W1226"/>
      <c r="Y1226"/>
      <c r="Z1226"/>
      <c r="AA1226"/>
      <c r="AD1226"/>
      <c r="AE1226"/>
      <c r="AF1226"/>
      <c r="AH1226"/>
      <c r="AI1226"/>
      <c r="AJ1226"/>
      <c r="AM1226"/>
    </row>
    <row r="1227" spans="3:39" x14ac:dyDescent="0.2">
      <c r="C1227"/>
      <c r="D1227"/>
      <c r="E1227"/>
      <c r="F1227"/>
      <c r="G1227"/>
      <c r="H1227"/>
      <c r="I1227" s="684"/>
      <c r="V1227"/>
      <c r="W1227"/>
      <c r="Y1227"/>
      <c r="Z1227"/>
      <c r="AA1227"/>
      <c r="AD1227"/>
      <c r="AE1227"/>
      <c r="AF1227"/>
      <c r="AH1227"/>
      <c r="AI1227"/>
      <c r="AJ1227"/>
      <c r="AM1227"/>
    </row>
    <row r="1228" spans="3:39" x14ac:dyDescent="0.2">
      <c r="C1228"/>
      <c r="D1228"/>
      <c r="E1228"/>
      <c r="F1228"/>
      <c r="G1228"/>
      <c r="H1228"/>
      <c r="I1228" s="684"/>
      <c r="V1228"/>
      <c r="W1228"/>
      <c r="Y1228"/>
      <c r="Z1228"/>
      <c r="AA1228"/>
      <c r="AD1228"/>
      <c r="AE1228"/>
      <c r="AF1228"/>
      <c r="AH1228"/>
      <c r="AI1228"/>
      <c r="AJ1228"/>
      <c r="AM1228"/>
    </row>
    <row r="1229" spans="3:39" x14ac:dyDescent="0.2">
      <c r="C1229"/>
      <c r="D1229"/>
      <c r="E1229"/>
      <c r="F1229"/>
      <c r="G1229"/>
      <c r="H1229"/>
      <c r="I1229" s="684"/>
      <c r="V1229"/>
      <c r="W1229"/>
      <c r="Y1229"/>
      <c r="Z1229"/>
      <c r="AA1229"/>
      <c r="AD1229"/>
      <c r="AE1229"/>
      <c r="AF1229"/>
      <c r="AH1229"/>
      <c r="AI1229"/>
      <c r="AJ1229"/>
      <c r="AM1229"/>
    </row>
    <row r="1230" spans="3:39" x14ac:dyDescent="0.2">
      <c r="C1230"/>
      <c r="D1230"/>
      <c r="E1230"/>
      <c r="F1230"/>
      <c r="G1230"/>
      <c r="H1230"/>
      <c r="I1230" s="684"/>
      <c r="V1230"/>
      <c r="W1230"/>
      <c r="Y1230"/>
      <c r="Z1230"/>
      <c r="AA1230"/>
      <c r="AD1230"/>
      <c r="AE1230"/>
      <c r="AF1230"/>
      <c r="AH1230"/>
      <c r="AI1230"/>
      <c r="AJ1230"/>
      <c r="AM1230"/>
    </row>
    <row r="1231" spans="3:39" x14ac:dyDescent="0.2">
      <c r="C1231"/>
      <c r="D1231"/>
      <c r="E1231"/>
      <c r="F1231"/>
      <c r="G1231"/>
      <c r="H1231"/>
      <c r="I1231" s="684"/>
      <c r="V1231"/>
      <c r="W1231"/>
      <c r="Y1231"/>
      <c r="Z1231"/>
      <c r="AA1231"/>
      <c r="AD1231"/>
      <c r="AE1231"/>
      <c r="AF1231"/>
      <c r="AH1231"/>
      <c r="AI1231"/>
      <c r="AJ1231"/>
      <c r="AM1231"/>
    </row>
    <row r="1232" spans="3:39" x14ac:dyDescent="0.2">
      <c r="C1232"/>
      <c r="D1232"/>
      <c r="E1232"/>
      <c r="F1232"/>
      <c r="G1232"/>
      <c r="H1232"/>
      <c r="I1232" s="684"/>
      <c r="V1232"/>
      <c r="W1232"/>
      <c r="Y1232"/>
      <c r="Z1232"/>
      <c r="AA1232"/>
      <c r="AD1232"/>
      <c r="AE1232"/>
      <c r="AF1232"/>
      <c r="AH1232"/>
      <c r="AI1232"/>
      <c r="AJ1232"/>
      <c r="AM1232"/>
    </row>
    <row r="1233" spans="3:39" x14ac:dyDescent="0.2">
      <c r="C1233"/>
      <c r="D1233"/>
      <c r="E1233"/>
      <c r="F1233"/>
      <c r="G1233"/>
      <c r="H1233"/>
      <c r="I1233" s="684"/>
      <c r="V1233"/>
      <c r="W1233"/>
      <c r="Y1233"/>
      <c r="Z1233"/>
      <c r="AA1233"/>
      <c r="AD1233"/>
      <c r="AE1233"/>
      <c r="AF1233"/>
      <c r="AH1233"/>
      <c r="AI1233"/>
      <c r="AJ1233"/>
      <c r="AM1233"/>
    </row>
    <row r="1234" spans="3:39" x14ac:dyDescent="0.2">
      <c r="C1234"/>
      <c r="D1234"/>
      <c r="E1234"/>
      <c r="F1234"/>
      <c r="G1234"/>
      <c r="H1234"/>
      <c r="I1234" s="684"/>
      <c r="V1234"/>
      <c r="W1234"/>
      <c r="Y1234"/>
      <c r="Z1234"/>
      <c r="AA1234"/>
      <c r="AD1234"/>
      <c r="AE1234"/>
      <c r="AF1234"/>
      <c r="AH1234"/>
      <c r="AI1234"/>
      <c r="AJ1234"/>
      <c r="AM1234"/>
    </row>
    <row r="1235" spans="3:39" x14ac:dyDescent="0.2">
      <c r="C1235"/>
      <c r="D1235"/>
      <c r="E1235"/>
      <c r="F1235"/>
      <c r="G1235"/>
      <c r="H1235"/>
      <c r="I1235" s="684"/>
      <c r="V1235"/>
      <c r="W1235"/>
      <c r="Y1235"/>
      <c r="Z1235"/>
      <c r="AA1235"/>
      <c r="AD1235"/>
      <c r="AE1235"/>
      <c r="AF1235"/>
      <c r="AH1235"/>
      <c r="AI1235"/>
      <c r="AJ1235"/>
      <c r="AM1235"/>
    </row>
    <row r="1236" spans="3:39" x14ac:dyDescent="0.2">
      <c r="C1236"/>
      <c r="D1236"/>
      <c r="E1236"/>
      <c r="F1236"/>
      <c r="G1236"/>
      <c r="H1236"/>
      <c r="I1236" s="684"/>
      <c r="V1236"/>
      <c r="W1236"/>
      <c r="Y1236"/>
      <c r="Z1236"/>
      <c r="AA1236"/>
      <c r="AD1236"/>
      <c r="AE1236"/>
      <c r="AF1236"/>
      <c r="AH1236"/>
      <c r="AI1236"/>
      <c r="AJ1236"/>
      <c r="AM1236"/>
    </row>
    <row r="1237" spans="3:39" x14ac:dyDescent="0.2">
      <c r="C1237"/>
      <c r="D1237"/>
      <c r="E1237"/>
      <c r="F1237"/>
      <c r="G1237"/>
      <c r="H1237"/>
      <c r="I1237" s="684"/>
      <c r="V1237"/>
      <c r="W1237"/>
      <c r="Y1237"/>
      <c r="Z1237"/>
      <c r="AA1237"/>
      <c r="AD1237"/>
      <c r="AE1237"/>
      <c r="AF1237"/>
      <c r="AH1237"/>
      <c r="AI1237"/>
      <c r="AJ1237"/>
      <c r="AM1237"/>
    </row>
    <row r="1238" spans="3:39" x14ac:dyDescent="0.2">
      <c r="C1238"/>
      <c r="D1238"/>
      <c r="E1238"/>
      <c r="F1238"/>
      <c r="G1238"/>
      <c r="H1238"/>
      <c r="I1238" s="684"/>
      <c r="V1238"/>
      <c r="W1238"/>
      <c r="Y1238"/>
      <c r="Z1238"/>
      <c r="AA1238"/>
      <c r="AD1238"/>
      <c r="AE1238"/>
      <c r="AF1238"/>
      <c r="AH1238"/>
      <c r="AI1238"/>
      <c r="AJ1238"/>
      <c r="AM1238"/>
    </row>
    <row r="1239" spans="3:39" x14ac:dyDescent="0.2">
      <c r="C1239"/>
      <c r="D1239"/>
      <c r="E1239"/>
      <c r="F1239"/>
      <c r="G1239"/>
      <c r="H1239"/>
      <c r="I1239" s="684"/>
      <c r="V1239"/>
      <c r="W1239"/>
      <c r="Y1239"/>
      <c r="Z1239"/>
      <c r="AA1239"/>
      <c r="AD1239"/>
      <c r="AE1239"/>
      <c r="AF1239"/>
      <c r="AH1239"/>
      <c r="AI1239"/>
      <c r="AJ1239"/>
      <c r="AM1239"/>
    </row>
    <row r="1240" spans="3:39" x14ac:dyDescent="0.2">
      <c r="C1240"/>
      <c r="D1240"/>
      <c r="E1240"/>
      <c r="F1240"/>
      <c r="G1240"/>
      <c r="H1240"/>
      <c r="I1240" s="684"/>
      <c r="V1240"/>
      <c r="W1240"/>
      <c r="Y1240"/>
      <c r="Z1240"/>
      <c r="AA1240"/>
      <c r="AD1240"/>
      <c r="AE1240"/>
      <c r="AF1240"/>
      <c r="AH1240"/>
      <c r="AI1240"/>
      <c r="AJ1240"/>
      <c r="AM1240"/>
    </row>
    <row r="1241" spans="3:39" x14ac:dyDescent="0.2">
      <c r="C1241"/>
      <c r="D1241"/>
      <c r="E1241"/>
      <c r="F1241"/>
      <c r="G1241"/>
      <c r="H1241"/>
      <c r="I1241" s="684"/>
      <c r="V1241"/>
      <c r="W1241"/>
      <c r="Y1241"/>
      <c r="Z1241"/>
      <c r="AA1241"/>
      <c r="AD1241"/>
      <c r="AE1241"/>
      <c r="AF1241"/>
      <c r="AH1241"/>
      <c r="AI1241"/>
      <c r="AJ1241"/>
      <c r="AM1241"/>
    </row>
    <row r="1242" spans="3:39" x14ac:dyDescent="0.2">
      <c r="C1242"/>
      <c r="D1242"/>
      <c r="E1242"/>
      <c r="F1242"/>
      <c r="G1242"/>
      <c r="H1242"/>
      <c r="I1242" s="684"/>
      <c r="V1242"/>
      <c r="W1242"/>
      <c r="Y1242"/>
      <c r="Z1242"/>
      <c r="AA1242"/>
      <c r="AD1242"/>
      <c r="AE1242"/>
      <c r="AF1242"/>
      <c r="AH1242"/>
      <c r="AI1242"/>
      <c r="AJ1242"/>
      <c r="AM1242"/>
    </row>
    <row r="1243" spans="3:39" x14ac:dyDescent="0.2">
      <c r="C1243"/>
      <c r="D1243"/>
      <c r="E1243"/>
      <c r="F1243"/>
      <c r="G1243"/>
      <c r="H1243"/>
      <c r="I1243" s="684"/>
      <c r="V1243"/>
      <c r="W1243"/>
      <c r="Y1243"/>
      <c r="Z1243"/>
      <c r="AA1243"/>
      <c r="AD1243"/>
      <c r="AE1243"/>
      <c r="AF1243"/>
      <c r="AH1243"/>
      <c r="AI1243"/>
      <c r="AJ1243"/>
      <c r="AM1243"/>
    </row>
    <row r="1244" spans="3:39" x14ac:dyDescent="0.2">
      <c r="C1244"/>
      <c r="D1244"/>
      <c r="E1244"/>
      <c r="F1244"/>
      <c r="G1244"/>
      <c r="H1244"/>
      <c r="I1244" s="684"/>
      <c r="V1244"/>
      <c r="W1244"/>
      <c r="Y1244"/>
      <c r="Z1244"/>
      <c r="AA1244"/>
      <c r="AD1244"/>
      <c r="AE1244"/>
      <c r="AF1244"/>
      <c r="AH1244"/>
      <c r="AI1244"/>
      <c r="AJ1244"/>
      <c r="AM1244"/>
    </row>
    <row r="1245" spans="3:39" x14ac:dyDescent="0.2">
      <c r="C1245"/>
      <c r="D1245"/>
      <c r="E1245"/>
      <c r="F1245"/>
      <c r="G1245"/>
      <c r="H1245"/>
      <c r="I1245" s="684"/>
      <c r="V1245"/>
      <c r="W1245"/>
      <c r="Y1245"/>
      <c r="Z1245"/>
      <c r="AA1245"/>
      <c r="AD1245"/>
      <c r="AE1245"/>
      <c r="AF1245"/>
      <c r="AH1245"/>
      <c r="AI1245"/>
      <c r="AJ1245"/>
      <c r="AM1245"/>
    </row>
    <row r="1246" spans="3:39" x14ac:dyDescent="0.2">
      <c r="C1246"/>
      <c r="D1246"/>
      <c r="E1246"/>
      <c r="F1246"/>
      <c r="G1246"/>
      <c r="H1246"/>
      <c r="I1246" s="684"/>
      <c r="V1246"/>
      <c r="W1246"/>
      <c r="Y1246"/>
      <c r="Z1246"/>
      <c r="AA1246"/>
      <c r="AD1246"/>
      <c r="AE1246"/>
      <c r="AF1246"/>
      <c r="AH1246"/>
      <c r="AI1246"/>
      <c r="AJ1246"/>
      <c r="AM1246"/>
    </row>
    <row r="1247" spans="3:39" x14ac:dyDescent="0.2">
      <c r="C1247"/>
      <c r="D1247"/>
      <c r="E1247"/>
      <c r="F1247"/>
      <c r="G1247"/>
      <c r="H1247"/>
      <c r="I1247" s="684"/>
      <c r="V1247"/>
      <c r="W1247"/>
      <c r="Y1247"/>
      <c r="Z1247"/>
      <c r="AA1247"/>
      <c r="AD1247"/>
      <c r="AE1247"/>
      <c r="AF1247"/>
      <c r="AH1247"/>
      <c r="AI1247"/>
      <c r="AJ1247"/>
      <c r="AM1247"/>
    </row>
    <row r="1248" spans="3:39" x14ac:dyDescent="0.2">
      <c r="C1248"/>
      <c r="D1248"/>
      <c r="E1248"/>
      <c r="F1248"/>
      <c r="G1248"/>
      <c r="H1248"/>
      <c r="I1248" s="684"/>
      <c r="V1248"/>
      <c r="W1248"/>
      <c r="Y1248"/>
      <c r="Z1248"/>
      <c r="AA1248"/>
      <c r="AD1248"/>
      <c r="AE1248"/>
      <c r="AF1248"/>
      <c r="AH1248"/>
      <c r="AI1248"/>
      <c r="AJ1248"/>
      <c r="AM1248"/>
    </row>
    <row r="1249" spans="3:39" x14ac:dyDescent="0.2">
      <c r="C1249"/>
      <c r="D1249"/>
      <c r="E1249"/>
      <c r="F1249"/>
      <c r="G1249"/>
      <c r="H1249"/>
      <c r="I1249" s="684"/>
      <c r="V1249"/>
      <c r="W1249"/>
      <c r="Y1249"/>
      <c r="Z1249"/>
      <c r="AA1249"/>
      <c r="AD1249"/>
      <c r="AE1249"/>
      <c r="AF1249"/>
      <c r="AH1249"/>
      <c r="AI1249"/>
      <c r="AJ1249"/>
      <c r="AM1249"/>
    </row>
    <row r="1250" spans="3:39" x14ac:dyDescent="0.2">
      <c r="C1250"/>
      <c r="D1250"/>
      <c r="E1250"/>
      <c r="F1250"/>
      <c r="G1250"/>
      <c r="H1250"/>
      <c r="I1250" s="684"/>
      <c r="V1250"/>
      <c r="W1250"/>
      <c r="Y1250"/>
      <c r="Z1250"/>
      <c r="AA1250"/>
      <c r="AD1250"/>
      <c r="AE1250"/>
      <c r="AF1250"/>
      <c r="AH1250"/>
      <c r="AI1250"/>
      <c r="AJ1250"/>
      <c r="AM1250"/>
    </row>
    <row r="1251" spans="3:39" x14ac:dyDescent="0.2">
      <c r="C1251"/>
      <c r="D1251"/>
      <c r="E1251"/>
      <c r="F1251"/>
      <c r="G1251"/>
      <c r="H1251"/>
      <c r="I1251" s="684"/>
      <c r="V1251"/>
      <c r="W1251"/>
      <c r="Y1251"/>
      <c r="Z1251"/>
      <c r="AA1251"/>
      <c r="AD1251"/>
      <c r="AE1251"/>
      <c r="AF1251"/>
      <c r="AH1251"/>
      <c r="AI1251"/>
      <c r="AJ1251"/>
      <c r="AM1251"/>
    </row>
    <row r="1252" spans="3:39" x14ac:dyDescent="0.2">
      <c r="C1252"/>
      <c r="D1252"/>
      <c r="E1252"/>
      <c r="F1252"/>
      <c r="G1252"/>
      <c r="H1252"/>
      <c r="I1252" s="684"/>
      <c r="V1252"/>
      <c r="W1252"/>
      <c r="Y1252"/>
      <c r="Z1252"/>
      <c r="AA1252"/>
      <c r="AD1252"/>
      <c r="AE1252"/>
      <c r="AF1252"/>
      <c r="AH1252"/>
      <c r="AI1252"/>
      <c r="AJ1252"/>
      <c r="AM1252"/>
    </row>
    <row r="1253" spans="3:39" x14ac:dyDescent="0.2">
      <c r="C1253"/>
      <c r="D1253"/>
      <c r="E1253"/>
      <c r="F1253"/>
      <c r="G1253"/>
      <c r="H1253"/>
      <c r="I1253" s="684"/>
      <c r="V1253"/>
      <c r="W1253"/>
      <c r="Y1253"/>
      <c r="Z1253"/>
      <c r="AA1253"/>
      <c r="AD1253"/>
      <c r="AE1253"/>
      <c r="AF1253"/>
      <c r="AH1253"/>
      <c r="AI1253"/>
      <c r="AJ1253"/>
      <c r="AM1253"/>
    </row>
    <row r="1254" spans="3:39" x14ac:dyDescent="0.2">
      <c r="C1254"/>
      <c r="D1254"/>
      <c r="E1254"/>
      <c r="F1254"/>
      <c r="G1254"/>
      <c r="H1254"/>
      <c r="I1254" s="684"/>
      <c r="V1254"/>
      <c r="W1254"/>
      <c r="Y1254"/>
      <c r="Z1254"/>
      <c r="AA1254"/>
      <c r="AD1254"/>
      <c r="AE1254"/>
      <c r="AF1254"/>
      <c r="AH1254"/>
      <c r="AI1254"/>
      <c r="AJ1254"/>
      <c r="AM1254"/>
    </row>
    <row r="1255" spans="3:39" x14ac:dyDescent="0.2">
      <c r="C1255"/>
      <c r="D1255"/>
      <c r="E1255"/>
      <c r="F1255"/>
      <c r="G1255"/>
      <c r="H1255"/>
      <c r="I1255" s="684"/>
      <c r="V1255"/>
      <c r="W1255"/>
      <c r="Y1255"/>
      <c r="Z1255"/>
      <c r="AA1255"/>
      <c r="AD1255"/>
      <c r="AE1255"/>
      <c r="AF1255"/>
      <c r="AH1255"/>
      <c r="AI1255"/>
      <c r="AJ1255"/>
      <c r="AM1255"/>
    </row>
    <row r="1256" spans="3:39" x14ac:dyDescent="0.2">
      <c r="C1256"/>
      <c r="D1256"/>
      <c r="E1256"/>
      <c r="F1256"/>
      <c r="G1256"/>
      <c r="H1256"/>
      <c r="I1256" s="684"/>
      <c r="V1256"/>
      <c r="W1256"/>
      <c r="Y1256"/>
      <c r="Z1256"/>
      <c r="AA1256"/>
      <c r="AD1256"/>
      <c r="AE1256"/>
      <c r="AF1256"/>
      <c r="AH1256"/>
      <c r="AI1256"/>
      <c r="AJ1256"/>
      <c r="AM1256"/>
    </row>
    <row r="1257" spans="3:39" x14ac:dyDescent="0.2">
      <c r="C1257"/>
      <c r="D1257"/>
      <c r="E1257"/>
      <c r="F1257"/>
      <c r="G1257"/>
      <c r="H1257"/>
      <c r="I1257" s="684"/>
      <c r="V1257"/>
      <c r="W1257"/>
      <c r="Y1257"/>
      <c r="Z1257"/>
      <c r="AA1257"/>
      <c r="AD1257"/>
      <c r="AE1257"/>
      <c r="AF1257"/>
      <c r="AH1257"/>
      <c r="AI1257"/>
      <c r="AJ1257"/>
      <c r="AM1257"/>
    </row>
    <row r="1258" spans="3:39" x14ac:dyDescent="0.2">
      <c r="C1258"/>
      <c r="D1258"/>
      <c r="E1258"/>
      <c r="F1258"/>
      <c r="G1258"/>
      <c r="H1258"/>
      <c r="I1258" s="684"/>
      <c r="V1258"/>
      <c r="W1258"/>
      <c r="Y1258"/>
      <c r="Z1258"/>
      <c r="AA1258"/>
      <c r="AD1258"/>
      <c r="AE1258"/>
      <c r="AF1258"/>
      <c r="AH1258"/>
      <c r="AI1258"/>
      <c r="AJ1258"/>
      <c r="AM1258"/>
    </row>
    <row r="1259" spans="3:39" x14ac:dyDescent="0.2">
      <c r="C1259"/>
      <c r="D1259"/>
      <c r="E1259"/>
      <c r="F1259"/>
      <c r="G1259"/>
      <c r="H1259"/>
      <c r="I1259" s="684"/>
      <c r="V1259"/>
      <c r="W1259"/>
      <c r="Y1259"/>
      <c r="Z1259"/>
      <c r="AA1259"/>
      <c r="AD1259"/>
      <c r="AE1259"/>
      <c r="AF1259"/>
      <c r="AH1259"/>
      <c r="AI1259"/>
      <c r="AJ1259"/>
      <c r="AM1259"/>
    </row>
    <row r="1260" spans="3:39" x14ac:dyDescent="0.2">
      <c r="C1260"/>
      <c r="D1260"/>
      <c r="E1260"/>
      <c r="F1260"/>
      <c r="G1260"/>
      <c r="H1260"/>
      <c r="I1260" s="684"/>
      <c r="V1260"/>
      <c r="W1260"/>
      <c r="Y1260"/>
      <c r="Z1260"/>
      <c r="AA1260"/>
      <c r="AD1260"/>
      <c r="AE1260"/>
      <c r="AF1260"/>
      <c r="AH1260"/>
      <c r="AI1260"/>
      <c r="AJ1260"/>
      <c r="AM1260"/>
    </row>
    <row r="1261" spans="3:39" x14ac:dyDescent="0.2">
      <c r="C1261"/>
      <c r="D1261"/>
      <c r="E1261"/>
      <c r="F1261"/>
      <c r="G1261"/>
      <c r="H1261"/>
      <c r="I1261" s="684"/>
      <c r="V1261"/>
      <c r="W1261"/>
      <c r="Y1261"/>
      <c r="Z1261"/>
      <c r="AA1261"/>
      <c r="AD1261"/>
      <c r="AE1261"/>
      <c r="AF1261"/>
      <c r="AH1261"/>
      <c r="AI1261"/>
      <c r="AJ1261"/>
      <c r="AM1261"/>
    </row>
    <row r="1262" spans="3:39" x14ac:dyDescent="0.2">
      <c r="C1262"/>
      <c r="D1262"/>
      <c r="E1262"/>
      <c r="F1262"/>
      <c r="G1262"/>
      <c r="H1262"/>
      <c r="I1262" s="684"/>
      <c r="V1262"/>
      <c r="W1262"/>
      <c r="Y1262"/>
      <c r="Z1262"/>
      <c r="AA1262"/>
      <c r="AD1262"/>
      <c r="AE1262"/>
      <c r="AF1262"/>
      <c r="AH1262"/>
      <c r="AI1262"/>
      <c r="AJ1262"/>
      <c r="AM1262"/>
    </row>
    <row r="1263" spans="3:39" x14ac:dyDescent="0.2">
      <c r="C1263"/>
      <c r="D1263"/>
      <c r="E1263"/>
      <c r="F1263"/>
      <c r="G1263"/>
      <c r="H1263"/>
      <c r="I1263" s="684"/>
      <c r="V1263"/>
      <c r="W1263"/>
      <c r="Y1263"/>
      <c r="Z1263"/>
      <c r="AA1263"/>
      <c r="AD1263"/>
      <c r="AE1263"/>
      <c r="AF1263"/>
      <c r="AH1263"/>
      <c r="AI1263"/>
      <c r="AJ1263"/>
      <c r="AM1263"/>
    </row>
    <row r="1264" spans="3:39" x14ac:dyDescent="0.2">
      <c r="C1264"/>
      <c r="D1264"/>
      <c r="E1264"/>
      <c r="F1264"/>
      <c r="G1264"/>
      <c r="H1264"/>
      <c r="I1264" s="684"/>
      <c r="V1264"/>
      <c r="W1264"/>
      <c r="Y1264"/>
      <c r="Z1264"/>
      <c r="AA1264"/>
      <c r="AD1264"/>
      <c r="AE1264"/>
      <c r="AF1264"/>
      <c r="AH1264"/>
      <c r="AI1264"/>
      <c r="AJ1264"/>
      <c r="AM1264"/>
    </row>
    <row r="1265" spans="3:39" x14ac:dyDescent="0.2">
      <c r="C1265"/>
      <c r="D1265"/>
      <c r="E1265"/>
      <c r="F1265"/>
      <c r="G1265"/>
      <c r="H1265"/>
      <c r="I1265" s="684"/>
      <c r="V1265"/>
      <c r="W1265"/>
      <c r="Y1265"/>
      <c r="Z1265"/>
      <c r="AA1265"/>
      <c r="AD1265"/>
      <c r="AE1265"/>
      <c r="AF1265"/>
      <c r="AH1265"/>
      <c r="AI1265"/>
      <c r="AJ1265"/>
      <c r="AM1265"/>
    </row>
    <row r="1266" spans="3:39" x14ac:dyDescent="0.2">
      <c r="C1266"/>
      <c r="D1266"/>
      <c r="E1266"/>
      <c r="F1266"/>
      <c r="G1266"/>
      <c r="H1266"/>
      <c r="I1266" s="684"/>
      <c r="V1266"/>
      <c r="W1266"/>
      <c r="Y1266"/>
      <c r="Z1266"/>
      <c r="AA1266"/>
      <c r="AD1266"/>
      <c r="AE1266"/>
      <c r="AF1266"/>
      <c r="AH1266"/>
      <c r="AI1266"/>
      <c r="AJ1266"/>
      <c r="AM1266"/>
    </row>
    <row r="1267" spans="3:39" x14ac:dyDescent="0.2">
      <c r="C1267"/>
      <c r="D1267"/>
      <c r="E1267"/>
      <c r="F1267"/>
      <c r="G1267"/>
      <c r="H1267"/>
      <c r="I1267" s="684"/>
      <c r="V1267"/>
      <c r="W1267"/>
      <c r="Y1267"/>
      <c r="Z1267"/>
      <c r="AA1267"/>
      <c r="AD1267"/>
      <c r="AE1267"/>
      <c r="AF1267"/>
      <c r="AH1267"/>
      <c r="AI1267"/>
      <c r="AJ1267"/>
      <c r="AM1267"/>
    </row>
    <row r="1268" spans="3:39" x14ac:dyDescent="0.2">
      <c r="C1268"/>
      <c r="D1268"/>
      <c r="E1268"/>
      <c r="F1268"/>
      <c r="G1268"/>
      <c r="H1268"/>
      <c r="I1268" s="684"/>
      <c r="V1268"/>
      <c r="W1268"/>
      <c r="Y1268"/>
      <c r="Z1268"/>
      <c r="AA1268"/>
      <c r="AD1268"/>
      <c r="AE1268"/>
      <c r="AF1268"/>
      <c r="AH1268"/>
      <c r="AI1268"/>
      <c r="AJ1268"/>
      <c r="AM1268"/>
    </row>
    <row r="1269" spans="3:39" x14ac:dyDescent="0.2">
      <c r="C1269"/>
      <c r="D1269"/>
      <c r="E1269"/>
      <c r="F1269"/>
      <c r="G1269"/>
      <c r="H1269"/>
      <c r="I1269" s="684"/>
      <c r="V1269"/>
      <c r="W1269"/>
      <c r="Y1269"/>
      <c r="Z1269"/>
      <c r="AA1269"/>
      <c r="AD1269"/>
      <c r="AE1269"/>
      <c r="AF1269"/>
      <c r="AH1269"/>
      <c r="AI1269"/>
      <c r="AJ1269"/>
      <c r="AM1269"/>
    </row>
    <row r="1270" spans="3:39" x14ac:dyDescent="0.2">
      <c r="C1270"/>
      <c r="D1270"/>
      <c r="E1270"/>
      <c r="F1270"/>
      <c r="G1270"/>
      <c r="H1270"/>
      <c r="I1270" s="684"/>
      <c r="V1270"/>
      <c r="W1270"/>
      <c r="Y1270"/>
      <c r="Z1270"/>
      <c r="AA1270"/>
      <c r="AD1270"/>
      <c r="AE1270"/>
      <c r="AF1270"/>
      <c r="AH1270"/>
      <c r="AI1270"/>
      <c r="AJ1270"/>
      <c r="AM1270"/>
    </row>
    <row r="1271" spans="3:39" x14ac:dyDescent="0.2">
      <c r="C1271"/>
      <c r="D1271"/>
      <c r="E1271"/>
      <c r="F1271"/>
      <c r="G1271"/>
      <c r="H1271"/>
      <c r="I1271" s="684"/>
      <c r="V1271"/>
      <c r="W1271"/>
      <c r="Y1271"/>
      <c r="Z1271"/>
      <c r="AA1271"/>
      <c r="AD1271"/>
      <c r="AE1271"/>
      <c r="AF1271"/>
      <c r="AH1271"/>
      <c r="AI1271"/>
      <c r="AJ1271"/>
      <c r="AM1271"/>
    </row>
    <row r="1272" spans="3:39" x14ac:dyDescent="0.2">
      <c r="C1272"/>
      <c r="D1272"/>
      <c r="E1272"/>
      <c r="F1272"/>
      <c r="G1272"/>
      <c r="H1272"/>
      <c r="I1272" s="684"/>
      <c r="V1272"/>
      <c r="W1272"/>
      <c r="Y1272"/>
      <c r="Z1272"/>
      <c r="AA1272"/>
      <c r="AD1272"/>
      <c r="AE1272"/>
      <c r="AF1272"/>
      <c r="AH1272"/>
      <c r="AI1272"/>
      <c r="AJ1272"/>
      <c r="AM1272"/>
    </row>
    <row r="1273" spans="3:39" x14ac:dyDescent="0.2">
      <c r="C1273"/>
      <c r="D1273"/>
      <c r="E1273"/>
      <c r="F1273"/>
      <c r="G1273"/>
      <c r="H1273"/>
      <c r="I1273" s="684"/>
      <c r="V1273"/>
      <c r="W1273"/>
      <c r="Y1273"/>
      <c r="Z1273"/>
      <c r="AA1273"/>
      <c r="AD1273"/>
      <c r="AE1273"/>
      <c r="AF1273"/>
      <c r="AH1273"/>
      <c r="AI1273"/>
      <c r="AJ1273"/>
      <c r="AM1273"/>
    </row>
    <row r="1274" spans="3:39" x14ac:dyDescent="0.2">
      <c r="C1274"/>
      <c r="D1274"/>
      <c r="E1274"/>
      <c r="F1274"/>
      <c r="G1274"/>
      <c r="H1274"/>
      <c r="I1274" s="684"/>
      <c r="V1274"/>
      <c r="W1274"/>
      <c r="Y1274"/>
      <c r="Z1274"/>
      <c r="AA1274"/>
      <c r="AD1274"/>
      <c r="AE1274"/>
      <c r="AF1274"/>
      <c r="AH1274"/>
      <c r="AI1274"/>
      <c r="AJ1274"/>
      <c r="AM1274"/>
    </row>
    <row r="1275" spans="3:39" x14ac:dyDescent="0.2">
      <c r="C1275"/>
      <c r="D1275"/>
      <c r="E1275"/>
      <c r="F1275"/>
      <c r="G1275"/>
      <c r="H1275"/>
      <c r="I1275" s="684"/>
      <c r="V1275"/>
      <c r="W1275"/>
      <c r="Y1275"/>
      <c r="Z1275"/>
      <c r="AA1275"/>
      <c r="AD1275"/>
      <c r="AE1275"/>
      <c r="AF1275"/>
      <c r="AH1275"/>
      <c r="AI1275"/>
      <c r="AJ1275"/>
      <c r="AM1275"/>
    </row>
    <row r="1276" spans="3:39" x14ac:dyDescent="0.2">
      <c r="C1276"/>
      <c r="D1276"/>
      <c r="E1276"/>
      <c r="F1276"/>
      <c r="G1276"/>
      <c r="H1276"/>
      <c r="I1276" s="684"/>
      <c r="V1276"/>
      <c r="W1276"/>
      <c r="Y1276"/>
      <c r="Z1276"/>
      <c r="AA1276"/>
      <c r="AD1276"/>
      <c r="AE1276"/>
      <c r="AF1276"/>
      <c r="AH1276"/>
      <c r="AI1276"/>
      <c r="AJ1276"/>
      <c r="AM1276"/>
    </row>
    <row r="1277" spans="3:39" x14ac:dyDescent="0.2">
      <c r="C1277"/>
      <c r="D1277"/>
      <c r="E1277"/>
      <c r="F1277"/>
      <c r="G1277"/>
      <c r="H1277"/>
      <c r="I1277" s="684"/>
      <c r="V1277"/>
      <c r="W1277"/>
      <c r="Y1277"/>
      <c r="Z1277"/>
      <c r="AA1277"/>
      <c r="AD1277"/>
      <c r="AE1277"/>
      <c r="AF1277"/>
      <c r="AH1277"/>
      <c r="AI1277"/>
      <c r="AJ1277"/>
      <c r="AM1277"/>
    </row>
    <row r="1278" spans="3:39" x14ac:dyDescent="0.2">
      <c r="C1278"/>
      <c r="D1278"/>
      <c r="E1278"/>
      <c r="F1278"/>
      <c r="G1278"/>
      <c r="H1278"/>
      <c r="I1278" s="684"/>
      <c r="V1278"/>
      <c r="W1278"/>
      <c r="Y1278"/>
      <c r="Z1278"/>
      <c r="AA1278"/>
      <c r="AD1278"/>
      <c r="AE1278"/>
      <c r="AF1278"/>
      <c r="AH1278"/>
      <c r="AI1278"/>
      <c r="AJ1278"/>
      <c r="AM1278"/>
    </row>
    <row r="1279" spans="3:39" x14ac:dyDescent="0.2">
      <c r="C1279"/>
      <c r="D1279"/>
      <c r="E1279"/>
      <c r="F1279"/>
      <c r="G1279"/>
      <c r="H1279"/>
      <c r="I1279" s="684"/>
      <c r="V1279"/>
      <c r="W1279"/>
      <c r="Y1279"/>
      <c r="Z1279"/>
      <c r="AA1279"/>
      <c r="AD1279"/>
      <c r="AE1279"/>
      <c r="AF1279"/>
      <c r="AH1279"/>
      <c r="AI1279"/>
      <c r="AJ1279"/>
      <c r="AM1279"/>
    </row>
    <row r="1280" spans="3:39" x14ac:dyDescent="0.2">
      <c r="C1280"/>
      <c r="D1280"/>
      <c r="E1280"/>
      <c r="F1280"/>
      <c r="G1280"/>
      <c r="H1280"/>
      <c r="I1280" s="684"/>
      <c r="V1280"/>
      <c r="W1280"/>
      <c r="Y1280"/>
      <c r="Z1280"/>
      <c r="AA1280"/>
      <c r="AD1280"/>
      <c r="AE1280"/>
      <c r="AF1280"/>
      <c r="AH1280"/>
      <c r="AI1280"/>
      <c r="AJ1280"/>
      <c r="AM1280"/>
    </row>
    <row r="1281" spans="3:39" x14ac:dyDescent="0.2">
      <c r="C1281"/>
      <c r="D1281"/>
      <c r="E1281"/>
      <c r="F1281"/>
      <c r="G1281"/>
      <c r="H1281"/>
      <c r="I1281" s="684"/>
      <c r="V1281"/>
      <c r="W1281"/>
      <c r="Y1281"/>
      <c r="Z1281"/>
      <c r="AA1281"/>
      <c r="AD1281"/>
      <c r="AE1281"/>
      <c r="AF1281"/>
      <c r="AH1281"/>
      <c r="AI1281"/>
      <c r="AJ1281"/>
      <c r="AM1281"/>
    </row>
    <row r="1282" spans="3:39" x14ac:dyDescent="0.2">
      <c r="C1282"/>
      <c r="D1282"/>
      <c r="E1282"/>
      <c r="F1282"/>
      <c r="G1282"/>
      <c r="H1282"/>
      <c r="I1282" s="684"/>
      <c r="V1282"/>
      <c r="W1282"/>
      <c r="Y1282"/>
      <c r="Z1282"/>
      <c r="AA1282"/>
      <c r="AD1282"/>
      <c r="AE1282"/>
      <c r="AF1282"/>
      <c r="AH1282"/>
      <c r="AI1282"/>
      <c r="AJ1282"/>
      <c r="AM1282"/>
    </row>
    <row r="1283" spans="3:39" x14ac:dyDescent="0.2">
      <c r="C1283"/>
      <c r="D1283"/>
      <c r="E1283"/>
      <c r="F1283"/>
      <c r="G1283"/>
      <c r="H1283"/>
      <c r="I1283" s="684"/>
      <c r="V1283"/>
      <c r="W1283"/>
      <c r="Y1283"/>
      <c r="Z1283"/>
      <c r="AA1283"/>
      <c r="AD1283"/>
      <c r="AE1283"/>
      <c r="AF1283"/>
      <c r="AH1283"/>
      <c r="AI1283"/>
      <c r="AJ1283"/>
      <c r="AM1283"/>
    </row>
    <row r="1284" spans="3:39" x14ac:dyDescent="0.2">
      <c r="C1284"/>
      <c r="D1284"/>
      <c r="E1284"/>
      <c r="F1284"/>
      <c r="G1284"/>
      <c r="H1284"/>
      <c r="I1284" s="684"/>
      <c r="V1284"/>
      <c r="W1284"/>
      <c r="Y1284"/>
      <c r="Z1284"/>
      <c r="AA1284"/>
      <c r="AD1284"/>
      <c r="AE1284"/>
      <c r="AF1284"/>
      <c r="AH1284"/>
      <c r="AI1284"/>
      <c r="AJ1284"/>
      <c r="AM1284"/>
    </row>
    <row r="1285" spans="3:39" x14ac:dyDescent="0.2">
      <c r="C1285"/>
      <c r="D1285"/>
      <c r="E1285"/>
      <c r="F1285"/>
      <c r="G1285"/>
      <c r="H1285"/>
      <c r="I1285" s="684"/>
      <c r="V1285"/>
      <c r="W1285"/>
      <c r="Y1285"/>
      <c r="Z1285"/>
      <c r="AA1285"/>
      <c r="AD1285"/>
      <c r="AE1285"/>
      <c r="AF1285"/>
      <c r="AH1285"/>
      <c r="AI1285"/>
      <c r="AJ1285"/>
      <c r="AM1285"/>
    </row>
    <row r="1286" spans="3:39" x14ac:dyDescent="0.2">
      <c r="C1286"/>
      <c r="D1286"/>
      <c r="E1286"/>
      <c r="F1286"/>
      <c r="G1286"/>
      <c r="H1286"/>
      <c r="I1286" s="684"/>
      <c r="V1286"/>
      <c r="W1286"/>
      <c r="Y1286"/>
      <c r="Z1286"/>
      <c r="AA1286"/>
      <c r="AD1286"/>
      <c r="AE1286"/>
      <c r="AF1286"/>
      <c r="AH1286"/>
      <c r="AI1286"/>
      <c r="AJ1286"/>
      <c r="AM1286"/>
    </row>
    <row r="1287" spans="3:39" x14ac:dyDescent="0.2">
      <c r="C1287"/>
      <c r="D1287"/>
      <c r="E1287"/>
      <c r="F1287"/>
      <c r="G1287"/>
      <c r="H1287"/>
      <c r="I1287" s="684"/>
      <c r="V1287"/>
      <c r="W1287"/>
      <c r="Y1287"/>
      <c r="Z1287"/>
      <c r="AA1287"/>
      <c r="AD1287"/>
      <c r="AE1287"/>
      <c r="AF1287"/>
      <c r="AH1287"/>
      <c r="AI1287"/>
      <c r="AJ1287"/>
      <c r="AM1287"/>
    </row>
    <row r="1288" spans="3:39" x14ac:dyDescent="0.2">
      <c r="C1288"/>
      <c r="D1288"/>
      <c r="E1288"/>
      <c r="F1288"/>
      <c r="G1288"/>
      <c r="H1288"/>
      <c r="I1288" s="684"/>
      <c r="V1288"/>
      <c r="W1288"/>
      <c r="Y1288"/>
      <c r="Z1288"/>
      <c r="AA1288"/>
      <c r="AD1288"/>
      <c r="AE1288"/>
      <c r="AF1288"/>
      <c r="AH1288"/>
      <c r="AI1288"/>
      <c r="AJ1288"/>
      <c r="AM1288"/>
    </row>
    <row r="1289" spans="3:39" x14ac:dyDescent="0.2">
      <c r="C1289"/>
      <c r="D1289"/>
      <c r="E1289"/>
      <c r="F1289"/>
      <c r="G1289"/>
      <c r="H1289"/>
      <c r="I1289" s="684"/>
      <c r="V1289"/>
      <c r="W1289"/>
      <c r="Y1289"/>
      <c r="Z1289"/>
      <c r="AA1289"/>
      <c r="AD1289"/>
      <c r="AE1289"/>
      <c r="AF1289"/>
      <c r="AH1289"/>
      <c r="AI1289"/>
      <c r="AJ1289"/>
      <c r="AM1289"/>
    </row>
    <row r="1290" spans="3:39" x14ac:dyDescent="0.2">
      <c r="C1290"/>
      <c r="D1290"/>
      <c r="E1290"/>
      <c r="F1290"/>
      <c r="G1290"/>
      <c r="H1290"/>
      <c r="I1290" s="684"/>
      <c r="V1290"/>
      <c r="W1290"/>
      <c r="Y1290"/>
      <c r="Z1290"/>
      <c r="AA1290"/>
      <c r="AD1290"/>
      <c r="AE1290"/>
      <c r="AF1290"/>
      <c r="AH1290"/>
      <c r="AI1290"/>
      <c r="AJ1290"/>
      <c r="AM1290"/>
    </row>
    <row r="1291" spans="3:39" x14ac:dyDescent="0.2">
      <c r="C1291"/>
      <c r="D1291"/>
      <c r="E1291"/>
      <c r="F1291"/>
      <c r="G1291"/>
      <c r="H1291"/>
      <c r="I1291" s="684"/>
      <c r="V1291"/>
      <c r="W1291"/>
      <c r="Y1291"/>
      <c r="Z1291"/>
      <c r="AA1291"/>
      <c r="AD1291"/>
      <c r="AE1291"/>
      <c r="AF1291"/>
      <c r="AH1291"/>
      <c r="AI1291"/>
      <c r="AJ1291"/>
      <c r="AM1291"/>
    </row>
    <row r="1292" spans="3:39" x14ac:dyDescent="0.2">
      <c r="C1292"/>
      <c r="D1292"/>
      <c r="E1292"/>
      <c r="F1292"/>
      <c r="G1292"/>
      <c r="H1292"/>
      <c r="I1292" s="684"/>
      <c r="V1292"/>
      <c r="W1292"/>
      <c r="Y1292"/>
      <c r="Z1292"/>
      <c r="AA1292"/>
      <c r="AD1292"/>
      <c r="AE1292"/>
      <c r="AF1292"/>
      <c r="AH1292"/>
      <c r="AI1292"/>
      <c r="AJ1292"/>
      <c r="AM1292"/>
    </row>
    <row r="1293" spans="3:39" x14ac:dyDescent="0.2">
      <c r="C1293"/>
      <c r="D1293"/>
      <c r="E1293"/>
      <c r="F1293"/>
      <c r="G1293"/>
      <c r="H1293"/>
      <c r="I1293" s="684"/>
      <c r="V1293"/>
      <c r="W1293"/>
      <c r="Y1293"/>
      <c r="Z1293"/>
      <c r="AA1293"/>
      <c r="AD1293"/>
      <c r="AE1293"/>
      <c r="AF1293"/>
      <c r="AH1293"/>
      <c r="AI1293"/>
      <c r="AJ1293"/>
      <c r="AM1293"/>
    </row>
    <row r="1294" spans="3:39" x14ac:dyDescent="0.2">
      <c r="C1294"/>
      <c r="D1294"/>
      <c r="E1294"/>
      <c r="F1294"/>
      <c r="G1294"/>
      <c r="H1294"/>
      <c r="I1294" s="684"/>
      <c r="V1294"/>
      <c r="W1294"/>
      <c r="Y1294"/>
      <c r="Z1294"/>
      <c r="AA1294"/>
      <c r="AD1294"/>
      <c r="AE1294"/>
      <c r="AF1294"/>
      <c r="AH1294"/>
      <c r="AI1294"/>
      <c r="AJ1294"/>
      <c r="AM1294"/>
    </row>
    <row r="1295" spans="3:39" x14ac:dyDescent="0.2">
      <c r="C1295"/>
      <c r="D1295"/>
      <c r="E1295"/>
      <c r="F1295"/>
      <c r="G1295"/>
      <c r="H1295"/>
      <c r="I1295" s="684"/>
      <c r="V1295"/>
      <c r="W1295"/>
      <c r="Y1295"/>
      <c r="Z1295"/>
      <c r="AA1295"/>
      <c r="AD1295"/>
      <c r="AE1295"/>
      <c r="AF1295"/>
      <c r="AH1295"/>
      <c r="AI1295"/>
      <c r="AJ1295"/>
      <c r="AM1295"/>
    </row>
    <row r="1296" spans="3:39" x14ac:dyDescent="0.2">
      <c r="C1296"/>
      <c r="D1296"/>
      <c r="E1296"/>
      <c r="F1296"/>
      <c r="G1296"/>
      <c r="H1296"/>
      <c r="I1296" s="684"/>
      <c r="V1296"/>
      <c r="W1296"/>
      <c r="Y1296"/>
      <c r="Z1296"/>
      <c r="AA1296"/>
      <c r="AD1296"/>
      <c r="AE1296"/>
      <c r="AF1296"/>
      <c r="AH1296"/>
      <c r="AI1296"/>
      <c r="AJ1296"/>
      <c r="AM1296"/>
    </row>
    <row r="1297" spans="3:39" x14ac:dyDescent="0.2">
      <c r="C1297"/>
      <c r="D1297"/>
      <c r="E1297"/>
      <c r="F1297"/>
      <c r="G1297"/>
      <c r="H1297"/>
      <c r="I1297" s="684"/>
      <c r="V1297"/>
      <c r="W1297"/>
      <c r="Y1297"/>
      <c r="Z1297"/>
      <c r="AA1297"/>
      <c r="AD1297"/>
      <c r="AE1297"/>
      <c r="AF1297"/>
      <c r="AH1297"/>
      <c r="AI1297"/>
      <c r="AJ1297"/>
      <c r="AM1297"/>
    </row>
    <row r="1298" spans="3:39" x14ac:dyDescent="0.2">
      <c r="C1298"/>
      <c r="D1298"/>
      <c r="E1298"/>
      <c r="F1298"/>
      <c r="G1298"/>
      <c r="H1298"/>
      <c r="I1298" s="684"/>
      <c r="V1298"/>
      <c r="W1298"/>
      <c r="Y1298"/>
      <c r="Z1298"/>
      <c r="AA1298"/>
      <c r="AD1298"/>
      <c r="AE1298"/>
      <c r="AF1298"/>
      <c r="AH1298"/>
      <c r="AI1298"/>
      <c r="AJ1298"/>
      <c r="AM1298"/>
    </row>
    <row r="1299" spans="3:39" x14ac:dyDescent="0.2">
      <c r="C1299"/>
      <c r="D1299"/>
      <c r="E1299"/>
      <c r="F1299"/>
      <c r="G1299"/>
      <c r="H1299"/>
      <c r="I1299" s="684"/>
      <c r="V1299"/>
      <c r="W1299"/>
      <c r="Y1299"/>
      <c r="Z1299"/>
      <c r="AA1299"/>
      <c r="AD1299"/>
      <c r="AE1299"/>
      <c r="AF1299"/>
      <c r="AH1299"/>
      <c r="AI1299"/>
      <c r="AJ1299"/>
      <c r="AM1299"/>
    </row>
    <row r="1300" spans="3:39" x14ac:dyDescent="0.2">
      <c r="C1300"/>
      <c r="D1300"/>
      <c r="E1300"/>
      <c r="F1300"/>
      <c r="G1300"/>
      <c r="H1300"/>
      <c r="I1300" s="684"/>
      <c r="V1300"/>
      <c r="W1300"/>
      <c r="Y1300"/>
      <c r="Z1300"/>
      <c r="AA1300"/>
      <c r="AD1300"/>
      <c r="AE1300"/>
      <c r="AF1300"/>
      <c r="AH1300"/>
      <c r="AI1300"/>
      <c r="AJ1300"/>
      <c r="AM1300"/>
    </row>
    <row r="1301" spans="3:39" x14ac:dyDescent="0.2">
      <c r="C1301"/>
      <c r="D1301"/>
      <c r="E1301"/>
      <c r="F1301"/>
      <c r="G1301"/>
      <c r="H1301"/>
      <c r="I1301" s="684"/>
      <c r="V1301"/>
      <c r="W1301"/>
      <c r="Y1301"/>
      <c r="Z1301"/>
      <c r="AA1301"/>
      <c r="AD1301"/>
      <c r="AE1301"/>
      <c r="AF1301"/>
      <c r="AH1301"/>
      <c r="AI1301"/>
      <c r="AJ1301"/>
      <c r="AM1301"/>
    </row>
    <row r="1302" spans="3:39" x14ac:dyDescent="0.2">
      <c r="C1302"/>
      <c r="D1302"/>
      <c r="E1302"/>
      <c r="F1302"/>
      <c r="G1302"/>
      <c r="H1302"/>
      <c r="I1302" s="684"/>
      <c r="V1302"/>
      <c r="W1302"/>
      <c r="Y1302"/>
      <c r="Z1302"/>
      <c r="AA1302"/>
      <c r="AD1302"/>
      <c r="AE1302"/>
      <c r="AF1302"/>
      <c r="AH1302"/>
      <c r="AI1302"/>
      <c r="AJ1302"/>
      <c r="AM1302"/>
    </row>
    <row r="1303" spans="3:39" x14ac:dyDescent="0.2">
      <c r="C1303"/>
      <c r="D1303"/>
      <c r="E1303"/>
      <c r="F1303"/>
      <c r="G1303"/>
      <c r="H1303"/>
      <c r="I1303" s="684"/>
      <c r="V1303"/>
      <c r="W1303"/>
      <c r="Y1303"/>
      <c r="Z1303"/>
      <c r="AA1303"/>
      <c r="AD1303"/>
      <c r="AE1303"/>
      <c r="AF1303"/>
      <c r="AH1303"/>
      <c r="AI1303"/>
      <c r="AJ1303"/>
      <c r="AM1303"/>
    </row>
    <row r="1304" spans="3:39" x14ac:dyDescent="0.2">
      <c r="C1304"/>
      <c r="D1304"/>
      <c r="E1304"/>
      <c r="F1304"/>
      <c r="G1304"/>
      <c r="H1304"/>
      <c r="I1304" s="684"/>
      <c r="V1304"/>
      <c r="W1304"/>
      <c r="Y1304"/>
      <c r="Z1304"/>
      <c r="AA1304"/>
      <c r="AD1304"/>
      <c r="AE1304"/>
      <c r="AF1304"/>
      <c r="AH1304"/>
      <c r="AI1304"/>
      <c r="AJ1304"/>
      <c r="AM1304"/>
    </row>
    <row r="1305" spans="3:39" x14ac:dyDescent="0.2">
      <c r="C1305"/>
      <c r="D1305"/>
      <c r="E1305"/>
      <c r="F1305"/>
      <c r="G1305"/>
      <c r="H1305"/>
      <c r="I1305" s="684"/>
      <c r="V1305"/>
      <c r="W1305"/>
      <c r="Y1305"/>
      <c r="Z1305"/>
      <c r="AA1305"/>
      <c r="AD1305"/>
      <c r="AE1305"/>
      <c r="AF1305"/>
      <c r="AH1305"/>
      <c r="AI1305"/>
      <c r="AJ1305"/>
      <c r="AM1305"/>
    </row>
    <row r="1306" spans="3:39" x14ac:dyDescent="0.2">
      <c r="C1306"/>
      <c r="D1306"/>
      <c r="E1306"/>
      <c r="F1306"/>
      <c r="G1306"/>
      <c r="H1306"/>
      <c r="I1306" s="684"/>
      <c r="V1306"/>
      <c r="W1306"/>
      <c r="Y1306"/>
      <c r="Z1306"/>
      <c r="AA1306"/>
      <c r="AD1306"/>
      <c r="AE1306"/>
      <c r="AF1306"/>
      <c r="AH1306"/>
      <c r="AI1306"/>
      <c r="AJ1306"/>
      <c r="AM1306"/>
    </row>
    <row r="1307" spans="3:39" x14ac:dyDescent="0.2">
      <c r="C1307"/>
      <c r="D1307"/>
      <c r="E1307"/>
      <c r="F1307"/>
      <c r="G1307"/>
      <c r="H1307"/>
      <c r="I1307" s="684"/>
      <c r="V1307"/>
      <c r="W1307"/>
      <c r="Y1307"/>
      <c r="Z1307"/>
      <c r="AA1307"/>
      <c r="AD1307"/>
      <c r="AE1307"/>
      <c r="AF1307"/>
      <c r="AH1307"/>
      <c r="AI1307"/>
      <c r="AJ1307"/>
      <c r="AM1307"/>
    </row>
    <row r="1308" spans="3:39" x14ac:dyDescent="0.2">
      <c r="C1308"/>
      <c r="D1308"/>
      <c r="E1308"/>
      <c r="F1308"/>
      <c r="G1308"/>
      <c r="H1308"/>
      <c r="I1308" s="684"/>
      <c r="V1308"/>
      <c r="W1308"/>
      <c r="Y1308"/>
      <c r="Z1308"/>
      <c r="AA1308"/>
      <c r="AD1308"/>
      <c r="AE1308"/>
      <c r="AF1308"/>
      <c r="AH1308"/>
      <c r="AI1308"/>
      <c r="AJ1308"/>
      <c r="AM1308"/>
    </row>
    <row r="1309" spans="3:39" x14ac:dyDescent="0.2">
      <c r="C1309"/>
      <c r="D1309"/>
      <c r="E1309"/>
      <c r="F1309"/>
      <c r="G1309"/>
      <c r="H1309"/>
      <c r="I1309" s="684"/>
      <c r="V1309"/>
      <c r="W1309"/>
      <c r="Y1309"/>
      <c r="Z1309"/>
      <c r="AA1309"/>
      <c r="AD1309"/>
      <c r="AE1309"/>
      <c r="AF1309"/>
      <c r="AH1309"/>
      <c r="AI1309"/>
      <c r="AJ1309"/>
      <c r="AM1309"/>
    </row>
    <row r="1310" spans="3:39" x14ac:dyDescent="0.2">
      <c r="C1310"/>
      <c r="D1310"/>
      <c r="E1310"/>
      <c r="F1310"/>
      <c r="G1310"/>
      <c r="H1310"/>
      <c r="I1310" s="684"/>
      <c r="V1310"/>
      <c r="W1310"/>
      <c r="Y1310"/>
      <c r="Z1310"/>
      <c r="AA1310"/>
      <c r="AD1310"/>
      <c r="AE1310"/>
      <c r="AF1310"/>
      <c r="AH1310"/>
      <c r="AI1310"/>
      <c r="AJ1310"/>
      <c r="AM1310"/>
    </row>
    <row r="1311" spans="3:39" x14ac:dyDescent="0.2">
      <c r="C1311"/>
      <c r="D1311"/>
      <c r="E1311"/>
      <c r="F1311"/>
      <c r="G1311"/>
      <c r="H1311"/>
      <c r="I1311" s="684"/>
      <c r="V1311"/>
      <c r="W1311"/>
      <c r="Y1311"/>
      <c r="Z1311"/>
      <c r="AA1311"/>
      <c r="AD1311"/>
      <c r="AE1311"/>
      <c r="AF1311"/>
      <c r="AH1311"/>
      <c r="AI1311"/>
      <c r="AJ1311"/>
      <c r="AM1311"/>
    </row>
    <row r="1312" spans="3:39" x14ac:dyDescent="0.2">
      <c r="C1312"/>
      <c r="D1312"/>
      <c r="E1312"/>
      <c r="F1312"/>
      <c r="G1312"/>
      <c r="H1312"/>
      <c r="I1312" s="684"/>
      <c r="V1312"/>
      <c r="W1312"/>
      <c r="Y1312"/>
      <c r="Z1312"/>
      <c r="AA1312"/>
      <c r="AD1312"/>
      <c r="AE1312"/>
      <c r="AF1312"/>
      <c r="AH1312"/>
      <c r="AI1312"/>
      <c r="AJ1312"/>
      <c r="AM1312"/>
    </row>
    <row r="1313" spans="3:39" x14ac:dyDescent="0.2">
      <c r="C1313"/>
      <c r="D1313"/>
      <c r="E1313"/>
      <c r="F1313"/>
      <c r="G1313"/>
      <c r="H1313"/>
      <c r="I1313" s="684"/>
      <c r="V1313"/>
      <c r="W1313"/>
      <c r="Y1313"/>
      <c r="Z1313"/>
      <c r="AA1313"/>
      <c r="AD1313"/>
      <c r="AE1313"/>
      <c r="AF1313"/>
      <c r="AH1313"/>
      <c r="AI1313"/>
      <c r="AJ1313"/>
      <c r="AM1313"/>
    </row>
    <row r="1314" spans="3:39" x14ac:dyDescent="0.2">
      <c r="C1314"/>
      <c r="D1314"/>
      <c r="E1314"/>
      <c r="F1314"/>
      <c r="G1314"/>
      <c r="H1314"/>
      <c r="I1314" s="684"/>
      <c r="V1314"/>
      <c r="W1314"/>
      <c r="Y1314"/>
      <c r="Z1314"/>
      <c r="AA1314"/>
      <c r="AD1314"/>
      <c r="AE1314"/>
      <c r="AF1314"/>
      <c r="AH1314"/>
      <c r="AI1314"/>
      <c r="AJ1314"/>
      <c r="AM1314"/>
    </row>
    <row r="1315" spans="3:39" x14ac:dyDescent="0.2">
      <c r="C1315"/>
      <c r="D1315"/>
      <c r="E1315"/>
      <c r="F1315"/>
      <c r="G1315"/>
      <c r="H1315"/>
      <c r="I1315" s="684"/>
      <c r="V1315"/>
      <c r="W1315"/>
      <c r="Y1315"/>
      <c r="Z1315"/>
      <c r="AA1315"/>
      <c r="AD1315"/>
      <c r="AE1315"/>
      <c r="AF1315"/>
      <c r="AH1315"/>
      <c r="AI1315"/>
      <c r="AJ1315"/>
      <c r="AM1315"/>
    </row>
    <row r="1316" spans="3:39" x14ac:dyDescent="0.2">
      <c r="C1316"/>
      <c r="D1316"/>
      <c r="E1316"/>
      <c r="F1316"/>
      <c r="G1316"/>
      <c r="H1316"/>
      <c r="I1316" s="684"/>
      <c r="V1316"/>
      <c r="W1316"/>
      <c r="Y1316"/>
      <c r="Z1316"/>
      <c r="AA1316"/>
      <c r="AD1316"/>
      <c r="AE1316"/>
      <c r="AF1316"/>
      <c r="AH1316"/>
      <c r="AI1316"/>
      <c r="AJ1316"/>
      <c r="AM1316"/>
    </row>
    <row r="1317" spans="3:39" x14ac:dyDescent="0.2">
      <c r="C1317"/>
      <c r="D1317"/>
      <c r="E1317"/>
      <c r="F1317"/>
      <c r="G1317"/>
      <c r="H1317"/>
      <c r="I1317" s="684"/>
      <c r="V1317"/>
      <c r="W1317"/>
      <c r="Y1317"/>
      <c r="Z1317"/>
      <c r="AA1317"/>
      <c r="AD1317"/>
      <c r="AE1317"/>
      <c r="AF1317"/>
      <c r="AH1317"/>
      <c r="AI1317"/>
      <c r="AJ1317"/>
      <c r="AM1317"/>
    </row>
    <row r="1318" spans="3:39" x14ac:dyDescent="0.2">
      <c r="C1318"/>
      <c r="D1318"/>
      <c r="E1318"/>
      <c r="F1318"/>
      <c r="G1318"/>
      <c r="H1318"/>
      <c r="I1318" s="684"/>
      <c r="V1318"/>
      <c r="W1318"/>
      <c r="Y1318"/>
      <c r="Z1318"/>
      <c r="AA1318"/>
      <c r="AD1318"/>
      <c r="AE1318"/>
      <c r="AF1318"/>
      <c r="AH1318"/>
      <c r="AI1318"/>
      <c r="AJ1318"/>
      <c r="AM1318"/>
    </row>
    <row r="1319" spans="3:39" x14ac:dyDescent="0.2">
      <c r="C1319"/>
      <c r="D1319"/>
      <c r="E1319"/>
      <c r="F1319"/>
      <c r="G1319"/>
      <c r="H1319"/>
      <c r="I1319" s="684"/>
      <c r="V1319"/>
      <c r="W1319"/>
      <c r="Y1319"/>
      <c r="Z1319"/>
      <c r="AA1319"/>
      <c r="AD1319"/>
      <c r="AE1319"/>
      <c r="AF1319"/>
      <c r="AH1319"/>
      <c r="AI1319"/>
      <c r="AJ1319"/>
      <c r="AM1319"/>
    </row>
    <row r="1320" spans="3:39" x14ac:dyDescent="0.2">
      <c r="C1320"/>
      <c r="D1320"/>
      <c r="E1320"/>
      <c r="F1320"/>
      <c r="G1320"/>
      <c r="H1320"/>
      <c r="I1320" s="684"/>
      <c r="V1320"/>
      <c r="W1320"/>
      <c r="Y1320"/>
      <c r="Z1320"/>
      <c r="AA1320"/>
      <c r="AD1320"/>
      <c r="AE1320"/>
      <c r="AF1320"/>
      <c r="AH1320"/>
      <c r="AI1320"/>
      <c r="AJ1320"/>
      <c r="AM1320"/>
    </row>
    <row r="1321" spans="3:39" x14ac:dyDescent="0.2">
      <c r="C1321"/>
      <c r="D1321"/>
      <c r="E1321"/>
      <c r="F1321"/>
      <c r="G1321"/>
      <c r="H1321"/>
      <c r="I1321" s="684"/>
      <c r="V1321"/>
      <c r="W1321"/>
      <c r="Y1321"/>
      <c r="Z1321"/>
      <c r="AA1321"/>
      <c r="AD1321"/>
      <c r="AE1321"/>
      <c r="AF1321"/>
      <c r="AH1321"/>
      <c r="AI1321"/>
      <c r="AJ1321"/>
      <c r="AM1321"/>
    </row>
    <row r="1322" spans="3:39" x14ac:dyDescent="0.2">
      <c r="C1322"/>
      <c r="D1322"/>
      <c r="E1322"/>
      <c r="F1322"/>
      <c r="G1322"/>
      <c r="H1322"/>
      <c r="I1322" s="684"/>
      <c r="V1322"/>
      <c r="W1322"/>
      <c r="Y1322"/>
      <c r="Z1322"/>
      <c r="AA1322"/>
      <c r="AD1322"/>
      <c r="AE1322"/>
      <c r="AF1322"/>
      <c r="AH1322"/>
      <c r="AI1322"/>
      <c r="AJ1322"/>
      <c r="AM1322"/>
    </row>
    <row r="1323" spans="3:39" x14ac:dyDescent="0.2">
      <c r="C1323"/>
      <c r="D1323"/>
      <c r="E1323"/>
      <c r="F1323"/>
      <c r="G1323"/>
      <c r="H1323"/>
      <c r="I1323" s="684"/>
      <c r="V1323"/>
      <c r="W1323"/>
      <c r="Y1323"/>
      <c r="Z1323"/>
      <c r="AA1323"/>
      <c r="AD1323"/>
      <c r="AE1323"/>
      <c r="AF1323"/>
      <c r="AH1323"/>
      <c r="AI1323"/>
      <c r="AJ1323"/>
      <c r="AM1323"/>
    </row>
    <row r="1324" spans="3:39" x14ac:dyDescent="0.2">
      <c r="C1324"/>
      <c r="D1324"/>
      <c r="E1324"/>
      <c r="F1324"/>
      <c r="G1324"/>
      <c r="H1324"/>
      <c r="I1324" s="684"/>
      <c r="V1324"/>
      <c r="W1324"/>
      <c r="Y1324"/>
      <c r="Z1324"/>
      <c r="AA1324"/>
      <c r="AD1324"/>
      <c r="AE1324"/>
      <c r="AF1324"/>
      <c r="AH1324"/>
      <c r="AI1324"/>
      <c r="AJ1324"/>
      <c r="AM1324"/>
    </row>
    <row r="1325" spans="3:39" x14ac:dyDescent="0.2">
      <c r="C1325"/>
      <c r="D1325"/>
      <c r="E1325"/>
      <c r="F1325"/>
      <c r="G1325"/>
      <c r="H1325"/>
      <c r="I1325" s="684"/>
      <c r="V1325"/>
      <c r="W1325"/>
      <c r="Y1325"/>
      <c r="Z1325"/>
      <c r="AA1325"/>
      <c r="AD1325"/>
      <c r="AE1325"/>
      <c r="AF1325"/>
      <c r="AH1325"/>
      <c r="AI1325"/>
      <c r="AJ1325"/>
      <c r="AM1325"/>
    </row>
    <row r="1326" spans="3:39" x14ac:dyDescent="0.2">
      <c r="C1326"/>
      <c r="D1326"/>
      <c r="E1326"/>
      <c r="F1326"/>
      <c r="G1326"/>
      <c r="H1326"/>
      <c r="I1326" s="684"/>
      <c r="V1326"/>
      <c r="W1326"/>
      <c r="Y1326"/>
      <c r="Z1326"/>
      <c r="AA1326"/>
      <c r="AD1326"/>
      <c r="AE1326"/>
      <c r="AF1326"/>
      <c r="AH1326"/>
      <c r="AI1326"/>
      <c r="AJ1326"/>
      <c r="AM1326"/>
    </row>
    <row r="1327" spans="3:39" x14ac:dyDescent="0.2">
      <c r="C1327"/>
      <c r="D1327"/>
      <c r="E1327"/>
      <c r="F1327"/>
      <c r="G1327"/>
      <c r="H1327"/>
      <c r="I1327" s="684"/>
      <c r="V1327"/>
      <c r="W1327"/>
      <c r="Y1327"/>
      <c r="Z1327"/>
      <c r="AA1327"/>
      <c r="AD1327"/>
      <c r="AE1327"/>
      <c r="AF1327"/>
      <c r="AH1327"/>
      <c r="AI1327"/>
      <c r="AJ1327"/>
      <c r="AM1327"/>
    </row>
    <row r="1328" spans="3:39" x14ac:dyDescent="0.2">
      <c r="C1328"/>
      <c r="D1328"/>
      <c r="E1328"/>
      <c r="F1328"/>
      <c r="G1328"/>
      <c r="H1328"/>
      <c r="I1328" s="684"/>
      <c r="V1328"/>
      <c r="W1328"/>
      <c r="Y1328"/>
      <c r="Z1328"/>
      <c r="AA1328"/>
      <c r="AD1328"/>
      <c r="AE1328"/>
      <c r="AF1328"/>
      <c r="AH1328"/>
      <c r="AI1328"/>
      <c r="AJ1328"/>
      <c r="AM1328"/>
    </row>
    <row r="1329" spans="3:39" x14ac:dyDescent="0.2">
      <c r="C1329"/>
      <c r="D1329"/>
      <c r="E1329"/>
      <c r="F1329"/>
      <c r="G1329"/>
      <c r="H1329"/>
      <c r="I1329" s="684"/>
      <c r="V1329"/>
      <c r="W1329"/>
      <c r="Y1329"/>
      <c r="Z1329"/>
      <c r="AA1329"/>
      <c r="AD1329"/>
      <c r="AE1329"/>
      <c r="AF1329"/>
      <c r="AH1329"/>
      <c r="AI1329"/>
      <c r="AJ1329"/>
      <c r="AM1329"/>
    </row>
    <row r="1330" spans="3:39" x14ac:dyDescent="0.2">
      <c r="C1330"/>
      <c r="D1330"/>
      <c r="E1330"/>
      <c r="F1330"/>
      <c r="G1330"/>
      <c r="H1330"/>
      <c r="I1330" s="684"/>
      <c r="V1330"/>
      <c r="W1330"/>
      <c r="Y1330"/>
      <c r="Z1330"/>
      <c r="AA1330"/>
      <c r="AD1330"/>
      <c r="AE1330"/>
      <c r="AF1330"/>
      <c r="AH1330"/>
      <c r="AI1330"/>
      <c r="AJ1330"/>
      <c r="AM1330"/>
    </row>
    <row r="1331" spans="3:39" x14ac:dyDescent="0.2">
      <c r="C1331"/>
      <c r="D1331"/>
      <c r="E1331"/>
      <c r="F1331"/>
      <c r="G1331"/>
      <c r="H1331"/>
      <c r="I1331" s="684"/>
      <c r="V1331"/>
      <c r="W1331"/>
      <c r="Y1331"/>
      <c r="Z1331"/>
      <c r="AA1331"/>
      <c r="AD1331"/>
      <c r="AE1331"/>
      <c r="AF1331"/>
      <c r="AH1331"/>
      <c r="AI1331"/>
      <c r="AJ1331"/>
      <c r="AM1331"/>
    </row>
    <row r="1332" spans="3:39" x14ac:dyDescent="0.2">
      <c r="C1332"/>
      <c r="D1332"/>
      <c r="E1332"/>
      <c r="F1332"/>
      <c r="G1332"/>
      <c r="H1332"/>
      <c r="I1332" s="684"/>
      <c r="V1332"/>
      <c r="W1332"/>
      <c r="Y1332"/>
      <c r="Z1332"/>
      <c r="AA1332"/>
      <c r="AD1332"/>
      <c r="AE1332"/>
      <c r="AF1332"/>
      <c r="AH1332"/>
      <c r="AI1332"/>
      <c r="AJ1332"/>
      <c r="AM1332"/>
    </row>
    <row r="1333" spans="3:39" x14ac:dyDescent="0.2">
      <c r="C1333"/>
      <c r="D1333"/>
      <c r="E1333"/>
      <c r="F1333"/>
      <c r="G1333"/>
      <c r="H1333"/>
      <c r="I1333" s="684"/>
      <c r="V1333"/>
      <c r="W1333"/>
      <c r="Y1333"/>
      <c r="Z1333"/>
      <c r="AA1333"/>
      <c r="AD1333"/>
      <c r="AE1333"/>
      <c r="AF1333"/>
      <c r="AH1333"/>
      <c r="AI1333"/>
      <c r="AJ1333"/>
      <c r="AM1333"/>
    </row>
    <row r="1334" spans="3:39" x14ac:dyDescent="0.2">
      <c r="C1334"/>
      <c r="D1334"/>
      <c r="E1334"/>
      <c r="F1334"/>
      <c r="G1334"/>
      <c r="H1334"/>
      <c r="I1334" s="684"/>
      <c r="V1334"/>
      <c r="W1334"/>
      <c r="Y1334"/>
      <c r="Z1334"/>
      <c r="AA1334"/>
      <c r="AD1334"/>
      <c r="AE1334"/>
      <c r="AF1334"/>
      <c r="AH1334"/>
      <c r="AI1334"/>
      <c r="AJ1334"/>
      <c r="AM1334"/>
    </row>
    <row r="1335" spans="3:39" x14ac:dyDescent="0.2">
      <c r="C1335"/>
      <c r="D1335"/>
      <c r="E1335"/>
      <c r="F1335"/>
      <c r="G1335"/>
      <c r="H1335"/>
      <c r="I1335" s="684"/>
      <c r="V1335"/>
      <c r="W1335"/>
      <c r="Y1335"/>
      <c r="Z1335"/>
      <c r="AA1335"/>
      <c r="AD1335"/>
      <c r="AE1335"/>
      <c r="AF1335"/>
      <c r="AH1335"/>
      <c r="AI1335"/>
      <c r="AJ1335"/>
      <c r="AM1335"/>
    </row>
    <row r="1336" spans="3:39" x14ac:dyDescent="0.2">
      <c r="C1336"/>
      <c r="D1336"/>
      <c r="E1336"/>
      <c r="F1336"/>
      <c r="G1336"/>
      <c r="H1336"/>
      <c r="I1336" s="684"/>
      <c r="V1336"/>
      <c r="W1336"/>
      <c r="Y1336"/>
      <c r="Z1336"/>
      <c r="AA1336"/>
      <c r="AD1336"/>
      <c r="AE1336"/>
      <c r="AF1336"/>
      <c r="AH1336"/>
      <c r="AI1336"/>
      <c r="AJ1336"/>
      <c r="AM1336"/>
    </row>
    <row r="1337" spans="3:39" x14ac:dyDescent="0.2">
      <c r="C1337"/>
      <c r="D1337"/>
      <c r="E1337"/>
      <c r="F1337"/>
      <c r="G1337"/>
      <c r="H1337"/>
      <c r="I1337" s="684"/>
      <c r="V1337"/>
      <c r="W1337"/>
      <c r="Y1337"/>
      <c r="Z1337"/>
      <c r="AA1337"/>
      <c r="AD1337"/>
      <c r="AE1337"/>
      <c r="AF1337"/>
      <c r="AH1337"/>
      <c r="AI1337"/>
      <c r="AJ1337"/>
      <c r="AM1337"/>
    </row>
    <row r="1338" spans="3:39" x14ac:dyDescent="0.2">
      <c r="C1338"/>
      <c r="D1338"/>
      <c r="E1338"/>
      <c r="F1338"/>
      <c r="G1338"/>
      <c r="H1338"/>
      <c r="I1338" s="684"/>
      <c r="V1338"/>
      <c r="W1338"/>
      <c r="Y1338"/>
      <c r="Z1338"/>
      <c r="AA1338"/>
      <c r="AD1338"/>
      <c r="AE1338"/>
      <c r="AF1338"/>
      <c r="AH1338"/>
      <c r="AI1338"/>
      <c r="AJ1338"/>
      <c r="AM1338"/>
    </row>
    <row r="1339" spans="3:39" x14ac:dyDescent="0.2">
      <c r="C1339"/>
      <c r="D1339"/>
      <c r="E1339"/>
      <c r="F1339"/>
      <c r="G1339"/>
      <c r="H1339"/>
      <c r="I1339" s="684"/>
      <c r="V1339"/>
      <c r="W1339"/>
      <c r="Y1339"/>
      <c r="Z1339"/>
      <c r="AA1339"/>
      <c r="AD1339"/>
      <c r="AE1339"/>
      <c r="AF1339"/>
      <c r="AH1339"/>
      <c r="AI1339"/>
      <c r="AJ1339"/>
      <c r="AM1339"/>
    </row>
    <row r="1340" spans="3:39" x14ac:dyDescent="0.2">
      <c r="C1340"/>
      <c r="D1340"/>
      <c r="E1340"/>
      <c r="F1340"/>
      <c r="G1340"/>
      <c r="H1340"/>
      <c r="I1340" s="684"/>
      <c r="V1340"/>
      <c r="W1340"/>
      <c r="Y1340"/>
      <c r="Z1340"/>
      <c r="AA1340"/>
      <c r="AD1340"/>
      <c r="AE1340"/>
      <c r="AF1340"/>
      <c r="AH1340"/>
      <c r="AI1340"/>
      <c r="AJ1340"/>
      <c r="AM1340"/>
    </row>
    <row r="1341" spans="3:39" x14ac:dyDescent="0.2">
      <c r="C1341"/>
      <c r="D1341"/>
      <c r="E1341"/>
      <c r="F1341"/>
      <c r="G1341"/>
      <c r="H1341"/>
      <c r="I1341" s="684"/>
      <c r="V1341"/>
      <c r="W1341"/>
      <c r="Y1341"/>
      <c r="Z1341"/>
      <c r="AA1341"/>
      <c r="AD1341"/>
      <c r="AE1341"/>
      <c r="AF1341"/>
      <c r="AH1341"/>
      <c r="AI1341"/>
      <c r="AJ1341"/>
      <c r="AM1341"/>
    </row>
    <row r="1342" spans="3:39" x14ac:dyDescent="0.2">
      <c r="C1342"/>
      <c r="D1342"/>
      <c r="E1342"/>
      <c r="F1342"/>
      <c r="G1342"/>
      <c r="H1342"/>
      <c r="I1342" s="684"/>
      <c r="V1342"/>
      <c r="W1342"/>
      <c r="Y1342"/>
      <c r="Z1342"/>
      <c r="AA1342"/>
      <c r="AD1342"/>
      <c r="AE1342"/>
      <c r="AF1342"/>
      <c r="AH1342"/>
      <c r="AI1342"/>
      <c r="AJ1342"/>
      <c r="AM1342"/>
    </row>
    <row r="1343" spans="3:39" x14ac:dyDescent="0.2">
      <c r="C1343"/>
      <c r="D1343"/>
      <c r="E1343"/>
      <c r="F1343"/>
      <c r="G1343"/>
      <c r="H1343"/>
      <c r="I1343" s="684"/>
      <c r="V1343"/>
      <c r="W1343"/>
      <c r="Y1343"/>
      <c r="Z1343"/>
      <c r="AA1343"/>
      <c r="AD1343"/>
      <c r="AE1343"/>
      <c r="AF1343"/>
      <c r="AH1343"/>
      <c r="AI1343"/>
      <c r="AJ1343"/>
      <c r="AM1343"/>
    </row>
    <row r="1344" spans="3:39" x14ac:dyDescent="0.2">
      <c r="C1344"/>
      <c r="D1344"/>
      <c r="E1344"/>
      <c r="F1344"/>
      <c r="G1344"/>
      <c r="H1344"/>
      <c r="I1344" s="684"/>
      <c r="V1344"/>
      <c r="W1344"/>
      <c r="Y1344"/>
      <c r="Z1344"/>
      <c r="AA1344"/>
      <c r="AD1344"/>
      <c r="AE1344"/>
      <c r="AF1344"/>
      <c r="AH1344"/>
      <c r="AI1344"/>
      <c r="AJ1344"/>
      <c r="AM1344"/>
    </row>
    <row r="1345" spans="3:39" x14ac:dyDescent="0.2">
      <c r="C1345"/>
      <c r="D1345"/>
      <c r="E1345"/>
      <c r="F1345"/>
      <c r="G1345"/>
      <c r="H1345"/>
      <c r="I1345" s="684"/>
      <c r="V1345"/>
      <c r="W1345"/>
      <c r="Y1345"/>
      <c r="Z1345"/>
      <c r="AA1345"/>
      <c r="AD1345"/>
      <c r="AE1345"/>
      <c r="AF1345"/>
      <c r="AH1345"/>
      <c r="AI1345"/>
      <c r="AJ1345"/>
      <c r="AM1345"/>
    </row>
    <row r="1346" spans="3:39" x14ac:dyDescent="0.2">
      <c r="C1346"/>
      <c r="D1346"/>
      <c r="E1346"/>
      <c r="F1346"/>
      <c r="G1346"/>
      <c r="H1346"/>
      <c r="I1346" s="684"/>
      <c r="V1346"/>
      <c r="W1346"/>
      <c r="Y1346"/>
      <c r="Z1346"/>
      <c r="AA1346"/>
      <c r="AD1346"/>
      <c r="AE1346"/>
      <c r="AF1346"/>
      <c r="AH1346"/>
      <c r="AI1346"/>
      <c r="AJ1346"/>
      <c r="AM1346"/>
    </row>
    <row r="1347" spans="3:39" x14ac:dyDescent="0.2">
      <c r="C1347"/>
      <c r="D1347"/>
      <c r="E1347"/>
      <c r="F1347"/>
      <c r="G1347"/>
      <c r="H1347"/>
      <c r="I1347" s="684"/>
      <c r="V1347"/>
      <c r="W1347"/>
      <c r="Y1347"/>
      <c r="Z1347"/>
      <c r="AA1347"/>
      <c r="AD1347"/>
      <c r="AE1347"/>
      <c r="AF1347"/>
      <c r="AH1347"/>
      <c r="AI1347"/>
      <c r="AJ1347"/>
      <c r="AM1347"/>
    </row>
    <row r="1348" spans="3:39" x14ac:dyDescent="0.2">
      <c r="C1348"/>
      <c r="D1348"/>
      <c r="E1348"/>
      <c r="F1348"/>
      <c r="G1348"/>
      <c r="H1348"/>
      <c r="I1348" s="684"/>
      <c r="V1348"/>
      <c r="W1348"/>
      <c r="Y1348"/>
      <c r="Z1348"/>
      <c r="AA1348"/>
      <c r="AD1348"/>
      <c r="AE1348"/>
      <c r="AF1348"/>
      <c r="AH1348"/>
      <c r="AI1348"/>
      <c r="AJ1348"/>
      <c r="AM1348"/>
    </row>
    <row r="1349" spans="3:39" x14ac:dyDescent="0.2">
      <c r="C1349"/>
      <c r="D1349"/>
      <c r="E1349"/>
      <c r="F1349"/>
      <c r="G1349"/>
      <c r="H1349"/>
      <c r="I1349" s="684"/>
      <c r="V1349"/>
      <c r="W1349"/>
      <c r="Y1349"/>
      <c r="Z1349"/>
      <c r="AA1349"/>
      <c r="AD1349"/>
      <c r="AE1349"/>
      <c r="AF1349"/>
      <c r="AH1349"/>
      <c r="AI1349"/>
      <c r="AJ1349"/>
      <c r="AM1349"/>
    </row>
    <row r="1350" spans="3:39" x14ac:dyDescent="0.2">
      <c r="C1350"/>
      <c r="D1350"/>
      <c r="E1350"/>
      <c r="F1350"/>
      <c r="G1350"/>
      <c r="H1350"/>
      <c r="I1350" s="684"/>
      <c r="V1350"/>
      <c r="W1350"/>
      <c r="Y1350"/>
      <c r="Z1350"/>
      <c r="AA1350"/>
      <c r="AD1350"/>
      <c r="AE1350"/>
      <c r="AF1350"/>
      <c r="AH1350"/>
      <c r="AI1350"/>
      <c r="AJ1350"/>
      <c r="AM1350"/>
    </row>
    <row r="1351" spans="3:39" x14ac:dyDescent="0.2">
      <c r="C1351"/>
      <c r="D1351"/>
      <c r="E1351"/>
      <c r="F1351"/>
      <c r="G1351"/>
      <c r="H1351"/>
      <c r="I1351" s="684"/>
      <c r="V1351"/>
      <c r="W1351"/>
      <c r="Y1351"/>
      <c r="Z1351"/>
      <c r="AA1351"/>
      <c r="AD1351"/>
      <c r="AE1351"/>
      <c r="AF1351"/>
      <c r="AH1351"/>
      <c r="AI1351"/>
      <c r="AJ1351"/>
      <c r="AM1351"/>
    </row>
    <row r="1352" spans="3:39" x14ac:dyDescent="0.2">
      <c r="C1352"/>
      <c r="D1352"/>
      <c r="E1352"/>
      <c r="F1352"/>
      <c r="G1352"/>
      <c r="H1352"/>
      <c r="I1352" s="684"/>
      <c r="V1352"/>
      <c r="W1352"/>
      <c r="Y1352"/>
      <c r="Z1352"/>
      <c r="AA1352"/>
      <c r="AD1352"/>
      <c r="AE1352"/>
      <c r="AF1352"/>
      <c r="AH1352"/>
      <c r="AI1352"/>
      <c r="AJ1352"/>
      <c r="AM1352"/>
    </row>
    <row r="1353" spans="3:39" x14ac:dyDescent="0.2">
      <c r="C1353"/>
      <c r="D1353"/>
      <c r="E1353"/>
      <c r="F1353"/>
      <c r="G1353"/>
      <c r="H1353"/>
      <c r="I1353" s="684"/>
      <c r="V1353"/>
      <c r="W1353"/>
      <c r="Y1353"/>
      <c r="Z1353"/>
      <c r="AA1353"/>
      <c r="AD1353"/>
      <c r="AE1353"/>
      <c r="AF1353"/>
      <c r="AH1353"/>
      <c r="AI1353"/>
      <c r="AJ1353"/>
      <c r="AM1353"/>
    </row>
    <row r="1354" spans="3:39" x14ac:dyDescent="0.2">
      <c r="C1354"/>
      <c r="D1354"/>
      <c r="E1354"/>
      <c r="F1354"/>
      <c r="G1354"/>
      <c r="H1354"/>
      <c r="I1354" s="684"/>
      <c r="V1354"/>
      <c r="W1354"/>
      <c r="Y1354"/>
      <c r="Z1354"/>
      <c r="AA1354"/>
      <c r="AD1354"/>
      <c r="AE1354"/>
      <c r="AF1354"/>
      <c r="AH1354"/>
      <c r="AI1354"/>
      <c r="AJ1354"/>
      <c r="AM1354"/>
    </row>
    <row r="1355" spans="3:39" x14ac:dyDescent="0.2">
      <c r="C1355"/>
      <c r="D1355"/>
      <c r="E1355"/>
      <c r="F1355"/>
      <c r="G1355"/>
      <c r="H1355"/>
      <c r="I1355" s="684"/>
      <c r="V1355"/>
      <c r="W1355"/>
      <c r="Y1355"/>
      <c r="Z1355"/>
      <c r="AA1355"/>
      <c r="AD1355"/>
      <c r="AE1355"/>
      <c r="AF1355"/>
      <c r="AH1355"/>
      <c r="AI1355"/>
      <c r="AJ1355"/>
      <c r="AM1355"/>
    </row>
    <row r="1356" spans="3:39" x14ac:dyDescent="0.2">
      <c r="C1356"/>
      <c r="D1356"/>
      <c r="E1356"/>
      <c r="F1356"/>
      <c r="G1356"/>
      <c r="H1356"/>
      <c r="I1356" s="684"/>
      <c r="V1356"/>
      <c r="W1356"/>
      <c r="Y1356"/>
      <c r="Z1356"/>
      <c r="AA1356"/>
      <c r="AD1356"/>
      <c r="AE1356"/>
      <c r="AF1356"/>
      <c r="AH1356"/>
      <c r="AI1356"/>
      <c r="AJ1356"/>
      <c r="AM1356"/>
    </row>
    <row r="1357" spans="3:39" x14ac:dyDescent="0.2">
      <c r="C1357"/>
      <c r="D1357"/>
      <c r="E1357"/>
      <c r="F1357"/>
      <c r="G1357"/>
      <c r="H1357"/>
      <c r="I1357" s="684"/>
      <c r="V1357"/>
      <c r="W1357"/>
      <c r="Y1357"/>
      <c r="Z1357"/>
      <c r="AA1357"/>
      <c r="AD1357"/>
      <c r="AE1357"/>
      <c r="AF1357"/>
      <c r="AH1357"/>
      <c r="AI1357"/>
      <c r="AJ1357"/>
      <c r="AM1357"/>
    </row>
    <row r="1358" spans="3:39" x14ac:dyDescent="0.2">
      <c r="C1358"/>
      <c r="D1358"/>
      <c r="E1358"/>
      <c r="F1358"/>
      <c r="G1358"/>
      <c r="H1358"/>
      <c r="I1358" s="684"/>
      <c r="V1358"/>
      <c r="W1358"/>
      <c r="Y1358"/>
      <c r="Z1358"/>
      <c r="AA1358"/>
      <c r="AD1358"/>
      <c r="AE1358"/>
      <c r="AF1358"/>
      <c r="AH1358"/>
      <c r="AI1358"/>
      <c r="AJ1358"/>
      <c r="AM1358"/>
    </row>
    <row r="1359" spans="3:39" x14ac:dyDescent="0.2">
      <c r="C1359"/>
      <c r="D1359"/>
      <c r="E1359"/>
      <c r="F1359"/>
      <c r="G1359"/>
      <c r="H1359"/>
      <c r="I1359" s="684"/>
      <c r="V1359"/>
      <c r="W1359"/>
      <c r="Y1359"/>
      <c r="Z1359"/>
      <c r="AA1359"/>
      <c r="AD1359"/>
      <c r="AE1359"/>
      <c r="AF1359"/>
      <c r="AH1359"/>
      <c r="AI1359"/>
      <c r="AJ1359"/>
      <c r="AM1359"/>
    </row>
    <row r="1360" spans="3:39" x14ac:dyDescent="0.2">
      <c r="C1360"/>
      <c r="D1360"/>
      <c r="E1360"/>
      <c r="F1360"/>
      <c r="G1360"/>
      <c r="H1360"/>
      <c r="I1360" s="684"/>
      <c r="V1360"/>
      <c r="W1360"/>
      <c r="Y1360"/>
      <c r="Z1360"/>
      <c r="AA1360"/>
      <c r="AD1360"/>
      <c r="AE1360"/>
      <c r="AF1360"/>
      <c r="AH1360"/>
      <c r="AI1360"/>
      <c r="AJ1360"/>
      <c r="AM1360"/>
    </row>
    <row r="1361" spans="3:39" x14ac:dyDescent="0.2">
      <c r="C1361"/>
      <c r="D1361"/>
      <c r="E1361"/>
      <c r="F1361"/>
      <c r="G1361"/>
      <c r="H1361"/>
      <c r="I1361" s="684"/>
      <c r="V1361"/>
      <c r="W1361"/>
      <c r="Y1361"/>
      <c r="Z1361"/>
      <c r="AA1361"/>
      <c r="AD1361"/>
      <c r="AE1361"/>
      <c r="AF1361"/>
      <c r="AH1361"/>
      <c r="AI1361"/>
      <c r="AJ1361"/>
      <c r="AM1361"/>
    </row>
    <row r="1362" spans="3:39" x14ac:dyDescent="0.2">
      <c r="C1362"/>
      <c r="D1362"/>
      <c r="E1362"/>
      <c r="F1362"/>
      <c r="G1362"/>
      <c r="H1362"/>
      <c r="I1362" s="684"/>
      <c r="V1362"/>
      <c r="W1362"/>
      <c r="Y1362"/>
      <c r="Z1362"/>
      <c r="AA1362"/>
      <c r="AD1362"/>
      <c r="AE1362"/>
      <c r="AF1362"/>
      <c r="AH1362"/>
      <c r="AI1362"/>
      <c r="AJ1362"/>
      <c r="AM1362"/>
    </row>
    <row r="1363" spans="3:39" x14ac:dyDescent="0.2">
      <c r="C1363"/>
      <c r="D1363"/>
      <c r="E1363"/>
      <c r="F1363"/>
      <c r="G1363"/>
      <c r="H1363"/>
      <c r="I1363" s="684"/>
      <c r="V1363"/>
      <c r="W1363"/>
      <c r="Y1363"/>
      <c r="Z1363"/>
      <c r="AA1363"/>
      <c r="AD1363"/>
      <c r="AE1363"/>
      <c r="AF1363"/>
      <c r="AH1363"/>
      <c r="AI1363"/>
      <c r="AJ1363"/>
      <c r="AM1363"/>
    </row>
    <row r="1364" spans="3:39" x14ac:dyDescent="0.2">
      <c r="C1364"/>
      <c r="D1364"/>
      <c r="E1364"/>
      <c r="F1364"/>
      <c r="G1364"/>
      <c r="H1364"/>
      <c r="I1364" s="684"/>
      <c r="V1364"/>
      <c r="W1364"/>
      <c r="Y1364"/>
      <c r="Z1364"/>
      <c r="AA1364"/>
      <c r="AD1364"/>
      <c r="AE1364"/>
      <c r="AF1364"/>
      <c r="AH1364"/>
      <c r="AI1364"/>
      <c r="AJ1364"/>
      <c r="AM1364"/>
    </row>
    <row r="1365" spans="3:39" x14ac:dyDescent="0.2">
      <c r="C1365"/>
      <c r="D1365"/>
      <c r="E1365"/>
      <c r="F1365"/>
      <c r="G1365"/>
      <c r="H1365"/>
      <c r="I1365" s="684"/>
      <c r="V1365"/>
      <c r="W1365"/>
      <c r="Y1365"/>
      <c r="Z1365"/>
      <c r="AA1365"/>
      <c r="AD1365"/>
      <c r="AE1365"/>
      <c r="AF1365"/>
      <c r="AH1365"/>
      <c r="AI1365"/>
      <c r="AJ1365"/>
      <c r="AM1365"/>
    </row>
    <row r="1366" spans="3:39" x14ac:dyDescent="0.2">
      <c r="C1366"/>
      <c r="D1366"/>
      <c r="E1366"/>
      <c r="F1366"/>
      <c r="G1366"/>
      <c r="H1366"/>
      <c r="I1366" s="684"/>
      <c r="V1366"/>
      <c r="W1366"/>
      <c r="Y1366"/>
      <c r="Z1366"/>
      <c r="AA1366"/>
      <c r="AD1366"/>
      <c r="AE1366"/>
      <c r="AF1366"/>
      <c r="AH1366"/>
      <c r="AI1366"/>
      <c r="AJ1366"/>
      <c r="AM1366"/>
    </row>
    <row r="1367" spans="3:39" x14ac:dyDescent="0.2">
      <c r="C1367"/>
      <c r="D1367"/>
      <c r="E1367"/>
      <c r="F1367"/>
      <c r="G1367"/>
      <c r="H1367"/>
      <c r="I1367" s="684"/>
      <c r="V1367"/>
      <c r="W1367"/>
      <c r="Y1367"/>
      <c r="Z1367"/>
      <c r="AA1367"/>
      <c r="AD1367"/>
      <c r="AE1367"/>
      <c r="AF1367"/>
      <c r="AH1367"/>
      <c r="AI1367"/>
      <c r="AJ1367"/>
      <c r="AM1367"/>
    </row>
    <row r="1368" spans="3:39" x14ac:dyDescent="0.2">
      <c r="C1368"/>
      <c r="D1368"/>
      <c r="E1368"/>
      <c r="F1368"/>
      <c r="G1368"/>
      <c r="H1368"/>
      <c r="I1368" s="684"/>
      <c r="V1368"/>
      <c r="W1368"/>
      <c r="Y1368"/>
      <c r="Z1368"/>
      <c r="AA1368"/>
      <c r="AD1368"/>
      <c r="AE1368"/>
      <c r="AF1368"/>
      <c r="AH1368"/>
      <c r="AI1368"/>
      <c r="AJ1368"/>
      <c r="AM1368"/>
    </row>
    <row r="1369" spans="3:39" x14ac:dyDescent="0.2">
      <c r="C1369"/>
      <c r="D1369"/>
      <c r="E1369"/>
      <c r="F1369"/>
      <c r="G1369"/>
      <c r="H1369"/>
      <c r="I1369" s="684"/>
      <c r="V1369"/>
      <c r="W1369"/>
      <c r="Y1369"/>
      <c r="Z1369"/>
      <c r="AA1369"/>
      <c r="AD1369"/>
      <c r="AE1369"/>
      <c r="AF1369"/>
      <c r="AH1369"/>
      <c r="AI1369"/>
      <c r="AJ1369"/>
      <c r="AM1369"/>
    </row>
    <row r="1370" spans="3:39" x14ac:dyDescent="0.2">
      <c r="C1370"/>
      <c r="D1370"/>
      <c r="E1370"/>
      <c r="F1370"/>
      <c r="G1370"/>
      <c r="H1370"/>
      <c r="I1370" s="684"/>
      <c r="V1370"/>
      <c r="W1370"/>
      <c r="Y1370"/>
      <c r="Z1370"/>
      <c r="AA1370"/>
      <c r="AD1370"/>
      <c r="AE1370"/>
      <c r="AF1370"/>
      <c r="AH1370"/>
      <c r="AI1370"/>
      <c r="AJ1370"/>
      <c r="AM1370"/>
    </row>
    <row r="1371" spans="3:39" x14ac:dyDescent="0.2">
      <c r="C1371"/>
      <c r="D1371"/>
      <c r="E1371"/>
      <c r="F1371"/>
      <c r="G1371"/>
      <c r="H1371"/>
      <c r="I1371" s="684"/>
      <c r="V1371"/>
      <c r="W1371"/>
      <c r="Y1371"/>
      <c r="Z1371"/>
      <c r="AA1371"/>
      <c r="AD1371"/>
      <c r="AE1371"/>
      <c r="AF1371"/>
      <c r="AH1371"/>
      <c r="AI1371"/>
      <c r="AJ1371"/>
      <c r="AM1371"/>
    </row>
    <row r="1372" spans="3:39" x14ac:dyDescent="0.2">
      <c r="C1372"/>
      <c r="D1372"/>
      <c r="E1372"/>
      <c r="F1372"/>
      <c r="G1372"/>
      <c r="H1372"/>
      <c r="I1372" s="684"/>
      <c r="V1372"/>
      <c r="W1372"/>
      <c r="Y1372"/>
      <c r="Z1372"/>
      <c r="AA1372"/>
      <c r="AD1372"/>
      <c r="AE1372"/>
      <c r="AF1372"/>
      <c r="AH1372"/>
      <c r="AI1372"/>
      <c r="AJ1372"/>
      <c r="AM1372"/>
    </row>
    <row r="1373" spans="3:39" x14ac:dyDescent="0.2">
      <c r="C1373"/>
      <c r="D1373"/>
      <c r="E1373"/>
      <c r="F1373"/>
      <c r="G1373"/>
      <c r="H1373"/>
      <c r="I1373" s="684"/>
      <c r="V1373"/>
      <c r="W1373"/>
      <c r="Y1373"/>
      <c r="Z1373"/>
      <c r="AA1373"/>
      <c r="AD1373"/>
      <c r="AE1373"/>
      <c r="AF1373"/>
      <c r="AH1373"/>
      <c r="AI1373"/>
      <c r="AJ1373"/>
      <c r="AM1373"/>
    </row>
    <row r="1374" spans="3:39" x14ac:dyDescent="0.2">
      <c r="C1374"/>
      <c r="D1374"/>
      <c r="E1374"/>
      <c r="F1374"/>
      <c r="G1374"/>
      <c r="H1374"/>
      <c r="I1374" s="684"/>
      <c r="V1374"/>
      <c r="W1374"/>
      <c r="Y1374"/>
      <c r="Z1374"/>
      <c r="AA1374"/>
      <c r="AD1374"/>
      <c r="AE1374"/>
      <c r="AF1374"/>
      <c r="AH1374"/>
      <c r="AI1374"/>
      <c r="AJ1374"/>
      <c r="AM1374"/>
    </row>
    <row r="1375" spans="3:39" x14ac:dyDescent="0.2">
      <c r="C1375"/>
      <c r="D1375"/>
      <c r="E1375"/>
      <c r="F1375"/>
      <c r="G1375"/>
      <c r="H1375"/>
      <c r="I1375" s="684"/>
      <c r="V1375"/>
      <c r="W1375"/>
      <c r="Y1375"/>
      <c r="Z1375"/>
      <c r="AA1375"/>
      <c r="AD1375"/>
      <c r="AE1375"/>
      <c r="AF1375"/>
      <c r="AH1375"/>
      <c r="AI1375"/>
      <c r="AJ1375"/>
      <c r="AM1375"/>
    </row>
    <row r="1376" spans="3:39" x14ac:dyDescent="0.2">
      <c r="C1376"/>
      <c r="D1376"/>
      <c r="E1376"/>
      <c r="F1376"/>
      <c r="G1376"/>
      <c r="H1376"/>
      <c r="I1376" s="684"/>
      <c r="V1376"/>
      <c r="W1376"/>
      <c r="Y1376"/>
      <c r="Z1376"/>
      <c r="AA1376"/>
      <c r="AD1376"/>
      <c r="AE1376"/>
      <c r="AF1376"/>
      <c r="AH1376"/>
      <c r="AI1376"/>
      <c r="AJ1376"/>
      <c r="AM1376"/>
    </row>
    <row r="1377" spans="3:39" x14ac:dyDescent="0.2">
      <c r="C1377"/>
      <c r="D1377"/>
      <c r="E1377"/>
      <c r="F1377"/>
      <c r="G1377"/>
      <c r="H1377"/>
      <c r="I1377" s="684"/>
      <c r="V1377"/>
      <c r="W1377"/>
      <c r="Y1377"/>
      <c r="Z1377"/>
      <c r="AA1377"/>
      <c r="AD1377"/>
      <c r="AE1377"/>
      <c r="AF1377"/>
      <c r="AH1377"/>
      <c r="AI1377"/>
      <c r="AJ1377"/>
      <c r="AM1377"/>
    </row>
    <row r="1378" spans="3:39" x14ac:dyDescent="0.2">
      <c r="C1378"/>
      <c r="D1378"/>
      <c r="E1378"/>
      <c r="F1378"/>
      <c r="G1378"/>
      <c r="H1378"/>
      <c r="I1378" s="684"/>
      <c r="V1378"/>
      <c r="W1378"/>
      <c r="Y1378"/>
      <c r="Z1378"/>
      <c r="AA1378"/>
      <c r="AD1378"/>
      <c r="AE1378"/>
      <c r="AF1378"/>
      <c r="AH1378"/>
      <c r="AI1378"/>
      <c r="AJ1378"/>
      <c r="AM1378"/>
    </row>
    <row r="1379" spans="3:39" x14ac:dyDescent="0.2">
      <c r="C1379"/>
      <c r="D1379"/>
      <c r="E1379"/>
      <c r="F1379"/>
      <c r="G1379"/>
      <c r="H1379"/>
      <c r="I1379" s="684"/>
      <c r="V1379"/>
      <c r="W1379"/>
      <c r="Y1379"/>
      <c r="Z1379"/>
      <c r="AA1379"/>
      <c r="AD1379"/>
      <c r="AE1379"/>
      <c r="AF1379"/>
      <c r="AH1379"/>
      <c r="AI1379"/>
      <c r="AJ1379"/>
      <c r="AM1379"/>
    </row>
    <row r="1380" spans="3:39" x14ac:dyDescent="0.2">
      <c r="C1380"/>
      <c r="D1380"/>
      <c r="E1380"/>
      <c r="F1380"/>
      <c r="G1380"/>
      <c r="H1380"/>
      <c r="I1380" s="684"/>
      <c r="V1380"/>
      <c r="W1380"/>
      <c r="Y1380"/>
      <c r="Z1380"/>
      <c r="AA1380"/>
      <c r="AD1380"/>
      <c r="AE1380"/>
      <c r="AF1380"/>
      <c r="AH1380"/>
      <c r="AI1380"/>
      <c r="AJ1380"/>
      <c r="AM1380"/>
    </row>
    <row r="1381" spans="3:39" x14ac:dyDescent="0.2">
      <c r="C1381"/>
      <c r="D1381"/>
      <c r="E1381"/>
      <c r="F1381"/>
      <c r="G1381"/>
      <c r="H1381"/>
      <c r="I1381" s="684"/>
      <c r="V1381"/>
      <c r="W1381"/>
      <c r="Y1381"/>
      <c r="Z1381"/>
      <c r="AA1381"/>
      <c r="AD1381"/>
      <c r="AE1381"/>
      <c r="AF1381"/>
      <c r="AH1381"/>
      <c r="AI1381"/>
      <c r="AJ1381"/>
      <c r="AM1381"/>
    </row>
    <row r="1382" spans="3:39" x14ac:dyDescent="0.2">
      <c r="C1382"/>
      <c r="D1382"/>
      <c r="E1382"/>
      <c r="F1382"/>
      <c r="G1382"/>
      <c r="H1382"/>
      <c r="I1382" s="684"/>
      <c r="V1382"/>
      <c r="W1382"/>
      <c r="Y1382"/>
      <c r="Z1382"/>
      <c r="AA1382"/>
      <c r="AD1382"/>
      <c r="AE1382"/>
      <c r="AF1382"/>
      <c r="AH1382"/>
      <c r="AI1382"/>
      <c r="AJ1382"/>
      <c r="AM1382"/>
    </row>
    <row r="1383" spans="3:39" x14ac:dyDescent="0.2">
      <c r="C1383"/>
      <c r="D1383"/>
      <c r="E1383"/>
      <c r="F1383"/>
      <c r="G1383"/>
      <c r="H1383"/>
      <c r="I1383" s="684"/>
      <c r="V1383"/>
      <c r="W1383"/>
      <c r="Y1383"/>
      <c r="Z1383"/>
      <c r="AA1383"/>
      <c r="AD1383"/>
      <c r="AE1383"/>
      <c r="AF1383"/>
      <c r="AH1383"/>
      <c r="AI1383"/>
      <c r="AJ1383"/>
      <c r="AM1383"/>
    </row>
    <row r="1384" spans="3:39" x14ac:dyDescent="0.2">
      <c r="C1384"/>
      <c r="D1384"/>
      <c r="E1384"/>
      <c r="F1384"/>
      <c r="G1384"/>
      <c r="H1384"/>
      <c r="I1384" s="684"/>
      <c r="V1384"/>
      <c r="W1384"/>
      <c r="Y1384"/>
      <c r="Z1384"/>
      <c r="AA1384"/>
      <c r="AD1384"/>
      <c r="AE1384"/>
      <c r="AF1384"/>
      <c r="AH1384"/>
      <c r="AI1384"/>
      <c r="AJ1384"/>
      <c r="AM1384"/>
    </row>
    <row r="1385" spans="3:39" x14ac:dyDescent="0.2">
      <c r="C1385"/>
      <c r="D1385"/>
      <c r="E1385"/>
      <c r="F1385"/>
      <c r="G1385"/>
      <c r="H1385"/>
      <c r="I1385" s="684"/>
      <c r="V1385"/>
      <c r="W1385"/>
      <c r="Y1385"/>
      <c r="Z1385"/>
      <c r="AA1385"/>
      <c r="AD1385"/>
      <c r="AE1385"/>
      <c r="AF1385"/>
      <c r="AH1385"/>
      <c r="AI1385"/>
      <c r="AJ1385"/>
      <c r="AM1385"/>
    </row>
    <row r="1386" spans="3:39" x14ac:dyDescent="0.2">
      <c r="C1386"/>
      <c r="D1386"/>
      <c r="E1386"/>
      <c r="F1386"/>
      <c r="G1386"/>
      <c r="H1386"/>
      <c r="I1386" s="684"/>
      <c r="V1386"/>
      <c r="W1386"/>
      <c r="Y1386"/>
      <c r="Z1386"/>
      <c r="AA1386"/>
      <c r="AD1386"/>
      <c r="AE1386"/>
      <c r="AF1386"/>
      <c r="AH1386"/>
      <c r="AI1386"/>
      <c r="AJ1386"/>
      <c r="AM1386"/>
    </row>
    <row r="1387" spans="3:39" x14ac:dyDescent="0.2">
      <c r="C1387"/>
      <c r="D1387"/>
      <c r="E1387"/>
      <c r="F1387"/>
      <c r="G1387"/>
      <c r="H1387"/>
      <c r="I1387" s="684"/>
      <c r="V1387"/>
      <c r="W1387"/>
      <c r="Y1387"/>
      <c r="Z1387"/>
      <c r="AA1387"/>
      <c r="AD1387"/>
      <c r="AE1387"/>
      <c r="AF1387"/>
      <c r="AH1387"/>
      <c r="AI1387"/>
      <c r="AJ1387"/>
      <c r="AM1387"/>
    </row>
    <row r="1388" spans="3:39" x14ac:dyDescent="0.2">
      <c r="C1388"/>
      <c r="D1388"/>
      <c r="E1388"/>
      <c r="F1388"/>
      <c r="G1388"/>
      <c r="H1388"/>
      <c r="I1388" s="684"/>
      <c r="V1388"/>
      <c r="W1388"/>
      <c r="Y1388"/>
      <c r="Z1388"/>
      <c r="AA1388"/>
      <c r="AD1388"/>
      <c r="AE1388"/>
      <c r="AF1388"/>
      <c r="AH1388"/>
      <c r="AI1388"/>
      <c r="AJ1388"/>
      <c r="AM1388"/>
    </row>
    <row r="1389" spans="3:39" x14ac:dyDescent="0.2">
      <c r="C1389"/>
      <c r="D1389"/>
      <c r="E1389"/>
      <c r="F1389"/>
      <c r="G1389"/>
      <c r="H1389"/>
      <c r="I1389" s="684"/>
      <c r="V1389"/>
      <c r="W1389"/>
      <c r="Y1389"/>
      <c r="Z1389"/>
      <c r="AA1389"/>
      <c r="AD1389"/>
      <c r="AE1389"/>
      <c r="AF1389"/>
      <c r="AH1389"/>
      <c r="AI1389"/>
      <c r="AJ1389"/>
      <c r="AM1389"/>
    </row>
    <row r="1390" spans="3:39" x14ac:dyDescent="0.2">
      <c r="C1390"/>
      <c r="D1390"/>
      <c r="E1390"/>
      <c r="F1390"/>
      <c r="G1390"/>
      <c r="H1390"/>
      <c r="I1390" s="684"/>
      <c r="V1390"/>
      <c r="W1390"/>
      <c r="Y1390"/>
      <c r="Z1390"/>
      <c r="AA1390"/>
      <c r="AD1390"/>
      <c r="AE1390"/>
      <c r="AF1390"/>
      <c r="AH1390"/>
      <c r="AI1390"/>
      <c r="AJ1390"/>
      <c r="AM1390"/>
    </row>
    <row r="1391" spans="3:39" x14ac:dyDescent="0.2">
      <c r="C1391"/>
      <c r="D1391"/>
      <c r="E1391"/>
      <c r="F1391"/>
      <c r="G1391"/>
      <c r="H1391"/>
      <c r="I1391" s="684"/>
      <c r="V1391"/>
      <c r="W1391"/>
      <c r="Y1391"/>
      <c r="Z1391"/>
      <c r="AA1391"/>
      <c r="AD1391"/>
      <c r="AE1391"/>
      <c r="AF1391"/>
      <c r="AH1391"/>
      <c r="AI1391"/>
      <c r="AJ1391"/>
      <c r="AM1391"/>
    </row>
    <row r="1392" spans="3:39" x14ac:dyDescent="0.2">
      <c r="C1392"/>
      <c r="D1392"/>
      <c r="E1392"/>
      <c r="F1392"/>
      <c r="G1392"/>
      <c r="H1392"/>
      <c r="I1392" s="684"/>
      <c r="V1392"/>
      <c r="W1392"/>
      <c r="Y1392"/>
      <c r="Z1392"/>
      <c r="AA1392"/>
      <c r="AD1392"/>
      <c r="AE1392"/>
      <c r="AF1392"/>
      <c r="AH1392"/>
      <c r="AI1392"/>
      <c r="AJ1392"/>
      <c r="AM1392"/>
    </row>
    <row r="1393" spans="3:39" x14ac:dyDescent="0.2">
      <c r="C1393"/>
      <c r="D1393"/>
      <c r="E1393"/>
      <c r="F1393"/>
      <c r="G1393"/>
      <c r="H1393"/>
      <c r="I1393" s="684"/>
      <c r="V1393"/>
      <c r="W1393"/>
      <c r="Y1393"/>
      <c r="Z1393"/>
      <c r="AA1393"/>
      <c r="AD1393"/>
      <c r="AE1393"/>
      <c r="AF1393"/>
      <c r="AH1393"/>
      <c r="AI1393"/>
      <c r="AJ1393"/>
      <c r="AM1393"/>
    </row>
    <row r="1394" spans="3:39" x14ac:dyDescent="0.2">
      <c r="C1394"/>
      <c r="D1394"/>
      <c r="E1394"/>
      <c r="F1394"/>
      <c r="G1394"/>
      <c r="H1394"/>
      <c r="I1394" s="684"/>
      <c r="V1394"/>
      <c r="W1394"/>
      <c r="Y1394"/>
      <c r="Z1394"/>
      <c r="AA1394"/>
      <c r="AD1394"/>
      <c r="AE1394"/>
      <c r="AF1394"/>
      <c r="AH1394"/>
      <c r="AI1394"/>
      <c r="AJ1394"/>
      <c r="AM1394"/>
    </row>
    <row r="1395" spans="3:39" x14ac:dyDescent="0.2">
      <c r="C1395"/>
      <c r="D1395"/>
      <c r="E1395"/>
      <c r="F1395"/>
      <c r="G1395"/>
      <c r="H1395"/>
      <c r="I1395" s="684"/>
      <c r="V1395"/>
      <c r="W1395"/>
      <c r="Y1395"/>
      <c r="Z1395"/>
      <c r="AA1395"/>
      <c r="AD1395"/>
      <c r="AE1395"/>
      <c r="AF1395"/>
      <c r="AH1395"/>
      <c r="AI1395"/>
      <c r="AJ1395"/>
      <c r="AM1395"/>
    </row>
    <row r="1396" spans="3:39" x14ac:dyDescent="0.2">
      <c r="C1396"/>
      <c r="D1396"/>
      <c r="E1396"/>
      <c r="F1396"/>
      <c r="G1396"/>
      <c r="H1396"/>
      <c r="I1396" s="684"/>
      <c r="V1396"/>
      <c r="W1396"/>
      <c r="Y1396"/>
      <c r="Z1396"/>
      <c r="AA1396"/>
      <c r="AD1396"/>
      <c r="AE1396"/>
      <c r="AF1396"/>
      <c r="AH1396"/>
      <c r="AI1396"/>
      <c r="AJ1396"/>
      <c r="AM1396"/>
    </row>
    <row r="1397" spans="3:39" x14ac:dyDescent="0.2">
      <c r="C1397"/>
      <c r="D1397"/>
      <c r="E1397"/>
      <c r="F1397"/>
      <c r="G1397"/>
      <c r="H1397"/>
      <c r="I1397" s="684"/>
      <c r="V1397"/>
      <c r="W1397"/>
      <c r="Y1397"/>
      <c r="Z1397"/>
      <c r="AA1397"/>
      <c r="AD1397"/>
      <c r="AE1397"/>
      <c r="AF1397"/>
      <c r="AH1397"/>
      <c r="AI1397"/>
      <c r="AJ1397"/>
      <c r="AM1397"/>
    </row>
    <row r="1398" spans="3:39" x14ac:dyDescent="0.2">
      <c r="C1398"/>
      <c r="D1398"/>
      <c r="E1398"/>
      <c r="F1398"/>
      <c r="G1398"/>
      <c r="H1398"/>
      <c r="I1398" s="684"/>
      <c r="V1398"/>
      <c r="W1398"/>
      <c r="Y1398"/>
      <c r="Z1398"/>
      <c r="AA1398"/>
      <c r="AD1398"/>
      <c r="AE1398"/>
      <c r="AF1398"/>
      <c r="AH1398"/>
      <c r="AI1398"/>
      <c r="AJ1398"/>
      <c r="AM1398"/>
    </row>
    <row r="1399" spans="3:39" x14ac:dyDescent="0.2">
      <c r="C1399"/>
      <c r="D1399"/>
      <c r="E1399"/>
      <c r="F1399"/>
      <c r="G1399"/>
      <c r="H1399"/>
      <c r="I1399" s="684"/>
      <c r="V1399"/>
      <c r="W1399"/>
      <c r="Y1399"/>
      <c r="Z1399"/>
      <c r="AA1399"/>
      <c r="AD1399"/>
      <c r="AE1399"/>
      <c r="AF1399"/>
      <c r="AH1399"/>
      <c r="AI1399"/>
      <c r="AJ1399"/>
      <c r="AM1399"/>
    </row>
    <row r="1400" spans="3:39" x14ac:dyDescent="0.2">
      <c r="C1400"/>
      <c r="D1400"/>
      <c r="E1400"/>
      <c r="F1400"/>
      <c r="G1400"/>
      <c r="H1400"/>
      <c r="I1400" s="684"/>
      <c r="V1400"/>
      <c r="W1400"/>
      <c r="Y1400"/>
      <c r="Z1400"/>
      <c r="AA1400"/>
      <c r="AD1400"/>
      <c r="AE1400"/>
      <c r="AF1400"/>
      <c r="AH1400"/>
      <c r="AI1400"/>
      <c r="AJ1400"/>
      <c r="AM1400"/>
    </row>
    <row r="1401" spans="3:39" x14ac:dyDescent="0.2">
      <c r="C1401"/>
      <c r="D1401"/>
      <c r="E1401"/>
      <c r="F1401"/>
      <c r="G1401"/>
      <c r="H1401"/>
      <c r="I1401" s="684"/>
      <c r="V1401"/>
      <c r="W1401"/>
      <c r="Y1401"/>
      <c r="Z1401"/>
      <c r="AA1401"/>
      <c r="AD1401"/>
      <c r="AE1401"/>
      <c r="AF1401"/>
      <c r="AH1401"/>
      <c r="AI1401"/>
      <c r="AJ1401"/>
      <c r="AM1401"/>
    </row>
    <row r="1402" spans="3:39" x14ac:dyDescent="0.2">
      <c r="C1402"/>
      <c r="D1402"/>
      <c r="E1402"/>
      <c r="F1402"/>
      <c r="G1402"/>
      <c r="H1402"/>
      <c r="I1402" s="684"/>
      <c r="V1402"/>
      <c r="W1402"/>
      <c r="Y1402"/>
      <c r="Z1402"/>
      <c r="AA1402"/>
      <c r="AD1402"/>
      <c r="AE1402"/>
      <c r="AF1402"/>
      <c r="AH1402"/>
      <c r="AI1402"/>
      <c r="AJ1402"/>
      <c r="AM1402"/>
    </row>
    <row r="1403" spans="3:39" x14ac:dyDescent="0.2">
      <c r="C1403"/>
      <c r="D1403"/>
      <c r="E1403"/>
      <c r="F1403"/>
      <c r="G1403"/>
      <c r="H1403"/>
      <c r="I1403" s="684"/>
      <c r="V1403"/>
      <c r="W1403"/>
      <c r="Y1403"/>
      <c r="Z1403"/>
      <c r="AA1403"/>
      <c r="AD1403"/>
      <c r="AE1403"/>
      <c r="AF1403"/>
      <c r="AH1403"/>
      <c r="AI1403"/>
      <c r="AJ1403"/>
      <c r="AM1403"/>
    </row>
    <row r="1404" spans="3:39" x14ac:dyDescent="0.2">
      <c r="C1404"/>
      <c r="D1404"/>
      <c r="E1404"/>
      <c r="F1404"/>
      <c r="G1404"/>
      <c r="H1404"/>
      <c r="I1404" s="684"/>
      <c r="V1404"/>
      <c r="W1404"/>
      <c r="Y1404"/>
      <c r="Z1404"/>
      <c r="AA1404"/>
      <c r="AD1404"/>
      <c r="AE1404"/>
      <c r="AF1404"/>
      <c r="AH1404"/>
      <c r="AI1404"/>
      <c r="AJ1404"/>
      <c r="AM1404"/>
    </row>
    <row r="1405" spans="3:39" x14ac:dyDescent="0.2">
      <c r="C1405"/>
      <c r="D1405"/>
      <c r="E1405"/>
      <c r="F1405"/>
      <c r="G1405"/>
      <c r="H1405"/>
      <c r="I1405" s="684"/>
      <c r="V1405"/>
      <c r="W1405"/>
      <c r="Y1405"/>
      <c r="Z1405"/>
      <c r="AA1405"/>
      <c r="AD1405"/>
      <c r="AE1405"/>
      <c r="AF1405"/>
      <c r="AH1405"/>
      <c r="AI1405"/>
      <c r="AJ1405"/>
      <c r="AM1405"/>
    </row>
    <row r="1406" spans="3:39" x14ac:dyDescent="0.2">
      <c r="C1406"/>
      <c r="D1406"/>
      <c r="E1406"/>
      <c r="F1406"/>
      <c r="G1406"/>
      <c r="H1406"/>
      <c r="I1406" s="684"/>
      <c r="V1406"/>
      <c r="W1406"/>
      <c r="Y1406"/>
      <c r="Z1406"/>
      <c r="AA1406"/>
      <c r="AD1406"/>
      <c r="AE1406"/>
      <c r="AF1406"/>
      <c r="AH1406"/>
      <c r="AI1406"/>
      <c r="AJ1406"/>
      <c r="AM1406"/>
    </row>
    <row r="1407" spans="3:39" x14ac:dyDescent="0.2">
      <c r="C1407"/>
      <c r="D1407"/>
      <c r="E1407"/>
      <c r="F1407"/>
      <c r="G1407"/>
      <c r="H1407"/>
      <c r="I1407" s="684"/>
      <c r="V1407"/>
      <c r="W1407"/>
      <c r="Y1407"/>
      <c r="Z1407"/>
      <c r="AA1407"/>
      <c r="AD1407"/>
      <c r="AE1407"/>
      <c r="AF1407"/>
      <c r="AH1407"/>
      <c r="AI1407"/>
      <c r="AJ1407"/>
      <c r="AM1407"/>
    </row>
    <row r="1408" spans="3:39" x14ac:dyDescent="0.2">
      <c r="C1408"/>
      <c r="D1408"/>
      <c r="E1408"/>
      <c r="F1408"/>
      <c r="G1408"/>
      <c r="H1408"/>
      <c r="I1408" s="684"/>
      <c r="V1408"/>
      <c r="W1408"/>
      <c r="Y1408"/>
      <c r="Z1408"/>
      <c r="AA1408"/>
      <c r="AD1408"/>
      <c r="AE1408"/>
      <c r="AF1408"/>
      <c r="AH1408"/>
      <c r="AI1408"/>
      <c r="AJ1408"/>
      <c r="AM1408"/>
    </row>
    <row r="1409" spans="3:39" x14ac:dyDescent="0.2">
      <c r="C1409"/>
      <c r="D1409"/>
      <c r="E1409"/>
      <c r="F1409"/>
      <c r="G1409"/>
      <c r="H1409"/>
      <c r="I1409" s="684"/>
      <c r="V1409"/>
      <c r="W1409"/>
      <c r="Y1409"/>
      <c r="Z1409"/>
      <c r="AA1409"/>
      <c r="AD1409"/>
      <c r="AE1409"/>
      <c r="AF1409"/>
      <c r="AH1409"/>
      <c r="AI1409"/>
      <c r="AJ1409"/>
      <c r="AM1409"/>
    </row>
    <row r="1410" spans="3:39" x14ac:dyDescent="0.2">
      <c r="C1410"/>
      <c r="D1410"/>
      <c r="E1410"/>
      <c r="F1410"/>
      <c r="G1410"/>
      <c r="H1410"/>
      <c r="I1410" s="684"/>
      <c r="V1410"/>
      <c r="W1410"/>
      <c r="Y1410"/>
      <c r="Z1410"/>
      <c r="AA1410"/>
      <c r="AD1410"/>
      <c r="AE1410"/>
      <c r="AF1410"/>
      <c r="AH1410"/>
      <c r="AI1410"/>
      <c r="AJ1410"/>
      <c r="AM1410"/>
    </row>
    <row r="1411" spans="3:39" x14ac:dyDescent="0.2">
      <c r="C1411"/>
      <c r="D1411"/>
      <c r="E1411"/>
      <c r="F1411"/>
      <c r="G1411"/>
      <c r="H1411"/>
      <c r="I1411" s="684"/>
      <c r="V1411"/>
      <c r="W1411"/>
      <c r="Y1411"/>
      <c r="Z1411"/>
      <c r="AA1411"/>
      <c r="AD1411"/>
      <c r="AE1411"/>
      <c r="AF1411"/>
      <c r="AH1411"/>
      <c r="AI1411"/>
      <c r="AJ1411"/>
      <c r="AM1411"/>
    </row>
    <row r="1412" spans="3:39" x14ac:dyDescent="0.2">
      <c r="C1412"/>
      <c r="D1412"/>
      <c r="E1412"/>
      <c r="F1412"/>
      <c r="G1412"/>
      <c r="H1412"/>
      <c r="I1412" s="684"/>
      <c r="V1412"/>
      <c r="W1412"/>
      <c r="Y1412"/>
      <c r="Z1412"/>
      <c r="AA1412"/>
      <c r="AD1412"/>
      <c r="AE1412"/>
      <c r="AF1412"/>
      <c r="AH1412"/>
      <c r="AI1412"/>
      <c r="AJ1412"/>
      <c r="AM1412"/>
    </row>
    <row r="1413" spans="3:39" x14ac:dyDescent="0.2">
      <c r="C1413"/>
      <c r="D1413"/>
      <c r="E1413"/>
      <c r="F1413"/>
      <c r="G1413"/>
      <c r="H1413"/>
      <c r="I1413" s="684"/>
      <c r="V1413"/>
      <c r="W1413"/>
      <c r="Y1413"/>
      <c r="Z1413"/>
      <c r="AA1413"/>
      <c r="AD1413"/>
      <c r="AE1413"/>
      <c r="AF1413"/>
      <c r="AH1413"/>
      <c r="AI1413"/>
      <c r="AJ1413"/>
      <c r="AM1413"/>
    </row>
    <row r="1414" spans="3:39" x14ac:dyDescent="0.2">
      <c r="C1414"/>
      <c r="D1414"/>
      <c r="E1414"/>
      <c r="F1414"/>
      <c r="G1414"/>
      <c r="H1414"/>
      <c r="I1414" s="684"/>
      <c r="V1414"/>
      <c r="W1414"/>
      <c r="Y1414"/>
      <c r="Z1414"/>
      <c r="AA1414"/>
      <c r="AD1414"/>
      <c r="AE1414"/>
      <c r="AF1414"/>
      <c r="AH1414"/>
      <c r="AI1414"/>
      <c r="AJ1414"/>
      <c r="AM1414"/>
    </row>
    <row r="1415" spans="3:39" x14ac:dyDescent="0.2">
      <c r="C1415"/>
      <c r="D1415"/>
      <c r="E1415"/>
      <c r="F1415"/>
      <c r="G1415"/>
      <c r="H1415"/>
      <c r="I1415" s="684"/>
      <c r="V1415"/>
      <c r="W1415"/>
      <c r="Y1415"/>
      <c r="Z1415"/>
      <c r="AA1415"/>
      <c r="AD1415"/>
      <c r="AE1415"/>
      <c r="AF1415"/>
      <c r="AH1415"/>
      <c r="AI1415"/>
      <c r="AJ1415"/>
      <c r="AM1415"/>
    </row>
    <row r="1416" spans="3:39" x14ac:dyDescent="0.2">
      <c r="C1416"/>
      <c r="D1416"/>
      <c r="E1416"/>
      <c r="F1416"/>
      <c r="G1416"/>
      <c r="H1416"/>
      <c r="I1416" s="684"/>
      <c r="V1416"/>
      <c r="W1416"/>
      <c r="Y1416"/>
      <c r="Z1416"/>
      <c r="AA1416"/>
      <c r="AD1416"/>
      <c r="AE1416"/>
      <c r="AF1416"/>
      <c r="AH1416"/>
      <c r="AI1416"/>
      <c r="AJ1416"/>
      <c r="AM1416"/>
    </row>
    <row r="1417" spans="3:39" x14ac:dyDescent="0.2">
      <c r="C1417"/>
      <c r="D1417"/>
      <c r="E1417"/>
      <c r="F1417"/>
      <c r="G1417"/>
      <c r="H1417"/>
      <c r="I1417" s="684"/>
      <c r="V1417"/>
      <c r="W1417"/>
      <c r="Y1417"/>
      <c r="Z1417"/>
      <c r="AA1417"/>
      <c r="AD1417"/>
      <c r="AE1417"/>
      <c r="AF1417"/>
      <c r="AH1417"/>
      <c r="AI1417"/>
      <c r="AJ1417"/>
      <c r="AM1417"/>
    </row>
    <row r="1418" spans="3:39" x14ac:dyDescent="0.2">
      <c r="C1418"/>
      <c r="D1418"/>
      <c r="E1418"/>
      <c r="F1418"/>
      <c r="G1418"/>
      <c r="H1418"/>
      <c r="I1418" s="684"/>
      <c r="V1418"/>
      <c r="W1418"/>
      <c r="Y1418"/>
      <c r="Z1418"/>
      <c r="AA1418"/>
      <c r="AD1418"/>
      <c r="AE1418"/>
      <c r="AF1418"/>
      <c r="AH1418"/>
      <c r="AI1418"/>
      <c r="AJ1418"/>
      <c r="AM1418"/>
    </row>
    <row r="1419" spans="3:39" x14ac:dyDescent="0.2">
      <c r="C1419"/>
      <c r="D1419"/>
      <c r="E1419"/>
      <c r="F1419"/>
      <c r="G1419"/>
      <c r="H1419"/>
      <c r="I1419" s="684"/>
      <c r="V1419"/>
      <c r="W1419"/>
      <c r="Y1419"/>
      <c r="Z1419"/>
      <c r="AA1419"/>
      <c r="AD1419"/>
      <c r="AE1419"/>
      <c r="AF1419"/>
      <c r="AH1419"/>
      <c r="AI1419"/>
      <c r="AJ1419"/>
      <c r="AM1419"/>
    </row>
    <row r="1420" spans="3:39" x14ac:dyDescent="0.2">
      <c r="C1420"/>
      <c r="D1420"/>
      <c r="E1420"/>
      <c r="F1420"/>
      <c r="G1420"/>
      <c r="H1420"/>
      <c r="I1420" s="684"/>
      <c r="V1420"/>
      <c r="W1420"/>
      <c r="Y1420"/>
      <c r="Z1420"/>
      <c r="AA1420"/>
      <c r="AD1420"/>
      <c r="AE1420"/>
      <c r="AF1420"/>
      <c r="AH1420"/>
      <c r="AI1420"/>
      <c r="AJ1420"/>
      <c r="AM1420"/>
    </row>
    <row r="1421" spans="3:39" x14ac:dyDescent="0.2">
      <c r="C1421"/>
      <c r="D1421"/>
      <c r="E1421"/>
      <c r="F1421"/>
      <c r="G1421"/>
      <c r="H1421"/>
      <c r="I1421" s="684"/>
      <c r="V1421"/>
      <c r="W1421"/>
      <c r="Y1421"/>
      <c r="Z1421"/>
      <c r="AA1421"/>
      <c r="AD1421"/>
      <c r="AE1421"/>
      <c r="AF1421"/>
      <c r="AH1421"/>
      <c r="AI1421"/>
      <c r="AJ1421"/>
      <c r="AM1421"/>
    </row>
    <row r="1422" spans="3:39" x14ac:dyDescent="0.2">
      <c r="C1422"/>
      <c r="D1422"/>
      <c r="E1422"/>
      <c r="F1422"/>
      <c r="G1422"/>
      <c r="H1422"/>
      <c r="I1422" s="684"/>
      <c r="V1422"/>
      <c r="W1422"/>
      <c r="Y1422"/>
      <c r="Z1422"/>
      <c r="AA1422"/>
      <c r="AD1422"/>
      <c r="AE1422"/>
      <c r="AF1422"/>
      <c r="AH1422"/>
      <c r="AI1422"/>
      <c r="AJ1422"/>
      <c r="AM1422"/>
    </row>
    <row r="1423" spans="3:39" x14ac:dyDescent="0.2">
      <c r="C1423"/>
      <c r="D1423"/>
      <c r="E1423"/>
      <c r="F1423"/>
      <c r="G1423"/>
      <c r="H1423"/>
      <c r="I1423" s="684"/>
      <c r="V1423"/>
      <c r="W1423"/>
      <c r="Y1423"/>
      <c r="Z1423"/>
      <c r="AA1423"/>
      <c r="AD1423"/>
      <c r="AE1423"/>
      <c r="AF1423"/>
      <c r="AH1423"/>
      <c r="AI1423"/>
      <c r="AJ1423"/>
      <c r="AM1423"/>
    </row>
    <row r="1424" spans="3:39" x14ac:dyDescent="0.2">
      <c r="C1424"/>
      <c r="D1424"/>
      <c r="E1424"/>
      <c r="F1424"/>
      <c r="G1424"/>
      <c r="H1424"/>
      <c r="I1424" s="684"/>
      <c r="V1424"/>
      <c r="W1424"/>
      <c r="Y1424"/>
      <c r="Z1424"/>
      <c r="AA1424"/>
      <c r="AD1424"/>
      <c r="AE1424"/>
      <c r="AF1424"/>
      <c r="AH1424"/>
      <c r="AI1424"/>
      <c r="AJ1424"/>
      <c r="AM1424"/>
    </row>
    <row r="1425" spans="3:39" x14ac:dyDescent="0.2">
      <c r="C1425"/>
      <c r="D1425"/>
      <c r="E1425"/>
      <c r="F1425"/>
      <c r="G1425"/>
      <c r="H1425"/>
      <c r="I1425" s="684"/>
      <c r="V1425"/>
      <c r="W1425"/>
      <c r="Y1425"/>
      <c r="Z1425"/>
      <c r="AA1425"/>
      <c r="AD1425"/>
      <c r="AE1425"/>
      <c r="AF1425"/>
      <c r="AH1425"/>
      <c r="AI1425"/>
      <c r="AJ1425"/>
      <c r="AM1425"/>
    </row>
    <row r="1426" spans="3:39" x14ac:dyDescent="0.2">
      <c r="C1426"/>
      <c r="D1426"/>
      <c r="E1426"/>
      <c r="F1426"/>
      <c r="G1426"/>
      <c r="H1426"/>
      <c r="I1426" s="684"/>
      <c r="V1426"/>
      <c r="W1426"/>
      <c r="Y1426"/>
      <c r="Z1426"/>
      <c r="AA1426"/>
      <c r="AD1426"/>
      <c r="AE1426"/>
      <c r="AF1426"/>
      <c r="AH1426"/>
      <c r="AI1426"/>
      <c r="AJ1426"/>
      <c r="AM1426"/>
    </row>
    <row r="1427" spans="3:39" x14ac:dyDescent="0.2">
      <c r="C1427"/>
      <c r="D1427"/>
      <c r="E1427"/>
      <c r="F1427"/>
      <c r="G1427"/>
      <c r="H1427"/>
      <c r="I1427" s="684"/>
      <c r="V1427"/>
      <c r="W1427"/>
      <c r="Y1427"/>
      <c r="Z1427"/>
      <c r="AA1427"/>
      <c r="AD1427"/>
      <c r="AE1427"/>
      <c r="AF1427"/>
      <c r="AH1427"/>
      <c r="AI1427"/>
      <c r="AJ1427"/>
      <c r="AM1427"/>
    </row>
    <row r="1428" spans="3:39" x14ac:dyDescent="0.2">
      <c r="C1428"/>
      <c r="D1428"/>
      <c r="E1428"/>
      <c r="F1428"/>
      <c r="G1428"/>
      <c r="H1428"/>
      <c r="I1428" s="684"/>
      <c r="V1428"/>
      <c r="W1428"/>
      <c r="Y1428"/>
      <c r="Z1428"/>
      <c r="AA1428"/>
      <c r="AD1428"/>
      <c r="AE1428"/>
      <c r="AF1428"/>
      <c r="AH1428"/>
      <c r="AI1428"/>
      <c r="AJ1428"/>
      <c r="AM1428"/>
    </row>
    <row r="1429" spans="3:39" x14ac:dyDescent="0.2">
      <c r="C1429"/>
      <c r="D1429"/>
      <c r="E1429"/>
      <c r="F1429"/>
      <c r="G1429"/>
      <c r="H1429"/>
      <c r="I1429" s="684"/>
      <c r="V1429"/>
      <c r="W1429"/>
      <c r="Y1429"/>
      <c r="Z1429"/>
      <c r="AA1429"/>
      <c r="AD1429"/>
      <c r="AE1429"/>
      <c r="AF1429"/>
      <c r="AH1429"/>
      <c r="AI1429"/>
      <c r="AJ1429"/>
      <c r="AM1429"/>
    </row>
    <row r="1430" spans="3:39" x14ac:dyDescent="0.2">
      <c r="C1430"/>
      <c r="D1430"/>
      <c r="E1430"/>
      <c r="F1430"/>
      <c r="G1430"/>
      <c r="H1430"/>
      <c r="I1430" s="684"/>
      <c r="V1430"/>
      <c r="W1430"/>
      <c r="Y1430"/>
      <c r="Z1430"/>
      <c r="AA1430"/>
      <c r="AD1430"/>
      <c r="AE1430"/>
      <c r="AF1430"/>
      <c r="AH1430"/>
      <c r="AI1430"/>
      <c r="AJ1430"/>
      <c r="AM1430"/>
    </row>
    <row r="1431" spans="3:39" x14ac:dyDescent="0.2">
      <c r="C1431"/>
      <c r="D1431"/>
      <c r="E1431"/>
      <c r="F1431"/>
      <c r="G1431"/>
      <c r="H1431"/>
      <c r="I1431" s="684"/>
      <c r="V1431"/>
      <c r="W1431"/>
      <c r="Y1431"/>
      <c r="Z1431"/>
      <c r="AA1431"/>
      <c r="AD1431"/>
      <c r="AE1431"/>
      <c r="AF1431"/>
      <c r="AH1431"/>
      <c r="AI1431"/>
      <c r="AJ1431"/>
      <c r="AM1431"/>
    </row>
    <row r="1432" spans="3:39" x14ac:dyDescent="0.2">
      <c r="C1432"/>
      <c r="D1432"/>
      <c r="E1432"/>
      <c r="F1432"/>
      <c r="G1432"/>
      <c r="H1432"/>
      <c r="I1432" s="684"/>
      <c r="V1432"/>
      <c r="W1432"/>
      <c r="Y1432"/>
      <c r="Z1432"/>
      <c r="AA1432"/>
      <c r="AD1432"/>
      <c r="AE1432"/>
      <c r="AF1432"/>
      <c r="AH1432"/>
      <c r="AI1432"/>
      <c r="AJ1432"/>
      <c r="AM1432"/>
    </row>
    <row r="1433" spans="3:39" x14ac:dyDescent="0.2">
      <c r="C1433"/>
      <c r="D1433"/>
      <c r="E1433"/>
      <c r="F1433"/>
      <c r="G1433"/>
      <c r="H1433"/>
      <c r="I1433" s="684"/>
      <c r="V1433"/>
      <c r="W1433"/>
      <c r="Y1433"/>
      <c r="Z1433"/>
      <c r="AA1433"/>
      <c r="AD1433"/>
      <c r="AE1433"/>
      <c r="AF1433"/>
      <c r="AH1433"/>
      <c r="AI1433"/>
      <c r="AJ1433"/>
      <c r="AM1433"/>
    </row>
    <row r="1434" spans="3:39" x14ac:dyDescent="0.2">
      <c r="C1434"/>
      <c r="D1434"/>
      <c r="E1434"/>
      <c r="F1434"/>
      <c r="G1434"/>
      <c r="H1434"/>
      <c r="I1434" s="684"/>
      <c r="V1434"/>
      <c r="W1434"/>
      <c r="Y1434"/>
      <c r="Z1434"/>
      <c r="AA1434"/>
      <c r="AD1434"/>
      <c r="AE1434"/>
      <c r="AF1434"/>
      <c r="AH1434"/>
      <c r="AI1434"/>
      <c r="AJ1434"/>
      <c r="AM1434"/>
    </row>
    <row r="1435" spans="3:39" x14ac:dyDescent="0.2">
      <c r="C1435"/>
      <c r="D1435"/>
      <c r="E1435"/>
      <c r="F1435"/>
      <c r="G1435"/>
      <c r="H1435"/>
      <c r="I1435" s="684"/>
      <c r="V1435"/>
      <c r="W1435"/>
      <c r="Y1435"/>
      <c r="Z1435"/>
      <c r="AA1435"/>
      <c r="AD1435"/>
      <c r="AE1435"/>
      <c r="AF1435"/>
      <c r="AH1435"/>
      <c r="AI1435"/>
      <c r="AJ1435"/>
      <c r="AM1435"/>
    </row>
    <row r="1436" spans="3:39" x14ac:dyDescent="0.2">
      <c r="C1436"/>
      <c r="D1436"/>
      <c r="E1436"/>
      <c r="F1436"/>
      <c r="G1436"/>
      <c r="H1436"/>
      <c r="I1436" s="684"/>
      <c r="V1436"/>
      <c r="W1436"/>
      <c r="Y1436"/>
      <c r="Z1436"/>
      <c r="AA1436"/>
      <c r="AD1436"/>
      <c r="AE1436"/>
      <c r="AF1436"/>
      <c r="AH1436"/>
      <c r="AI1436"/>
      <c r="AJ1436"/>
      <c r="AM1436"/>
    </row>
    <row r="1437" spans="3:39" x14ac:dyDescent="0.2">
      <c r="C1437"/>
      <c r="D1437"/>
      <c r="E1437"/>
      <c r="F1437"/>
      <c r="G1437"/>
      <c r="H1437"/>
      <c r="I1437" s="684"/>
      <c r="V1437"/>
      <c r="W1437"/>
      <c r="Y1437"/>
      <c r="Z1437"/>
      <c r="AA1437"/>
      <c r="AD1437"/>
      <c r="AE1437"/>
      <c r="AF1437"/>
      <c r="AH1437"/>
      <c r="AI1437"/>
      <c r="AJ1437"/>
      <c r="AM1437"/>
    </row>
    <row r="1438" spans="3:39" x14ac:dyDescent="0.2">
      <c r="C1438"/>
      <c r="D1438"/>
      <c r="E1438"/>
      <c r="F1438"/>
      <c r="G1438"/>
      <c r="H1438"/>
      <c r="I1438" s="684"/>
      <c r="V1438"/>
      <c r="W1438"/>
      <c r="Y1438"/>
      <c r="Z1438"/>
      <c r="AA1438"/>
      <c r="AD1438"/>
      <c r="AE1438"/>
      <c r="AF1438"/>
      <c r="AH1438"/>
      <c r="AI1438"/>
      <c r="AJ1438"/>
      <c r="AM1438"/>
    </row>
    <row r="1439" spans="3:39" x14ac:dyDescent="0.2">
      <c r="C1439"/>
      <c r="D1439"/>
      <c r="E1439"/>
      <c r="F1439"/>
      <c r="G1439"/>
      <c r="H1439"/>
      <c r="I1439" s="684"/>
      <c r="V1439"/>
      <c r="W1439"/>
      <c r="Y1439"/>
      <c r="Z1439"/>
      <c r="AA1439"/>
      <c r="AD1439"/>
      <c r="AE1439"/>
      <c r="AF1439"/>
      <c r="AH1439"/>
      <c r="AI1439"/>
      <c r="AJ1439"/>
      <c r="AM1439"/>
    </row>
    <row r="1440" spans="3:39" x14ac:dyDescent="0.2">
      <c r="C1440"/>
      <c r="D1440"/>
      <c r="E1440"/>
      <c r="F1440"/>
      <c r="G1440"/>
      <c r="H1440"/>
      <c r="I1440" s="684"/>
      <c r="V1440"/>
      <c r="W1440"/>
      <c r="Y1440"/>
      <c r="Z1440"/>
      <c r="AA1440"/>
      <c r="AD1440"/>
      <c r="AE1440"/>
      <c r="AF1440"/>
      <c r="AH1440"/>
      <c r="AI1440"/>
      <c r="AJ1440"/>
      <c r="AM1440"/>
    </row>
    <row r="1441" spans="3:39" x14ac:dyDescent="0.2">
      <c r="C1441"/>
      <c r="D1441"/>
      <c r="E1441"/>
      <c r="F1441"/>
      <c r="G1441"/>
      <c r="H1441"/>
      <c r="I1441" s="684"/>
      <c r="V1441"/>
      <c r="W1441"/>
      <c r="Y1441"/>
      <c r="Z1441"/>
      <c r="AA1441"/>
      <c r="AD1441"/>
      <c r="AE1441"/>
      <c r="AF1441"/>
      <c r="AH1441"/>
      <c r="AI1441"/>
      <c r="AJ1441"/>
      <c r="AM1441"/>
    </row>
    <row r="1442" spans="3:39" x14ac:dyDescent="0.2">
      <c r="C1442"/>
      <c r="D1442"/>
      <c r="E1442"/>
      <c r="F1442"/>
      <c r="G1442"/>
      <c r="H1442"/>
      <c r="I1442" s="684"/>
      <c r="V1442"/>
      <c r="W1442"/>
      <c r="Y1442"/>
      <c r="Z1442"/>
      <c r="AA1442"/>
      <c r="AD1442"/>
      <c r="AE1442"/>
      <c r="AF1442"/>
      <c r="AH1442"/>
      <c r="AI1442"/>
      <c r="AJ1442"/>
      <c r="AM1442"/>
    </row>
    <row r="1443" spans="3:39" x14ac:dyDescent="0.2">
      <c r="C1443"/>
      <c r="D1443"/>
      <c r="E1443"/>
      <c r="F1443"/>
      <c r="G1443"/>
      <c r="H1443"/>
      <c r="I1443" s="684"/>
      <c r="V1443"/>
      <c r="W1443"/>
      <c r="Y1443"/>
      <c r="Z1443"/>
      <c r="AA1443"/>
      <c r="AD1443"/>
      <c r="AE1443"/>
      <c r="AF1443"/>
      <c r="AH1443"/>
      <c r="AI1443"/>
      <c r="AJ1443"/>
      <c r="AM1443"/>
    </row>
    <row r="1444" spans="3:39" x14ac:dyDescent="0.2">
      <c r="C1444"/>
      <c r="D1444"/>
      <c r="E1444"/>
      <c r="F1444"/>
      <c r="G1444"/>
      <c r="H1444"/>
      <c r="I1444" s="684"/>
      <c r="V1444"/>
      <c r="W1444"/>
      <c r="Y1444"/>
      <c r="Z1444"/>
      <c r="AA1444"/>
      <c r="AD1444"/>
      <c r="AE1444"/>
      <c r="AF1444"/>
      <c r="AH1444"/>
      <c r="AI1444"/>
      <c r="AJ1444"/>
      <c r="AM1444"/>
    </row>
    <row r="1445" spans="3:39" x14ac:dyDescent="0.2">
      <c r="C1445"/>
      <c r="D1445"/>
      <c r="E1445"/>
      <c r="F1445"/>
      <c r="G1445"/>
      <c r="H1445"/>
      <c r="I1445" s="684"/>
      <c r="V1445"/>
      <c r="W1445"/>
      <c r="Y1445"/>
      <c r="Z1445"/>
      <c r="AA1445"/>
      <c r="AD1445"/>
      <c r="AE1445"/>
      <c r="AF1445"/>
      <c r="AH1445"/>
      <c r="AI1445"/>
      <c r="AJ1445"/>
      <c r="AM1445"/>
    </row>
    <row r="1446" spans="3:39" x14ac:dyDescent="0.2">
      <c r="C1446"/>
      <c r="D1446"/>
      <c r="E1446"/>
      <c r="F1446"/>
      <c r="G1446"/>
      <c r="H1446"/>
      <c r="I1446" s="684"/>
      <c r="V1446"/>
      <c r="W1446"/>
      <c r="Y1446"/>
      <c r="Z1446"/>
      <c r="AA1446"/>
      <c r="AD1446"/>
      <c r="AE1446"/>
      <c r="AF1446"/>
      <c r="AH1446"/>
      <c r="AI1446"/>
      <c r="AJ1446"/>
      <c r="AM1446"/>
    </row>
    <row r="1447" spans="3:39" x14ac:dyDescent="0.2">
      <c r="C1447"/>
      <c r="D1447"/>
      <c r="E1447"/>
      <c r="F1447"/>
      <c r="G1447"/>
      <c r="H1447"/>
      <c r="I1447" s="684"/>
      <c r="V1447"/>
      <c r="W1447"/>
      <c r="Y1447"/>
      <c r="Z1447"/>
      <c r="AA1447"/>
      <c r="AD1447"/>
      <c r="AE1447"/>
      <c r="AF1447"/>
      <c r="AH1447"/>
      <c r="AI1447"/>
      <c r="AJ1447"/>
      <c r="AM1447"/>
    </row>
    <row r="1448" spans="3:39" x14ac:dyDescent="0.2">
      <c r="C1448"/>
      <c r="D1448"/>
      <c r="E1448"/>
      <c r="F1448"/>
      <c r="G1448"/>
      <c r="H1448"/>
      <c r="I1448" s="684"/>
      <c r="V1448"/>
      <c r="W1448"/>
      <c r="Y1448"/>
      <c r="Z1448"/>
      <c r="AA1448"/>
      <c r="AD1448"/>
      <c r="AE1448"/>
      <c r="AF1448"/>
      <c r="AH1448"/>
      <c r="AI1448"/>
      <c r="AJ1448"/>
      <c r="AM1448"/>
    </row>
    <row r="1449" spans="3:39" x14ac:dyDescent="0.2">
      <c r="C1449"/>
      <c r="D1449"/>
      <c r="E1449"/>
      <c r="F1449"/>
      <c r="G1449"/>
      <c r="H1449"/>
      <c r="I1449" s="684"/>
      <c r="V1449"/>
      <c r="W1449"/>
      <c r="Y1449"/>
      <c r="Z1449"/>
      <c r="AA1449"/>
      <c r="AD1449"/>
      <c r="AE1449"/>
      <c r="AF1449"/>
      <c r="AH1449"/>
      <c r="AI1449"/>
      <c r="AJ1449"/>
      <c r="AM1449"/>
    </row>
    <row r="1450" spans="3:39" x14ac:dyDescent="0.2">
      <c r="C1450"/>
      <c r="D1450"/>
      <c r="E1450"/>
      <c r="F1450"/>
      <c r="G1450"/>
      <c r="H1450"/>
      <c r="I1450" s="684"/>
      <c r="V1450"/>
      <c r="W1450"/>
      <c r="Y1450"/>
      <c r="Z1450"/>
      <c r="AA1450"/>
      <c r="AD1450"/>
      <c r="AE1450"/>
      <c r="AF1450"/>
      <c r="AH1450"/>
      <c r="AI1450"/>
      <c r="AJ1450"/>
      <c r="AM1450"/>
    </row>
    <row r="1451" spans="3:39" x14ac:dyDescent="0.2">
      <c r="C1451"/>
      <c r="D1451"/>
      <c r="E1451"/>
      <c r="F1451"/>
      <c r="G1451"/>
      <c r="H1451"/>
      <c r="I1451" s="684"/>
      <c r="V1451"/>
      <c r="W1451"/>
      <c r="Y1451"/>
      <c r="Z1451"/>
      <c r="AA1451"/>
      <c r="AD1451"/>
      <c r="AE1451"/>
      <c r="AF1451"/>
      <c r="AH1451"/>
      <c r="AI1451"/>
      <c r="AJ1451"/>
      <c r="AM1451"/>
    </row>
    <row r="1452" spans="3:39" x14ac:dyDescent="0.2">
      <c r="C1452"/>
      <c r="D1452"/>
      <c r="E1452"/>
      <c r="F1452"/>
      <c r="G1452"/>
      <c r="H1452"/>
      <c r="I1452" s="684"/>
      <c r="V1452"/>
      <c r="W1452"/>
      <c r="Y1452"/>
      <c r="Z1452"/>
      <c r="AA1452"/>
      <c r="AD1452"/>
      <c r="AE1452"/>
      <c r="AF1452"/>
      <c r="AH1452"/>
      <c r="AI1452"/>
      <c r="AJ1452"/>
      <c r="AM1452"/>
    </row>
    <row r="1453" spans="3:39" x14ac:dyDescent="0.2">
      <c r="C1453"/>
      <c r="D1453"/>
      <c r="E1453"/>
      <c r="F1453"/>
      <c r="G1453"/>
      <c r="H1453"/>
      <c r="I1453" s="684"/>
      <c r="V1453"/>
      <c r="W1453"/>
      <c r="Y1453"/>
      <c r="Z1453"/>
      <c r="AA1453"/>
      <c r="AD1453"/>
      <c r="AE1453"/>
      <c r="AF1453"/>
      <c r="AH1453"/>
      <c r="AI1453"/>
      <c r="AJ1453"/>
      <c r="AM1453"/>
    </row>
    <row r="1454" spans="3:39" x14ac:dyDescent="0.2">
      <c r="C1454"/>
      <c r="D1454"/>
      <c r="E1454"/>
      <c r="F1454"/>
      <c r="G1454"/>
      <c r="H1454"/>
      <c r="I1454" s="684"/>
      <c r="V1454"/>
      <c r="W1454"/>
      <c r="Y1454"/>
      <c r="Z1454"/>
      <c r="AA1454"/>
      <c r="AD1454"/>
      <c r="AE1454"/>
      <c r="AF1454"/>
      <c r="AH1454"/>
      <c r="AI1454"/>
      <c r="AJ1454"/>
      <c r="AM1454"/>
    </row>
    <row r="1455" spans="3:39" x14ac:dyDescent="0.2">
      <c r="C1455"/>
      <c r="D1455"/>
      <c r="E1455"/>
      <c r="F1455"/>
      <c r="G1455"/>
      <c r="H1455"/>
      <c r="I1455" s="684"/>
      <c r="V1455"/>
      <c r="W1455"/>
      <c r="Y1455"/>
      <c r="Z1455"/>
      <c r="AA1455"/>
      <c r="AD1455"/>
      <c r="AE1455"/>
      <c r="AF1455"/>
      <c r="AH1455"/>
      <c r="AI1455"/>
      <c r="AJ1455"/>
      <c r="AM1455"/>
    </row>
    <row r="1456" spans="3:39" x14ac:dyDescent="0.2">
      <c r="C1456"/>
      <c r="D1456"/>
      <c r="E1456"/>
      <c r="F1456"/>
      <c r="G1456"/>
      <c r="H1456"/>
      <c r="I1456" s="684"/>
      <c r="V1456"/>
      <c r="W1456"/>
      <c r="Y1456"/>
      <c r="Z1456"/>
      <c r="AA1456"/>
      <c r="AD1456"/>
      <c r="AE1456"/>
      <c r="AF1456"/>
      <c r="AH1456"/>
      <c r="AI1456"/>
      <c r="AJ1456"/>
      <c r="AM1456"/>
    </row>
    <row r="1457" spans="3:39" x14ac:dyDescent="0.2">
      <c r="C1457"/>
      <c r="D1457"/>
      <c r="E1457"/>
      <c r="F1457"/>
      <c r="G1457"/>
      <c r="H1457"/>
      <c r="I1457" s="684"/>
      <c r="V1457"/>
      <c r="W1457"/>
      <c r="Y1457"/>
      <c r="Z1457"/>
      <c r="AA1457"/>
      <c r="AD1457"/>
      <c r="AE1457"/>
      <c r="AF1457"/>
      <c r="AH1457"/>
      <c r="AI1457"/>
      <c r="AJ1457"/>
      <c r="AM1457"/>
    </row>
    <row r="1458" spans="3:39" x14ac:dyDescent="0.2">
      <c r="C1458"/>
      <c r="D1458"/>
      <c r="E1458"/>
      <c r="F1458"/>
      <c r="G1458"/>
      <c r="H1458"/>
      <c r="I1458" s="684"/>
      <c r="V1458"/>
      <c r="W1458"/>
      <c r="Y1458"/>
      <c r="Z1458"/>
      <c r="AA1458"/>
      <c r="AD1458"/>
      <c r="AE1458"/>
      <c r="AF1458"/>
      <c r="AH1458"/>
      <c r="AI1458"/>
      <c r="AJ1458"/>
      <c r="AM1458"/>
    </row>
    <row r="1459" spans="3:39" x14ac:dyDescent="0.2">
      <c r="C1459"/>
      <c r="D1459"/>
      <c r="E1459"/>
      <c r="F1459"/>
      <c r="G1459"/>
      <c r="H1459"/>
      <c r="I1459" s="684"/>
      <c r="V1459"/>
      <c r="W1459"/>
      <c r="Y1459"/>
      <c r="Z1459"/>
      <c r="AA1459"/>
      <c r="AD1459"/>
      <c r="AE1459"/>
      <c r="AF1459"/>
      <c r="AH1459"/>
      <c r="AI1459"/>
      <c r="AJ1459"/>
      <c r="AM1459"/>
    </row>
    <row r="1460" spans="3:39" x14ac:dyDescent="0.2">
      <c r="C1460"/>
      <c r="D1460"/>
      <c r="E1460"/>
      <c r="F1460"/>
      <c r="G1460"/>
      <c r="H1460"/>
      <c r="I1460" s="684"/>
      <c r="V1460"/>
      <c r="W1460"/>
      <c r="Y1460"/>
      <c r="Z1460"/>
      <c r="AA1460"/>
      <c r="AD1460"/>
      <c r="AE1460"/>
      <c r="AF1460"/>
      <c r="AH1460"/>
      <c r="AI1460"/>
      <c r="AJ1460"/>
      <c r="AM1460"/>
    </row>
    <row r="1461" spans="3:39" x14ac:dyDescent="0.2">
      <c r="C1461"/>
      <c r="D1461"/>
      <c r="E1461"/>
      <c r="F1461"/>
      <c r="G1461"/>
      <c r="H1461"/>
      <c r="I1461" s="684"/>
      <c r="V1461"/>
      <c r="W1461"/>
      <c r="Y1461"/>
      <c r="Z1461"/>
      <c r="AA1461"/>
      <c r="AD1461"/>
      <c r="AE1461"/>
      <c r="AF1461"/>
      <c r="AH1461"/>
      <c r="AI1461"/>
      <c r="AJ1461"/>
      <c r="AM1461"/>
    </row>
    <row r="1462" spans="3:39" x14ac:dyDescent="0.2">
      <c r="C1462"/>
      <c r="D1462"/>
      <c r="E1462"/>
      <c r="F1462"/>
      <c r="G1462"/>
      <c r="H1462"/>
      <c r="I1462" s="684"/>
      <c r="V1462"/>
      <c r="W1462"/>
      <c r="Y1462"/>
      <c r="Z1462"/>
      <c r="AA1462"/>
      <c r="AD1462"/>
      <c r="AE1462"/>
      <c r="AF1462"/>
      <c r="AH1462"/>
      <c r="AI1462"/>
      <c r="AJ1462"/>
      <c r="AM1462"/>
    </row>
    <row r="1463" spans="3:39" x14ac:dyDescent="0.2">
      <c r="C1463"/>
      <c r="D1463"/>
      <c r="E1463"/>
      <c r="F1463"/>
      <c r="G1463"/>
      <c r="H1463"/>
      <c r="I1463" s="684"/>
      <c r="V1463"/>
      <c r="W1463"/>
      <c r="Y1463"/>
      <c r="Z1463"/>
      <c r="AA1463"/>
      <c r="AD1463"/>
      <c r="AE1463"/>
      <c r="AF1463"/>
      <c r="AH1463"/>
      <c r="AI1463"/>
      <c r="AJ1463"/>
      <c r="AM1463"/>
    </row>
    <row r="1464" spans="3:39" x14ac:dyDescent="0.2">
      <c r="C1464"/>
      <c r="D1464"/>
      <c r="E1464"/>
      <c r="F1464"/>
      <c r="G1464"/>
      <c r="H1464"/>
      <c r="I1464" s="684"/>
      <c r="V1464"/>
      <c r="W1464"/>
      <c r="Y1464"/>
      <c r="Z1464"/>
      <c r="AA1464"/>
      <c r="AD1464"/>
      <c r="AE1464"/>
      <c r="AF1464"/>
      <c r="AH1464"/>
      <c r="AI1464"/>
      <c r="AJ1464"/>
      <c r="AM1464"/>
    </row>
    <row r="1465" spans="3:39" x14ac:dyDescent="0.2">
      <c r="C1465"/>
      <c r="D1465"/>
      <c r="E1465"/>
      <c r="F1465"/>
      <c r="G1465"/>
      <c r="H1465"/>
      <c r="I1465" s="684"/>
      <c r="V1465"/>
      <c r="W1465"/>
      <c r="Y1465"/>
      <c r="Z1465"/>
      <c r="AA1465"/>
      <c r="AD1465"/>
      <c r="AE1465"/>
      <c r="AF1465"/>
      <c r="AH1465"/>
      <c r="AI1465"/>
      <c r="AJ1465"/>
      <c r="AM1465"/>
    </row>
    <row r="1466" spans="3:39" x14ac:dyDescent="0.2">
      <c r="C1466"/>
      <c r="D1466"/>
      <c r="E1466"/>
      <c r="F1466"/>
      <c r="G1466"/>
      <c r="H1466"/>
      <c r="I1466" s="684"/>
      <c r="V1466"/>
      <c r="W1466"/>
      <c r="Y1466"/>
      <c r="Z1466"/>
      <c r="AA1466"/>
      <c r="AD1466"/>
      <c r="AE1466"/>
      <c r="AF1466"/>
      <c r="AH1466"/>
      <c r="AI1466"/>
      <c r="AJ1466"/>
      <c r="AM1466"/>
    </row>
    <row r="1467" spans="3:39" x14ac:dyDescent="0.2">
      <c r="C1467"/>
      <c r="D1467"/>
      <c r="E1467"/>
      <c r="F1467"/>
      <c r="G1467"/>
      <c r="H1467"/>
      <c r="I1467" s="684"/>
      <c r="V1467"/>
      <c r="W1467"/>
      <c r="Y1467"/>
      <c r="Z1467"/>
      <c r="AA1467"/>
      <c r="AD1467"/>
      <c r="AE1467"/>
      <c r="AF1467"/>
      <c r="AH1467"/>
      <c r="AI1467"/>
      <c r="AJ1467"/>
      <c r="AM1467"/>
    </row>
    <row r="1468" spans="3:39" x14ac:dyDescent="0.2">
      <c r="C1468"/>
      <c r="D1468"/>
      <c r="E1468"/>
      <c r="F1468"/>
      <c r="G1468"/>
      <c r="H1468"/>
      <c r="I1468" s="684"/>
      <c r="V1468"/>
      <c r="W1468"/>
      <c r="Y1468"/>
      <c r="Z1468"/>
      <c r="AA1468"/>
      <c r="AD1468"/>
      <c r="AE1468"/>
      <c r="AF1468"/>
      <c r="AH1468"/>
      <c r="AI1468"/>
      <c r="AJ1468"/>
      <c r="AM1468"/>
    </row>
    <row r="1469" spans="3:39" x14ac:dyDescent="0.2">
      <c r="C1469"/>
      <c r="D1469"/>
      <c r="E1469"/>
      <c r="F1469"/>
      <c r="G1469"/>
      <c r="H1469"/>
      <c r="I1469" s="684"/>
      <c r="V1469"/>
      <c r="W1469"/>
      <c r="Y1469"/>
      <c r="Z1469"/>
      <c r="AA1469"/>
      <c r="AD1469"/>
      <c r="AE1469"/>
      <c r="AF1469"/>
      <c r="AH1469"/>
      <c r="AI1469"/>
      <c r="AJ1469"/>
      <c r="AM1469"/>
    </row>
    <row r="1470" spans="3:39" x14ac:dyDescent="0.2">
      <c r="C1470"/>
      <c r="D1470"/>
      <c r="E1470"/>
      <c r="F1470"/>
      <c r="G1470"/>
      <c r="H1470"/>
      <c r="I1470" s="684"/>
      <c r="V1470"/>
      <c r="W1470"/>
      <c r="Y1470"/>
      <c r="Z1470"/>
      <c r="AA1470"/>
      <c r="AD1470"/>
      <c r="AE1470"/>
      <c r="AF1470"/>
      <c r="AH1470"/>
      <c r="AI1470"/>
      <c r="AJ1470"/>
      <c r="AM1470"/>
    </row>
    <row r="1471" spans="3:39" x14ac:dyDescent="0.2">
      <c r="C1471"/>
      <c r="D1471"/>
      <c r="E1471"/>
      <c r="F1471"/>
      <c r="G1471"/>
      <c r="H1471"/>
      <c r="I1471" s="684"/>
      <c r="V1471"/>
      <c r="W1471"/>
      <c r="Y1471"/>
      <c r="Z1471"/>
      <c r="AA1471"/>
      <c r="AD1471"/>
      <c r="AE1471"/>
      <c r="AF1471"/>
      <c r="AH1471"/>
      <c r="AI1471"/>
      <c r="AJ1471"/>
      <c r="AM1471"/>
    </row>
    <row r="1472" spans="3:39" x14ac:dyDescent="0.2">
      <c r="C1472"/>
      <c r="D1472"/>
      <c r="E1472"/>
      <c r="F1472"/>
      <c r="G1472"/>
      <c r="H1472"/>
      <c r="I1472" s="684"/>
      <c r="V1472"/>
      <c r="W1472"/>
      <c r="Y1472"/>
      <c r="Z1472"/>
      <c r="AA1472"/>
      <c r="AD1472"/>
      <c r="AE1472"/>
      <c r="AF1472"/>
      <c r="AH1472"/>
      <c r="AI1472"/>
      <c r="AJ1472"/>
      <c r="AM1472"/>
    </row>
    <row r="1473" spans="3:39" x14ac:dyDescent="0.2">
      <c r="C1473"/>
      <c r="D1473"/>
      <c r="E1473"/>
      <c r="F1473"/>
      <c r="G1473"/>
      <c r="H1473"/>
      <c r="I1473" s="684"/>
      <c r="V1473"/>
      <c r="W1473"/>
      <c r="Y1473"/>
      <c r="Z1473"/>
      <c r="AA1473"/>
      <c r="AD1473"/>
      <c r="AE1473"/>
      <c r="AF1473"/>
      <c r="AH1473"/>
      <c r="AI1473"/>
      <c r="AJ1473"/>
      <c r="AM1473"/>
    </row>
    <row r="1474" spans="3:39" x14ac:dyDescent="0.2">
      <c r="C1474"/>
      <c r="D1474"/>
      <c r="E1474"/>
      <c r="F1474"/>
      <c r="G1474"/>
      <c r="H1474"/>
      <c r="I1474" s="684"/>
      <c r="V1474"/>
      <c r="W1474"/>
      <c r="Y1474"/>
      <c r="Z1474"/>
      <c r="AA1474"/>
      <c r="AD1474"/>
      <c r="AE1474"/>
      <c r="AF1474"/>
      <c r="AH1474"/>
      <c r="AI1474"/>
      <c r="AJ1474"/>
      <c r="AM1474"/>
    </row>
    <row r="1475" spans="3:39" x14ac:dyDescent="0.2">
      <c r="C1475"/>
      <c r="D1475"/>
      <c r="E1475"/>
      <c r="F1475"/>
      <c r="G1475"/>
      <c r="H1475"/>
      <c r="I1475" s="684"/>
      <c r="V1475"/>
      <c r="W1475"/>
      <c r="Y1475"/>
      <c r="Z1475"/>
      <c r="AA1475"/>
      <c r="AD1475"/>
      <c r="AE1475"/>
      <c r="AF1475"/>
      <c r="AH1475"/>
      <c r="AI1475"/>
      <c r="AJ1475"/>
      <c r="AM1475"/>
    </row>
    <row r="1476" spans="3:39" x14ac:dyDescent="0.2">
      <c r="C1476"/>
      <c r="D1476"/>
      <c r="E1476"/>
      <c r="F1476"/>
      <c r="G1476"/>
      <c r="H1476"/>
      <c r="I1476" s="684"/>
      <c r="V1476"/>
      <c r="W1476"/>
      <c r="Y1476"/>
      <c r="Z1476"/>
      <c r="AA1476"/>
      <c r="AD1476"/>
      <c r="AE1476"/>
      <c r="AF1476"/>
      <c r="AH1476"/>
      <c r="AI1476"/>
      <c r="AJ1476"/>
      <c r="AM1476"/>
    </row>
    <row r="1477" spans="3:39" x14ac:dyDescent="0.2">
      <c r="C1477"/>
      <c r="D1477"/>
      <c r="E1477"/>
      <c r="F1477"/>
      <c r="G1477"/>
      <c r="H1477"/>
      <c r="I1477" s="684"/>
      <c r="V1477"/>
      <c r="W1477"/>
      <c r="Y1477"/>
      <c r="Z1477"/>
      <c r="AA1477"/>
      <c r="AD1477"/>
      <c r="AE1477"/>
      <c r="AF1477"/>
      <c r="AH1477"/>
      <c r="AI1477"/>
      <c r="AJ1477"/>
      <c r="AM1477"/>
    </row>
    <row r="1478" spans="3:39" x14ac:dyDescent="0.2">
      <c r="C1478"/>
      <c r="D1478"/>
      <c r="E1478"/>
      <c r="F1478"/>
      <c r="G1478"/>
      <c r="H1478"/>
      <c r="I1478" s="684"/>
      <c r="V1478"/>
      <c r="W1478"/>
      <c r="Y1478"/>
      <c r="Z1478"/>
      <c r="AA1478"/>
      <c r="AD1478"/>
      <c r="AE1478"/>
      <c r="AF1478"/>
      <c r="AH1478"/>
      <c r="AI1478"/>
      <c r="AJ1478"/>
      <c r="AM1478"/>
    </row>
    <row r="1479" spans="3:39" x14ac:dyDescent="0.2">
      <c r="C1479"/>
      <c r="D1479"/>
      <c r="E1479"/>
      <c r="F1479"/>
      <c r="G1479"/>
      <c r="H1479"/>
      <c r="I1479" s="684"/>
      <c r="V1479"/>
      <c r="W1479"/>
      <c r="Y1479"/>
      <c r="Z1479"/>
      <c r="AA1479"/>
      <c r="AD1479"/>
      <c r="AE1479"/>
      <c r="AF1479"/>
      <c r="AH1479"/>
      <c r="AI1479"/>
      <c r="AJ1479"/>
      <c r="AM1479"/>
    </row>
    <row r="1480" spans="3:39" x14ac:dyDescent="0.2">
      <c r="C1480"/>
      <c r="D1480"/>
      <c r="E1480"/>
      <c r="F1480"/>
      <c r="G1480"/>
      <c r="H1480"/>
      <c r="I1480" s="684"/>
      <c r="V1480"/>
      <c r="W1480"/>
      <c r="Y1480"/>
      <c r="Z1480"/>
      <c r="AA1480"/>
      <c r="AD1480"/>
      <c r="AE1480"/>
      <c r="AF1480"/>
      <c r="AH1480"/>
      <c r="AI1480"/>
      <c r="AJ1480"/>
      <c r="AM1480"/>
    </row>
    <row r="1481" spans="3:39" x14ac:dyDescent="0.2">
      <c r="C1481"/>
      <c r="D1481"/>
      <c r="E1481"/>
      <c r="F1481"/>
      <c r="G1481"/>
      <c r="H1481"/>
      <c r="I1481" s="684"/>
      <c r="V1481"/>
      <c r="W1481"/>
      <c r="Y1481"/>
      <c r="Z1481"/>
      <c r="AA1481"/>
      <c r="AD1481"/>
      <c r="AE1481"/>
      <c r="AF1481"/>
      <c r="AH1481"/>
      <c r="AI1481"/>
      <c r="AJ1481"/>
      <c r="AM1481"/>
    </row>
    <row r="1482" spans="3:39" x14ac:dyDescent="0.2">
      <c r="C1482"/>
      <c r="D1482"/>
      <c r="E1482"/>
      <c r="F1482"/>
      <c r="G1482"/>
      <c r="H1482"/>
      <c r="I1482" s="684"/>
      <c r="V1482"/>
      <c r="W1482"/>
      <c r="Y1482"/>
      <c r="Z1482"/>
      <c r="AA1482"/>
      <c r="AD1482"/>
      <c r="AE1482"/>
      <c r="AF1482"/>
      <c r="AH1482"/>
      <c r="AI1482"/>
      <c r="AJ1482"/>
      <c r="AM1482"/>
    </row>
    <row r="1483" spans="3:39" x14ac:dyDescent="0.2">
      <c r="C1483"/>
      <c r="D1483"/>
      <c r="E1483"/>
      <c r="F1483"/>
      <c r="G1483"/>
      <c r="H1483"/>
      <c r="I1483" s="684"/>
      <c r="V1483"/>
      <c r="W1483"/>
      <c r="Y1483"/>
      <c r="Z1483"/>
      <c r="AA1483"/>
      <c r="AD1483"/>
      <c r="AE1483"/>
      <c r="AF1483"/>
      <c r="AH1483"/>
      <c r="AI1483"/>
      <c r="AJ1483"/>
      <c r="AM1483"/>
    </row>
    <row r="1484" spans="3:39" x14ac:dyDescent="0.2">
      <c r="C1484"/>
      <c r="D1484"/>
      <c r="E1484"/>
      <c r="F1484"/>
      <c r="G1484"/>
      <c r="H1484"/>
      <c r="I1484" s="684"/>
      <c r="V1484"/>
      <c r="W1484"/>
      <c r="Y1484"/>
      <c r="Z1484"/>
      <c r="AA1484"/>
      <c r="AD1484"/>
      <c r="AE1484"/>
      <c r="AF1484"/>
      <c r="AH1484"/>
      <c r="AI1484"/>
      <c r="AJ1484"/>
      <c r="AM1484"/>
    </row>
    <row r="1485" spans="3:39" x14ac:dyDescent="0.2">
      <c r="C1485"/>
      <c r="D1485"/>
      <c r="E1485"/>
      <c r="F1485"/>
      <c r="G1485"/>
      <c r="H1485"/>
      <c r="I1485" s="684"/>
      <c r="V1485"/>
      <c r="W1485"/>
      <c r="Y1485"/>
      <c r="Z1485"/>
      <c r="AA1485"/>
      <c r="AD1485"/>
      <c r="AE1485"/>
      <c r="AF1485"/>
      <c r="AH1485"/>
      <c r="AI1485"/>
      <c r="AJ1485"/>
      <c r="AM1485"/>
    </row>
    <row r="1486" spans="3:39" x14ac:dyDescent="0.2">
      <c r="C1486"/>
      <c r="D1486"/>
      <c r="E1486"/>
      <c r="F1486"/>
      <c r="G1486"/>
      <c r="H1486"/>
      <c r="I1486" s="684"/>
      <c r="V1486"/>
      <c r="W1486"/>
      <c r="Y1486"/>
      <c r="Z1486"/>
      <c r="AA1486"/>
      <c r="AD1486"/>
      <c r="AE1486"/>
      <c r="AF1486"/>
      <c r="AH1486"/>
      <c r="AI1486"/>
      <c r="AJ1486"/>
      <c r="AM1486"/>
    </row>
    <row r="1487" spans="3:39" x14ac:dyDescent="0.2">
      <c r="C1487"/>
      <c r="D1487"/>
      <c r="E1487"/>
      <c r="F1487"/>
      <c r="G1487"/>
      <c r="H1487"/>
      <c r="I1487" s="684"/>
      <c r="V1487"/>
      <c r="W1487"/>
      <c r="Y1487"/>
      <c r="Z1487"/>
      <c r="AA1487"/>
      <c r="AD1487"/>
      <c r="AE1487"/>
      <c r="AF1487"/>
      <c r="AH1487"/>
      <c r="AI1487"/>
      <c r="AJ1487"/>
      <c r="AM1487"/>
    </row>
    <row r="1488" spans="3:39" x14ac:dyDescent="0.2">
      <c r="C1488"/>
      <c r="D1488"/>
      <c r="E1488"/>
      <c r="F1488"/>
      <c r="G1488"/>
      <c r="H1488"/>
      <c r="I1488" s="684"/>
      <c r="V1488"/>
      <c r="W1488"/>
      <c r="Y1488"/>
      <c r="Z1488"/>
      <c r="AA1488"/>
      <c r="AD1488"/>
      <c r="AE1488"/>
      <c r="AF1488"/>
      <c r="AH1488"/>
      <c r="AI1488"/>
      <c r="AJ1488"/>
      <c r="AM1488"/>
    </row>
    <row r="1489" spans="3:39" x14ac:dyDescent="0.2">
      <c r="C1489"/>
      <c r="D1489"/>
      <c r="E1489"/>
      <c r="F1489"/>
      <c r="G1489"/>
      <c r="H1489"/>
      <c r="I1489" s="684"/>
      <c r="V1489"/>
      <c r="W1489"/>
      <c r="Y1489"/>
      <c r="Z1489"/>
      <c r="AA1489"/>
      <c r="AD1489"/>
      <c r="AE1489"/>
      <c r="AF1489"/>
      <c r="AH1489"/>
      <c r="AI1489"/>
      <c r="AJ1489"/>
      <c r="AM1489"/>
    </row>
    <row r="1490" spans="3:39" x14ac:dyDescent="0.2">
      <c r="C1490"/>
      <c r="D1490"/>
      <c r="E1490"/>
      <c r="F1490"/>
      <c r="G1490"/>
      <c r="H1490"/>
      <c r="I1490" s="684"/>
      <c r="V1490"/>
      <c r="W1490"/>
      <c r="Y1490"/>
      <c r="Z1490"/>
      <c r="AA1490"/>
      <c r="AD1490"/>
      <c r="AE1490"/>
      <c r="AF1490"/>
      <c r="AH1490"/>
      <c r="AI1490"/>
      <c r="AJ1490"/>
      <c r="AM1490"/>
    </row>
    <row r="1491" spans="3:39" x14ac:dyDescent="0.2">
      <c r="C1491"/>
      <c r="D1491"/>
      <c r="E1491"/>
      <c r="F1491"/>
      <c r="G1491"/>
      <c r="H1491"/>
      <c r="I1491" s="684"/>
      <c r="V1491"/>
      <c r="W1491"/>
      <c r="Y1491"/>
      <c r="Z1491"/>
      <c r="AA1491"/>
      <c r="AD1491"/>
      <c r="AE1491"/>
      <c r="AF1491"/>
      <c r="AH1491"/>
      <c r="AI1491"/>
      <c r="AJ1491"/>
      <c r="AM1491"/>
    </row>
    <row r="1492" spans="3:39" x14ac:dyDescent="0.2">
      <c r="C1492"/>
      <c r="D1492"/>
      <c r="E1492"/>
      <c r="F1492"/>
      <c r="G1492"/>
      <c r="H1492"/>
      <c r="I1492" s="684"/>
      <c r="V1492"/>
      <c r="W1492"/>
      <c r="Y1492"/>
      <c r="Z1492"/>
      <c r="AA1492"/>
      <c r="AD1492"/>
      <c r="AE1492"/>
      <c r="AF1492"/>
      <c r="AH1492"/>
      <c r="AI1492"/>
      <c r="AJ1492"/>
      <c r="AM1492"/>
    </row>
    <row r="1493" spans="3:39" x14ac:dyDescent="0.2">
      <c r="C1493"/>
      <c r="D1493"/>
      <c r="E1493"/>
      <c r="F1493"/>
      <c r="G1493"/>
      <c r="H1493"/>
      <c r="I1493" s="684"/>
      <c r="V1493"/>
      <c r="W1493"/>
      <c r="Y1493"/>
      <c r="Z1493"/>
      <c r="AA1493"/>
      <c r="AD1493"/>
      <c r="AE1493"/>
      <c r="AF1493"/>
      <c r="AH1493"/>
      <c r="AI1493"/>
      <c r="AJ1493"/>
      <c r="AM1493"/>
    </row>
    <row r="1494" spans="3:39" x14ac:dyDescent="0.2">
      <c r="C1494"/>
      <c r="D1494"/>
      <c r="E1494"/>
      <c r="F1494"/>
      <c r="G1494"/>
      <c r="H1494"/>
      <c r="I1494" s="684"/>
      <c r="V1494"/>
      <c r="W1494"/>
      <c r="Y1494"/>
      <c r="Z1494"/>
      <c r="AA1494"/>
      <c r="AD1494"/>
      <c r="AE1494"/>
      <c r="AF1494"/>
      <c r="AH1494"/>
      <c r="AI1494"/>
      <c r="AJ1494"/>
      <c r="AM1494"/>
    </row>
    <row r="1495" spans="3:39" x14ac:dyDescent="0.2">
      <c r="C1495"/>
      <c r="D1495"/>
      <c r="E1495"/>
      <c r="F1495"/>
      <c r="G1495"/>
      <c r="H1495"/>
      <c r="I1495" s="684"/>
      <c r="V1495"/>
      <c r="W1495"/>
      <c r="Y1495"/>
      <c r="Z1495"/>
      <c r="AA1495"/>
      <c r="AD1495"/>
      <c r="AE1495"/>
      <c r="AF1495"/>
      <c r="AH1495"/>
      <c r="AI1495"/>
      <c r="AJ1495"/>
      <c r="AM1495"/>
    </row>
    <row r="1496" spans="3:39" x14ac:dyDescent="0.2">
      <c r="C1496"/>
      <c r="D1496"/>
      <c r="E1496"/>
      <c r="F1496"/>
      <c r="G1496"/>
      <c r="H1496"/>
      <c r="I1496" s="684"/>
      <c r="V1496"/>
      <c r="W1496"/>
      <c r="Y1496"/>
      <c r="Z1496"/>
      <c r="AA1496"/>
      <c r="AD1496"/>
      <c r="AE1496"/>
      <c r="AF1496"/>
      <c r="AH1496"/>
      <c r="AI1496"/>
      <c r="AJ1496"/>
      <c r="AM1496"/>
    </row>
    <row r="1497" spans="3:39" x14ac:dyDescent="0.2">
      <c r="C1497"/>
      <c r="D1497"/>
      <c r="E1497"/>
      <c r="F1497"/>
      <c r="G1497"/>
      <c r="H1497"/>
      <c r="I1497" s="684"/>
      <c r="V1497"/>
      <c r="W1497"/>
      <c r="Y1497"/>
      <c r="Z1497"/>
      <c r="AA1497"/>
      <c r="AD1497"/>
      <c r="AE1497"/>
      <c r="AF1497"/>
      <c r="AH1497"/>
      <c r="AI1497"/>
      <c r="AJ1497"/>
      <c r="AM1497"/>
    </row>
    <row r="1498" spans="3:39" x14ac:dyDescent="0.2">
      <c r="C1498"/>
      <c r="D1498"/>
      <c r="E1498"/>
      <c r="F1498"/>
      <c r="G1498"/>
      <c r="H1498"/>
      <c r="I1498" s="684"/>
      <c r="V1498"/>
      <c r="W1498"/>
      <c r="Y1498"/>
      <c r="Z1498"/>
      <c r="AA1498"/>
      <c r="AD1498"/>
      <c r="AE1498"/>
      <c r="AF1498"/>
      <c r="AH1498"/>
      <c r="AI1498"/>
      <c r="AJ1498"/>
      <c r="AM1498"/>
    </row>
    <row r="1499" spans="3:39" x14ac:dyDescent="0.2">
      <c r="C1499"/>
      <c r="D1499"/>
      <c r="E1499"/>
      <c r="F1499"/>
      <c r="G1499"/>
      <c r="H1499"/>
      <c r="I1499" s="684"/>
      <c r="V1499"/>
      <c r="W1499"/>
      <c r="Y1499"/>
      <c r="Z1499"/>
      <c r="AA1499"/>
      <c r="AD1499"/>
      <c r="AE1499"/>
      <c r="AF1499"/>
      <c r="AH1499"/>
      <c r="AI1499"/>
      <c r="AJ1499"/>
      <c r="AM1499"/>
    </row>
    <row r="1500" spans="3:39" x14ac:dyDescent="0.2">
      <c r="C1500"/>
      <c r="D1500"/>
      <c r="E1500"/>
      <c r="F1500"/>
      <c r="G1500"/>
      <c r="H1500"/>
      <c r="I1500" s="684"/>
      <c r="V1500"/>
      <c r="W1500"/>
      <c r="Y1500"/>
      <c r="Z1500"/>
      <c r="AA1500"/>
      <c r="AD1500"/>
      <c r="AE1500"/>
      <c r="AF1500"/>
      <c r="AH1500"/>
      <c r="AI1500"/>
      <c r="AJ1500"/>
      <c r="AM1500"/>
    </row>
    <row r="1501" spans="3:39" x14ac:dyDescent="0.2">
      <c r="C1501"/>
      <c r="D1501"/>
      <c r="E1501"/>
      <c r="F1501"/>
      <c r="G1501"/>
      <c r="H1501"/>
      <c r="I1501" s="684"/>
      <c r="V1501"/>
      <c r="W1501"/>
      <c r="Y1501"/>
      <c r="Z1501"/>
      <c r="AA1501"/>
      <c r="AD1501"/>
      <c r="AE1501"/>
      <c r="AF1501"/>
      <c r="AH1501"/>
      <c r="AI1501"/>
      <c r="AJ1501"/>
      <c r="AM1501"/>
    </row>
    <row r="1502" spans="3:39" x14ac:dyDescent="0.2">
      <c r="C1502"/>
      <c r="D1502"/>
      <c r="E1502"/>
      <c r="F1502"/>
      <c r="G1502"/>
      <c r="H1502"/>
      <c r="I1502" s="684"/>
      <c r="V1502"/>
      <c r="W1502"/>
      <c r="Y1502"/>
      <c r="Z1502"/>
      <c r="AA1502"/>
      <c r="AD1502"/>
      <c r="AE1502"/>
      <c r="AF1502"/>
      <c r="AH1502"/>
      <c r="AI1502"/>
      <c r="AJ1502"/>
      <c r="AM1502"/>
    </row>
    <row r="1503" spans="3:39" x14ac:dyDescent="0.2">
      <c r="C1503"/>
      <c r="D1503"/>
      <c r="E1503"/>
      <c r="F1503"/>
      <c r="G1503"/>
      <c r="H1503"/>
      <c r="I1503" s="684"/>
      <c r="V1503"/>
      <c r="W1503"/>
      <c r="Y1503"/>
      <c r="Z1503"/>
      <c r="AA1503"/>
      <c r="AD1503"/>
      <c r="AE1503"/>
      <c r="AF1503"/>
      <c r="AH1503"/>
      <c r="AI1503"/>
      <c r="AJ1503"/>
      <c r="AM1503"/>
    </row>
    <row r="1504" spans="3:39" x14ac:dyDescent="0.2">
      <c r="C1504"/>
      <c r="D1504"/>
      <c r="E1504"/>
      <c r="F1504"/>
      <c r="G1504"/>
      <c r="H1504"/>
      <c r="I1504" s="684"/>
      <c r="V1504"/>
      <c r="W1504"/>
      <c r="Y1504"/>
      <c r="Z1504"/>
      <c r="AA1504"/>
      <c r="AD1504"/>
      <c r="AE1504"/>
      <c r="AF1504"/>
      <c r="AH1504"/>
      <c r="AI1504"/>
      <c r="AJ1504"/>
      <c r="AM1504"/>
    </row>
    <row r="1505" spans="3:39" x14ac:dyDescent="0.2">
      <c r="C1505"/>
      <c r="D1505"/>
      <c r="E1505"/>
      <c r="F1505"/>
      <c r="G1505"/>
      <c r="H1505"/>
      <c r="I1505" s="684"/>
      <c r="V1505"/>
      <c r="W1505"/>
      <c r="Y1505"/>
      <c r="Z1505"/>
      <c r="AA1505"/>
      <c r="AD1505"/>
      <c r="AE1505"/>
      <c r="AF1505"/>
      <c r="AH1505"/>
      <c r="AI1505"/>
      <c r="AJ1505"/>
      <c r="AM1505"/>
    </row>
    <row r="1506" spans="3:39" x14ac:dyDescent="0.2">
      <c r="C1506"/>
      <c r="D1506"/>
      <c r="E1506"/>
      <c r="F1506"/>
      <c r="G1506"/>
      <c r="H1506"/>
      <c r="I1506" s="684"/>
      <c r="V1506"/>
      <c r="W1506"/>
      <c r="Y1506"/>
      <c r="Z1506"/>
      <c r="AA1506"/>
      <c r="AD1506"/>
      <c r="AE1506"/>
      <c r="AF1506"/>
      <c r="AH1506"/>
      <c r="AI1506"/>
      <c r="AJ1506"/>
      <c r="AM1506"/>
    </row>
    <row r="1507" spans="3:39" x14ac:dyDescent="0.2">
      <c r="C1507"/>
      <c r="D1507"/>
      <c r="E1507"/>
      <c r="F1507"/>
      <c r="G1507"/>
      <c r="H1507"/>
      <c r="I1507" s="684"/>
      <c r="V1507"/>
      <c r="W1507"/>
      <c r="Y1507"/>
      <c r="Z1507"/>
      <c r="AA1507"/>
      <c r="AD1507"/>
      <c r="AE1507"/>
      <c r="AF1507"/>
      <c r="AH1507"/>
      <c r="AI1507"/>
      <c r="AJ1507"/>
      <c r="AM1507"/>
    </row>
    <row r="1508" spans="3:39" x14ac:dyDescent="0.2">
      <c r="C1508"/>
      <c r="D1508"/>
      <c r="E1508"/>
      <c r="F1508"/>
      <c r="G1508"/>
      <c r="H1508"/>
      <c r="I1508" s="684"/>
      <c r="V1508"/>
      <c r="W1508"/>
      <c r="Y1508"/>
      <c r="Z1508"/>
      <c r="AA1508"/>
      <c r="AD1508"/>
      <c r="AE1508"/>
      <c r="AF1508"/>
      <c r="AH1508"/>
      <c r="AI1508"/>
      <c r="AJ1508"/>
      <c r="AM1508"/>
    </row>
    <row r="1509" spans="3:39" x14ac:dyDescent="0.2">
      <c r="C1509"/>
      <c r="D1509"/>
      <c r="E1509"/>
      <c r="F1509"/>
      <c r="G1509"/>
      <c r="H1509"/>
      <c r="I1509" s="684"/>
      <c r="V1509"/>
      <c r="W1509"/>
      <c r="Y1509"/>
      <c r="Z1509"/>
      <c r="AA1509"/>
      <c r="AD1509"/>
      <c r="AE1509"/>
      <c r="AF1509"/>
      <c r="AH1509"/>
      <c r="AI1509"/>
      <c r="AJ1509"/>
      <c r="AM1509"/>
    </row>
    <row r="1510" spans="3:39" x14ac:dyDescent="0.2">
      <c r="C1510"/>
      <c r="D1510"/>
      <c r="E1510"/>
      <c r="F1510"/>
      <c r="G1510"/>
      <c r="H1510"/>
      <c r="I1510" s="684"/>
      <c r="V1510"/>
      <c r="W1510"/>
      <c r="Y1510"/>
      <c r="Z1510"/>
      <c r="AA1510"/>
      <c r="AD1510"/>
      <c r="AE1510"/>
      <c r="AF1510"/>
      <c r="AH1510"/>
      <c r="AI1510"/>
      <c r="AJ1510"/>
      <c r="AM1510"/>
    </row>
    <row r="1511" spans="3:39" x14ac:dyDescent="0.2">
      <c r="C1511"/>
      <c r="D1511"/>
      <c r="E1511"/>
      <c r="F1511"/>
      <c r="G1511"/>
      <c r="H1511"/>
      <c r="I1511" s="684"/>
      <c r="V1511"/>
      <c r="W1511"/>
      <c r="Y1511"/>
      <c r="Z1511"/>
      <c r="AA1511"/>
      <c r="AD1511"/>
      <c r="AE1511"/>
      <c r="AF1511"/>
      <c r="AH1511"/>
      <c r="AI1511"/>
      <c r="AJ1511"/>
      <c r="AM1511"/>
    </row>
    <row r="1512" spans="3:39" x14ac:dyDescent="0.2">
      <c r="C1512"/>
      <c r="D1512"/>
      <c r="E1512"/>
      <c r="F1512"/>
      <c r="G1512"/>
      <c r="H1512"/>
      <c r="I1512" s="684"/>
      <c r="V1512"/>
      <c r="W1512"/>
      <c r="Y1512"/>
      <c r="Z1512"/>
      <c r="AA1512"/>
      <c r="AD1512"/>
      <c r="AE1512"/>
      <c r="AF1512"/>
      <c r="AH1512"/>
      <c r="AI1512"/>
      <c r="AJ1512"/>
      <c r="AM1512"/>
    </row>
    <row r="1513" spans="3:39" x14ac:dyDescent="0.2">
      <c r="C1513"/>
      <c r="D1513"/>
      <c r="E1513"/>
      <c r="F1513"/>
      <c r="G1513"/>
      <c r="H1513"/>
      <c r="I1513" s="684"/>
      <c r="V1513"/>
      <c r="W1513"/>
      <c r="Y1513"/>
      <c r="Z1513"/>
      <c r="AA1513"/>
      <c r="AD1513"/>
      <c r="AE1513"/>
      <c r="AF1513"/>
      <c r="AH1513"/>
      <c r="AI1513"/>
      <c r="AJ1513"/>
      <c r="AM1513"/>
    </row>
    <row r="1514" spans="3:39" x14ac:dyDescent="0.2">
      <c r="C1514"/>
      <c r="D1514"/>
      <c r="E1514"/>
      <c r="F1514"/>
      <c r="G1514"/>
      <c r="H1514"/>
      <c r="I1514" s="684"/>
      <c r="V1514"/>
      <c r="W1514"/>
      <c r="Y1514"/>
      <c r="Z1514"/>
      <c r="AA1514"/>
      <c r="AD1514"/>
      <c r="AE1514"/>
      <c r="AF1514"/>
      <c r="AH1514"/>
      <c r="AI1514"/>
      <c r="AJ1514"/>
      <c r="AM1514"/>
    </row>
    <row r="1515" spans="3:39" x14ac:dyDescent="0.2">
      <c r="C1515"/>
      <c r="D1515"/>
      <c r="E1515"/>
      <c r="F1515"/>
      <c r="G1515"/>
      <c r="H1515"/>
      <c r="I1515" s="684"/>
      <c r="V1515"/>
      <c r="W1515"/>
      <c r="Y1515"/>
      <c r="Z1515"/>
      <c r="AA1515"/>
      <c r="AD1515"/>
      <c r="AE1515"/>
      <c r="AF1515"/>
      <c r="AH1515"/>
      <c r="AI1515"/>
      <c r="AJ1515"/>
      <c r="AM1515"/>
    </row>
    <row r="1516" spans="3:39" x14ac:dyDescent="0.2">
      <c r="C1516"/>
      <c r="D1516"/>
      <c r="E1516"/>
      <c r="F1516"/>
      <c r="G1516"/>
      <c r="H1516"/>
      <c r="I1516" s="684"/>
      <c r="V1516"/>
      <c r="W1516"/>
      <c r="Y1516"/>
      <c r="Z1516"/>
      <c r="AA1516"/>
      <c r="AD1516"/>
      <c r="AE1516"/>
      <c r="AF1516"/>
      <c r="AH1516"/>
      <c r="AI1516"/>
      <c r="AJ1516"/>
      <c r="AM1516"/>
    </row>
    <row r="1517" spans="3:39" x14ac:dyDescent="0.2">
      <c r="C1517"/>
      <c r="D1517"/>
      <c r="E1517"/>
      <c r="F1517"/>
      <c r="G1517"/>
      <c r="H1517"/>
      <c r="I1517" s="684"/>
      <c r="V1517"/>
      <c r="W1517"/>
      <c r="Y1517"/>
      <c r="Z1517"/>
      <c r="AA1517"/>
      <c r="AD1517"/>
      <c r="AE1517"/>
      <c r="AF1517"/>
      <c r="AH1517"/>
      <c r="AI1517"/>
      <c r="AJ1517"/>
      <c r="AM1517"/>
    </row>
    <row r="1518" spans="3:39" x14ac:dyDescent="0.2">
      <c r="C1518"/>
      <c r="D1518"/>
      <c r="E1518"/>
      <c r="F1518"/>
      <c r="G1518"/>
      <c r="H1518"/>
      <c r="I1518" s="684"/>
      <c r="V1518"/>
      <c r="W1518"/>
      <c r="Y1518"/>
      <c r="Z1518"/>
      <c r="AA1518"/>
      <c r="AD1518"/>
      <c r="AE1518"/>
      <c r="AF1518"/>
      <c r="AH1518"/>
      <c r="AI1518"/>
      <c r="AJ1518"/>
      <c r="AM1518"/>
    </row>
    <row r="1519" spans="3:39" x14ac:dyDescent="0.2">
      <c r="C1519"/>
      <c r="D1519"/>
      <c r="E1519"/>
      <c r="F1519"/>
      <c r="G1519"/>
      <c r="H1519"/>
      <c r="I1519" s="684"/>
      <c r="V1519"/>
      <c r="W1519"/>
      <c r="Y1519"/>
      <c r="Z1519"/>
      <c r="AA1519"/>
      <c r="AD1519"/>
      <c r="AE1519"/>
      <c r="AF1519"/>
      <c r="AH1519"/>
      <c r="AI1519"/>
      <c r="AJ1519"/>
      <c r="AM1519"/>
    </row>
    <row r="1520" spans="3:39" x14ac:dyDescent="0.2">
      <c r="C1520"/>
      <c r="D1520"/>
      <c r="E1520"/>
      <c r="F1520"/>
      <c r="G1520"/>
      <c r="H1520"/>
      <c r="I1520" s="684"/>
      <c r="V1520"/>
      <c r="W1520"/>
      <c r="Y1520"/>
      <c r="Z1520"/>
      <c r="AA1520"/>
      <c r="AD1520"/>
      <c r="AE1520"/>
      <c r="AF1520"/>
      <c r="AH1520"/>
      <c r="AI1520"/>
      <c r="AJ1520"/>
      <c r="AM1520"/>
    </row>
    <row r="1521" spans="3:39" x14ac:dyDescent="0.2">
      <c r="C1521"/>
      <c r="D1521"/>
      <c r="E1521"/>
      <c r="F1521"/>
      <c r="G1521"/>
      <c r="H1521"/>
      <c r="I1521" s="684"/>
      <c r="V1521"/>
      <c r="W1521"/>
      <c r="Y1521"/>
      <c r="Z1521"/>
      <c r="AA1521"/>
      <c r="AD1521"/>
      <c r="AE1521"/>
      <c r="AF1521"/>
      <c r="AH1521"/>
      <c r="AI1521"/>
      <c r="AJ1521"/>
      <c r="AM1521"/>
    </row>
    <row r="1522" spans="3:39" x14ac:dyDescent="0.2">
      <c r="C1522"/>
      <c r="D1522"/>
      <c r="E1522"/>
      <c r="F1522"/>
      <c r="G1522"/>
      <c r="H1522"/>
      <c r="I1522" s="684"/>
      <c r="V1522"/>
      <c r="W1522"/>
      <c r="Y1522"/>
      <c r="Z1522"/>
      <c r="AA1522"/>
      <c r="AD1522"/>
      <c r="AE1522"/>
      <c r="AF1522"/>
      <c r="AH1522"/>
      <c r="AI1522"/>
      <c r="AJ1522"/>
      <c r="AM1522"/>
    </row>
    <row r="1523" spans="3:39" x14ac:dyDescent="0.2">
      <c r="C1523"/>
      <c r="D1523"/>
      <c r="E1523"/>
      <c r="F1523"/>
      <c r="G1523"/>
      <c r="H1523"/>
      <c r="I1523" s="684"/>
      <c r="V1523"/>
      <c r="W1523"/>
      <c r="Y1523"/>
      <c r="Z1523"/>
      <c r="AA1523"/>
      <c r="AD1523"/>
      <c r="AE1523"/>
      <c r="AF1523"/>
      <c r="AH1523"/>
      <c r="AI1523"/>
      <c r="AJ1523"/>
      <c r="AM1523"/>
    </row>
    <row r="1524" spans="3:39" x14ac:dyDescent="0.2">
      <c r="C1524"/>
      <c r="D1524"/>
      <c r="E1524"/>
      <c r="F1524"/>
      <c r="G1524"/>
      <c r="H1524"/>
      <c r="I1524" s="684"/>
      <c r="V1524"/>
      <c r="W1524"/>
      <c r="Y1524"/>
      <c r="Z1524"/>
      <c r="AA1524"/>
      <c r="AD1524"/>
      <c r="AE1524"/>
      <c r="AF1524"/>
      <c r="AH1524"/>
      <c r="AI1524"/>
      <c r="AJ1524"/>
      <c r="AM1524"/>
    </row>
    <row r="1525" spans="3:39" x14ac:dyDescent="0.2">
      <c r="C1525"/>
      <c r="D1525"/>
      <c r="E1525"/>
      <c r="F1525"/>
      <c r="G1525"/>
      <c r="H1525"/>
      <c r="I1525" s="684"/>
      <c r="V1525"/>
      <c r="W1525"/>
      <c r="Y1525"/>
      <c r="Z1525"/>
      <c r="AA1525"/>
      <c r="AD1525"/>
      <c r="AE1525"/>
      <c r="AF1525"/>
      <c r="AH1525"/>
      <c r="AI1525"/>
      <c r="AJ1525"/>
      <c r="AM1525"/>
    </row>
    <row r="1526" spans="3:39" x14ac:dyDescent="0.2">
      <c r="C1526"/>
      <c r="D1526"/>
      <c r="E1526"/>
      <c r="F1526"/>
      <c r="G1526"/>
      <c r="H1526"/>
      <c r="I1526" s="684"/>
      <c r="V1526"/>
      <c r="W1526"/>
      <c r="Y1526"/>
      <c r="Z1526"/>
      <c r="AA1526"/>
      <c r="AD1526"/>
      <c r="AE1526"/>
      <c r="AF1526"/>
      <c r="AH1526"/>
      <c r="AI1526"/>
      <c r="AJ1526"/>
      <c r="AM1526"/>
    </row>
    <row r="1527" spans="3:39" x14ac:dyDescent="0.2">
      <c r="C1527"/>
      <c r="D1527"/>
      <c r="E1527"/>
      <c r="F1527"/>
      <c r="G1527"/>
      <c r="H1527"/>
      <c r="I1527" s="684"/>
      <c r="V1527"/>
      <c r="W1527"/>
      <c r="Y1527"/>
      <c r="Z1527"/>
      <c r="AA1527"/>
      <c r="AD1527"/>
      <c r="AE1527"/>
      <c r="AF1527"/>
      <c r="AH1527"/>
      <c r="AI1527"/>
      <c r="AJ1527"/>
      <c r="AM1527"/>
    </row>
    <row r="1528" spans="3:39" x14ac:dyDescent="0.2">
      <c r="C1528"/>
      <c r="D1528"/>
      <c r="E1528"/>
      <c r="F1528"/>
      <c r="G1528"/>
      <c r="H1528"/>
      <c r="I1528" s="684"/>
      <c r="V1528"/>
      <c r="W1528"/>
      <c r="Y1528"/>
      <c r="Z1528"/>
      <c r="AA1528"/>
      <c r="AD1528"/>
      <c r="AE1528"/>
      <c r="AF1528"/>
      <c r="AH1528"/>
      <c r="AI1528"/>
      <c r="AJ1528"/>
      <c r="AM1528"/>
    </row>
    <row r="1529" spans="3:39" x14ac:dyDescent="0.2">
      <c r="C1529"/>
      <c r="D1529"/>
      <c r="E1529"/>
      <c r="F1529"/>
      <c r="G1529"/>
      <c r="H1529"/>
      <c r="I1529" s="684"/>
      <c r="V1529"/>
      <c r="W1529"/>
      <c r="Y1529"/>
      <c r="Z1529"/>
      <c r="AA1529"/>
      <c r="AD1529"/>
      <c r="AE1529"/>
      <c r="AF1529"/>
      <c r="AH1529"/>
      <c r="AI1529"/>
      <c r="AJ1529"/>
      <c r="AM1529"/>
    </row>
    <row r="1530" spans="3:39" x14ac:dyDescent="0.2">
      <c r="C1530"/>
      <c r="D1530"/>
      <c r="E1530"/>
      <c r="F1530"/>
      <c r="G1530"/>
      <c r="H1530"/>
      <c r="I1530" s="684"/>
      <c r="V1530"/>
      <c r="W1530"/>
      <c r="Y1530"/>
      <c r="Z1530"/>
      <c r="AA1530"/>
      <c r="AD1530"/>
      <c r="AE1530"/>
      <c r="AF1530"/>
      <c r="AH1530"/>
      <c r="AI1530"/>
      <c r="AJ1530"/>
      <c r="AM1530"/>
    </row>
    <row r="1531" spans="3:39" x14ac:dyDescent="0.2">
      <c r="C1531"/>
      <c r="D1531"/>
      <c r="E1531"/>
      <c r="F1531"/>
      <c r="G1531"/>
      <c r="H1531"/>
      <c r="I1531" s="684"/>
      <c r="V1531"/>
      <c r="W1531"/>
      <c r="Y1531"/>
      <c r="Z1531"/>
      <c r="AA1531"/>
      <c r="AD1531"/>
      <c r="AE1531"/>
      <c r="AF1531"/>
      <c r="AH1531"/>
      <c r="AI1531"/>
      <c r="AJ1531"/>
      <c r="AM1531"/>
    </row>
    <row r="1532" spans="3:39" x14ac:dyDescent="0.2">
      <c r="C1532"/>
      <c r="D1532"/>
      <c r="E1532"/>
      <c r="F1532"/>
      <c r="G1532"/>
      <c r="H1532"/>
      <c r="I1532" s="684"/>
      <c r="V1532"/>
      <c r="W1532"/>
      <c r="Y1532"/>
      <c r="Z1532"/>
      <c r="AA1532"/>
      <c r="AD1532"/>
      <c r="AE1532"/>
      <c r="AF1532"/>
      <c r="AH1532"/>
      <c r="AI1532"/>
      <c r="AJ1532"/>
      <c r="AM1532"/>
    </row>
    <row r="1533" spans="3:39" x14ac:dyDescent="0.2">
      <c r="C1533"/>
      <c r="D1533"/>
      <c r="E1533"/>
      <c r="F1533"/>
      <c r="G1533"/>
      <c r="H1533"/>
      <c r="I1533" s="684"/>
      <c r="V1533"/>
      <c r="W1533"/>
      <c r="Y1533"/>
      <c r="Z1533"/>
      <c r="AA1533"/>
      <c r="AD1533"/>
      <c r="AE1533"/>
      <c r="AF1533"/>
      <c r="AH1533"/>
      <c r="AI1533"/>
      <c r="AJ1533"/>
      <c r="AM1533"/>
    </row>
    <row r="1534" spans="3:39" x14ac:dyDescent="0.2">
      <c r="C1534"/>
      <c r="D1534"/>
      <c r="E1534"/>
      <c r="F1534"/>
      <c r="G1534"/>
      <c r="H1534"/>
      <c r="I1534" s="684"/>
      <c r="V1534"/>
      <c r="W1534"/>
      <c r="Y1534"/>
      <c r="Z1534"/>
      <c r="AA1534"/>
      <c r="AD1534"/>
      <c r="AE1534"/>
      <c r="AF1534"/>
      <c r="AH1534"/>
      <c r="AI1534"/>
      <c r="AJ1534"/>
      <c r="AM1534"/>
    </row>
    <row r="1535" spans="3:39" x14ac:dyDescent="0.2">
      <c r="C1535"/>
      <c r="D1535"/>
      <c r="E1535"/>
      <c r="F1535"/>
      <c r="G1535"/>
      <c r="H1535"/>
      <c r="I1535" s="684"/>
      <c r="V1535"/>
      <c r="W1535"/>
      <c r="Y1535"/>
      <c r="Z1535"/>
      <c r="AA1535"/>
      <c r="AD1535"/>
      <c r="AE1535"/>
      <c r="AF1535"/>
      <c r="AH1535"/>
      <c r="AI1535"/>
      <c r="AJ1535"/>
      <c r="AM1535"/>
    </row>
    <row r="1536" spans="3:39" x14ac:dyDescent="0.2">
      <c r="C1536"/>
      <c r="D1536"/>
      <c r="E1536"/>
      <c r="F1536"/>
      <c r="G1536"/>
      <c r="H1536"/>
      <c r="I1536" s="684"/>
      <c r="V1536"/>
      <c r="W1536"/>
      <c r="Y1536"/>
      <c r="Z1536"/>
      <c r="AA1536"/>
      <c r="AD1536"/>
      <c r="AE1536"/>
      <c r="AF1536"/>
      <c r="AH1536"/>
      <c r="AI1536"/>
      <c r="AJ1536"/>
      <c r="AM1536"/>
    </row>
    <row r="1537" spans="3:39" x14ac:dyDescent="0.2">
      <c r="C1537"/>
      <c r="D1537"/>
      <c r="E1537"/>
      <c r="F1537"/>
      <c r="G1537"/>
      <c r="H1537"/>
      <c r="I1537" s="684"/>
      <c r="V1537"/>
      <c r="W1537"/>
      <c r="Y1537"/>
      <c r="Z1537"/>
      <c r="AA1537"/>
      <c r="AD1537"/>
      <c r="AE1537"/>
      <c r="AF1537"/>
      <c r="AH1537"/>
      <c r="AI1537"/>
      <c r="AJ1537"/>
      <c r="AM1537"/>
    </row>
    <row r="1538" spans="3:39" x14ac:dyDescent="0.2">
      <c r="C1538"/>
      <c r="D1538"/>
      <c r="E1538"/>
      <c r="F1538"/>
      <c r="G1538"/>
      <c r="H1538"/>
      <c r="I1538" s="684"/>
      <c r="V1538"/>
      <c r="W1538"/>
      <c r="Y1538"/>
      <c r="Z1538"/>
      <c r="AA1538"/>
      <c r="AD1538"/>
      <c r="AE1538"/>
      <c r="AF1538"/>
      <c r="AH1538"/>
      <c r="AI1538"/>
      <c r="AJ1538"/>
      <c r="AM1538"/>
    </row>
    <row r="1539" spans="3:39" x14ac:dyDescent="0.2">
      <c r="C1539"/>
      <c r="D1539"/>
      <c r="E1539"/>
      <c r="F1539"/>
      <c r="G1539"/>
      <c r="H1539"/>
      <c r="I1539" s="684"/>
      <c r="V1539"/>
      <c r="W1539"/>
      <c r="Y1539"/>
      <c r="Z1539"/>
      <c r="AA1539"/>
      <c r="AD1539"/>
      <c r="AE1539"/>
      <c r="AF1539"/>
      <c r="AH1539"/>
      <c r="AI1539"/>
      <c r="AJ1539"/>
      <c r="AM1539"/>
    </row>
    <row r="1540" spans="3:39" x14ac:dyDescent="0.2">
      <c r="C1540"/>
      <c r="D1540"/>
      <c r="E1540"/>
      <c r="F1540"/>
      <c r="G1540"/>
      <c r="H1540"/>
      <c r="I1540" s="684"/>
      <c r="V1540"/>
      <c r="W1540"/>
      <c r="Y1540"/>
      <c r="Z1540"/>
      <c r="AA1540"/>
      <c r="AD1540"/>
      <c r="AE1540"/>
      <c r="AF1540"/>
      <c r="AH1540"/>
      <c r="AI1540"/>
      <c r="AJ1540"/>
      <c r="AM1540"/>
    </row>
    <row r="1541" spans="3:39" x14ac:dyDescent="0.2">
      <c r="C1541"/>
      <c r="D1541"/>
      <c r="E1541"/>
      <c r="F1541"/>
      <c r="G1541"/>
      <c r="H1541"/>
      <c r="I1541" s="684"/>
      <c r="V1541"/>
      <c r="W1541"/>
      <c r="Y1541"/>
      <c r="Z1541"/>
      <c r="AA1541"/>
      <c r="AD1541"/>
      <c r="AE1541"/>
      <c r="AF1541"/>
      <c r="AH1541"/>
      <c r="AI1541"/>
      <c r="AJ1541"/>
      <c r="AM1541"/>
    </row>
    <row r="1542" spans="3:39" x14ac:dyDescent="0.2">
      <c r="C1542"/>
      <c r="D1542"/>
      <c r="E1542"/>
      <c r="F1542"/>
      <c r="G1542"/>
      <c r="H1542"/>
      <c r="I1542" s="684"/>
      <c r="V1542"/>
      <c r="W1542"/>
      <c r="Y1542"/>
      <c r="Z1542"/>
      <c r="AA1542"/>
      <c r="AD1542"/>
      <c r="AE1542"/>
      <c r="AF1542"/>
      <c r="AH1542"/>
      <c r="AI1542"/>
      <c r="AJ1542"/>
      <c r="AM1542"/>
    </row>
    <row r="1543" spans="3:39" x14ac:dyDescent="0.2">
      <c r="C1543"/>
      <c r="D1543"/>
      <c r="E1543"/>
      <c r="F1543"/>
      <c r="G1543"/>
      <c r="H1543"/>
      <c r="I1543" s="684"/>
      <c r="V1543"/>
      <c r="W1543"/>
      <c r="Y1543"/>
      <c r="Z1543"/>
      <c r="AA1543"/>
      <c r="AD1543"/>
      <c r="AE1543"/>
      <c r="AF1543"/>
      <c r="AH1543"/>
      <c r="AI1543"/>
      <c r="AJ1543"/>
      <c r="AM1543"/>
    </row>
    <row r="1544" spans="3:39" x14ac:dyDescent="0.2">
      <c r="C1544"/>
      <c r="D1544"/>
      <c r="E1544"/>
      <c r="F1544"/>
      <c r="G1544"/>
      <c r="H1544"/>
      <c r="I1544" s="684"/>
      <c r="V1544"/>
      <c r="W1544"/>
      <c r="Y1544"/>
      <c r="Z1544"/>
      <c r="AA1544"/>
      <c r="AD1544"/>
      <c r="AE1544"/>
      <c r="AF1544"/>
      <c r="AH1544"/>
      <c r="AI1544"/>
      <c r="AJ1544"/>
      <c r="AM1544"/>
    </row>
    <row r="1545" spans="3:39" x14ac:dyDescent="0.2">
      <c r="C1545"/>
      <c r="D1545"/>
      <c r="E1545"/>
      <c r="F1545"/>
      <c r="G1545"/>
      <c r="H1545"/>
      <c r="I1545" s="684"/>
      <c r="V1545"/>
      <c r="W1545"/>
      <c r="Y1545"/>
      <c r="Z1545"/>
      <c r="AA1545"/>
      <c r="AD1545"/>
      <c r="AE1545"/>
      <c r="AF1545"/>
      <c r="AH1545"/>
      <c r="AI1545"/>
      <c r="AJ1545"/>
      <c r="AM1545"/>
    </row>
    <row r="1546" spans="3:39" x14ac:dyDescent="0.2">
      <c r="C1546"/>
      <c r="D1546"/>
      <c r="E1546"/>
      <c r="F1546"/>
      <c r="G1546"/>
      <c r="H1546"/>
      <c r="I1546" s="684"/>
      <c r="V1546"/>
      <c r="W1546"/>
      <c r="Y1546"/>
      <c r="Z1546"/>
      <c r="AA1546"/>
      <c r="AD1546"/>
      <c r="AE1546"/>
      <c r="AF1546"/>
      <c r="AH1546"/>
      <c r="AI1546"/>
      <c r="AJ1546"/>
      <c r="AM1546"/>
    </row>
    <row r="1547" spans="3:39" x14ac:dyDescent="0.2">
      <c r="C1547"/>
      <c r="D1547"/>
      <c r="E1547"/>
      <c r="F1547"/>
      <c r="G1547"/>
      <c r="H1547"/>
      <c r="I1547" s="684"/>
      <c r="V1547"/>
      <c r="W1547"/>
      <c r="Y1547"/>
      <c r="Z1547"/>
      <c r="AA1547"/>
      <c r="AD1547"/>
      <c r="AE1547"/>
      <c r="AF1547"/>
      <c r="AH1547"/>
      <c r="AI1547"/>
      <c r="AJ1547"/>
      <c r="AM1547"/>
    </row>
    <row r="1548" spans="3:39" x14ac:dyDescent="0.2">
      <c r="C1548"/>
      <c r="D1548"/>
      <c r="E1548"/>
      <c r="F1548"/>
      <c r="G1548"/>
      <c r="H1548"/>
      <c r="I1548" s="684"/>
      <c r="V1548"/>
      <c r="W1548"/>
      <c r="Y1548"/>
      <c r="Z1548"/>
      <c r="AA1548"/>
      <c r="AD1548"/>
      <c r="AE1548"/>
      <c r="AF1548"/>
      <c r="AH1548"/>
      <c r="AI1548"/>
      <c r="AJ1548"/>
      <c r="AM1548"/>
    </row>
    <row r="1549" spans="3:39" x14ac:dyDescent="0.2">
      <c r="C1549"/>
      <c r="D1549"/>
      <c r="E1549"/>
      <c r="F1549"/>
      <c r="G1549"/>
      <c r="H1549"/>
      <c r="I1549" s="684"/>
      <c r="V1549"/>
      <c r="W1549"/>
      <c r="Y1549"/>
      <c r="Z1549"/>
      <c r="AA1549"/>
      <c r="AD1549"/>
      <c r="AE1549"/>
      <c r="AF1549"/>
      <c r="AH1549"/>
      <c r="AI1549"/>
      <c r="AJ1549"/>
      <c r="AM1549"/>
    </row>
    <row r="1550" spans="3:39" x14ac:dyDescent="0.2">
      <c r="C1550"/>
      <c r="D1550"/>
      <c r="E1550"/>
      <c r="F1550"/>
      <c r="G1550"/>
      <c r="H1550"/>
      <c r="I1550" s="684"/>
      <c r="V1550"/>
      <c r="W1550"/>
      <c r="Y1550"/>
      <c r="Z1550"/>
      <c r="AA1550"/>
      <c r="AD1550"/>
      <c r="AE1550"/>
      <c r="AF1550"/>
      <c r="AH1550"/>
      <c r="AI1550"/>
      <c r="AJ1550"/>
      <c r="AM1550"/>
    </row>
    <row r="1551" spans="3:39" x14ac:dyDescent="0.2">
      <c r="C1551"/>
      <c r="D1551"/>
      <c r="E1551"/>
      <c r="F1551"/>
      <c r="G1551"/>
      <c r="H1551"/>
      <c r="I1551" s="684"/>
      <c r="V1551"/>
      <c r="W1551"/>
      <c r="Y1551"/>
      <c r="Z1551"/>
      <c r="AA1551"/>
      <c r="AD1551"/>
      <c r="AE1551"/>
      <c r="AF1551"/>
      <c r="AH1551"/>
      <c r="AI1551"/>
      <c r="AJ1551"/>
      <c r="AM1551"/>
    </row>
    <row r="1552" spans="3:39" x14ac:dyDescent="0.2">
      <c r="C1552"/>
      <c r="D1552"/>
      <c r="E1552"/>
      <c r="F1552"/>
      <c r="G1552"/>
      <c r="H1552"/>
      <c r="I1552" s="684"/>
      <c r="V1552"/>
      <c r="W1552"/>
      <c r="Y1552"/>
      <c r="Z1552"/>
      <c r="AA1552"/>
      <c r="AD1552"/>
      <c r="AE1552"/>
      <c r="AF1552"/>
      <c r="AH1552"/>
      <c r="AI1552"/>
      <c r="AJ1552"/>
      <c r="AM1552"/>
    </row>
    <row r="1553" spans="3:39" x14ac:dyDescent="0.2">
      <c r="C1553"/>
      <c r="D1553"/>
      <c r="E1553"/>
      <c r="F1553"/>
      <c r="G1553"/>
      <c r="H1553"/>
      <c r="I1553" s="684"/>
      <c r="V1553"/>
      <c r="W1553"/>
      <c r="Y1553"/>
      <c r="Z1553"/>
      <c r="AA1553"/>
      <c r="AD1553"/>
      <c r="AE1553"/>
      <c r="AF1553"/>
      <c r="AH1553"/>
      <c r="AI1553"/>
      <c r="AJ1553"/>
      <c r="AM1553"/>
    </row>
    <row r="1554" spans="3:39" x14ac:dyDescent="0.2">
      <c r="C1554"/>
      <c r="D1554"/>
      <c r="E1554"/>
      <c r="F1554"/>
      <c r="G1554"/>
      <c r="H1554"/>
      <c r="I1554" s="684"/>
      <c r="V1554"/>
      <c r="W1554"/>
      <c r="Y1554"/>
      <c r="Z1554"/>
      <c r="AA1554"/>
      <c r="AD1554"/>
      <c r="AE1554"/>
      <c r="AF1554"/>
      <c r="AH1554"/>
      <c r="AI1554"/>
      <c r="AJ1554"/>
      <c r="AM1554"/>
    </row>
    <row r="1555" spans="3:39" x14ac:dyDescent="0.2">
      <c r="C1555"/>
      <c r="D1555"/>
      <c r="E1555"/>
      <c r="F1555"/>
      <c r="G1555"/>
      <c r="H1555"/>
      <c r="I1555" s="684"/>
      <c r="V1555"/>
      <c r="W1555"/>
      <c r="Y1555"/>
      <c r="Z1555"/>
      <c r="AA1555"/>
      <c r="AD1555"/>
      <c r="AE1555"/>
      <c r="AF1555"/>
      <c r="AH1555"/>
      <c r="AI1555"/>
      <c r="AJ1555"/>
      <c r="AM1555"/>
    </row>
    <row r="1556" spans="3:39" x14ac:dyDescent="0.2">
      <c r="C1556"/>
      <c r="D1556"/>
      <c r="E1556"/>
      <c r="F1556"/>
      <c r="G1556"/>
      <c r="H1556"/>
      <c r="I1556" s="684"/>
      <c r="V1556"/>
      <c r="W1556"/>
      <c r="Y1556"/>
      <c r="Z1556"/>
      <c r="AA1556"/>
      <c r="AD1556"/>
      <c r="AE1556"/>
      <c r="AF1556"/>
      <c r="AH1556"/>
      <c r="AI1556"/>
      <c r="AJ1556"/>
      <c r="AM1556"/>
    </row>
    <row r="1557" spans="3:39" x14ac:dyDescent="0.2">
      <c r="C1557"/>
      <c r="D1557"/>
      <c r="E1557"/>
      <c r="F1557"/>
      <c r="G1557"/>
      <c r="H1557"/>
      <c r="I1557" s="684"/>
      <c r="V1557"/>
      <c r="W1557"/>
      <c r="Y1557"/>
      <c r="Z1557"/>
      <c r="AA1557"/>
      <c r="AD1557"/>
      <c r="AE1557"/>
      <c r="AF1557"/>
      <c r="AH1557"/>
      <c r="AI1557"/>
      <c r="AJ1557"/>
      <c r="AM1557"/>
    </row>
    <row r="1558" spans="3:39" x14ac:dyDescent="0.2">
      <c r="C1558"/>
      <c r="D1558"/>
      <c r="E1558"/>
      <c r="F1558"/>
      <c r="G1558"/>
      <c r="H1558"/>
      <c r="I1558" s="684"/>
      <c r="V1558"/>
      <c r="W1558"/>
      <c r="Y1558"/>
      <c r="Z1558"/>
      <c r="AA1558"/>
      <c r="AD1558"/>
      <c r="AE1558"/>
      <c r="AF1558"/>
      <c r="AH1558"/>
      <c r="AI1558"/>
      <c r="AJ1558"/>
      <c r="AM1558"/>
    </row>
    <row r="1559" spans="3:39" x14ac:dyDescent="0.2">
      <c r="C1559"/>
      <c r="D1559"/>
      <c r="E1559"/>
      <c r="F1559"/>
      <c r="G1559"/>
      <c r="H1559"/>
      <c r="I1559" s="684"/>
      <c r="V1559"/>
      <c r="W1559"/>
      <c r="Y1559"/>
      <c r="Z1559"/>
      <c r="AA1559"/>
      <c r="AD1559"/>
      <c r="AE1559"/>
      <c r="AF1559"/>
      <c r="AH1559"/>
      <c r="AI1559"/>
      <c r="AJ1559"/>
      <c r="AM1559"/>
    </row>
    <row r="1560" spans="3:39" x14ac:dyDescent="0.2">
      <c r="C1560"/>
      <c r="D1560"/>
      <c r="E1560"/>
      <c r="F1560"/>
      <c r="G1560"/>
      <c r="H1560"/>
      <c r="I1560" s="684"/>
      <c r="V1560"/>
      <c r="W1560"/>
      <c r="Y1560"/>
      <c r="Z1560"/>
      <c r="AA1560"/>
      <c r="AD1560"/>
      <c r="AE1560"/>
      <c r="AF1560"/>
      <c r="AH1560"/>
      <c r="AI1560"/>
      <c r="AJ1560"/>
      <c r="AM1560"/>
    </row>
    <row r="1561" spans="3:39" x14ac:dyDescent="0.2">
      <c r="C1561"/>
      <c r="D1561"/>
      <c r="E1561"/>
      <c r="F1561"/>
      <c r="G1561"/>
      <c r="H1561"/>
      <c r="I1561" s="684"/>
      <c r="V1561"/>
      <c r="W1561"/>
      <c r="Y1561"/>
      <c r="Z1561"/>
      <c r="AA1561"/>
      <c r="AD1561"/>
      <c r="AE1561"/>
      <c r="AF1561"/>
      <c r="AH1561"/>
      <c r="AI1561"/>
      <c r="AJ1561"/>
      <c r="AM1561"/>
    </row>
    <row r="1562" spans="3:39" x14ac:dyDescent="0.2">
      <c r="C1562"/>
      <c r="D1562"/>
      <c r="E1562"/>
      <c r="F1562"/>
      <c r="G1562"/>
      <c r="H1562"/>
      <c r="I1562" s="684"/>
      <c r="V1562"/>
      <c r="W1562"/>
      <c r="Y1562"/>
      <c r="Z1562"/>
      <c r="AA1562"/>
      <c r="AD1562"/>
      <c r="AE1562"/>
      <c r="AF1562"/>
      <c r="AH1562"/>
      <c r="AI1562"/>
      <c r="AJ1562"/>
      <c r="AM1562"/>
    </row>
    <row r="1563" spans="3:39" x14ac:dyDescent="0.2">
      <c r="C1563"/>
      <c r="D1563"/>
      <c r="E1563"/>
      <c r="F1563"/>
      <c r="G1563"/>
      <c r="H1563"/>
      <c r="I1563" s="684"/>
      <c r="V1563"/>
      <c r="W1563"/>
      <c r="Y1563"/>
      <c r="Z1563"/>
      <c r="AA1563"/>
      <c r="AD1563"/>
      <c r="AE1563"/>
      <c r="AF1563"/>
      <c r="AH1563"/>
      <c r="AI1563"/>
      <c r="AJ1563"/>
      <c r="AM1563"/>
    </row>
    <row r="1564" spans="3:39" x14ac:dyDescent="0.2">
      <c r="C1564"/>
      <c r="D1564"/>
      <c r="E1564"/>
      <c r="F1564"/>
      <c r="G1564"/>
      <c r="H1564"/>
      <c r="I1564" s="684"/>
      <c r="V1564"/>
      <c r="W1564"/>
      <c r="Y1564"/>
      <c r="Z1564"/>
      <c r="AA1564"/>
      <c r="AD1564"/>
      <c r="AE1564"/>
      <c r="AF1564"/>
      <c r="AH1564"/>
      <c r="AI1564"/>
      <c r="AJ1564"/>
      <c r="AM1564"/>
    </row>
    <row r="1565" spans="3:39" x14ac:dyDescent="0.2">
      <c r="C1565"/>
      <c r="D1565"/>
      <c r="E1565"/>
      <c r="F1565"/>
      <c r="G1565"/>
      <c r="H1565"/>
      <c r="I1565" s="684"/>
      <c r="V1565"/>
      <c r="W1565"/>
      <c r="Y1565"/>
      <c r="Z1565"/>
      <c r="AA1565"/>
      <c r="AD1565"/>
      <c r="AE1565"/>
      <c r="AF1565"/>
      <c r="AH1565"/>
      <c r="AI1565"/>
      <c r="AJ1565"/>
      <c r="AM1565"/>
    </row>
    <row r="1566" spans="3:39" x14ac:dyDescent="0.2">
      <c r="C1566"/>
      <c r="D1566"/>
      <c r="E1566"/>
      <c r="F1566"/>
      <c r="G1566"/>
      <c r="H1566"/>
      <c r="I1566" s="684"/>
      <c r="V1566"/>
      <c r="W1566"/>
      <c r="Y1566"/>
      <c r="Z1566"/>
      <c r="AA1566"/>
      <c r="AD1566"/>
      <c r="AE1566"/>
      <c r="AF1566"/>
      <c r="AH1566"/>
      <c r="AI1566"/>
      <c r="AJ1566"/>
      <c r="AM1566"/>
    </row>
    <row r="1567" spans="3:39" x14ac:dyDescent="0.2">
      <c r="C1567"/>
      <c r="D1567"/>
      <c r="E1567"/>
      <c r="F1567"/>
      <c r="G1567"/>
      <c r="H1567"/>
      <c r="I1567" s="684"/>
      <c r="V1567"/>
      <c r="W1567"/>
      <c r="Y1567"/>
      <c r="Z1567"/>
      <c r="AA1567"/>
      <c r="AD1567"/>
      <c r="AE1567"/>
      <c r="AF1567"/>
      <c r="AH1567"/>
      <c r="AI1567"/>
      <c r="AJ1567"/>
      <c r="AM1567"/>
    </row>
    <row r="1568" spans="3:39" x14ac:dyDescent="0.2">
      <c r="C1568"/>
      <c r="D1568"/>
      <c r="E1568"/>
      <c r="F1568"/>
      <c r="G1568"/>
      <c r="H1568"/>
      <c r="I1568" s="684"/>
      <c r="V1568"/>
      <c r="W1568"/>
      <c r="Y1568"/>
      <c r="Z1568"/>
      <c r="AA1568"/>
      <c r="AD1568"/>
      <c r="AE1568"/>
      <c r="AF1568"/>
      <c r="AH1568"/>
      <c r="AI1568"/>
      <c r="AJ1568"/>
      <c r="AM1568"/>
    </row>
    <row r="1569" spans="3:39" x14ac:dyDescent="0.2">
      <c r="C1569"/>
      <c r="D1569"/>
      <c r="E1569"/>
      <c r="F1569"/>
      <c r="G1569"/>
      <c r="H1569"/>
      <c r="I1569" s="684"/>
      <c r="V1569"/>
      <c r="W1569"/>
      <c r="Y1569"/>
      <c r="Z1569"/>
      <c r="AA1569"/>
      <c r="AD1569"/>
      <c r="AE1569"/>
      <c r="AF1569"/>
      <c r="AH1569"/>
      <c r="AI1569"/>
      <c r="AJ1569"/>
      <c r="AM1569"/>
    </row>
    <row r="1570" spans="3:39" x14ac:dyDescent="0.2">
      <c r="C1570"/>
      <c r="D1570"/>
      <c r="E1570"/>
      <c r="F1570"/>
      <c r="G1570"/>
      <c r="H1570"/>
      <c r="I1570" s="684"/>
      <c r="V1570"/>
      <c r="W1570"/>
      <c r="Y1570"/>
      <c r="Z1570"/>
      <c r="AA1570"/>
      <c r="AD1570"/>
      <c r="AE1570"/>
      <c r="AF1570"/>
      <c r="AH1570"/>
      <c r="AI1570"/>
      <c r="AJ1570"/>
      <c r="AM1570"/>
    </row>
    <row r="1571" spans="3:39" x14ac:dyDescent="0.2">
      <c r="C1571"/>
      <c r="D1571"/>
      <c r="E1571"/>
      <c r="F1571"/>
      <c r="G1571"/>
      <c r="H1571"/>
      <c r="I1571" s="684"/>
      <c r="V1571"/>
      <c r="W1571"/>
      <c r="Y1571"/>
      <c r="Z1571"/>
      <c r="AA1571"/>
      <c r="AD1571"/>
      <c r="AE1571"/>
      <c r="AF1571"/>
      <c r="AH1571"/>
      <c r="AI1571"/>
      <c r="AJ1571"/>
      <c r="AM1571"/>
    </row>
    <row r="1572" spans="3:39" x14ac:dyDescent="0.2">
      <c r="C1572"/>
      <c r="D1572"/>
      <c r="E1572"/>
      <c r="F1572"/>
      <c r="G1572"/>
      <c r="H1572"/>
      <c r="I1572" s="684"/>
      <c r="V1572"/>
      <c r="W1572"/>
      <c r="Y1572"/>
      <c r="Z1572"/>
      <c r="AA1572"/>
      <c r="AD1572"/>
      <c r="AE1572"/>
      <c r="AF1572"/>
      <c r="AH1572"/>
      <c r="AI1572"/>
      <c r="AJ1572"/>
      <c r="AM1572"/>
    </row>
    <row r="1573" spans="3:39" x14ac:dyDescent="0.2">
      <c r="C1573"/>
      <c r="D1573"/>
      <c r="E1573"/>
      <c r="F1573"/>
      <c r="G1573"/>
      <c r="H1573"/>
      <c r="I1573" s="684"/>
      <c r="V1573"/>
      <c r="W1573"/>
      <c r="Y1573"/>
      <c r="Z1573"/>
      <c r="AA1573"/>
      <c r="AD1573"/>
      <c r="AE1573"/>
      <c r="AF1573"/>
      <c r="AH1573"/>
      <c r="AI1573"/>
      <c r="AJ1573"/>
      <c r="AM1573"/>
    </row>
    <row r="1574" spans="3:39" x14ac:dyDescent="0.2">
      <c r="C1574"/>
      <c r="D1574"/>
      <c r="E1574"/>
      <c r="F1574"/>
      <c r="G1574"/>
      <c r="H1574"/>
      <c r="I1574" s="684"/>
      <c r="V1574"/>
      <c r="W1574"/>
      <c r="Y1574"/>
      <c r="Z1574"/>
      <c r="AA1574"/>
      <c r="AD1574"/>
      <c r="AE1574"/>
      <c r="AF1574"/>
      <c r="AH1574"/>
      <c r="AI1574"/>
      <c r="AJ1574"/>
      <c r="AM1574"/>
    </row>
    <row r="1575" spans="3:39" x14ac:dyDescent="0.2">
      <c r="C1575"/>
      <c r="D1575"/>
      <c r="E1575"/>
      <c r="F1575"/>
      <c r="G1575"/>
      <c r="H1575"/>
      <c r="I1575" s="684"/>
      <c r="V1575"/>
      <c r="W1575"/>
      <c r="Y1575"/>
      <c r="Z1575"/>
      <c r="AA1575"/>
      <c r="AD1575"/>
      <c r="AE1575"/>
      <c r="AF1575"/>
      <c r="AH1575"/>
      <c r="AI1575"/>
      <c r="AJ1575"/>
      <c r="AM1575"/>
    </row>
    <row r="1576" spans="3:39" x14ac:dyDescent="0.2">
      <c r="C1576"/>
      <c r="D1576"/>
      <c r="E1576"/>
      <c r="F1576"/>
      <c r="G1576"/>
      <c r="H1576"/>
      <c r="I1576" s="684"/>
      <c r="V1576"/>
      <c r="W1576"/>
      <c r="Y1576"/>
      <c r="Z1576"/>
      <c r="AA1576"/>
      <c r="AD1576"/>
      <c r="AE1576"/>
      <c r="AF1576"/>
      <c r="AH1576"/>
      <c r="AI1576"/>
      <c r="AJ1576"/>
      <c r="AM1576"/>
    </row>
    <row r="1577" spans="3:39" x14ac:dyDescent="0.2">
      <c r="C1577"/>
      <c r="D1577"/>
      <c r="E1577"/>
      <c r="F1577"/>
      <c r="G1577"/>
      <c r="H1577"/>
      <c r="I1577" s="684"/>
      <c r="V1577"/>
      <c r="W1577"/>
      <c r="Y1577"/>
      <c r="Z1577"/>
      <c r="AA1577"/>
      <c r="AD1577"/>
      <c r="AE1577"/>
      <c r="AF1577"/>
      <c r="AH1577"/>
      <c r="AI1577"/>
      <c r="AJ1577"/>
      <c r="AM1577"/>
    </row>
    <row r="1578" spans="3:39" x14ac:dyDescent="0.2">
      <c r="C1578"/>
      <c r="D1578"/>
      <c r="E1578"/>
      <c r="F1578"/>
      <c r="G1578"/>
      <c r="H1578"/>
      <c r="I1578" s="684"/>
      <c r="V1578"/>
      <c r="W1578"/>
      <c r="Y1578"/>
      <c r="Z1578"/>
      <c r="AA1578"/>
      <c r="AD1578"/>
      <c r="AE1578"/>
      <c r="AF1578"/>
      <c r="AH1578"/>
      <c r="AI1578"/>
      <c r="AJ1578"/>
      <c r="AM1578"/>
    </row>
    <row r="1579" spans="3:39" x14ac:dyDescent="0.2">
      <c r="C1579"/>
      <c r="D1579"/>
      <c r="E1579"/>
      <c r="F1579"/>
      <c r="G1579"/>
      <c r="H1579"/>
      <c r="I1579" s="684"/>
      <c r="V1579"/>
      <c r="W1579"/>
      <c r="Y1579"/>
      <c r="Z1579"/>
      <c r="AA1579"/>
      <c r="AD1579"/>
      <c r="AE1579"/>
      <c r="AF1579"/>
      <c r="AH1579"/>
      <c r="AI1579"/>
      <c r="AJ1579"/>
      <c r="AM1579"/>
    </row>
    <row r="1580" spans="3:39" x14ac:dyDescent="0.2">
      <c r="C1580"/>
      <c r="D1580"/>
      <c r="E1580"/>
      <c r="F1580"/>
      <c r="G1580"/>
      <c r="H1580"/>
      <c r="I1580" s="684"/>
      <c r="V1580"/>
      <c r="W1580"/>
      <c r="Y1580"/>
      <c r="Z1580"/>
      <c r="AA1580"/>
      <c r="AD1580"/>
      <c r="AE1580"/>
      <c r="AF1580"/>
      <c r="AH1580"/>
      <c r="AI1580"/>
      <c r="AJ1580"/>
      <c r="AM1580"/>
    </row>
    <row r="1581" spans="3:39" x14ac:dyDescent="0.2">
      <c r="C1581"/>
      <c r="D1581"/>
      <c r="E1581"/>
      <c r="F1581"/>
      <c r="G1581"/>
      <c r="H1581"/>
      <c r="I1581" s="684"/>
      <c r="V1581"/>
      <c r="W1581"/>
      <c r="Y1581"/>
      <c r="Z1581"/>
      <c r="AA1581"/>
      <c r="AD1581"/>
      <c r="AE1581"/>
      <c r="AF1581"/>
      <c r="AH1581"/>
      <c r="AI1581"/>
      <c r="AJ1581"/>
      <c r="AM1581"/>
    </row>
    <row r="1582" spans="3:39" x14ac:dyDescent="0.2">
      <c r="C1582"/>
      <c r="D1582"/>
      <c r="E1582"/>
      <c r="F1582"/>
      <c r="G1582"/>
      <c r="H1582"/>
      <c r="I1582" s="684"/>
      <c r="V1582"/>
      <c r="W1582"/>
      <c r="Y1582"/>
      <c r="Z1582"/>
      <c r="AA1582"/>
      <c r="AD1582"/>
      <c r="AE1582"/>
      <c r="AF1582"/>
      <c r="AH1582"/>
      <c r="AI1582"/>
      <c r="AJ1582"/>
      <c r="AM1582"/>
    </row>
    <row r="1583" spans="3:39" x14ac:dyDescent="0.2">
      <c r="C1583"/>
      <c r="D1583"/>
      <c r="E1583"/>
      <c r="F1583"/>
      <c r="G1583"/>
      <c r="H1583"/>
      <c r="I1583" s="684"/>
      <c r="V1583"/>
      <c r="W1583"/>
      <c r="Y1583"/>
      <c r="Z1583"/>
      <c r="AA1583"/>
      <c r="AD1583"/>
      <c r="AE1583"/>
      <c r="AF1583"/>
      <c r="AH1583"/>
      <c r="AI1583"/>
      <c r="AJ1583"/>
      <c r="AM1583"/>
    </row>
    <row r="1584" spans="3:39" x14ac:dyDescent="0.2">
      <c r="C1584"/>
      <c r="D1584"/>
      <c r="E1584"/>
      <c r="F1584"/>
      <c r="G1584"/>
      <c r="H1584"/>
      <c r="I1584" s="684"/>
      <c r="V1584"/>
      <c r="W1584"/>
      <c r="Y1584"/>
      <c r="Z1584"/>
      <c r="AA1584"/>
      <c r="AD1584"/>
      <c r="AE1584"/>
      <c r="AF1584"/>
      <c r="AH1584"/>
      <c r="AI1584"/>
      <c r="AJ1584"/>
      <c r="AM1584"/>
    </row>
    <row r="1585" spans="3:39" x14ac:dyDescent="0.2">
      <c r="C1585"/>
      <c r="D1585"/>
      <c r="E1585"/>
      <c r="F1585"/>
      <c r="G1585"/>
      <c r="H1585"/>
      <c r="I1585" s="684"/>
      <c r="V1585"/>
      <c r="W1585"/>
      <c r="Y1585"/>
      <c r="Z1585"/>
      <c r="AA1585"/>
      <c r="AD1585"/>
      <c r="AE1585"/>
      <c r="AF1585"/>
      <c r="AH1585"/>
      <c r="AI1585"/>
      <c r="AJ1585"/>
      <c r="AM1585"/>
    </row>
    <row r="1586" spans="3:39" x14ac:dyDescent="0.2">
      <c r="C1586"/>
      <c r="D1586"/>
      <c r="E1586"/>
      <c r="F1586"/>
      <c r="G1586"/>
      <c r="H1586"/>
      <c r="I1586" s="684"/>
      <c r="V1586"/>
      <c r="W1586"/>
      <c r="Y1586"/>
      <c r="Z1586"/>
      <c r="AA1586"/>
      <c r="AD1586"/>
      <c r="AE1586"/>
      <c r="AF1586"/>
      <c r="AH1586"/>
      <c r="AI1586"/>
      <c r="AJ1586"/>
      <c r="AM1586"/>
    </row>
    <row r="1587" spans="3:39" x14ac:dyDescent="0.2">
      <c r="C1587"/>
      <c r="D1587"/>
      <c r="E1587"/>
      <c r="F1587"/>
      <c r="G1587"/>
      <c r="H1587"/>
      <c r="I1587" s="684"/>
      <c r="V1587"/>
      <c r="W1587"/>
      <c r="Y1587"/>
      <c r="Z1587"/>
      <c r="AA1587"/>
      <c r="AD1587"/>
      <c r="AE1587"/>
      <c r="AF1587"/>
      <c r="AH1587"/>
      <c r="AI1587"/>
      <c r="AJ1587"/>
      <c r="AM1587"/>
    </row>
    <row r="1588" spans="3:39" x14ac:dyDescent="0.2">
      <c r="C1588"/>
      <c r="D1588"/>
      <c r="E1588"/>
      <c r="F1588"/>
      <c r="G1588"/>
      <c r="H1588"/>
      <c r="I1588" s="684"/>
      <c r="V1588"/>
      <c r="W1588"/>
      <c r="Y1588"/>
      <c r="Z1588"/>
      <c r="AA1588"/>
      <c r="AD1588"/>
      <c r="AE1588"/>
      <c r="AF1588"/>
      <c r="AH1588"/>
      <c r="AI1588"/>
      <c r="AJ1588"/>
      <c r="AM1588"/>
    </row>
    <row r="1589" spans="3:39" x14ac:dyDescent="0.2">
      <c r="C1589"/>
      <c r="D1589"/>
      <c r="E1589"/>
      <c r="F1589"/>
      <c r="G1589"/>
      <c r="H1589"/>
      <c r="I1589" s="684"/>
      <c r="V1589"/>
      <c r="W1589"/>
      <c r="Y1589"/>
      <c r="Z1589"/>
      <c r="AA1589"/>
      <c r="AD1589"/>
      <c r="AE1589"/>
      <c r="AF1589"/>
      <c r="AH1589"/>
      <c r="AI1589"/>
      <c r="AJ1589"/>
      <c r="AM1589"/>
    </row>
    <row r="1590" spans="3:39" x14ac:dyDescent="0.2">
      <c r="C1590"/>
      <c r="D1590"/>
      <c r="E1590"/>
      <c r="F1590"/>
      <c r="G1590"/>
      <c r="H1590"/>
      <c r="I1590" s="684"/>
      <c r="V1590"/>
      <c r="W1590"/>
      <c r="Y1590"/>
      <c r="Z1590"/>
      <c r="AA1590"/>
      <c r="AD1590"/>
      <c r="AE1590"/>
      <c r="AF1590"/>
      <c r="AH1590"/>
      <c r="AI1590"/>
      <c r="AJ1590"/>
      <c r="AM1590"/>
    </row>
    <row r="1591" spans="3:39" x14ac:dyDescent="0.2">
      <c r="C1591"/>
      <c r="D1591"/>
      <c r="E1591"/>
      <c r="F1591"/>
      <c r="G1591"/>
      <c r="H1591"/>
      <c r="I1591" s="684"/>
      <c r="V1591"/>
      <c r="W1591"/>
      <c r="Y1591"/>
      <c r="Z1591"/>
      <c r="AA1591"/>
      <c r="AD1591"/>
      <c r="AE1591"/>
      <c r="AF1591"/>
      <c r="AH1591"/>
      <c r="AI1591"/>
      <c r="AJ1591"/>
      <c r="AM1591"/>
    </row>
    <row r="1592" spans="3:39" x14ac:dyDescent="0.2">
      <c r="C1592"/>
      <c r="D1592"/>
      <c r="E1592"/>
      <c r="F1592"/>
      <c r="G1592"/>
      <c r="H1592"/>
      <c r="I1592" s="684"/>
      <c r="V1592"/>
      <c r="W1592"/>
      <c r="Y1592"/>
      <c r="Z1592"/>
      <c r="AA1592"/>
      <c r="AD1592"/>
      <c r="AE1592"/>
      <c r="AF1592"/>
      <c r="AH1592"/>
      <c r="AI1592"/>
      <c r="AJ1592"/>
      <c r="AM1592"/>
    </row>
    <row r="1593" spans="3:39" x14ac:dyDescent="0.2">
      <c r="C1593"/>
      <c r="D1593"/>
      <c r="E1593"/>
      <c r="F1593"/>
      <c r="G1593"/>
      <c r="H1593"/>
      <c r="I1593" s="684"/>
      <c r="V1593"/>
      <c r="W1593"/>
      <c r="Y1593"/>
      <c r="Z1593"/>
      <c r="AA1593"/>
      <c r="AD1593"/>
      <c r="AE1593"/>
      <c r="AF1593"/>
      <c r="AH1593"/>
      <c r="AI1593"/>
      <c r="AJ1593"/>
      <c r="AM1593"/>
    </row>
    <row r="1594" spans="3:39" x14ac:dyDescent="0.2">
      <c r="C1594"/>
      <c r="D1594"/>
      <c r="E1594"/>
      <c r="F1594"/>
      <c r="G1594"/>
      <c r="H1594"/>
      <c r="I1594" s="684"/>
      <c r="V1594"/>
      <c r="W1594"/>
      <c r="Y1594"/>
      <c r="Z1594"/>
      <c r="AA1594"/>
      <c r="AD1594"/>
      <c r="AE1594"/>
      <c r="AF1594"/>
      <c r="AH1594"/>
      <c r="AI1594"/>
      <c r="AJ1594"/>
      <c r="AM1594"/>
    </row>
    <row r="1595" spans="3:39" x14ac:dyDescent="0.2">
      <c r="C1595"/>
      <c r="D1595"/>
      <c r="E1595"/>
      <c r="F1595"/>
      <c r="G1595"/>
      <c r="H1595"/>
      <c r="I1595" s="684"/>
      <c r="V1595"/>
      <c r="W1595"/>
      <c r="Y1595"/>
      <c r="Z1595"/>
      <c r="AA1595"/>
      <c r="AD1595"/>
      <c r="AE1595"/>
      <c r="AF1595"/>
      <c r="AH1595"/>
      <c r="AI1595"/>
      <c r="AJ1595"/>
      <c r="AM1595"/>
    </row>
    <row r="1596" spans="3:39" x14ac:dyDescent="0.2">
      <c r="C1596"/>
      <c r="D1596"/>
      <c r="E1596"/>
      <c r="F1596"/>
      <c r="G1596"/>
      <c r="H1596"/>
      <c r="I1596" s="684"/>
      <c r="V1596"/>
      <c r="W1596"/>
      <c r="Y1596"/>
      <c r="Z1596"/>
      <c r="AA1596"/>
      <c r="AD1596"/>
      <c r="AE1596"/>
      <c r="AF1596"/>
      <c r="AH1596"/>
      <c r="AI1596"/>
      <c r="AJ1596"/>
      <c r="AM1596"/>
    </row>
    <row r="1597" spans="3:39" x14ac:dyDescent="0.2">
      <c r="C1597"/>
      <c r="D1597"/>
      <c r="E1597"/>
      <c r="F1597"/>
      <c r="G1597"/>
      <c r="H1597"/>
      <c r="I1597" s="684"/>
      <c r="V1597"/>
      <c r="W1597"/>
      <c r="Y1597"/>
      <c r="Z1597"/>
      <c r="AA1597"/>
      <c r="AD1597"/>
      <c r="AE1597"/>
      <c r="AF1597"/>
      <c r="AH1597"/>
      <c r="AI1597"/>
      <c r="AJ1597"/>
      <c r="AM1597"/>
    </row>
    <row r="1598" spans="3:39" x14ac:dyDescent="0.2">
      <c r="C1598"/>
      <c r="D1598"/>
      <c r="E1598"/>
      <c r="F1598"/>
      <c r="G1598"/>
      <c r="H1598"/>
      <c r="I1598" s="684"/>
      <c r="V1598"/>
      <c r="W1598"/>
      <c r="Y1598"/>
      <c r="Z1598"/>
      <c r="AA1598"/>
      <c r="AD1598"/>
      <c r="AE1598"/>
      <c r="AF1598"/>
      <c r="AH1598"/>
      <c r="AI1598"/>
      <c r="AJ1598"/>
      <c r="AM1598"/>
    </row>
    <row r="1599" spans="3:39" x14ac:dyDescent="0.2">
      <c r="C1599"/>
      <c r="D1599"/>
      <c r="E1599"/>
      <c r="F1599"/>
      <c r="G1599"/>
      <c r="H1599"/>
      <c r="I1599" s="684"/>
      <c r="V1599"/>
      <c r="W1599"/>
      <c r="Y1599"/>
      <c r="Z1599"/>
      <c r="AA1599"/>
      <c r="AD1599"/>
      <c r="AE1599"/>
      <c r="AF1599"/>
      <c r="AH1599"/>
      <c r="AI1599"/>
      <c r="AJ1599"/>
      <c r="AM1599"/>
    </row>
    <row r="1600" spans="3:39" x14ac:dyDescent="0.2">
      <c r="C1600"/>
      <c r="D1600"/>
      <c r="E1600"/>
      <c r="F1600"/>
      <c r="G1600"/>
      <c r="H1600"/>
      <c r="I1600" s="684"/>
      <c r="V1600"/>
      <c r="W1600"/>
      <c r="Y1600"/>
      <c r="Z1600"/>
      <c r="AA1600"/>
      <c r="AD1600"/>
      <c r="AE1600"/>
      <c r="AF1600"/>
      <c r="AH1600"/>
      <c r="AI1600"/>
      <c r="AJ1600"/>
      <c r="AM1600"/>
    </row>
    <row r="1601" spans="3:39" x14ac:dyDescent="0.2">
      <c r="C1601"/>
      <c r="D1601"/>
      <c r="E1601"/>
      <c r="F1601"/>
      <c r="G1601"/>
      <c r="H1601"/>
      <c r="I1601" s="684"/>
      <c r="V1601"/>
      <c r="W1601"/>
      <c r="Y1601"/>
      <c r="Z1601"/>
      <c r="AA1601"/>
      <c r="AD1601"/>
      <c r="AE1601"/>
      <c r="AF1601"/>
      <c r="AH1601"/>
      <c r="AI1601"/>
      <c r="AJ1601"/>
      <c r="AM1601"/>
    </row>
    <row r="1602" spans="3:39" x14ac:dyDescent="0.2">
      <c r="C1602"/>
      <c r="D1602"/>
      <c r="E1602"/>
      <c r="F1602"/>
      <c r="G1602"/>
      <c r="H1602"/>
      <c r="I1602" s="684"/>
      <c r="V1602"/>
      <c r="W1602"/>
      <c r="Y1602"/>
      <c r="Z1602"/>
      <c r="AA1602"/>
      <c r="AD1602"/>
      <c r="AE1602"/>
      <c r="AF1602"/>
      <c r="AH1602"/>
      <c r="AI1602"/>
      <c r="AJ1602"/>
      <c r="AM1602"/>
    </row>
    <row r="1603" spans="3:39" x14ac:dyDescent="0.2">
      <c r="C1603"/>
      <c r="D1603"/>
      <c r="E1603"/>
      <c r="F1603"/>
      <c r="G1603"/>
      <c r="H1603"/>
      <c r="I1603" s="684"/>
      <c r="V1603"/>
      <c r="W1603"/>
      <c r="Y1603"/>
      <c r="Z1603"/>
      <c r="AA1603"/>
      <c r="AD1603"/>
      <c r="AE1603"/>
      <c r="AF1603"/>
      <c r="AH1603"/>
      <c r="AI1603"/>
      <c r="AJ1603"/>
      <c r="AM1603"/>
    </row>
    <row r="1604" spans="3:39" x14ac:dyDescent="0.2">
      <c r="C1604"/>
      <c r="D1604"/>
      <c r="E1604"/>
      <c r="F1604"/>
      <c r="G1604"/>
      <c r="H1604"/>
      <c r="I1604" s="684"/>
      <c r="V1604"/>
      <c r="W1604"/>
      <c r="Y1604"/>
      <c r="Z1604"/>
      <c r="AA1604"/>
      <c r="AD1604"/>
      <c r="AE1604"/>
      <c r="AF1604"/>
      <c r="AH1604"/>
      <c r="AI1604"/>
      <c r="AJ1604"/>
      <c r="AM1604"/>
    </row>
    <row r="1605" spans="3:39" x14ac:dyDescent="0.2">
      <c r="C1605"/>
      <c r="D1605"/>
      <c r="E1605"/>
      <c r="F1605"/>
      <c r="G1605"/>
      <c r="H1605"/>
      <c r="I1605" s="684"/>
      <c r="V1605"/>
      <c r="W1605"/>
      <c r="Y1605"/>
      <c r="Z1605"/>
      <c r="AA1605"/>
      <c r="AD1605"/>
      <c r="AE1605"/>
      <c r="AF1605"/>
      <c r="AH1605"/>
      <c r="AI1605"/>
      <c r="AJ1605"/>
      <c r="AM1605"/>
    </row>
    <row r="1606" spans="3:39" x14ac:dyDescent="0.2">
      <c r="C1606"/>
      <c r="D1606"/>
      <c r="E1606"/>
      <c r="F1606"/>
      <c r="G1606"/>
      <c r="H1606"/>
      <c r="I1606" s="684"/>
      <c r="V1606"/>
      <c r="W1606"/>
      <c r="Y1606"/>
      <c r="Z1606"/>
      <c r="AA1606"/>
      <c r="AD1606"/>
      <c r="AE1606"/>
      <c r="AF1606"/>
      <c r="AH1606"/>
      <c r="AI1606"/>
      <c r="AJ1606"/>
      <c r="AM1606"/>
    </row>
    <row r="1607" spans="3:39" x14ac:dyDescent="0.2">
      <c r="C1607"/>
      <c r="D1607"/>
      <c r="E1607"/>
      <c r="F1607"/>
      <c r="G1607"/>
      <c r="H1607"/>
      <c r="I1607" s="684"/>
      <c r="V1607"/>
      <c r="W1607"/>
      <c r="Y1607"/>
      <c r="Z1607"/>
      <c r="AA1607"/>
      <c r="AD1607"/>
      <c r="AE1607"/>
      <c r="AF1607"/>
      <c r="AH1607"/>
      <c r="AI1607"/>
      <c r="AJ1607"/>
      <c r="AM1607"/>
    </row>
    <row r="1608" spans="3:39" x14ac:dyDescent="0.2">
      <c r="C1608"/>
      <c r="D1608"/>
      <c r="E1608"/>
      <c r="F1608"/>
      <c r="G1608"/>
      <c r="H1608"/>
      <c r="I1608" s="684"/>
      <c r="V1608"/>
      <c r="W1608"/>
      <c r="Y1608"/>
      <c r="Z1608"/>
      <c r="AA1608"/>
      <c r="AD1608"/>
      <c r="AE1608"/>
      <c r="AF1608"/>
      <c r="AH1608"/>
      <c r="AI1608"/>
      <c r="AJ1608"/>
      <c r="AM1608"/>
    </row>
    <row r="1609" spans="3:39" x14ac:dyDescent="0.2">
      <c r="C1609"/>
      <c r="D1609"/>
      <c r="E1609"/>
      <c r="F1609"/>
      <c r="G1609"/>
      <c r="H1609"/>
      <c r="I1609" s="684"/>
      <c r="V1609"/>
      <c r="W1609"/>
      <c r="Y1609"/>
      <c r="Z1609"/>
      <c r="AA1609"/>
      <c r="AD1609"/>
      <c r="AE1609"/>
      <c r="AF1609"/>
      <c r="AH1609"/>
      <c r="AI1609"/>
      <c r="AJ1609"/>
      <c r="AM1609"/>
    </row>
    <row r="1610" spans="3:39" x14ac:dyDescent="0.2">
      <c r="C1610"/>
      <c r="D1610"/>
      <c r="E1610"/>
      <c r="F1610"/>
      <c r="G1610"/>
      <c r="H1610"/>
      <c r="I1610" s="684"/>
      <c r="V1610"/>
      <c r="W1610"/>
      <c r="Y1610"/>
      <c r="Z1610"/>
      <c r="AA1610"/>
      <c r="AD1610"/>
      <c r="AE1610"/>
      <c r="AF1610"/>
      <c r="AH1610"/>
      <c r="AI1610"/>
      <c r="AJ1610"/>
      <c r="AM1610"/>
    </row>
    <row r="1611" spans="3:39" x14ac:dyDescent="0.2">
      <c r="C1611"/>
      <c r="D1611"/>
      <c r="E1611"/>
      <c r="F1611"/>
      <c r="G1611"/>
      <c r="H1611"/>
      <c r="I1611" s="684"/>
      <c r="V1611"/>
      <c r="W1611"/>
      <c r="Y1611"/>
      <c r="Z1611"/>
      <c r="AA1611"/>
      <c r="AD1611"/>
      <c r="AE1611"/>
      <c r="AF1611"/>
      <c r="AH1611"/>
      <c r="AI1611"/>
      <c r="AJ1611"/>
      <c r="AM1611"/>
    </row>
    <row r="1612" spans="3:39" x14ac:dyDescent="0.2">
      <c r="C1612"/>
      <c r="D1612"/>
      <c r="E1612"/>
      <c r="F1612"/>
      <c r="G1612"/>
      <c r="H1612"/>
      <c r="I1612" s="684"/>
      <c r="V1612"/>
      <c r="W1612"/>
      <c r="Y1612"/>
      <c r="Z1612"/>
      <c r="AA1612"/>
      <c r="AD1612"/>
      <c r="AE1612"/>
      <c r="AF1612"/>
      <c r="AH1612"/>
      <c r="AI1612"/>
      <c r="AJ1612"/>
      <c r="AM1612"/>
    </row>
    <row r="1613" spans="3:39" x14ac:dyDescent="0.2">
      <c r="C1613"/>
      <c r="D1613"/>
      <c r="E1613"/>
      <c r="F1613"/>
      <c r="G1613"/>
      <c r="H1613"/>
      <c r="I1613" s="684"/>
      <c r="V1613"/>
      <c r="W1613"/>
      <c r="Y1613"/>
      <c r="Z1613"/>
      <c r="AA1613"/>
      <c r="AD1613"/>
      <c r="AE1613"/>
      <c r="AF1613"/>
      <c r="AH1613"/>
      <c r="AI1613"/>
      <c r="AJ1613"/>
      <c r="AM1613"/>
    </row>
    <row r="1614" spans="3:39" x14ac:dyDescent="0.2">
      <c r="C1614"/>
      <c r="D1614"/>
      <c r="E1614"/>
      <c r="F1614"/>
      <c r="G1614"/>
      <c r="H1614"/>
      <c r="I1614" s="684"/>
      <c r="V1614"/>
      <c r="W1614"/>
      <c r="Y1614"/>
      <c r="Z1614"/>
      <c r="AA1614"/>
      <c r="AD1614"/>
      <c r="AE1614"/>
      <c r="AF1614"/>
      <c r="AH1614"/>
      <c r="AI1614"/>
      <c r="AJ1614"/>
      <c r="AM1614"/>
    </row>
    <row r="1615" spans="3:39" x14ac:dyDescent="0.2">
      <c r="C1615"/>
      <c r="D1615"/>
      <c r="E1615"/>
      <c r="F1615"/>
      <c r="G1615"/>
      <c r="H1615"/>
      <c r="I1615" s="684"/>
      <c r="V1615"/>
      <c r="W1615"/>
      <c r="Y1615"/>
      <c r="Z1615"/>
      <c r="AA1615"/>
      <c r="AD1615"/>
      <c r="AE1615"/>
      <c r="AF1615"/>
      <c r="AH1615"/>
      <c r="AI1615"/>
      <c r="AJ1615"/>
      <c r="AM1615"/>
    </row>
    <row r="1616" spans="3:39" x14ac:dyDescent="0.2">
      <c r="C1616"/>
      <c r="D1616"/>
      <c r="E1616"/>
      <c r="F1616"/>
      <c r="G1616"/>
      <c r="H1616"/>
      <c r="I1616" s="684"/>
      <c r="V1616"/>
      <c r="W1616"/>
      <c r="Y1616"/>
      <c r="Z1616"/>
      <c r="AA1616"/>
      <c r="AD1616"/>
      <c r="AE1616"/>
      <c r="AF1616"/>
      <c r="AH1616"/>
      <c r="AI1616"/>
      <c r="AJ1616"/>
      <c r="AM1616"/>
    </row>
    <row r="1617" spans="3:39" x14ac:dyDescent="0.2">
      <c r="C1617"/>
      <c r="D1617"/>
      <c r="E1617"/>
      <c r="F1617"/>
      <c r="G1617"/>
      <c r="H1617"/>
      <c r="I1617" s="684"/>
      <c r="V1617"/>
      <c r="W1617"/>
      <c r="Y1617"/>
      <c r="Z1617"/>
      <c r="AA1617"/>
      <c r="AD1617"/>
      <c r="AE1617"/>
      <c r="AF1617"/>
      <c r="AH1617"/>
      <c r="AI1617"/>
      <c r="AJ1617"/>
      <c r="AM1617"/>
    </row>
    <row r="1618" spans="3:39" x14ac:dyDescent="0.2">
      <c r="C1618"/>
      <c r="D1618"/>
      <c r="E1618"/>
      <c r="F1618"/>
      <c r="G1618"/>
      <c r="H1618"/>
      <c r="I1618" s="684"/>
      <c r="V1618"/>
      <c r="W1618"/>
      <c r="Y1618"/>
      <c r="Z1618"/>
      <c r="AA1618"/>
      <c r="AD1618"/>
      <c r="AE1618"/>
      <c r="AF1618"/>
      <c r="AH1618"/>
      <c r="AI1618"/>
      <c r="AJ1618"/>
      <c r="AM1618"/>
    </row>
    <row r="1619" spans="3:39" x14ac:dyDescent="0.2">
      <c r="C1619"/>
      <c r="D1619"/>
      <c r="E1619"/>
      <c r="F1619"/>
      <c r="G1619"/>
      <c r="H1619"/>
      <c r="I1619" s="684"/>
      <c r="V1619"/>
      <c r="W1619"/>
      <c r="Y1619"/>
      <c r="Z1619"/>
      <c r="AA1619"/>
      <c r="AD1619"/>
      <c r="AE1619"/>
      <c r="AF1619"/>
      <c r="AH1619"/>
      <c r="AI1619"/>
      <c r="AJ1619"/>
      <c r="AM1619"/>
    </row>
    <row r="1620" spans="3:39" x14ac:dyDescent="0.2">
      <c r="C1620"/>
      <c r="D1620"/>
      <c r="E1620"/>
      <c r="F1620"/>
      <c r="G1620"/>
      <c r="H1620"/>
      <c r="I1620" s="684"/>
      <c r="V1620"/>
      <c r="W1620"/>
      <c r="Y1620"/>
      <c r="Z1620"/>
      <c r="AA1620"/>
      <c r="AD1620"/>
      <c r="AE1620"/>
      <c r="AF1620"/>
      <c r="AH1620"/>
      <c r="AI1620"/>
      <c r="AJ1620"/>
      <c r="AM1620"/>
    </row>
    <row r="1621" spans="3:39" x14ac:dyDescent="0.2">
      <c r="C1621"/>
      <c r="D1621"/>
      <c r="E1621"/>
      <c r="F1621"/>
      <c r="G1621"/>
      <c r="H1621"/>
      <c r="I1621" s="684"/>
      <c r="V1621"/>
      <c r="W1621"/>
      <c r="Y1621"/>
      <c r="Z1621"/>
      <c r="AA1621"/>
      <c r="AD1621"/>
      <c r="AE1621"/>
      <c r="AF1621"/>
      <c r="AH1621"/>
      <c r="AI1621"/>
      <c r="AJ1621"/>
      <c r="AM1621"/>
    </row>
    <row r="1622" spans="3:39" x14ac:dyDescent="0.2">
      <c r="C1622"/>
      <c r="D1622"/>
      <c r="E1622"/>
      <c r="F1622"/>
      <c r="G1622"/>
      <c r="H1622"/>
      <c r="I1622" s="684"/>
      <c r="V1622"/>
      <c r="W1622"/>
      <c r="Y1622"/>
      <c r="Z1622"/>
      <c r="AA1622"/>
      <c r="AD1622"/>
      <c r="AE1622"/>
      <c r="AF1622"/>
      <c r="AH1622"/>
      <c r="AI1622"/>
      <c r="AJ1622"/>
      <c r="AM1622"/>
    </row>
    <row r="1623" spans="3:39" x14ac:dyDescent="0.2">
      <c r="C1623"/>
      <c r="D1623"/>
      <c r="E1623"/>
      <c r="F1623"/>
      <c r="G1623"/>
      <c r="H1623"/>
      <c r="I1623" s="684"/>
      <c r="V1623"/>
      <c r="W1623"/>
      <c r="Y1623"/>
      <c r="Z1623"/>
      <c r="AA1623"/>
      <c r="AD1623"/>
      <c r="AE1623"/>
      <c r="AF1623"/>
      <c r="AH1623"/>
      <c r="AI1623"/>
      <c r="AJ1623"/>
      <c r="AM1623"/>
    </row>
    <row r="1624" spans="3:39" x14ac:dyDescent="0.2">
      <c r="C1624"/>
      <c r="D1624"/>
      <c r="E1624"/>
      <c r="F1624"/>
      <c r="G1624"/>
      <c r="H1624"/>
      <c r="I1624" s="684"/>
      <c r="V1624"/>
      <c r="W1624"/>
      <c r="Y1624"/>
      <c r="Z1624"/>
      <c r="AA1624"/>
      <c r="AD1624"/>
      <c r="AE1624"/>
      <c r="AF1624"/>
      <c r="AH1624"/>
      <c r="AI1624"/>
      <c r="AJ1624"/>
      <c r="AM1624"/>
    </row>
    <row r="1625" spans="3:39" x14ac:dyDescent="0.2">
      <c r="C1625"/>
      <c r="D1625"/>
      <c r="E1625"/>
      <c r="F1625"/>
      <c r="G1625"/>
      <c r="H1625"/>
      <c r="I1625" s="684"/>
      <c r="V1625"/>
      <c r="W1625"/>
      <c r="Y1625"/>
      <c r="Z1625"/>
      <c r="AA1625"/>
      <c r="AD1625"/>
      <c r="AE1625"/>
      <c r="AF1625"/>
      <c r="AH1625"/>
      <c r="AI1625"/>
      <c r="AJ1625"/>
      <c r="AM1625"/>
    </row>
    <row r="1626" spans="3:39" x14ac:dyDescent="0.2">
      <c r="C1626"/>
      <c r="D1626"/>
      <c r="E1626"/>
      <c r="F1626"/>
      <c r="G1626"/>
      <c r="H1626"/>
      <c r="I1626" s="684"/>
      <c r="V1626"/>
      <c r="W1626"/>
      <c r="Y1626"/>
      <c r="Z1626"/>
      <c r="AA1626"/>
      <c r="AD1626"/>
      <c r="AE1626"/>
      <c r="AF1626"/>
      <c r="AH1626"/>
      <c r="AI1626"/>
      <c r="AJ1626"/>
      <c r="AM1626"/>
    </row>
    <row r="1627" spans="3:39" x14ac:dyDescent="0.2">
      <c r="C1627"/>
      <c r="D1627"/>
      <c r="E1627"/>
      <c r="F1627"/>
      <c r="G1627"/>
      <c r="H1627"/>
      <c r="I1627" s="684"/>
      <c r="V1627"/>
      <c r="W1627"/>
      <c r="Y1627"/>
      <c r="Z1627"/>
      <c r="AA1627"/>
      <c r="AD1627"/>
      <c r="AE1627"/>
      <c r="AF1627"/>
      <c r="AH1627"/>
      <c r="AI1627"/>
      <c r="AJ1627"/>
      <c r="AM1627"/>
    </row>
    <row r="1628" spans="3:39" x14ac:dyDescent="0.2">
      <c r="C1628"/>
      <c r="D1628"/>
      <c r="E1628"/>
      <c r="F1628"/>
      <c r="G1628"/>
      <c r="H1628"/>
      <c r="I1628" s="684"/>
      <c r="V1628"/>
      <c r="W1628"/>
      <c r="Y1628"/>
      <c r="Z1628"/>
      <c r="AA1628"/>
      <c r="AD1628"/>
      <c r="AE1628"/>
      <c r="AF1628"/>
      <c r="AH1628"/>
      <c r="AI1628"/>
      <c r="AJ1628"/>
      <c r="AM1628"/>
    </row>
    <row r="1629" spans="3:39" x14ac:dyDescent="0.2">
      <c r="C1629"/>
      <c r="D1629"/>
      <c r="E1629"/>
      <c r="F1629"/>
      <c r="G1629"/>
      <c r="H1629"/>
      <c r="I1629" s="684"/>
      <c r="V1629"/>
      <c r="W1629"/>
      <c r="Y1629"/>
      <c r="Z1629"/>
      <c r="AA1629"/>
      <c r="AD1629"/>
      <c r="AE1629"/>
      <c r="AF1629"/>
      <c r="AH1629"/>
      <c r="AI1629"/>
      <c r="AJ1629"/>
      <c r="AM1629"/>
    </row>
    <row r="1630" spans="3:39" x14ac:dyDescent="0.2">
      <c r="C1630"/>
      <c r="D1630"/>
      <c r="E1630"/>
      <c r="F1630"/>
      <c r="G1630"/>
      <c r="H1630"/>
      <c r="I1630" s="684"/>
      <c r="V1630"/>
      <c r="W1630"/>
      <c r="Y1630"/>
      <c r="Z1630"/>
      <c r="AA1630"/>
      <c r="AD1630"/>
      <c r="AE1630"/>
      <c r="AF1630"/>
      <c r="AH1630"/>
      <c r="AI1630"/>
      <c r="AJ1630"/>
      <c r="AM1630"/>
    </row>
    <row r="1631" spans="3:39" x14ac:dyDescent="0.2">
      <c r="C1631"/>
      <c r="D1631"/>
      <c r="E1631"/>
      <c r="F1631"/>
      <c r="G1631"/>
      <c r="H1631"/>
      <c r="I1631" s="684"/>
      <c r="V1631"/>
      <c r="W1631"/>
      <c r="Y1631"/>
      <c r="Z1631"/>
      <c r="AA1631"/>
      <c r="AD1631"/>
      <c r="AE1631"/>
      <c r="AF1631"/>
      <c r="AH1631"/>
      <c r="AI1631"/>
      <c r="AJ1631"/>
      <c r="AM1631"/>
    </row>
    <row r="1632" spans="3:39" x14ac:dyDescent="0.2">
      <c r="C1632"/>
      <c r="D1632"/>
      <c r="E1632"/>
      <c r="F1632"/>
      <c r="G1632"/>
      <c r="H1632"/>
      <c r="I1632" s="684"/>
      <c r="V1632"/>
      <c r="W1632"/>
      <c r="Y1632"/>
      <c r="Z1632"/>
      <c r="AA1632"/>
      <c r="AD1632"/>
      <c r="AE1632"/>
      <c r="AF1632"/>
      <c r="AH1632"/>
      <c r="AI1632"/>
      <c r="AJ1632"/>
      <c r="AM1632"/>
    </row>
    <row r="1633" spans="3:39" x14ac:dyDescent="0.2">
      <c r="C1633"/>
      <c r="D1633"/>
      <c r="E1633"/>
      <c r="F1633"/>
      <c r="G1633"/>
      <c r="H1633"/>
      <c r="I1633" s="684"/>
      <c r="V1633"/>
      <c r="W1633"/>
      <c r="Y1633"/>
      <c r="Z1633"/>
      <c r="AA1633"/>
      <c r="AD1633"/>
      <c r="AE1633"/>
      <c r="AF1633"/>
      <c r="AH1633"/>
      <c r="AI1633"/>
      <c r="AJ1633"/>
      <c r="AM1633"/>
    </row>
    <row r="1634" spans="3:39" x14ac:dyDescent="0.2">
      <c r="C1634"/>
      <c r="D1634"/>
      <c r="E1634"/>
      <c r="F1634"/>
      <c r="G1634"/>
      <c r="H1634"/>
      <c r="I1634" s="684"/>
      <c r="V1634"/>
      <c r="W1634"/>
      <c r="Y1634"/>
      <c r="Z1634"/>
      <c r="AA1634"/>
      <c r="AD1634"/>
      <c r="AE1634"/>
      <c r="AF1634"/>
      <c r="AH1634"/>
      <c r="AI1634"/>
      <c r="AJ1634"/>
      <c r="AM1634"/>
    </row>
    <row r="1635" spans="3:39" x14ac:dyDescent="0.2">
      <c r="C1635"/>
      <c r="D1635"/>
      <c r="E1635"/>
      <c r="F1635"/>
      <c r="G1635"/>
      <c r="H1635"/>
      <c r="I1635" s="684"/>
      <c r="V1635"/>
      <c r="W1635"/>
      <c r="Y1635"/>
      <c r="Z1635"/>
      <c r="AA1635"/>
      <c r="AD1635"/>
      <c r="AE1635"/>
      <c r="AF1635"/>
      <c r="AH1635"/>
      <c r="AI1635"/>
      <c r="AJ1635"/>
      <c r="AM1635"/>
    </row>
    <row r="1636" spans="3:39" x14ac:dyDescent="0.2">
      <c r="C1636"/>
      <c r="D1636"/>
      <c r="E1636"/>
      <c r="F1636"/>
      <c r="G1636"/>
      <c r="H1636"/>
      <c r="I1636" s="684"/>
      <c r="V1636"/>
      <c r="W1636"/>
      <c r="Y1636"/>
      <c r="Z1636"/>
      <c r="AA1636"/>
      <c r="AD1636"/>
      <c r="AE1636"/>
      <c r="AF1636"/>
      <c r="AH1636"/>
      <c r="AI1636"/>
      <c r="AJ1636"/>
      <c r="AM1636"/>
    </row>
    <row r="1637" spans="3:39" x14ac:dyDescent="0.2">
      <c r="C1637"/>
      <c r="D1637"/>
      <c r="E1637"/>
      <c r="F1637"/>
      <c r="G1637"/>
      <c r="H1637"/>
      <c r="I1637" s="684"/>
      <c r="V1637"/>
      <c r="W1637"/>
      <c r="Y1637"/>
      <c r="Z1637"/>
      <c r="AA1637"/>
      <c r="AD1637"/>
      <c r="AE1637"/>
      <c r="AF1637"/>
      <c r="AH1637"/>
      <c r="AI1637"/>
      <c r="AJ1637"/>
      <c r="AM1637"/>
    </row>
    <row r="1638" spans="3:39" x14ac:dyDescent="0.2">
      <c r="C1638"/>
      <c r="D1638"/>
      <c r="E1638"/>
      <c r="F1638"/>
      <c r="G1638"/>
      <c r="H1638"/>
      <c r="I1638" s="684"/>
      <c r="V1638"/>
      <c r="W1638"/>
      <c r="Y1638"/>
      <c r="Z1638"/>
      <c r="AA1638"/>
      <c r="AD1638"/>
      <c r="AE1638"/>
      <c r="AF1638"/>
      <c r="AH1638"/>
      <c r="AI1638"/>
      <c r="AJ1638"/>
      <c r="AM1638"/>
    </row>
    <row r="1639" spans="3:39" x14ac:dyDescent="0.2">
      <c r="C1639"/>
      <c r="D1639"/>
      <c r="E1639"/>
      <c r="F1639"/>
      <c r="G1639"/>
      <c r="H1639"/>
      <c r="I1639" s="684"/>
      <c r="V1639"/>
      <c r="W1639"/>
      <c r="Y1639"/>
      <c r="Z1639"/>
      <c r="AA1639"/>
      <c r="AD1639"/>
      <c r="AE1639"/>
      <c r="AF1639"/>
      <c r="AH1639"/>
      <c r="AI1639"/>
      <c r="AJ1639"/>
      <c r="AM1639"/>
    </row>
    <row r="1640" spans="3:39" x14ac:dyDescent="0.2">
      <c r="C1640"/>
      <c r="D1640"/>
      <c r="E1640"/>
      <c r="F1640"/>
      <c r="G1640"/>
      <c r="H1640"/>
      <c r="I1640" s="684"/>
      <c r="V1640"/>
      <c r="W1640"/>
      <c r="Y1640"/>
      <c r="Z1640"/>
      <c r="AA1640"/>
      <c r="AD1640"/>
      <c r="AE1640"/>
      <c r="AF1640"/>
      <c r="AH1640"/>
      <c r="AI1640"/>
      <c r="AJ1640"/>
      <c r="AM1640"/>
    </row>
    <row r="1641" spans="3:39" x14ac:dyDescent="0.2">
      <c r="C1641"/>
      <c r="D1641"/>
      <c r="E1641"/>
      <c r="F1641"/>
      <c r="G1641"/>
      <c r="H1641"/>
      <c r="I1641" s="684"/>
      <c r="V1641"/>
      <c r="W1641"/>
      <c r="Y1641"/>
      <c r="Z1641"/>
      <c r="AA1641"/>
      <c r="AD1641"/>
      <c r="AE1641"/>
      <c r="AF1641"/>
      <c r="AH1641"/>
      <c r="AI1641"/>
      <c r="AJ1641"/>
      <c r="AM1641"/>
    </row>
    <row r="1642" spans="3:39" x14ac:dyDescent="0.2">
      <c r="C1642"/>
      <c r="D1642"/>
      <c r="E1642"/>
      <c r="F1642"/>
      <c r="G1642"/>
      <c r="H1642"/>
      <c r="I1642" s="684"/>
      <c r="V1642"/>
      <c r="W1642"/>
      <c r="Y1642"/>
      <c r="Z1642"/>
      <c r="AA1642"/>
      <c r="AD1642"/>
      <c r="AE1642"/>
      <c r="AF1642"/>
      <c r="AH1642"/>
      <c r="AI1642"/>
      <c r="AJ1642"/>
      <c r="AM1642"/>
    </row>
    <row r="1643" spans="3:39" x14ac:dyDescent="0.2">
      <c r="C1643"/>
      <c r="D1643"/>
      <c r="E1643"/>
      <c r="F1643"/>
      <c r="G1643"/>
      <c r="H1643"/>
      <c r="I1643" s="684"/>
      <c r="V1643"/>
      <c r="W1643"/>
      <c r="Y1643"/>
      <c r="Z1643"/>
      <c r="AA1643"/>
      <c r="AD1643"/>
      <c r="AE1643"/>
      <c r="AF1643"/>
      <c r="AH1643"/>
      <c r="AI1643"/>
      <c r="AJ1643"/>
      <c r="AM1643"/>
    </row>
    <row r="1644" spans="3:39" x14ac:dyDescent="0.2">
      <c r="C1644"/>
      <c r="D1644"/>
      <c r="E1644"/>
      <c r="F1644"/>
      <c r="G1644"/>
      <c r="H1644"/>
      <c r="I1644" s="684"/>
      <c r="V1644"/>
      <c r="W1644"/>
      <c r="Y1644"/>
      <c r="Z1644"/>
      <c r="AA1644"/>
      <c r="AD1644"/>
      <c r="AE1644"/>
      <c r="AF1644"/>
      <c r="AH1644"/>
      <c r="AI1644"/>
      <c r="AJ1644"/>
      <c r="AM1644"/>
    </row>
    <row r="1645" spans="3:39" x14ac:dyDescent="0.2">
      <c r="C1645"/>
      <c r="D1645"/>
      <c r="E1645"/>
      <c r="F1645"/>
      <c r="G1645"/>
      <c r="H1645"/>
      <c r="I1645" s="684"/>
      <c r="V1645"/>
      <c r="W1645"/>
      <c r="Y1645"/>
      <c r="Z1645"/>
      <c r="AA1645"/>
      <c r="AD1645"/>
      <c r="AE1645"/>
      <c r="AF1645"/>
      <c r="AH1645"/>
      <c r="AI1645"/>
      <c r="AJ1645"/>
      <c r="AM1645"/>
    </row>
    <row r="1646" spans="3:39" x14ac:dyDescent="0.2">
      <c r="C1646"/>
      <c r="D1646"/>
      <c r="E1646"/>
      <c r="F1646"/>
      <c r="G1646"/>
      <c r="H1646"/>
      <c r="I1646" s="684"/>
      <c r="V1646"/>
      <c r="W1646"/>
      <c r="Y1646"/>
      <c r="Z1646"/>
      <c r="AA1646"/>
      <c r="AD1646"/>
      <c r="AE1646"/>
      <c r="AF1646"/>
      <c r="AH1646"/>
      <c r="AI1646"/>
      <c r="AJ1646"/>
      <c r="AM1646"/>
    </row>
    <row r="1647" spans="3:39" x14ac:dyDescent="0.2">
      <c r="C1647"/>
      <c r="D1647"/>
      <c r="E1647"/>
      <c r="F1647"/>
      <c r="G1647"/>
      <c r="H1647"/>
      <c r="I1647" s="684"/>
      <c r="V1647"/>
      <c r="W1647"/>
      <c r="Y1647"/>
      <c r="Z1647"/>
      <c r="AA1647"/>
      <c r="AD1647"/>
      <c r="AE1647"/>
      <c r="AF1647"/>
      <c r="AH1647"/>
      <c r="AI1647"/>
      <c r="AJ1647"/>
      <c r="AM1647"/>
    </row>
    <row r="1648" spans="3:39" x14ac:dyDescent="0.2">
      <c r="C1648"/>
      <c r="D1648"/>
      <c r="E1648"/>
      <c r="F1648"/>
      <c r="G1648"/>
      <c r="H1648"/>
      <c r="I1648" s="684"/>
      <c r="V1648"/>
      <c r="W1648"/>
      <c r="Y1648"/>
      <c r="Z1648"/>
      <c r="AA1648"/>
      <c r="AD1648"/>
      <c r="AE1648"/>
      <c r="AF1648"/>
      <c r="AH1648"/>
      <c r="AI1648"/>
      <c r="AJ1648"/>
      <c r="AM1648"/>
    </row>
    <row r="1649" spans="3:39" x14ac:dyDescent="0.2">
      <c r="C1649"/>
      <c r="D1649"/>
      <c r="E1649"/>
      <c r="F1649"/>
      <c r="G1649"/>
      <c r="H1649"/>
      <c r="I1649" s="684"/>
      <c r="V1649"/>
      <c r="W1649"/>
      <c r="Y1649"/>
      <c r="Z1649"/>
      <c r="AA1649"/>
      <c r="AD1649"/>
      <c r="AE1649"/>
      <c r="AF1649"/>
      <c r="AH1649"/>
      <c r="AI1649"/>
      <c r="AJ1649"/>
      <c r="AM1649"/>
    </row>
    <row r="1650" spans="3:39" x14ac:dyDescent="0.2">
      <c r="C1650"/>
      <c r="D1650"/>
      <c r="E1650"/>
      <c r="F1650"/>
      <c r="G1650"/>
      <c r="H1650"/>
      <c r="I1650" s="684"/>
      <c r="V1650"/>
      <c r="W1650"/>
      <c r="Y1650"/>
      <c r="Z1650"/>
      <c r="AA1650"/>
      <c r="AD1650"/>
      <c r="AE1650"/>
      <c r="AF1650"/>
      <c r="AH1650"/>
      <c r="AI1650"/>
      <c r="AJ1650"/>
      <c r="AM1650"/>
    </row>
    <row r="1651" spans="3:39" x14ac:dyDescent="0.2">
      <c r="C1651"/>
      <c r="D1651"/>
      <c r="E1651"/>
      <c r="F1651"/>
      <c r="G1651"/>
      <c r="H1651"/>
      <c r="I1651" s="684"/>
      <c r="V1651"/>
      <c r="W1651"/>
      <c r="Y1651"/>
      <c r="Z1651"/>
      <c r="AA1651"/>
      <c r="AD1651"/>
      <c r="AE1651"/>
      <c r="AF1651"/>
      <c r="AH1651"/>
      <c r="AI1651"/>
      <c r="AJ1651"/>
      <c r="AM1651"/>
    </row>
    <row r="1652" spans="3:39" x14ac:dyDescent="0.2">
      <c r="C1652"/>
      <c r="D1652"/>
      <c r="E1652"/>
      <c r="F1652"/>
      <c r="G1652"/>
      <c r="H1652"/>
      <c r="I1652" s="684"/>
      <c r="V1652"/>
      <c r="W1652"/>
      <c r="Y1652"/>
      <c r="Z1652"/>
      <c r="AA1652"/>
      <c r="AD1652"/>
      <c r="AE1652"/>
      <c r="AF1652"/>
      <c r="AH1652"/>
      <c r="AI1652"/>
      <c r="AJ1652"/>
      <c r="AM1652"/>
    </row>
    <row r="1653" spans="3:39" x14ac:dyDescent="0.2">
      <c r="C1653"/>
      <c r="D1653"/>
      <c r="E1653"/>
      <c r="F1653"/>
      <c r="G1653"/>
      <c r="H1653"/>
      <c r="I1653" s="684"/>
      <c r="V1653"/>
      <c r="W1653"/>
      <c r="Y1653"/>
      <c r="Z1653"/>
      <c r="AA1653"/>
      <c r="AD1653"/>
      <c r="AE1653"/>
      <c r="AF1653"/>
      <c r="AH1653"/>
      <c r="AI1653"/>
      <c r="AJ1653"/>
      <c r="AM1653"/>
    </row>
    <row r="1654" spans="3:39" x14ac:dyDescent="0.2">
      <c r="C1654"/>
      <c r="D1654"/>
      <c r="E1654"/>
      <c r="F1654"/>
      <c r="G1654"/>
      <c r="H1654"/>
      <c r="I1654" s="684"/>
      <c r="V1654"/>
      <c r="W1654"/>
      <c r="Y1654"/>
      <c r="Z1654"/>
      <c r="AA1654"/>
      <c r="AD1654"/>
      <c r="AE1654"/>
      <c r="AF1654"/>
      <c r="AH1654"/>
      <c r="AI1654"/>
      <c r="AJ1654"/>
      <c r="AM1654"/>
    </row>
    <row r="1655" spans="3:39" x14ac:dyDescent="0.2">
      <c r="C1655"/>
      <c r="D1655"/>
      <c r="E1655"/>
      <c r="F1655"/>
      <c r="G1655"/>
      <c r="H1655"/>
      <c r="I1655" s="684"/>
      <c r="V1655"/>
      <c r="W1655"/>
      <c r="Y1655"/>
      <c r="Z1655"/>
      <c r="AA1655"/>
      <c r="AD1655"/>
      <c r="AE1655"/>
      <c r="AF1655"/>
      <c r="AH1655"/>
      <c r="AI1655"/>
      <c r="AJ1655"/>
      <c r="AM1655"/>
    </row>
    <row r="1656" spans="3:39" x14ac:dyDescent="0.2">
      <c r="C1656"/>
      <c r="D1656"/>
      <c r="E1656"/>
      <c r="F1656"/>
      <c r="G1656"/>
      <c r="H1656"/>
      <c r="I1656" s="684"/>
      <c r="V1656"/>
      <c r="W1656"/>
      <c r="Y1656"/>
      <c r="Z1656"/>
      <c r="AA1656"/>
      <c r="AD1656"/>
      <c r="AE1656"/>
      <c r="AF1656"/>
      <c r="AH1656"/>
      <c r="AI1656"/>
      <c r="AJ1656"/>
      <c r="AM1656"/>
    </row>
    <row r="1657" spans="3:39" x14ac:dyDescent="0.2">
      <c r="C1657"/>
      <c r="D1657"/>
      <c r="E1657"/>
      <c r="F1657"/>
      <c r="G1657"/>
      <c r="H1657"/>
      <c r="I1657" s="684"/>
      <c r="V1657"/>
      <c r="W1657"/>
      <c r="Y1657"/>
      <c r="Z1657"/>
      <c r="AA1657"/>
      <c r="AD1657"/>
      <c r="AE1657"/>
      <c r="AF1657"/>
      <c r="AH1657"/>
      <c r="AI1657"/>
      <c r="AJ1657"/>
      <c r="AM1657"/>
    </row>
    <row r="1658" spans="3:39" x14ac:dyDescent="0.2">
      <c r="C1658"/>
      <c r="D1658"/>
      <c r="E1658"/>
      <c r="F1658"/>
      <c r="G1658"/>
      <c r="H1658"/>
      <c r="I1658" s="684"/>
      <c r="V1658"/>
      <c r="W1658"/>
      <c r="Y1658"/>
      <c r="Z1658"/>
      <c r="AA1658"/>
      <c r="AD1658"/>
      <c r="AE1658"/>
      <c r="AF1658"/>
      <c r="AH1658"/>
      <c r="AI1658"/>
      <c r="AJ1658"/>
      <c r="AM1658"/>
    </row>
    <row r="1659" spans="3:39" x14ac:dyDescent="0.2">
      <c r="C1659"/>
      <c r="D1659"/>
      <c r="E1659"/>
      <c r="F1659"/>
      <c r="G1659"/>
      <c r="H1659"/>
      <c r="I1659" s="684"/>
      <c r="V1659"/>
      <c r="W1659"/>
      <c r="Y1659"/>
      <c r="Z1659"/>
      <c r="AA1659"/>
      <c r="AD1659"/>
      <c r="AE1659"/>
      <c r="AF1659"/>
      <c r="AH1659"/>
      <c r="AI1659"/>
      <c r="AJ1659"/>
      <c r="AM1659"/>
    </row>
    <row r="1660" spans="3:39" x14ac:dyDescent="0.2">
      <c r="C1660"/>
      <c r="D1660"/>
      <c r="E1660"/>
      <c r="F1660"/>
      <c r="G1660"/>
      <c r="H1660"/>
      <c r="I1660" s="684"/>
      <c r="V1660"/>
      <c r="W1660"/>
      <c r="Y1660"/>
      <c r="Z1660"/>
      <c r="AA1660"/>
      <c r="AD1660"/>
      <c r="AE1660"/>
      <c r="AF1660"/>
      <c r="AH1660"/>
      <c r="AI1660"/>
      <c r="AJ1660"/>
      <c r="AM1660"/>
    </row>
    <row r="1661" spans="3:39" x14ac:dyDescent="0.2">
      <c r="C1661"/>
      <c r="D1661"/>
      <c r="E1661"/>
      <c r="F1661"/>
      <c r="G1661"/>
      <c r="H1661"/>
      <c r="I1661" s="684"/>
      <c r="V1661"/>
      <c r="W1661"/>
      <c r="Y1661"/>
      <c r="Z1661"/>
      <c r="AA1661"/>
      <c r="AD1661"/>
      <c r="AE1661"/>
      <c r="AF1661"/>
      <c r="AH1661"/>
      <c r="AI1661"/>
      <c r="AJ1661"/>
      <c r="AM1661"/>
    </row>
    <row r="1662" spans="3:39" x14ac:dyDescent="0.2">
      <c r="C1662"/>
      <c r="D1662"/>
      <c r="E1662"/>
      <c r="F1662"/>
      <c r="G1662"/>
      <c r="H1662"/>
      <c r="I1662" s="684"/>
      <c r="V1662"/>
      <c r="W1662"/>
      <c r="Y1662"/>
      <c r="Z1662"/>
      <c r="AA1662"/>
      <c r="AD1662"/>
      <c r="AE1662"/>
      <c r="AF1662"/>
      <c r="AH1662"/>
      <c r="AI1662"/>
      <c r="AJ1662"/>
      <c r="AM1662"/>
    </row>
    <row r="1663" spans="3:39" x14ac:dyDescent="0.2">
      <c r="C1663"/>
      <c r="D1663"/>
      <c r="E1663"/>
      <c r="F1663"/>
      <c r="G1663"/>
      <c r="H1663"/>
      <c r="I1663" s="684"/>
      <c r="V1663"/>
      <c r="W1663"/>
      <c r="Y1663"/>
      <c r="Z1663"/>
      <c r="AA1663"/>
      <c r="AD1663"/>
      <c r="AE1663"/>
      <c r="AF1663"/>
      <c r="AH1663"/>
      <c r="AI1663"/>
      <c r="AJ1663"/>
      <c r="AM1663"/>
    </row>
    <row r="1664" spans="3:39" x14ac:dyDescent="0.2">
      <c r="C1664"/>
      <c r="D1664"/>
      <c r="E1664"/>
      <c r="F1664"/>
      <c r="G1664"/>
      <c r="H1664"/>
      <c r="I1664" s="684"/>
      <c r="V1664"/>
      <c r="W1664"/>
      <c r="Y1664"/>
      <c r="Z1664"/>
      <c r="AA1664"/>
      <c r="AD1664"/>
      <c r="AE1664"/>
      <c r="AF1664"/>
      <c r="AH1664"/>
      <c r="AI1664"/>
      <c r="AJ1664"/>
      <c r="AM1664"/>
    </row>
    <row r="1665" spans="3:39" x14ac:dyDescent="0.2">
      <c r="C1665"/>
      <c r="D1665"/>
      <c r="E1665"/>
      <c r="F1665"/>
      <c r="G1665"/>
      <c r="H1665"/>
      <c r="I1665" s="684"/>
      <c r="V1665"/>
      <c r="W1665"/>
      <c r="Y1665"/>
      <c r="Z1665"/>
      <c r="AA1665"/>
      <c r="AD1665"/>
      <c r="AE1665"/>
      <c r="AF1665"/>
      <c r="AH1665"/>
      <c r="AI1665"/>
      <c r="AJ1665"/>
      <c r="AM1665"/>
    </row>
    <row r="1666" spans="3:39" x14ac:dyDescent="0.2">
      <c r="C1666"/>
      <c r="D1666"/>
      <c r="E1666"/>
      <c r="F1666"/>
      <c r="G1666"/>
      <c r="H1666"/>
      <c r="I1666" s="684"/>
      <c r="V1666"/>
      <c r="W1666"/>
      <c r="Y1666"/>
      <c r="Z1666"/>
      <c r="AA1666"/>
      <c r="AD1666"/>
      <c r="AE1666"/>
      <c r="AF1666"/>
      <c r="AH1666"/>
      <c r="AI1666"/>
      <c r="AJ1666"/>
      <c r="AM1666"/>
    </row>
    <row r="1667" spans="3:39" x14ac:dyDescent="0.2">
      <c r="C1667"/>
      <c r="D1667"/>
      <c r="E1667"/>
      <c r="F1667"/>
      <c r="G1667"/>
      <c r="H1667"/>
      <c r="I1667" s="684"/>
      <c r="V1667"/>
      <c r="W1667"/>
      <c r="Y1667"/>
      <c r="Z1667"/>
      <c r="AA1667"/>
      <c r="AD1667"/>
      <c r="AE1667"/>
      <c r="AF1667"/>
      <c r="AH1667"/>
      <c r="AI1667"/>
      <c r="AJ1667"/>
      <c r="AM1667"/>
    </row>
    <row r="1668" spans="3:39" x14ac:dyDescent="0.2">
      <c r="C1668"/>
      <c r="D1668"/>
      <c r="E1668"/>
      <c r="F1668"/>
      <c r="G1668"/>
      <c r="H1668"/>
      <c r="I1668" s="684"/>
      <c r="V1668"/>
      <c r="W1668"/>
      <c r="Y1668"/>
      <c r="Z1668"/>
      <c r="AA1668"/>
      <c r="AD1668"/>
      <c r="AE1668"/>
      <c r="AF1668"/>
      <c r="AH1668"/>
      <c r="AI1668"/>
      <c r="AJ1668"/>
      <c r="AM1668"/>
    </row>
    <row r="1669" spans="3:39" x14ac:dyDescent="0.2">
      <c r="C1669"/>
      <c r="D1669"/>
      <c r="E1669"/>
      <c r="F1669"/>
      <c r="G1669"/>
      <c r="H1669"/>
      <c r="I1669" s="684"/>
      <c r="V1669"/>
      <c r="W1669"/>
      <c r="Y1669"/>
      <c r="Z1669"/>
      <c r="AA1669"/>
      <c r="AD1669"/>
      <c r="AE1669"/>
      <c r="AF1669"/>
      <c r="AH1669"/>
      <c r="AI1669"/>
      <c r="AJ1669"/>
      <c r="AM1669"/>
    </row>
    <row r="1670" spans="3:39" x14ac:dyDescent="0.2">
      <c r="C1670"/>
      <c r="D1670"/>
      <c r="E1670"/>
      <c r="F1670"/>
      <c r="G1670"/>
      <c r="H1670"/>
      <c r="I1670" s="684"/>
      <c r="V1670"/>
      <c r="W1670"/>
      <c r="Y1670"/>
      <c r="Z1670"/>
      <c r="AA1670"/>
      <c r="AD1670"/>
      <c r="AE1670"/>
      <c r="AF1670"/>
      <c r="AH1670"/>
      <c r="AI1670"/>
      <c r="AJ1670"/>
      <c r="AM1670"/>
    </row>
    <row r="1671" spans="3:39" x14ac:dyDescent="0.2">
      <c r="C1671"/>
      <c r="D1671"/>
      <c r="E1671"/>
      <c r="F1671"/>
      <c r="G1671"/>
      <c r="H1671"/>
      <c r="I1671" s="684"/>
      <c r="V1671"/>
      <c r="W1671"/>
      <c r="Y1671"/>
      <c r="Z1671"/>
      <c r="AA1671"/>
      <c r="AD1671"/>
      <c r="AE1671"/>
      <c r="AF1671"/>
      <c r="AH1671"/>
      <c r="AI1671"/>
      <c r="AJ1671"/>
      <c r="AM1671"/>
    </row>
    <row r="1672" spans="3:39" x14ac:dyDescent="0.2">
      <c r="C1672"/>
      <c r="D1672"/>
      <c r="E1672"/>
      <c r="F1672"/>
      <c r="G1672"/>
      <c r="H1672"/>
      <c r="I1672" s="684"/>
      <c r="V1672"/>
      <c r="W1672"/>
      <c r="Y1672"/>
      <c r="Z1672"/>
      <c r="AA1672"/>
      <c r="AD1672"/>
      <c r="AE1672"/>
      <c r="AF1672"/>
      <c r="AH1672"/>
      <c r="AI1672"/>
      <c r="AJ1672"/>
      <c r="AM1672"/>
    </row>
    <row r="1673" spans="3:39" x14ac:dyDescent="0.2">
      <c r="C1673"/>
      <c r="D1673"/>
      <c r="E1673"/>
      <c r="F1673"/>
      <c r="G1673"/>
      <c r="H1673"/>
      <c r="I1673" s="684"/>
      <c r="V1673"/>
      <c r="W1673"/>
      <c r="Y1673"/>
      <c r="Z1673"/>
      <c r="AA1673"/>
      <c r="AD1673"/>
      <c r="AE1673"/>
      <c r="AF1673"/>
      <c r="AH1673"/>
      <c r="AI1673"/>
      <c r="AJ1673"/>
      <c r="AM1673"/>
    </row>
    <row r="1674" spans="3:39" x14ac:dyDescent="0.2">
      <c r="C1674"/>
      <c r="D1674"/>
      <c r="E1674"/>
      <c r="F1674"/>
      <c r="G1674"/>
      <c r="H1674"/>
      <c r="I1674" s="684"/>
      <c r="V1674"/>
      <c r="W1674"/>
      <c r="Y1674"/>
      <c r="Z1674"/>
      <c r="AA1674"/>
      <c r="AD1674"/>
      <c r="AE1674"/>
      <c r="AF1674"/>
      <c r="AH1674"/>
      <c r="AI1674"/>
      <c r="AJ1674"/>
      <c r="AM1674"/>
    </row>
    <row r="1675" spans="3:39" x14ac:dyDescent="0.2">
      <c r="C1675"/>
      <c r="D1675"/>
      <c r="E1675"/>
      <c r="F1675"/>
      <c r="G1675"/>
      <c r="H1675"/>
      <c r="I1675" s="684"/>
      <c r="V1675"/>
      <c r="W1675"/>
      <c r="Y1675"/>
      <c r="Z1675"/>
      <c r="AA1675"/>
      <c r="AD1675"/>
      <c r="AE1675"/>
      <c r="AF1675"/>
      <c r="AH1675"/>
      <c r="AI1675"/>
      <c r="AJ1675"/>
      <c r="AM1675"/>
    </row>
    <row r="1676" spans="3:39" x14ac:dyDescent="0.2">
      <c r="C1676"/>
      <c r="D1676"/>
      <c r="E1676"/>
      <c r="F1676"/>
      <c r="G1676"/>
      <c r="H1676"/>
      <c r="I1676" s="684"/>
      <c r="V1676"/>
      <c r="W1676"/>
      <c r="Y1676"/>
      <c r="Z1676"/>
      <c r="AA1676"/>
      <c r="AD1676"/>
      <c r="AE1676"/>
      <c r="AF1676"/>
      <c r="AH1676"/>
      <c r="AI1676"/>
      <c r="AJ1676"/>
      <c r="AM1676"/>
    </row>
    <row r="1677" spans="3:39" x14ac:dyDescent="0.2">
      <c r="C1677"/>
      <c r="D1677"/>
      <c r="E1677"/>
      <c r="F1677"/>
      <c r="G1677"/>
      <c r="H1677"/>
      <c r="I1677" s="684"/>
      <c r="V1677"/>
      <c r="W1677"/>
      <c r="Y1677"/>
      <c r="Z1677"/>
      <c r="AA1677"/>
      <c r="AD1677"/>
      <c r="AE1677"/>
      <c r="AF1677"/>
      <c r="AH1677"/>
      <c r="AI1677"/>
      <c r="AJ1677"/>
      <c r="AM1677"/>
    </row>
    <row r="1678" spans="3:39" x14ac:dyDescent="0.2">
      <c r="C1678"/>
      <c r="D1678"/>
      <c r="E1678"/>
      <c r="F1678"/>
      <c r="G1678"/>
      <c r="H1678"/>
      <c r="I1678" s="684"/>
      <c r="V1678"/>
      <c r="W1678"/>
      <c r="Y1678"/>
      <c r="Z1678"/>
      <c r="AA1678"/>
      <c r="AD1678"/>
      <c r="AE1678"/>
      <c r="AF1678"/>
      <c r="AH1678"/>
      <c r="AI1678"/>
      <c r="AJ1678"/>
      <c r="AM1678"/>
    </row>
    <row r="1679" spans="3:39" x14ac:dyDescent="0.2">
      <c r="C1679"/>
      <c r="D1679"/>
      <c r="E1679"/>
      <c r="F1679"/>
      <c r="G1679"/>
      <c r="H1679"/>
      <c r="I1679" s="684"/>
      <c r="V1679"/>
      <c r="W1679"/>
      <c r="Y1679"/>
      <c r="Z1679"/>
      <c r="AA1679"/>
      <c r="AD1679"/>
      <c r="AE1679"/>
      <c r="AF1679"/>
      <c r="AH1679"/>
      <c r="AI1679"/>
      <c r="AJ1679"/>
      <c r="AM1679"/>
    </row>
    <row r="1680" spans="3:39" x14ac:dyDescent="0.2">
      <c r="C1680"/>
      <c r="D1680"/>
      <c r="E1680"/>
      <c r="F1680"/>
      <c r="G1680"/>
      <c r="H1680"/>
      <c r="I1680" s="684"/>
      <c r="V1680"/>
      <c r="W1680"/>
      <c r="Y1680"/>
      <c r="Z1680"/>
      <c r="AA1680"/>
      <c r="AD1680"/>
      <c r="AE1680"/>
      <c r="AF1680"/>
      <c r="AH1680"/>
      <c r="AI1680"/>
      <c r="AJ1680"/>
      <c r="AM1680"/>
    </row>
    <row r="1681" spans="3:39" x14ac:dyDescent="0.2">
      <c r="C1681"/>
      <c r="D1681"/>
      <c r="E1681"/>
      <c r="F1681"/>
      <c r="G1681"/>
      <c r="H1681"/>
      <c r="I1681" s="684"/>
      <c r="V1681"/>
      <c r="W1681"/>
      <c r="Y1681"/>
      <c r="Z1681"/>
      <c r="AA1681"/>
      <c r="AD1681"/>
      <c r="AE1681"/>
      <c r="AF1681"/>
      <c r="AH1681"/>
      <c r="AI1681"/>
      <c r="AJ1681"/>
      <c r="AM1681"/>
    </row>
    <row r="1682" spans="3:39" x14ac:dyDescent="0.2">
      <c r="C1682"/>
      <c r="D1682"/>
      <c r="E1682"/>
      <c r="F1682"/>
      <c r="G1682"/>
      <c r="H1682"/>
      <c r="I1682" s="684"/>
      <c r="V1682"/>
      <c r="W1682"/>
      <c r="Y1682"/>
      <c r="Z1682"/>
      <c r="AA1682"/>
      <c r="AD1682"/>
      <c r="AE1682"/>
      <c r="AF1682"/>
      <c r="AH1682"/>
      <c r="AI1682"/>
      <c r="AJ1682"/>
      <c r="AM1682"/>
    </row>
    <row r="1683" spans="3:39" x14ac:dyDescent="0.2">
      <c r="C1683"/>
      <c r="D1683"/>
      <c r="E1683"/>
      <c r="F1683"/>
      <c r="G1683"/>
      <c r="H1683"/>
      <c r="I1683" s="684"/>
      <c r="V1683"/>
      <c r="W1683"/>
      <c r="Y1683"/>
      <c r="Z1683"/>
      <c r="AA1683"/>
      <c r="AD1683"/>
      <c r="AE1683"/>
      <c r="AF1683"/>
      <c r="AH1683"/>
      <c r="AI1683"/>
      <c r="AJ1683"/>
      <c r="AM1683"/>
    </row>
    <row r="1684" spans="3:39" x14ac:dyDescent="0.2">
      <c r="C1684"/>
      <c r="D1684"/>
      <c r="E1684"/>
      <c r="F1684"/>
      <c r="G1684"/>
      <c r="H1684"/>
      <c r="I1684" s="684"/>
      <c r="V1684"/>
      <c r="W1684"/>
      <c r="Y1684"/>
      <c r="Z1684"/>
      <c r="AA1684"/>
      <c r="AD1684"/>
      <c r="AE1684"/>
      <c r="AF1684"/>
      <c r="AH1684"/>
      <c r="AI1684"/>
      <c r="AJ1684"/>
      <c r="AM1684"/>
    </row>
    <row r="1685" spans="3:39" x14ac:dyDescent="0.2">
      <c r="C1685"/>
      <c r="D1685"/>
      <c r="E1685"/>
      <c r="F1685"/>
      <c r="G1685"/>
      <c r="H1685"/>
      <c r="I1685" s="684"/>
      <c r="V1685"/>
      <c r="W1685"/>
      <c r="Y1685"/>
      <c r="Z1685"/>
      <c r="AA1685"/>
      <c r="AD1685"/>
      <c r="AE1685"/>
      <c r="AF1685"/>
      <c r="AH1685"/>
      <c r="AI1685"/>
      <c r="AJ1685"/>
      <c r="AM1685"/>
    </row>
    <row r="1686" spans="3:39" x14ac:dyDescent="0.2">
      <c r="C1686"/>
      <c r="D1686"/>
      <c r="E1686"/>
      <c r="F1686"/>
      <c r="G1686"/>
      <c r="H1686"/>
      <c r="I1686" s="684"/>
      <c r="V1686"/>
      <c r="W1686"/>
      <c r="Y1686"/>
      <c r="Z1686"/>
      <c r="AA1686"/>
      <c r="AD1686"/>
      <c r="AE1686"/>
      <c r="AF1686"/>
      <c r="AH1686"/>
      <c r="AI1686"/>
      <c r="AJ1686"/>
      <c r="AM1686"/>
    </row>
    <row r="1687" spans="3:39" x14ac:dyDescent="0.2">
      <c r="C1687"/>
      <c r="D1687"/>
      <c r="E1687"/>
      <c r="F1687"/>
      <c r="G1687"/>
      <c r="H1687"/>
      <c r="I1687" s="684"/>
      <c r="V1687"/>
      <c r="W1687"/>
      <c r="Y1687"/>
      <c r="Z1687"/>
      <c r="AA1687"/>
      <c r="AD1687"/>
      <c r="AE1687"/>
      <c r="AF1687"/>
      <c r="AH1687"/>
      <c r="AI1687"/>
      <c r="AJ1687"/>
      <c r="AM1687"/>
    </row>
    <row r="1688" spans="3:39" x14ac:dyDescent="0.2">
      <c r="C1688"/>
      <c r="D1688"/>
      <c r="E1688"/>
      <c r="F1688"/>
      <c r="G1688"/>
      <c r="H1688"/>
      <c r="I1688" s="684"/>
      <c r="V1688"/>
      <c r="W1688"/>
      <c r="Y1688"/>
      <c r="Z1688"/>
      <c r="AA1688"/>
      <c r="AD1688"/>
      <c r="AE1688"/>
      <c r="AF1688"/>
      <c r="AH1688"/>
      <c r="AI1688"/>
      <c r="AJ1688"/>
      <c r="AM1688"/>
    </row>
    <row r="1689" spans="3:39" x14ac:dyDescent="0.2">
      <c r="C1689"/>
      <c r="D1689"/>
      <c r="E1689"/>
      <c r="F1689"/>
      <c r="G1689"/>
      <c r="H1689"/>
      <c r="I1689" s="684"/>
      <c r="V1689"/>
      <c r="W1689"/>
      <c r="Y1689"/>
      <c r="Z1689"/>
      <c r="AA1689"/>
      <c r="AD1689"/>
      <c r="AE1689"/>
      <c r="AF1689"/>
      <c r="AH1689"/>
      <c r="AI1689"/>
      <c r="AJ1689"/>
      <c r="AM1689"/>
    </row>
    <row r="1690" spans="3:39" x14ac:dyDescent="0.2">
      <c r="C1690"/>
      <c r="D1690"/>
      <c r="E1690"/>
      <c r="F1690"/>
      <c r="G1690"/>
      <c r="H1690"/>
      <c r="I1690" s="684"/>
      <c r="V1690"/>
      <c r="W1690"/>
      <c r="Y1690"/>
      <c r="Z1690"/>
      <c r="AA1690"/>
      <c r="AD1690"/>
      <c r="AE1690"/>
      <c r="AF1690"/>
      <c r="AH1690"/>
      <c r="AI1690"/>
      <c r="AJ1690"/>
      <c r="AM1690"/>
    </row>
    <row r="1691" spans="3:39" x14ac:dyDescent="0.2">
      <c r="C1691"/>
      <c r="D1691"/>
      <c r="E1691"/>
      <c r="F1691"/>
      <c r="G1691"/>
      <c r="H1691"/>
      <c r="I1691" s="684"/>
      <c r="V1691"/>
      <c r="W1691"/>
      <c r="Y1691"/>
      <c r="Z1691"/>
      <c r="AA1691"/>
      <c r="AD1691"/>
      <c r="AE1691"/>
      <c r="AF1691"/>
      <c r="AH1691"/>
      <c r="AI1691"/>
      <c r="AJ1691"/>
      <c r="AM1691"/>
    </row>
    <row r="1692" spans="3:39" x14ac:dyDescent="0.2">
      <c r="C1692"/>
      <c r="D1692"/>
      <c r="E1692"/>
      <c r="F1692"/>
      <c r="G1692"/>
      <c r="H1692"/>
      <c r="I1692" s="684"/>
      <c r="V1692"/>
      <c r="W1692"/>
      <c r="Y1692"/>
      <c r="Z1692"/>
      <c r="AA1692"/>
      <c r="AD1692"/>
      <c r="AE1692"/>
      <c r="AF1692"/>
      <c r="AH1692"/>
      <c r="AI1692"/>
      <c r="AJ1692"/>
      <c r="AM1692"/>
    </row>
    <row r="1693" spans="3:39" x14ac:dyDescent="0.2">
      <c r="C1693"/>
      <c r="D1693"/>
      <c r="E1693"/>
      <c r="F1693"/>
      <c r="G1693"/>
      <c r="H1693"/>
      <c r="I1693" s="684"/>
      <c r="V1693"/>
      <c r="W1693"/>
      <c r="Y1693"/>
      <c r="Z1693"/>
      <c r="AA1693"/>
      <c r="AD1693"/>
      <c r="AE1693"/>
      <c r="AF1693"/>
      <c r="AH1693"/>
      <c r="AI1693"/>
      <c r="AJ1693"/>
      <c r="AM1693"/>
    </row>
    <row r="1694" spans="3:39" x14ac:dyDescent="0.2">
      <c r="C1694"/>
      <c r="D1694"/>
      <c r="E1694"/>
      <c r="F1694"/>
      <c r="G1694"/>
      <c r="H1694"/>
      <c r="I1694" s="684"/>
      <c r="V1694"/>
      <c r="W1694"/>
      <c r="Y1694"/>
      <c r="Z1694"/>
      <c r="AA1694"/>
      <c r="AD1694"/>
      <c r="AE1694"/>
      <c r="AF1694"/>
      <c r="AH1694"/>
      <c r="AI1694"/>
      <c r="AJ1694"/>
      <c r="AM1694"/>
    </row>
    <row r="1695" spans="3:39" x14ac:dyDescent="0.2">
      <c r="C1695"/>
      <c r="D1695"/>
      <c r="E1695"/>
      <c r="F1695"/>
      <c r="G1695"/>
      <c r="H1695"/>
      <c r="I1695" s="684"/>
      <c r="V1695"/>
      <c r="W1695"/>
      <c r="Y1695"/>
      <c r="Z1695"/>
      <c r="AA1695"/>
      <c r="AD1695"/>
      <c r="AE1695"/>
      <c r="AF1695"/>
      <c r="AH1695"/>
      <c r="AI1695"/>
      <c r="AJ1695"/>
      <c r="AM1695"/>
    </row>
    <row r="1696" spans="3:39" x14ac:dyDescent="0.2">
      <c r="C1696"/>
      <c r="D1696"/>
      <c r="E1696"/>
      <c r="F1696"/>
      <c r="G1696"/>
      <c r="H1696"/>
      <c r="I1696" s="684"/>
      <c r="V1696"/>
      <c r="W1696"/>
      <c r="Y1696"/>
      <c r="Z1696"/>
      <c r="AA1696"/>
      <c r="AD1696"/>
      <c r="AE1696"/>
      <c r="AF1696"/>
      <c r="AH1696"/>
      <c r="AI1696"/>
      <c r="AJ1696"/>
      <c r="AM1696"/>
    </row>
    <row r="1697" spans="3:39" x14ac:dyDescent="0.2">
      <c r="C1697"/>
      <c r="D1697"/>
      <c r="E1697"/>
      <c r="F1697"/>
      <c r="G1697"/>
      <c r="H1697"/>
      <c r="I1697" s="684"/>
      <c r="V1697"/>
      <c r="W1697"/>
      <c r="Y1697"/>
      <c r="Z1697"/>
      <c r="AA1697"/>
      <c r="AD1697"/>
      <c r="AE1697"/>
      <c r="AF1697"/>
      <c r="AH1697"/>
      <c r="AI1697"/>
      <c r="AJ1697"/>
      <c r="AM1697"/>
    </row>
    <row r="1698" spans="3:39" x14ac:dyDescent="0.2">
      <c r="C1698"/>
      <c r="D1698"/>
      <c r="E1698"/>
      <c r="F1698"/>
      <c r="G1698"/>
      <c r="H1698"/>
      <c r="I1698" s="684"/>
      <c r="V1698"/>
      <c r="W1698"/>
      <c r="Y1698"/>
      <c r="Z1698"/>
      <c r="AA1698"/>
      <c r="AD1698"/>
      <c r="AE1698"/>
      <c r="AF1698"/>
      <c r="AH1698"/>
      <c r="AI1698"/>
      <c r="AJ1698"/>
      <c r="AM1698"/>
    </row>
    <row r="1699" spans="3:39" x14ac:dyDescent="0.2">
      <c r="C1699"/>
      <c r="D1699"/>
      <c r="E1699"/>
      <c r="F1699"/>
      <c r="G1699"/>
      <c r="H1699"/>
      <c r="I1699" s="684"/>
      <c r="V1699"/>
      <c r="W1699"/>
      <c r="Y1699"/>
      <c r="Z1699"/>
      <c r="AA1699"/>
      <c r="AD1699"/>
      <c r="AE1699"/>
      <c r="AF1699"/>
      <c r="AH1699"/>
      <c r="AI1699"/>
      <c r="AJ1699"/>
      <c r="AM1699"/>
    </row>
    <row r="1700" spans="3:39" x14ac:dyDescent="0.2">
      <c r="C1700"/>
      <c r="D1700"/>
      <c r="E1700"/>
      <c r="F1700"/>
      <c r="G1700"/>
      <c r="H1700"/>
      <c r="I1700" s="684"/>
      <c r="V1700"/>
      <c r="W1700"/>
      <c r="Y1700"/>
      <c r="Z1700"/>
      <c r="AA1700"/>
      <c r="AD1700"/>
      <c r="AE1700"/>
      <c r="AF1700"/>
      <c r="AH1700"/>
      <c r="AI1700"/>
      <c r="AJ1700"/>
      <c r="AM1700"/>
    </row>
    <row r="1701" spans="3:39" x14ac:dyDescent="0.2">
      <c r="C1701"/>
      <c r="D1701"/>
      <c r="E1701"/>
      <c r="F1701"/>
      <c r="G1701"/>
      <c r="H1701"/>
      <c r="I1701" s="684"/>
      <c r="V1701"/>
      <c r="W1701"/>
      <c r="Y1701"/>
      <c r="Z1701"/>
      <c r="AA1701"/>
      <c r="AD1701"/>
      <c r="AE1701"/>
      <c r="AF1701"/>
      <c r="AH1701"/>
      <c r="AI1701"/>
      <c r="AJ1701"/>
      <c r="AM1701"/>
    </row>
    <row r="1702" spans="3:39" x14ac:dyDescent="0.2">
      <c r="C1702"/>
      <c r="D1702"/>
      <c r="E1702"/>
      <c r="F1702"/>
      <c r="G1702"/>
      <c r="H1702"/>
      <c r="I1702" s="684"/>
      <c r="V1702"/>
      <c r="W1702"/>
      <c r="Y1702"/>
      <c r="Z1702"/>
      <c r="AA1702"/>
      <c r="AD1702"/>
      <c r="AE1702"/>
      <c r="AF1702"/>
      <c r="AH1702"/>
      <c r="AI1702"/>
      <c r="AJ1702"/>
      <c r="AM1702"/>
    </row>
    <row r="1703" spans="3:39" x14ac:dyDescent="0.2">
      <c r="C1703"/>
      <c r="D1703"/>
      <c r="E1703"/>
      <c r="F1703"/>
      <c r="G1703"/>
      <c r="H1703"/>
      <c r="I1703" s="684"/>
      <c r="V1703"/>
      <c r="W1703"/>
      <c r="Y1703"/>
      <c r="Z1703"/>
      <c r="AA1703"/>
      <c r="AD1703"/>
      <c r="AE1703"/>
      <c r="AF1703"/>
      <c r="AH1703"/>
      <c r="AI1703"/>
      <c r="AJ1703"/>
      <c r="AM1703"/>
    </row>
    <row r="1704" spans="3:39" x14ac:dyDescent="0.2">
      <c r="C1704"/>
      <c r="D1704"/>
      <c r="E1704"/>
      <c r="F1704"/>
      <c r="G1704"/>
      <c r="H1704"/>
      <c r="I1704" s="684"/>
      <c r="V1704"/>
      <c r="W1704"/>
      <c r="Y1704"/>
      <c r="Z1704"/>
      <c r="AA1704"/>
      <c r="AD1704"/>
      <c r="AE1704"/>
      <c r="AF1704"/>
      <c r="AH1704"/>
      <c r="AI1704"/>
      <c r="AJ1704"/>
      <c r="AM1704"/>
    </row>
    <row r="1705" spans="3:39" x14ac:dyDescent="0.2">
      <c r="C1705"/>
      <c r="D1705"/>
      <c r="E1705"/>
      <c r="F1705"/>
      <c r="G1705"/>
      <c r="H1705"/>
      <c r="I1705" s="684"/>
      <c r="V1705"/>
      <c r="W1705"/>
      <c r="Y1705"/>
      <c r="Z1705"/>
      <c r="AA1705"/>
      <c r="AD1705"/>
      <c r="AE1705"/>
      <c r="AF1705"/>
      <c r="AH1705"/>
      <c r="AI1705"/>
      <c r="AJ1705"/>
      <c r="AM1705"/>
    </row>
    <row r="1706" spans="3:39" x14ac:dyDescent="0.2">
      <c r="C1706"/>
      <c r="D1706"/>
      <c r="E1706"/>
      <c r="F1706"/>
      <c r="G1706"/>
      <c r="H1706"/>
      <c r="I1706" s="684"/>
      <c r="V1706"/>
      <c r="W1706"/>
      <c r="Y1706"/>
      <c r="Z1706"/>
      <c r="AA1706"/>
      <c r="AD1706"/>
      <c r="AE1706"/>
      <c r="AF1706"/>
      <c r="AH1706"/>
      <c r="AI1706"/>
      <c r="AJ1706"/>
      <c r="AM1706"/>
    </row>
    <row r="1707" spans="3:39" x14ac:dyDescent="0.2">
      <c r="C1707"/>
      <c r="D1707"/>
      <c r="E1707"/>
      <c r="F1707"/>
      <c r="G1707"/>
      <c r="H1707"/>
      <c r="I1707" s="684"/>
      <c r="V1707"/>
      <c r="W1707"/>
      <c r="Y1707"/>
      <c r="Z1707"/>
      <c r="AA1707"/>
      <c r="AD1707"/>
      <c r="AE1707"/>
      <c r="AF1707"/>
      <c r="AH1707"/>
      <c r="AI1707"/>
      <c r="AJ1707"/>
      <c r="AM1707"/>
    </row>
    <row r="1708" spans="3:39" x14ac:dyDescent="0.2">
      <c r="C1708"/>
      <c r="D1708"/>
      <c r="E1708"/>
      <c r="F1708"/>
      <c r="G1708"/>
      <c r="H1708"/>
      <c r="I1708" s="684"/>
      <c r="V1708"/>
      <c r="W1708"/>
      <c r="Y1708"/>
      <c r="Z1708"/>
      <c r="AA1708"/>
      <c r="AD1708"/>
      <c r="AE1708"/>
      <c r="AF1708"/>
      <c r="AH1708"/>
      <c r="AI1708"/>
      <c r="AJ1708"/>
      <c r="AM1708"/>
    </row>
    <row r="1709" spans="3:39" x14ac:dyDescent="0.2">
      <c r="C1709"/>
      <c r="D1709"/>
      <c r="E1709"/>
      <c r="F1709"/>
      <c r="G1709"/>
      <c r="H1709"/>
      <c r="I1709" s="684"/>
      <c r="V1709"/>
      <c r="W1709"/>
      <c r="Y1709"/>
      <c r="Z1709"/>
      <c r="AA1709"/>
      <c r="AD1709"/>
      <c r="AE1709"/>
      <c r="AF1709"/>
      <c r="AH1709"/>
      <c r="AI1709"/>
      <c r="AJ1709"/>
      <c r="AM1709"/>
    </row>
    <row r="1710" spans="3:39" x14ac:dyDescent="0.2">
      <c r="C1710"/>
      <c r="D1710"/>
      <c r="E1710"/>
      <c r="F1710"/>
      <c r="G1710"/>
      <c r="H1710"/>
      <c r="I1710" s="684"/>
      <c r="V1710"/>
      <c r="W1710"/>
      <c r="Y1710"/>
      <c r="Z1710"/>
      <c r="AA1710"/>
      <c r="AD1710"/>
      <c r="AE1710"/>
      <c r="AF1710"/>
      <c r="AH1710"/>
      <c r="AI1710"/>
      <c r="AJ1710"/>
      <c r="AM1710"/>
    </row>
    <row r="1711" spans="3:39" x14ac:dyDescent="0.2">
      <c r="C1711"/>
      <c r="D1711"/>
      <c r="E1711"/>
      <c r="F1711"/>
      <c r="G1711"/>
      <c r="H1711"/>
      <c r="I1711" s="684"/>
      <c r="V1711"/>
      <c r="W1711"/>
      <c r="Y1711"/>
      <c r="Z1711"/>
      <c r="AA1711"/>
      <c r="AD1711"/>
      <c r="AE1711"/>
      <c r="AF1711"/>
      <c r="AH1711"/>
      <c r="AI1711"/>
      <c r="AJ1711"/>
      <c r="AM1711"/>
    </row>
    <row r="1712" spans="3:39" x14ac:dyDescent="0.2">
      <c r="C1712"/>
      <c r="D1712"/>
      <c r="E1712"/>
      <c r="F1712"/>
      <c r="G1712"/>
      <c r="H1712"/>
      <c r="I1712" s="684"/>
      <c r="V1712"/>
      <c r="W1712"/>
      <c r="Y1712"/>
      <c r="Z1712"/>
      <c r="AA1712"/>
      <c r="AD1712"/>
      <c r="AE1712"/>
      <c r="AF1712"/>
      <c r="AH1712"/>
      <c r="AI1712"/>
      <c r="AJ1712"/>
      <c r="AM1712"/>
    </row>
    <row r="1713" spans="3:39" x14ac:dyDescent="0.2">
      <c r="C1713"/>
      <c r="D1713"/>
      <c r="E1713"/>
      <c r="F1713"/>
      <c r="G1713"/>
      <c r="H1713"/>
      <c r="I1713" s="684"/>
      <c r="V1713"/>
      <c r="W1713"/>
      <c r="Y1713"/>
      <c r="Z1713"/>
      <c r="AA1713"/>
      <c r="AD1713"/>
      <c r="AE1713"/>
      <c r="AF1713"/>
      <c r="AH1713"/>
      <c r="AI1713"/>
      <c r="AJ1713"/>
      <c r="AM1713"/>
    </row>
    <row r="1714" spans="3:39" x14ac:dyDescent="0.2">
      <c r="C1714"/>
      <c r="D1714"/>
      <c r="E1714"/>
      <c r="F1714"/>
      <c r="G1714"/>
      <c r="H1714"/>
      <c r="I1714" s="684"/>
      <c r="V1714"/>
      <c r="W1714"/>
      <c r="Y1714"/>
      <c r="Z1714"/>
      <c r="AA1714"/>
      <c r="AD1714"/>
      <c r="AE1714"/>
      <c r="AF1714"/>
      <c r="AH1714"/>
      <c r="AI1714"/>
      <c r="AJ1714"/>
      <c r="AM1714"/>
    </row>
    <row r="1715" spans="3:39" x14ac:dyDescent="0.2">
      <c r="C1715"/>
      <c r="D1715"/>
      <c r="E1715"/>
      <c r="F1715"/>
      <c r="G1715"/>
      <c r="H1715"/>
      <c r="I1715" s="684"/>
      <c r="V1715"/>
      <c r="W1715"/>
      <c r="Y1715"/>
      <c r="Z1715"/>
      <c r="AA1715"/>
      <c r="AD1715"/>
      <c r="AE1715"/>
      <c r="AF1715"/>
      <c r="AH1715"/>
      <c r="AI1715"/>
      <c r="AJ1715"/>
      <c r="AM1715"/>
    </row>
    <row r="1716" spans="3:39" x14ac:dyDescent="0.2">
      <c r="C1716"/>
      <c r="D1716"/>
      <c r="E1716"/>
      <c r="F1716"/>
      <c r="G1716"/>
      <c r="H1716"/>
      <c r="I1716" s="684"/>
      <c r="V1716"/>
      <c r="W1716"/>
      <c r="Y1716"/>
      <c r="Z1716"/>
      <c r="AA1716"/>
      <c r="AD1716"/>
      <c r="AE1716"/>
      <c r="AF1716"/>
      <c r="AH1716"/>
      <c r="AI1716"/>
      <c r="AJ1716"/>
      <c r="AM1716"/>
    </row>
    <row r="1717" spans="3:39" x14ac:dyDescent="0.2">
      <c r="C1717"/>
      <c r="D1717"/>
      <c r="E1717"/>
      <c r="F1717"/>
      <c r="G1717"/>
      <c r="H1717"/>
      <c r="I1717" s="684"/>
      <c r="V1717"/>
      <c r="W1717"/>
      <c r="Y1717"/>
      <c r="Z1717"/>
      <c r="AA1717"/>
      <c r="AD1717"/>
      <c r="AE1717"/>
      <c r="AF1717"/>
      <c r="AH1717"/>
      <c r="AI1717"/>
      <c r="AJ1717"/>
      <c r="AM1717"/>
    </row>
    <row r="1718" spans="3:39" x14ac:dyDescent="0.2">
      <c r="C1718"/>
      <c r="D1718"/>
      <c r="E1718"/>
      <c r="F1718"/>
      <c r="G1718"/>
      <c r="H1718"/>
      <c r="I1718" s="684"/>
      <c r="V1718"/>
      <c r="W1718"/>
      <c r="Y1718"/>
      <c r="Z1718"/>
      <c r="AA1718"/>
      <c r="AD1718"/>
      <c r="AE1718"/>
      <c r="AF1718"/>
      <c r="AH1718"/>
      <c r="AI1718"/>
      <c r="AJ1718"/>
      <c r="AM1718"/>
    </row>
    <row r="1719" spans="3:39" x14ac:dyDescent="0.2">
      <c r="C1719"/>
      <c r="D1719"/>
      <c r="E1719"/>
      <c r="F1719"/>
      <c r="G1719"/>
      <c r="H1719"/>
      <c r="I1719" s="684"/>
      <c r="V1719"/>
      <c r="W1719"/>
      <c r="Y1719"/>
      <c r="Z1719"/>
      <c r="AA1719"/>
      <c r="AD1719"/>
      <c r="AE1719"/>
      <c r="AF1719"/>
      <c r="AH1719"/>
      <c r="AI1719"/>
      <c r="AJ1719"/>
      <c r="AM1719"/>
    </row>
    <row r="1720" spans="3:39" x14ac:dyDescent="0.2">
      <c r="C1720"/>
      <c r="D1720"/>
      <c r="E1720"/>
      <c r="F1720"/>
      <c r="G1720"/>
      <c r="H1720"/>
      <c r="I1720" s="684"/>
      <c r="V1720"/>
      <c r="W1720"/>
      <c r="Y1720"/>
      <c r="Z1720"/>
      <c r="AA1720"/>
      <c r="AD1720"/>
      <c r="AE1720"/>
      <c r="AF1720"/>
      <c r="AH1720"/>
      <c r="AI1720"/>
      <c r="AJ1720"/>
      <c r="AM1720"/>
    </row>
    <row r="1721" spans="3:39" x14ac:dyDescent="0.2">
      <c r="C1721"/>
      <c r="D1721"/>
      <c r="E1721"/>
      <c r="F1721"/>
      <c r="G1721"/>
      <c r="H1721"/>
      <c r="I1721" s="684"/>
      <c r="V1721"/>
      <c r="W1721"/>
      <c r="Y1721"/>
      <c r="Z1721"/>
      <c r="AA1721"/>
      <c r="AD1721"/>
      <c r="AE1721"/>
      <c r="AF1721"/>
      <c r="AH1721"/>
      <c r="AI1721"/>
      <c r="AJ1721"/>
      <c r="AM1721"/>
    </row>
    <row r="1722" spans="3:39" x14ac:dyDescent="0.2">
      <c r="C1722"/>
      <c r="D1722"/>
      <c r="E1722"/>
      <c r="F1722"/>
      <c r="G1722"/>
      <c r="H1722"/>
      <c r="I1722" s="684"/>
      <c r="V1722"/>
      <c r="W1722"/>
      <c r="Y1722"/>
      <c r="Z1722"/>
      <c r="AA1722"/>
      <c r="AD1722"/>
      <c r="AE1722"/>
      <c r="AF1722"/>
      <c r="AH1722"/>
      <c r="AI1722"/>
      <c r="AJ1722"/>
      <c r="AM1722"/>
    </row>
    <row r="1723" spans="3:39" x14ac:dyDescent="0.2">
      <c r="C1723"/>
      <c r="D1723"/>
      <c r="E1723"/>
      <c r="F1723"/>
      <c r="G1723"/>
      <c r="H1723"/>
      <c r="I1723" s="684"/>
      <c r="V1723"/>
      <c r="W1723"/>
      <c r="Y1723"/>
      <c r="Z1723"/>
      <c r="AA1723"/>
      <c r="AD1723"/>
      <c r="AE1723"/>
      <c r="AF1723"/>
      <c r="AH1723"/>
      <c r="AI1723"/>
      <c r="AJ1723"/>
      <c r="AM1723"/>
    </row>
    <row r="1724" spans="3:39" x14ac:dyDescent="0.2">
      <c r="C1724"/>
      <c r="D1724"/>
      <c r="E1724"/>
      <c r="F1724"/>
      <c r="G1724"/>
      <c r="H1724"/>
      <c r="I1724" s="684"/>
      <c r="V1724"/>
      <c r="W1724"/>
      <c r="Y1724"/>
      <c r="Z1724"/>
      <c r="AA1724"/>
      <c r="AD1724"/>
      <c r="AE1724"/>
      <c r="AF1724"/>
      <c r="AH1724"/>
      <c r="AI1724"/>
      <c r="AJ1724"/>
      <c r="AM1724"/>
    </row>
    <row r="1725" spans="3:39" x14ac:dyDescent="0.2">
      <c r="C1725"/>
      <c r="D1725"/>
      <c r="E1725"/>
      <c r="F1725"/>
      <c r="G1725"/>
      <c r="H1725"/>
      <c r="I1725" s="684"/>
      <c r="V1725"/>
      <c r="W1725"/>
      <c r="Y1725"/>
      <c r="Z1725"/>
      <c r="AA1725"/>
      <c r="AD1725"/>
      <c r="AE1725"/>
      <c r="AF1725"/>
      <c r="AH1725"/>
      <c r="AI1725"/>
      <c r="AJ1725"/>
      <c r="AM1725"/>
    </row>
    <row r="1726" spans="3:39" x14ac:dyDescent="0.2">
      <c r="C1726"/>
      <c r="D1726"/>
      <c r="E1726"/>
      <c r="F1726"/>
      <c r="G1726"/>
      <c r="H1726"/>
      <c r="I1726" s="684"/>
      <c r="V1726"/>
      <c r="W1726"/>
      <c r="Y1726"/>
      <c r="Z1726"/>
      <c r="AA1726"/>
      <c r="AD1726"/>
      <c r="AE1726"/>
      <c r="AF1726"/>
      <c r="AH1726"/>
      <c r="AI1726"/>
      <c r="AJ1726"/>
      <c r="AM1726"/>
    </row>
    <row r="1727" spans="3:39" x14ac:dyDescent="0.2">
      <c r="C1727"/>
      <c r="D1727"/>
      <c r="E1727"/>
      <c r="F1727"/>
      <c r="G1727"/>
      <c r="H1727"/>
      <c r="I1727" s="684"/>
      <c r="V1727"/>
      <c r="W1727"/>
      <c r="Y1727"/>
      <c r="Z1727"/>
      <c r="AA1727"/>
      <c r="AD1727"/>
      <c r="AE1727"/>
      <c r="AF1727"/>
      <c r="AH1727"/>
      <c r="AI1727"/>
      <c r="AJ1727"/>
      <c r="AM1727"/>
    </row>
    <row r="1728" spans="3:39" x14ac:dyDescent="0.2">
      <c r="C1728"/>
      <c r="D1728"/>
      <c r="E1728"/>
      <c r="F1728"/>
      <c r="G1728"/>
      <c r="H1728"/>
      <c r="I1728" s="684"/>
      <c r="V1728"/>
      <c r="W1728"/>
      <c r="Y1728"/>
      <c r="Z1728"/>
      <c r="AA1728"/>
      <c r="AD1728"/>
      <c r="AE1728"/>
      <c r="AF1728"/>
      <c r="AH1728"/>
      <c r="AI1728"/>
      <c r="AJ1728"/>
      <c r="AM1728"/>
    </row>
    <row r="1729" spans="3:39" x14ac:dyDescent="0.2">
      <c r="C1729"/>
      <c r="D1729"/>
      <c r="E1729"/>
      <c r="F1729"/>
      <c r="G1729"/>
      <c r="H1729"/>
      <c r="I1729" s="684"/>
      <c r="V1729"/>
      <c r="W1729"/>
      <c r="Y1729"/>
      <c r="Z1729"/>
      <c r="AA1729"/>
      <c r="AD1729"/>
      <c r="AE1729"/>
      <c r="AF1729"/>
      <c r="AH1729"/>
      <c r="AI1729"/>
      <c r="AJ1729"/>
      <c r="AM1729"/>
    </row>
    <row r="1730" spans="3:39" x14ac:dyDescent="0.2">
      <c r="C1730"/>
      <c r="D1730"/>
      <c r="E1730"/>
      <c r="F1730"/>
      <c r="G1730"/>
      <c r="H1730"/>
      <c r="I1730" s="684"/>
      <c r="V1730"/>
      <c r="W1730"/>
      <c r="Y1730"/>
      <c r="Z1730"/>
      <c r="AA1730"/>
      <c r="AD1730"/>
      <c r="AE1730"/>
      <c r="AF1730"/>
      <c r="AH1730"/>
      <c r="AI1730"/>
      <c r="AJ1730"/>
      <c r="AM1730"/>
    </row>
    <row r="1731" spans="3:39" x14ac:dyDescent="0.2">
      <c r="C1731"/>
      <c r="D1731"/>
      <c r="E1731"/>
      <c r="F1731"/>
      <c r="G1731"/>
      <c r="H1731"/>
      <c r="I1731" s="684"/>
      <c r="V1731"/>
      <c r="W1731"/>
      <c r="Y1731"/>
      <c r="Z1731"/>
      <c r="AA1731"/>
      <c r="AD1731"/>
      <c r="AE1731"/>
      <c r="AF1731"/>
      <c r="AH1731"/>
      <c r="AI1731"/>
      <c r="AJ1731"/>
      <c r="AM1731"/>
    </row>
    <row r="1732" spans="3:39" x14ac:dyDescent="0.2">
      <c r="C1732"/>
      <c r="D1732"/>
      <c r="E1732"/>
      <c r="F1732"/>
      <c r="G1732"/>
      <c r="H1732"/>
      <c r="I1732" s="684"/>
      <c r="V1732"/>
      <c r="W1732"/>
      <c r="Y1732"/>
      <c r="Z1732"/>
      <c r="AA1732"/>
      <c r="AD1732"/>
      <c r="AE1732"/>
      <c r="AF1732"/>
      <c r="AH1732"/>
      <c r="AI1732"/>
      <c r="AJ1732"/>
      <c r="AM1732"/>
    </row>
    <row r="1733" spans="3:39" x14ac:dyDescent="0.2">
      <c r="C1733"/>
      <c r="D1733"/>
      <c r="E1733"/>
      <c r="F1733"/>
      <c r="G1733"/>
      <c r="H1733"/>
      <c r="I1733" s="684"/>
      <c r="V1733"/>
      <c r="W1733"/>
      <c r="Y1733"/>
      <c r="Z1733"/>
      <c r="AA1733"/>
      <c r="AD1733"/>
      <c r="AE1733"/>
      <c r="AF1733"/>
      <c r="AH1733"/>
      <c r="AI1733"/>
      <c r="AJ1733"/>
      <c r="AM1733"/>
    </row>
    <row r="1734" spans="3:39" x14ac:dyDescent="0.2">
      <c r="C1734"/>
      <c r="D1734"/>
      <c r="E1734"/>
      <c r="F1734"/>
      <c r="G1734"/>
      <c r="H1734"/>
      <c r="I1734" s="684"/>
      <c r="V1734"/>
      <c r="W1734"/>
      <c r="Y1734"/>
      <c r="Z1734"/>
      <c r="AA1734"/>
      <c r="AD1734"/>
      <c r="AE1734"/>
      <c r="AF1734"/>
      <c r="AH1734"/>
      <c r="AI1734"/>
      <c r="AJ1734"/>
      <c r="AM1734"/>
    </row>
    <row r="1735" spans="3:39" x14ac:dyDescent="0.2">
      <c r="C1735"/>
      <c r="D1735"/>
      <c r="E1735"/>
      <c r="F1735"/>
      <c r="G1735"/>
      <c r="H1735"/>
      <c r="I1735" s="684"/>
      <c r="V1735"/>
      <c r="W1735"/>
      <c r="Y1735"/>
      <c r="Z1735"/>
      <c r="AA1735"/>
      <c r="AD1735"/>
      <c r="AE1735"/>
      <c r="AF1735"/>
      <c r="AH1735"/>
      <c r="AI1735"/>
      <c r="AJ1735"/>
      <c r="AM1735"/>
    </row>
    <row r="1736" spans="3:39" x14ac:dyDescent="0.2">
      <c r="C1736"/>
      <c r="D1736"/>
      <c r="E1736"/>
      <c r="F1736"/>
      <c r="G1736"/>
      <c r="H1736"/>
      <c r="I1736" s="684"/>
      <c r="V1736"/>
      <c r="W1736"/>
      <c r="Y1736"/>
      <c r="Z1736"/>
      <c r="AA1736"/>
      <c r="AD1736"/>
      <c r="AE1736"/>
      <c r="AF1736"/>
      <c r="AH1736"/>
      <c r="AI1736"/>
      <c r="AJ1736"/>
      <c r="AM1736"/>
    </row>
    <row r="1737" spans="3:39" x14ac:dyDescent="0.2">
      <c r="C1737"/>
      <c r="D1737"/>
      <c r="E1737"/>
      <c r="F1737"/>
      <c r="G1737"/>
      <c r="H1737"/>
      <c r="I1737" s="684"/>
      <c r="V1737"/>
      <c r="W1737"/>
      <c r="Y1737"/>
      <c r="Z1737"/>
      <c r="AA1737"/>
      <c r="AD1737"/>
      <c r="AE1737"/>
      <c r="AF1737"/>
      <c r="AH1737"/>
      <c r="AI1737"/>
      <c r="AJ1737"/>
      <c r="AM1737"/>
    </row>
    <row r="1738" spans="3:39" x14ac:dyDescent="0.2">
      <c r="C1738"/>
      <c r="D1738"/>
      <c r="E1738"/>
      <c r="F1738"/>
      <c r="G1738"/>
      <c r="H1738"/>
      <c r="I1738" s="684"/>
      <c r="V1738"/>
      <c r="W1738"/>
      <c r="Y1738"/>
      <c r="Z1738"/>
      <c r="AA1738"/>
      <c r="AD1738"/>
      <c r="AE1738"/>
      <c r="AF1738"/>
      <c r="AH1738"/>
      <c r="AI1738"/>
      <c r="AJ1738"/>
      <c r="AM1738"/>
    </row>
    <row r="1739" spans="3:39" x14ac:dyDescent="0.2">
      <c r="C1739"/>
      <c r="D1739"/>
      <c r="E1739"/>
      <c r="F1739"/>
      <c r="G1739"/>
      <c r="H1739"/>
      <c r="I1739" s="684"/>
      <c r="V1739"/>
      <c r="W1739"/>
      <c r="Y1739"/>
      <c r="Z1739"/>
      <c r="AA1739"/>
      <c r="AD1739"/>
      <c r="AE1739"/>
      <c r="AF1739"/>
      <c r="AH1739"/>
      <c r="AI1739"/>
      <c r="AJ1739"/>
      <c r="AM1739"/>
    </row>
    <row r="1740" spans="3:39" x14ac:dyDescent="0.2">
      <c r="C1740"/>
      <c r="D1740"/>
      <c r="E1740"/>
      <c r="F1740"/>
      <c r="G1740"/>
      <c r="H1740"/>
      <c r="I1740" s="684"/>
      <c r="V1740"/>
      <c r="W1740"/>
      <c r="Y1740"/>
      <c r="Z1740"/>
      <c r="AA1740"/>
      <c r="AD1740"/>
      <c r="AE1740"/>
      <c r="AF1740"/>
      <c r="AH1740"/>
      <c r="AI1740"/>
      <c r="AJ1740"/>
      <c r="AM1740"/>
    </row>
    <row r="1741" spans="3:39" x14ac:dyDescent="0.2">
      <c r="C1741"/>
      <c r="D1741"/>
      <c r="E1741"/>
      <c r="F1741"/>
      <c r="G1741"/>
      <c r="H1741"/>
      <c r="I1741" s="684"/>
      <c r="V1741"/>
      <c r="W1741"/>
      <c r="Y1741"/>
      <c r="Z1741"/>
      <c r="AA1741"/>
      <c r="AD1741"/>
      <c r="AE1741"/>
      <c r="AF1741"/>
      <c r="AH1741"/>
      <c r="AI1741"/>
      <c r="AJ1741"/>
      <c r="AM1741"/>
    </row>
    <row r="1742" spans="3:39" x14ac:dyDescent="0.2">
      <c r="C1742"/>
      <c r="D1742"/>
      <c r="E1742"/>
      <c r="F1742"/>
      <c r="G1742"/>
      <c r="H1742"/>
      <c r="I1742" s="684"/>
      <c r="V1742"/>
      <c r="W1742"/>
      <c r="Y1742"/>
      <c r="Z1742"/>
      <c r="AA1742"/>
      <c r="AD1742"/>
      <c r="AE1742"/>
      <c r="AF1742"/>
      <c r="AH1742"/>
      <c r="AI1742"/>
      <c r="AJ1742"/>
      <c r="AM1742"/>
    </row>
    <row r="1743" spans="3:39" x14ac:dyDescent="0.2">
      <c r="C1743"/>
      <c r="D1743"/>
      <c r="E1743"/>
      <c r="F1743"/>
      <c r="G1743"/>
      <c r="H1743"/>
      <c r="I1743" s="684"/>
      <c r="V1743"/>
      <c r="W1743"/>
      <c r="Y1743"/>
      <c r="Z1743"/>
      <c r="AA1743"/>
      <c r="AD1743"/>
      <c r="AE1743"/>
      <c r="AF1743"/>
      <c r="AH1743"/>
      <c r="AI1743"/>
      <c r="AJ1743"/>
      <c r="AM1743"/>
    </row>
    <row r="1744" spans="3:39" x14ac:dyDescent="0.2">
      <c r="C1744"/>
      <c r="D1744"/>
      <c r="E1744"/>
      <c r="F1744"/>
      <c r="G1744"/>
      <c r="H1744"/>
      <c r="I1744" s="684"/>
      <c r="V1744"/>
      <c r="W1744"/>
      <c r="Y1744"/>
      <c r="Z1744"/>
      <c r="AA1744"/>
      <c r="AD1744"/>
      <c r="AE1744"/>
      <c r="AF1744"/>
      <c r="AH1744"/>
      <c r="AI1744"/>
      <c r="AJ1744"/>
      <c r="AM1744"/>
    </row>
    <row r="1745" spans="3:39" x14ac:dyDescent="0.2">
      <c r="C1745"/>
      <c r="D1745"/>
      <c r="E1745"/>
      <c r="F1745"/>
      <c r="G1745"/>
      <c r="H1745"/>
      <c r="I1745" s="684"/>
      <c r="V1745"/>
      <c r="W1745"/>
      <c r="Y1745"/>
      <c r="Z1745"/>
      <c r="AA1745"/>
      <c r="AD1745"/>
      <c r="AE1745"/>
      <c r="AF1745"/>
      <c r="AH1745"/>
      <c r="AI1745"/>
      <c r="AJ1745"/>
      <c r="AM1745"/>
    </row>
    <row r="1746" spans="3:39" x14ac:dyDescent="0.2">
      <c r="C1746"/>
      <c r="D1746"/>
      <c r="E1746"/>
      <c r="F1746"/>
      <c r="G1746"/>
      <c r="H1746"/>
      <c r="I1746" s="684"/>
      <c r="V1746"/>
      <c r="W1746"/>
      <c r="Y1746"/>
      <c r="Z1746"/>
      <c r="AA1746"/>
      <c r="AD1746"/>
      <c r="AE1746"/>
      <c r="AF1746"/>
      <c r="AH1746"/>
      <c r="AI1746"/>
      <c r="AJ1746"/>
      <c r="AM1746"/>
    </row>
    <row r="1747" spans="3:39" x14ac:dyDescent="0.2">
      <c r="C1747"/>
      <c r="D1747"/>
      <c r="E1747"/>
      <c r="F1747"/>
      <c r="G1747"/>
      <c r="H1747"/>
      <c r="I1747" s="684"/>
      <c r="V1747"/>
      <c r="W1747"/>
      <c r="Y1747"/>
      <c r="Z1747"/>
      <c r="AA1747"/>
      <c r="AD1747"/>
      <c r="AE1747"/>
      <c r="AF1747"/>
      <c r="AH1747"/>
      <c r="AI1747"/>
      <c r="AJ1747"/>
      <c r="AM1747"/>
    </row>
    <row r="1748" spans="3:39" x14ac:dyDescent="0.2">
      <c r="C1748"/>
      <c r="D1748"/>
      <c r="E1748"/>
      <c r="F1748"/>
      <c r="G1748"/>
      <c r="H1748"/>
      <c r="I1748" s="684"/>
      <c r="V1748"/>
      <c r="W1748"/>
      <c r="Y1748"/>
      <c r="Z1748"/>
      <c r="AA1748"/>
      <c r="AD1748"/>
      <c r="AE1748"/>
      <c r="AF1748"/>
      <c r="AH1748"/>
      <c r="AI1748"/>
      <c r="AJ1748"/>
      <c r="AM1748"/>
    </row>
    <row r="1749" spans="3:39" x14ac:dyDescent="0.2">
      <c r="C1749"/>
      <c r="D1749"/>
      <c r="E1749"/>
      <c r="F1749"/>
      <c r="G1749"/>
      <c r="H1749"/>
      <c r="I1749" s="684"/>
      <c r="V1749"/>
      <c r="W1749"/>
      <c r="Y1749"/>
      <c r="Z1749"/>
      <c r="AA1749"/>
      <c r="AD1749"/>
      <c r="AE1749"/>
      <c r="AF1749"/>
      <c r="AH1749"/>
      <c r="AI1749"/>
      <c r="AJ1749"/>
      <c r="AM1749"/>
    </row>
    <row r="1750" spans="3:39" x14ac:dyDescent="0.2">
      <c r="C1750"/>
      <c r="D1750"/>
      <c r="E1750"/>
      <c r="F1750"/>
      <c r="G1750"/>
      <c r="H1750"/>
      <c r="I1750" s="684"/>
      <c r="V1750"/>
      <c r="W1750"/>
      <c r="Y1750"/>
      <c r="Z1750"/>
      <c r="AA1750"/>
      <c r="AD1750"/>
      <c r="AE1750"/>
      <c r="AF1750"/>
      <c r="AH1750"/>
      <c r="AI1750"/>
      <c r="AJ1750"/>
      <c r="AM1750"/>
    </row>
    <row r="1751" spans="3:39" x14ac:dyDescent="0.2">
      <c r="C1751"/>
      <c r="D1751"/>
      <c r="E1751"/>
      <c r="F1751"/>
      <c r="G1751"/>
      <c r="H1751"/>
      <c r="I1751" s="684"/>
      <c r="V1751"/>
      <c r="W1751"/>
      <c r="Y1751"/>
      <c r="Z1751"/>
      <c r="AA1751"/>
      <c r="AD1751"/>
      <c r="AE1751"/>
      <c r="AF1751"/>
      <c r="AH1751"/>
      <c r="AI1751"/>
      <c r="AJ1751"/>
      <c r="AM1751"/>
    </row>
    <row r="1752" spans="3:39" x14ac:dyDescent="0.2">
      <c r="C1752"/>
      <c r="D1752"/>
      <c r="E1752"/>
      <c r="F1752"/>
      <c r="G1752"/>
      <c r="H1752"/>
      <c r="I1752" s="684"/>
      <c r="V1752"/>
      <c r="W1752"/>
      <c r="Y1752"/>
      <c r="Z1752"/>
      <c r="AA1752"/>
      <c r="AD1752"/>
      <c r="AE1752"/>
      <c r="AF1752"/>
      <c r="AH1752"/>
      <c r="AI1752"/>
      <c r="AJ1752"/>
      <c r="AM1752"/>
    </row>
    <row r="1753" spans="3:39" x14ac:dyDescent="0.2">
      <c r="C1753"/>
      <c r="D1753"/>
      <c r="E1753"/>
      <c r="F1753"/>
      <c r="G1753"/>
      <c r="H1753"/>
      <c r="I1753" s="684"/>
      <c r="V1753"/>
      <c r="W1753"/>
      <c r="Y1753"/>
      <c r="Z1753"/>
      <c r="AA1753"/>
      <c r="AD1753"/>
      <c r="AE1753"/>
      <c r="AF1753"/>
      <c r="AH1753"/>
      <c r="AI1753"/>
      <c r="AJ1753"/>
      <c r="AM1753"/>
    </row>
    <row r="1754" spans="3:39" x14ac:dyDescent="0.2">
      <c r="C1754"/>
      <c r="D1754"/>
      <c r="E1754"/>
      <c r="F1754"/>
      <c r="G1754"/>
      <c r="H1754"/>
      <c r="I1754" s="684"/>
      <c r="V1754"/>
      <c r="W1754"/>
      <c r="Y1754"/>
      <c r="Z1754"/>
      <c r="AA1754"/>
      <c r="AD1754"/>
      <c r="AE1754"/>
      <c r="AF1754"/>
      <c r="AH1754"/>
      <c r="AI1754"/>
      <c r="AJ1754"/>
      <c r="AM1754"/>
    </row>
    <row r="1755" spans="3:39" x14ac:dyDescent="0.2">
      <c r="C1755"/>
      <c r="D1755"/>
      <c r="E1755"/>
      <c r="F1755"/>
      <c r="G1755"/>
      <c r="H1755"/>
      <c r="I1755" s="684"/>
      <c r="V1755"/>
      <c r="W1755"/>
      <c r="Y1755"/>
      <c r="Z1755"/>
      <c r="AA1755"/>
      <c r="AD1755"/>
      <c r="AE1755"/>
      <c r="AF1755"/>
      <c r="AH1755"/>
      <c r="AI1755"/>
      <c r="AJ1755"/>
      <c r="AM1755"/>
    </row>
    <row r="1756" spans="3:39" x14ac:dyDescent="0.2">
      <c r="C1756"/>
      <c r="D1756"/>
      <c r="E1756"/>
      <c r="F1756"/>
      <c r="G1756"/>
      <c r="H1756"/>
      <c r="I1756" s="684"/>
      <c r="V1756"/>
      <c r="W1756"/>
      <c r="Y1756"/>
      <c r="Z1756"/>
      <c r="AA1756"/>
      <c r="AD1756"/>
      <c r="AE1756"/>
      <c r="AF1756"/>
      <c r="AH1756"/>
      <c r="AI1756"/>
      <c r="AJ1756"/>
      <c r="AM1756"/>
    </row>
    <row r="1757" spans="3:39" x14ac:dyDescent="0.2">
      <c r="C1757"/>
      <c r="D1757"/>
      <c r="E1757"/>
      <c r="F1757"/>
      <c r="G1757"/>
      <c r="H1757"/>
      <c r="I1757" s="684"/>
      <c r="V1757"/>
      <c r="W1757"/>
      <c r="Y1757"/>
      <c r="Z1757"/>
      <c r="AA1757"/>
      <c r="AD1757"/>
      <c r="AE1757"/>
      <c r="AF1757"/>
      <c r="AH1757"/>
      <c r="AI1757"/>
      <c r="AJ1757"/>
      <c r="AM1757"/>
    </row>
    <row r="1758" spans="3:39" x14ac:dyDescent="0.2">
      <c r="C1758"/>
      <c r="D1758"/>
      <c r="E1758"/>
      <c r="F1758"/>
      <c r="G1758"/>
      <c r="H1758"/>
      <c r="I1758" s="684"/>
      <c r="V1758"/>
      <c r="W1758"/>
      <c r="Y1758"/>
      <c r="Z1758"/>
      <c r="AA1758"/>
      <c r="AD1758"/>
      <c r="AE1758"/>
      <c r="AF1758"/>
      <c r="AH1758"/>
      <c r="AI1758"/>
      <c r="AJ1758"/>
      <c r="AM1758"/>
    </row>
    <row r="1759" spans="3:39" x14ac:dyDescent="0.2">
      <c r="C1759"/>
      <c r="D1759"/>
      <c r="E1759"/>
      <c r="F1759"/>
      <c r="G1759"/>
      <c r="H1759"/>
      <c r="I1759" s="684"/>
      <c r="V1759"/>
      <c r="W1759"/>
      <c r="Y1759"/>
      <c r="Z1759"/>
      <c r="AA1759"/>
      <c r="AD1759"/>
      <c r="AE1759"/>
      <c r="AF1759"/>
      <c r="AH1759"/>
      <c r="AI1759"/>
      <c r="AJ1759"/>
      <c r="AM1759"/>
    </row>
    <row r="1760" spans="3:39" x14ac:dyDescent="0.2">
      <c r="C1760"/>
      <c r="D1760"/>
      <c r="E1760"/>
      <c r="F1760"/>
      <c r="G1760"/>
      <c r="H1760"/>
      <c r="I1760" s="684"/>
      <c r="V1760"/>
      <c r="W1760"/>
      <c r="Y1760"/>
      <c r="Z1760"/>
      <c r="AA1760"/>
      <c r="AD1760"/>
      <c r="AE1760"/>
      <c r="AF1760"/>
      <c r="AH1760"/>
      <c r="AI1760"/>
      <c r="AJ1760"/>
      <c r="AM1760"/>
    </row>
    <row r="1761" spans="3:39" x14ac:dyDescent="0.2">
      <c r="C1761"/>
      <c r="D1761"/>
      <c r="E1761"/>
      <c r="F1761"/>
      <c r="G1761"/>
      <c r="H1761"/>
      <c r="I1761" s="684"/>
      <c r="V1761"/>
      <c r="W1761"/>
      <c r="Y1761"/>
      <c r="Z1761"/>
      <c r="AA1761"/>
      <c r="AD1761"/>
      <c r="AE1761"/>
      <c r="AF1761"/>
      <c r="AH1761"/>
      <c r="AI1761"/>
      <c r="AJ1761"/>
      <c r="AM1761"/>
    </row>
    <row r="1762" spans="3:39" x14ac:dyDescent="0.2">
      <c r="C1762"/>
      <c r="D1762"/>
      <c r="E1762"/>
      <c r="F1762"/>
      <c r="G1762"/>
      <c r="H1762"/>
      <c r="I1762" s="684"/>
      <c r="V1762"/>
      <c r="W1762"/>
      <c r="Y1762"/>
      <c r="Z1762"/>
      <c r="AA1762"/>
      <c r="AD1762"/>
      <c r="AE1762"/>
      <c r="AF1762"/>
      <c r="AH1762"/>
      <c r="AI1762"/>
      <c r="AJ1762"/>
      <c r="AM1762"/>
    </row>
    <row r="1763" spans="3:39" x14ac:dyDescent="0.2">
      <c r="C1763"/>
      <c r="D1763"/>
      <c r="E1763"/>
      <c r="F1763"/>
      <c r="G1763"/>
      <c r="H1763"/>
      <c r="I1763" s="684"/>
      <c r="V1763"/>
      <c r="W1763"/>
      <c r="Y1763"/>
      <c r="Z1763"/>
      <c r="AA1763"/>
      <c r="AD1763"/>
      <c r="AE1763"/>
      <c r="AF1763"/>
      <c r="AH1763"/>
      <c r="AI1763"/>
      <c r="AJ1763"/>
      <c r="AM1763"/>
    </row>
    <row r="1764" spans="3:39" x14ac:dyDescent="0.2">
      <c r="C1764"/>
      <c r="D1764"/>
      <c r="E1764"/>
      <c r="F1764"/>
      <c r="G1764"/>
      <c r="H1764"/>
      <c r="I1764" s="684"/>
      <c r="V1764"/>
      <c r="W1764"/>
      <c r="Y1764"/>
      <c r="Z1764"/>
      <c r="AA1764"/>
      <c r="AD1764"/>
      <c r="AE1764"/>
      <c r="AF1764"/>
      <c r="AH1764"/>
      <c r="AI1764"/>
      <c r="AJ1764"/>
      <c r="AM1764"/>
    </row>
    <row r="1765" spans="3:39" x14ac:dyDescent="0.2">
      <c r="C1765"/>
      <c r="D1765"/>
      <c r="E1765"/>
      <c r="F1765"/>
      <c r="G1765"/>
      <c r="H1765"/>
      <c r="I1765" s="684"/>
      <c r="V1765"/>
      <c r="W1765"/>
      <c r="Y1765"/>
      <c r="Z1765"/>
      <c r="AA1765"/>
      <c r="AD1765"/>
      <c r="AE1765"/>
      <c r="AF1765"/>
      <c r="AH1765"/>
      <c r="AI1765"/>
      <c r="AJ1765"/>
      <c r="AM1765"/>
    </row>
    <row r="1766" spans="3:39" x14ac:dyDescent="0.2">
      <c r="C1766"/>
      <c r="D1766"/>
      <c r="E1766"/>
      <c r="F1766"/>
      <c r="G1766"/>
      <c r="H1766"/>
      <c r="I1766" s="684"/>
      <c r="V1766"/>
      <c r="W1766"/>
      <c r="Y1766"/>
      <c r="Z1766"/>
      <c r="AA1766"/>
      <c r="AD1766"/>
      <c r="AE1766"/>
      <c r="AF1766"/>
      <c r="AH1766"/>
      <c r="AI1766"/>
      <c r="AJ1766"/>
      <c r="AM1766"/>
    </row>
    <row r="1767" spans="3:39" x14ac:dyDescent="0.2">
      <c r="C1767"/>
      <c r="D1767"/>
      <c r="E1767"/>
      <c r="F1767"/>
      <c r="G1767"/>
      <c r="H1767"/>
      <c r="I1767" s="684"/>
      <c r="V1767"/>
      <c r="W1767"/>
      <c r="Y1767"/>
      <c r="Z1767"/>
      <c r="AA1767"/>
      <c r="AD1767"/>
      <c r="AE1767"/>
      <c r="AF1767"/>
      <c r="AH1767"/>
      <c r="AI1767"/>
      <c r="AJ1767"/>
      <c r="AM1767"/>
    </row>
    <row r="1768" spans="3:39" x14ac:dyDescent="0.2">
      <c r="C1768"/>
      <c r="D1768"/>
      <c r="E1768"/>
      <c r="F1768"/>
      <c r="G1768"/>
      <c r="H1768"/>
      <c r="I1768" s="684"/>
      <c r="V1768"/>
      <c r="W1768"/>
      <c r="Y1768"/>
      <c r="Z1768"/>
      <c r="AA1768"/>
      <c r="AD1768"/>
      <c r="AE1768"/>
      <c r="AF1768"/>
      <c r="AH1768"/>
      <c r="AI1768"/>
      <c r="AJ1768"/>
      <c r="AM1768"/>
    </row>
    <row r="1769" spans="3:39" x14ac:dyDescent="0.2">
      <c r="C1769"/>
      <c r="D1769"/>
      <c r="E1769"/>
      <c r="F1769"/>
      <c r="G1769"/>
      <c r="H1769"/>
      <c r="I1769" s="684"/>
      <c r="V1769"/>
      <c r="W1769"/>
      <c r="Y1769"/>
      <c r="Z1769"/>
      <c r="AA1769"/>
      <c r="AD1769"/>
      <c r="AE1769"/>
      <c r="AF1769"/>
      <c r="AH1769"/>
      <c r="AI1769"/>
      <c r="AJ1769"/>
      <c r="AM1769"/>
    </row>
    <row r="1770" spans="3:39" x14ac:dyDescent="0.2">
      <c r="C1770"/>
      <c r="D1770"/>
      <c r="E1770"/>
      <c r="F1770"/>
      <c r="G1770"/>
      <c r="H1770"/>
      <c r="I1770" s="684"/>
      <c r="V1770"/>
      <c r="W1770"/>
      <c r="Y1770"/>
      <c r="Z1770"/>
      <c r="AA1770"/>
      <c r="AD1770"/>
      <c r="AE1770"/>
      <c r="AF1770"/>
      <c r="AH1770"/>
      <c r="AI1770"/>
      <c r="AJ1770"/>
      <c r="AM1770"/>
    </row>
    <row r="1771" spans="3:39" x14ac:dyDescent="0.2">
      <c r="C1771"/>
      <c r="D1771"/>
      <c r="E1771"/>
      <c r="F1771"/>
      <c r="G1771"/>
      <c r="H1771"/>
      <c r="I1771" s="684"/>
      <c r="V1771"/>
      <c r="W1771"/>
      <c r="Y1771"/>
      <c r="Z1771"/>
      <c r="AA1771"/>
      <c r="AD1771"/>
      <c r="AE1771"/>
      <c r="AF1771"/>
      <c r="AH1771"/>
      <c r="AI1771"/>
      <c r="AJ1771"/>
      <c r="AM1771"/>
    </row>
    <row r="1772" spans="3:39" x14ac:dyDescent="0.2">
      <c r="C1772"/>
      <c r="D1772"/>
      <c r="E1772"/>
      <c r="F1772"/>
      <c r="G1772"/>
      <c r="H1772"/>
      <c r="I1772" s="684"/>
      <c r="V1772"/>
      <c r="W1772"/>
      <c r="Y1772"/>
      <c r="Z1772"/>
      <c r="AA1772"/>
      <c r="AD1772"/>
      <c r="AE1772"/>
      <c r="AF1772"/>
      <c r="AH1772"/>
      <c r="AI1772"/>
      <c r="AJ1772"/>
      <c r="AM1772"/>
    </row>
    <row r="1773" spans="3:39" x14ac:dyDescent="0.2">
      <c r="C1773"/>
      <c r="D1773"/>
      <c r="E1773"/>
      <c r="F1773"/>
      <c r="G1773"/>
      <c r="H1773"/>
      <c r="I1773" s="684"/>
      <c r="V1773"/>
      <c r="W1773"/>
      <c r="Y1773"/>
      <c r="Z1773"/>
      <c r="AA1773"/>
      <c r="AD1773"/>
      <c r="AE1773"/>
      <c r="AF1773"/>
      <c r="AH1773"/>
      <c r="AI1773"/>
      <c r="AJ1773"/>
      <c r="AM1773"/>
    </row>
    <row r="1774" spans="3:39" x14ac:dyDescent="0.2">
      <c r="C1774"/>
      <c r="D1774"/>
      <c r="E1774"/>
      <c r="F1774"/>
      <c r="G1774"/>
      <c r="H1774"/>
      <c r="I1774" s="684"/>
      <c r="V1774"/>
      <c r="W1774"/>
      <c r="Y1774"/>
      <c r="Z1774"/>
      <c r="AA1774"/>
      <c r="AD1774"/>
      <c r="AE1774"/>
      <c r="AF1774"/>
      <c r="AH1774"/>
      <c r="AI1774"/>
      <c r="AJ1774"/>
      <c r="AM1774"/>
    </row>
    <row r="1775" spans="3:39" x14ac:dyDescent="0.2">
      <c r="C1775"/>
      <c r="D1775"/>
      <c r="E1775"/>
      <c r="F1775"/>
      <c r="G1775"/>
      <c r="H1775"/>
      <c r="I1775" s="684"/>
      <c r="V1775"/>
      <c r="W1775"/>
      <c r="Y1775"/>
      <c r="Z1775"/>
      <c r="AA1775"/>
      <c r="AD1775"/>
      <c r="AE1775"/>
      <c r="AF1775"/>
      <c r="AH1775"/>
      <c r="AI1775"/>
      <c r="AJ1775"/>
      <c r="AM1775"/>
    </row>
    <row r="1776" spans="3:39" x14ac:dyDescent="0.2">
      <c r="C1776"/>
      <c r="D1776"/>
      <c r="E1776"/>
      <c r="F1776"/>
      <c r="G1776"/>
      <c r="H1776"/>
      <c r="I1776" s="684"/>
      <c r="V1776"/>
      <c r="W1776"/>
      <c r="Y1776"/>
      <c r="Z1776"/>
      <c r="AA1776"/>
      <c r="AD1776"/>
      <c r="AE1776"/>
      <c r="AF1776"/>
      <c r="AH1776"/>
      <c r="AI1776"/>
      <c r="AJ1776"/>
      <c r="AM1776"/>
    </row>
    <row r="1777" spans="3:39" x14ac:dyDescent="0.2">
      <c r="C1777"/>
      <c r="D1777"/>
      <c r="E1777"/>
      <c r="F1777"/>
      <c r="G1777"/>
      <c r="H1777"/>
      <c r="I1777" s="684"/>
      <c r="V1777"/>
      <c r="W1777"/>
      <c r="Y1777"/>
      <c r="Z1777"/>
      <c r="AA1777"/>
      <c r="AD1777"/>
      <c r="AE1777"/>
      <c r="AF1777"/>
      <c r="AH1777"/>
      <c r="AI1777"/>
      <c r="AJ1777"/>
      <c r="AM1777"/>
    </row>
    <row r="1778" spans="3:39" x14ac:dyDescent="0.2">
      <c r="C1778"/>
      <c r="D1778"/>
      <c r="E1778"/>
      <c r="F1778"/>
      <c r="G1778"/>
      <c r="H1778"/>
      <c r="I1778" s="684"/>
      <c r="V1778"/>
      <c r="W1778"/>
      <c r="Y1778"/>
      <c r="Z1778"/>
      <c r="AA1778"/>
      <c r="AD1778"/>
      <c r="AE1778"/>
      <c r="AF1778"/>
      <c r="AH1778"/>
      <c r="AI1778"/>
      <c r="AJ1778"/>
      <c r="AM1778"/>
    </row>
    <row r="1779" spans="3:39" x14ac:dyDescent="0.2">
      <c r="C1779"/>
      <c r="D1779"/>
      <c r="E1779"/>
      <c r="F1779"/>
      <c r="G1779"/>
      <c r="H1779"/>
      <c r="I1779" s="684"/>
      <c r="V1779"/>
      <c r="W1779"/>
      <c r="Y1779"/>
      <c r="Z1779"/>
      <c r="AA1779"/>
      <c r="AD1779"/>
      <c r="AE1779"/>
      <c r="AF1779"/>
      <c r="AH1779"/>
      <c r="AI1779"/>
      <c r="AJ1779"/>
      <c r="AM1779"/>
    </row>
    <row r="1780" spans="3:39" x14ac:dyDescent="0.2">
      <c r="C1780"/>
      <c r="D1780"/>
      <c r="E1780"/>
      <c r="F1780"/>
      <c r="G1780"/>
      <c r="H1780"/>
      <c r="I1780" s="684"/>
      <c r="V1780"/>
      <c r="W1780"/>
      <c r="Y1780"/>
      <c r="Z1780"/>
      <c r="AA1780"/>
      <c r="AD1780"/>
      <c r="AE1780"/>
      <c r="AF1780"/>
      <c r="AH1780"/>
      <c r="AI1780"/>
      <c r="AJ1780"/>
      <c r="AM1780"/>
    </row>
    <row r="1781" spans="3:39" x14ac:dyDescent="0.2">
      <c r="C1781"/>
      <c r="D1781"/>
      <c r="E1781"/>
      <c r="F1781"/>
      <c r="G1781"/>
      <c r="H1781"/>
      <c r="I1781" s="684"/>
      <c r="V1781"/>
      <c r="W1781"/>
      <c r="Y1781"/>
      <c r="Z1781"/>
      <c r="AA1781"/>
      <c r="AD1781"/>
      <c r="AE1781"/>
      <c r="AF1781"/>
      <c r="AH1781"/>
      <c r="AI1781"/>
      <c r="AJ1781"/>
      <c r="AM1781"/>
    </row>
    <row r="1782" spans="3:39" x14ac:dyDescent="0.2">
      <c r="C1782"/>
      <c r="D1782"/>
      <c r="E1782"/>
      <c r="F1782"/>
      <c r="G1782"/>
      <c r="H1782"/>
      <c r="I1782" s="684"/>
      <c r="V1782"/>
      <c r="W1782"/>
      <c r="Y1782"/>
      <c r="Z1782"/>
      <c r="AA1782"/>
      <c r="AD1782"/>
      <c r="AE1782"/>
      <c r="AF1782"/>
      <c r="AH1782"/>
      <c r="AI1782"/>
      <c r="AJ1782"/>
      <c r="AM1782"/>
    </row>
    <row r="1783" spans="3:39" x14ac:dyDescent="0.2">
      <c r="C1783"/>
      <c r="D1783"/>
      <c r="E1783"/>
      <c r="F1783"/>
      <c r="G1783"/>
      <c r="H1783"/>
      <c r="I1783" s="684"/>
      <c r="V1783"/>
      <c r="W1783"/>
      <c r="Y1783"/>
      <c r="Z1783"/>
      <c r="AA1783"/>
      <c r="AD1783"/>
      <c r="AE1783"/>
      <c r="AF1783"/>
      <c r="AH1783"/>
      <c r="AI1783"/>
      <c r="AJ1783"/>
      <c r="AM1783"/>
    </row>
    <row r="1784" spans="3:39" x14ac:dyDescent="0.2">
      <c r="C1784"/>
      <c r="D1784"/>
      <c r="E1784"/>
      <c r="F1784"/>
      <c r="G1784"/>
      <c r="H1784"/>
      <c r="I1784" s="684"/>
      <c r="V1784"/>
      <c r="W1784"/>
      <c r="Y1784"/>
      <c r="Z1784"/>
      <c r="AA1784"/>
      <c r="AD1784"/>
      <c r="AE1784"/>
      <c r="AF1784"/>
      <c r="AH1784"/>
      <c r="AI1784"/>
      <c r="AJ1784"/>
      <c r="AM1784"/>
    </row>
    <row r="1785" spans="3:39" x14ac:dyDescent="0.2">
      <c r="C1785"/>
      <c r="D1785"/>
      <c r="E1785"/>
      <c r="F1785"/>
      <c r="G1785"/>
      <c r="H1785"/>
      <c r="I1785" s="684"/>
      <c r="V1785"/>
      <c r="W1785"/>
      <c r="Y1785"/>
      <c r="Z1785"/>
      <c r="AA1785"/>
      <c r="AD1785"/>
      <c r="AE1785"/>
      <c r="AF1785"/>
      <c r="AH1785"/>
      <c r="AI1785"/>
      <c r="AJ1785"/>
      <c r="AM1785"/>
    </row>
    <row r="1786" spans="3:39" x14ac:dyDescent="0.2">
      <c r="C1786"/>
      <c r="D1786"/>
      <c r="E1786"/>
      <c r="F1786"/>
      <c r="G1786"/>
      <c r="H1786"/>
      <c r="I1786" s="684"/>
      <c r="V1786"/>
      <c r="W1786"/>
      <c r="Y1786"/>
      <c r="Z1786"/>
      <c r="AA1786"/>
      <c r="AD1786"/>
      <c r="AE1786"/>
      <c r="AF1786"/>
      <c r="AH1786"/>
      <c r="AI1786"/>
      <c r="AJ1786"/>
      <c r="AM1786"/>
    </row>
    <row r="1787" spans="3:39" x14ac:dyDescent="0.2">
      <c r="C1787"/>
      <c r="D1787"/>
      <c r="E1787"/>
      <c r="F1787"/>
      <c r="G1787"/>
      <c r="H1787"/>
      <c r="I1787" s="684"/>
      <c r="V1787"/>
      <c r="W1787"/>
      <c r="Y1787"/>
      <c r="Z1787"/>
      <c r="AA1787"/>
      <c r="AD1787"/>
      <c r="AE1787"/>
      <c r="AF1787"/>
      <c r="AH1787"/>
      <c r="AI1787"/>
      <c r="AJ1787"/>
      <c r="AM1787"/>
    </row>
    <row r="1788" spans="3:39" x14ac:dyDescent="0.2">
      <c r="C1788"/>
      <c r="D1788"/>
      <c r="E1788"/>
      <c r="F1788"/>
      <c r="G1788"/>
      <c r="H1788"/>
      <c r="I1788" s="684"/>
      <c r="V1788"/>
      <c r="W1788"/>
      <c r="Y1788"/>
      <c r="Z1788"/>
      <c r="AA1788"/>
      <c r="AD1788"/>
      <c r="AE1788"/>
      <c r="AF1788"/>
      <c r="AH1788"/>
      <c r="AI1788"/>
      <c r="AJ1788"/>
      <c r="AM1788"/>
    </row>
    <row r="1789" spans="3:39" x14ac:dyDescent="0.2">
      <c r="C1789"/>
      <c r="D1789"/>
      <c r="E1789"/>
      <c r="F1789"/>
      <c r="G1789"/>
      <c r="H1789"/>
      <c r="I1789" s="684"/>
      <c r="V1789"/>
      <c r="W1789"/>
      <c r="Y1789"/>
      <c r="Z1789"/>
      <c r="AA1789"/>
      <c r="AD1789"/>
      <c r="AE1789"/>
      <c r="AF1789"/>
      <c r="AH1789"/>
      <c r="AI1789"/>
      <c r="AJ1789"/>
      <c r="AM1789"/>
    </row>
    <row r="1790" spans="3:39" x14ac:dyDescent="0.2">
      <c r="C1790"/>
      <c r="D1790"/>
      <c r="E1790"/>
      <c r="F1790"/>
      <c r="G1790"/>
      <c r="H1790"/>
      <c r="I1790" s="684"/>
      <c r="V1790"/>
      <c r="W1790"/>
      <c r="Y1790"/>
      <c r="Z1790"/>
      <c r="AA1790"/>
      <c r="AD1790"/>
      <c r="AE1790"/>
      <c r="AF1790"/>
      <c r="AH1790"/>
      <c r="AI1790"/>
      <c r="AJ1790"/>
      <c r="AM1790"/>
    </row>
    <row r="1791" spans="3:39" x14ac:dyDescent="0.2">
      <c r="C1791"/>
      <c r="D1791"/>
      <c r="E1791"/>
      <c r="F1791"/>
      <c r="G1791"/>
      <c r="H1791"/>
      <c r="I1791" s="684"/>
      <c r="V1791"/>
      <c r="W1791"/>
      <c r="Y1791"/>
      <c r="Z1791"/>
      <c r="AA1791"/>
      <c r="AD1791"/>
      <c r="AE1791"/>
      <c r="AF1791"/>
      <c r="AH1791"/>
      <c r="AI1791"/>
      <c r="AJ1791"/>
      <c r="AM1791"/>
    </row>
    <row r="1792" spans="3:39" x14ac:dyDescent="0.2">
      <c r="C1792"/>
      <c r="D1792"/>
      <c r="E1792"/>
      <c r="F1792"/>
      <c r="G1792"/>
      <c r="H1792"/>
      <c r="I1792" s="684"/>
      <c r="V1792"/>
      <c r="W1792"/>
      <c r="Y1792"/>
      <c r="Z1792"/>
      <c r="AA1792"/>
      <c r="AD1792"/>
      <c r="AE1792"/>
      <c r="AF1792"/>
      <c r="AH1792"/>
      <c r="AI1792"/>
      <c r="AJ1792"/>
      <c r="AM1792"/>
    </row>
    <row r="1793" spans="3:39" x14ac:dyDescent="0.2">
      <c r="C1793"/>
      <c r="D1793"/>
      <c r="E1793"/>
      <c r="F1793"/>
      <c r="G1793"/>
      <c r="H1793"/>
      <c r="I1793" s="684"/>
      <c r="V1793"/>
      <c r="W1793"/>
      <c r="Y1793"/>
      <c r="Z1793"/>
      <c r="AA1793"/>
      <c r="AD1793"/>
      <c r="AE1793"/>
      <c r="AF1793"/>
      <c r="AH1793"/>
      <c r="AI1793"/>
      <c r="AJ1793"/>
      <c r="AM1793"/>
    </row>
    <row r="1794" spans="3:39" x14ac:dyDescent="0.2">
      <c r="C1794"/>
      <c r="D1794"/>
      <c r="E1794"/>
      <c r="F1794"/>
      <c r="G1794"/>
      <c r="H1794"/>
      <c r="I1794" s="684"/>
      <c r="V1794"/>
      <c r="W1794"/>
      <c r="Y1794"/>
      <c r="Z1794"/>
      <c r="AA1794"/>
      <c r="AD1794"/>
      <c r="AE1794"/>
      <c r="AF1794"/>
      <c r="AH1794"/>
      <c r="AI1794"/>
      <c r="AJ1794"/>
      <c r="AM1794"/>
    </row>
    <row r="1795" spans="3:39" x14ac:dyDescent="0.2">
      <c r="C1795"/>
      <c r="D1795"/>
      <c r="E1795"/>
      <c r="F1795"/>
      <c r="G1795"/>
      <c r="H1795"/>
      <c r="I1795" s="684"/>
      <c r="V1795"/>
      <c r="W1795"/>
      <c r="Y1795"/>
      <c r="Z1795"/>
      <c r="AA1795"/>
      <c r="AD1795"/>
      <c r="AE1795"/>
      <c r="AF1795"/>
      <c r="AH1795"/>
      <c r="AI1795"/>
      <c r="AJ1795"/>
      <c r="AM1795"/>
    </row>
    <row r="1796" spans="3:39" x14ac:dyDescent="0.2">
      <c r="C1796"/>
      <c r="D1796"/>
      <c r="E1796"/>
      <c r="F1796"/>
      <c r="G1796"/>
      <c r="H1796"/>
      <c r="I1796" s="684"/>
      <c r="V1796"/>
      <c r="W1796"/>
      <c r="Y1796"/>
      <c r="Z1796"/>
      <c r="AA1796"/>
      <c r="AD1796"/>
      <c r="AE1796"/>
      <c r="AF1796"/>
      <c r="AH1796"/>
      <c r="AI1796"/>
      <c r="AJ1796"/>
      <c r="AM1796"/>
    </row>
    <row r="1797" spans="3:39" x14ac:dyDescent="0.2">
      <c r="C1797"/>
      <c r="D1797"/>
      <c r="E1797"/>
      <c r="F1797"/>
      <c r="G1797"/>
      <c r="H1797"/>
      <c r="I1797" s="684"/>
      <c r="V1797"/>
      <c r="W1797"/>
      <c r="Y1797"/>
      <c r="Z1797"/>
      <c r="AA1797"/>
      <c r="AD1797"/>
      <c r="AE1797"/>
      <c r="AF1797"/>
      <c r="AH1797"/>
      <c r="AI1797"/>
      <c r="AJ1797"/>
      <c r="AM1797"/>
    </row>
    <row r="1798" spans="3:39" x14ac:dyDescent="0.2">
      <c r="C1798"/>
      <c r="D1798"/>
      <c r="E1798"/>
      <c r="F1798"/>
      <c r="G1798"/>
      <c r="H1798"/>
      <c r="I1798" s="684"/>
      <c r="V1798"/>
      <c r="W1798"/>
      <c r="Y1798"/>
      <c r="Z1798"/>
      <c r="AA1798"/>
      <c r="AD1798"/>
      <c r="AE1798"/>
      <c r="AF1798"/>
      <c r="AH1798"/>
      <c r="AI1798"/>
      <c r="AJ1798"/>
      <c r="AM1798"/>
    </row>
    <row r="1799" spans="3:39" x14ac:dyDescent="0.2">
      <c r="C1799"/>
      <c r="D1799"/>
      <c r="E1799"/>
      <c r="F1799"/>
      <c r="G1799"/>
      <c r="H1799"/>
      <c r="I1799" s="684"/>
      <c r="V1799"/>
      <c r="W1799"/>
      <c r="Y1799"/>
      <c r="Z1799"/>
      <c r="AA1799"/>
      <c r="AD1799"/>
      <c r="AE1799"/>
      <c r="AF1799"/>
      <c r="AH1799"/>
      <c r="AI1799"/>
      <c r="AJ1799"/>
      <c r="AM1799"/>
    </row>
    <row r="1800" spans="3:39" x14ac:dyDescent="0.2">
      <c r="C1800"/>
      <c r="D1800"/>
      <c r="E1800"/>
      <c r="F1800"/>
      <c r="G1800"/>
      <c r="H1800"/>
      <c r="I1800" s="684"/>
      <c r="V1800"/>
      <c r="W1800"/>
      <c r="Y1800"/>
      <c r="Z1800"/>
      <c r="AA1800"/>
      <c r="AD1800"/>
      <c r="AE1800"/>
      <c r="AF1800"/>
      <c r="AH1800"/>
      <c r="AI1800"/>
      <c r="AJ1800"/>
      <c r="AM1800"/>
    </row>
    <row r="1801" spans="3:39" x14ac:dyDescent="0.2">
      <c r="C1801"/>
      <c r="D1801"/>
      <c r="E1801"/>
      <c r="F1801"/>
      <c r="G1801"/>
      <c r="H1801"/>
      <c r="I1801" s="684"/>
      <c r="V1801"/>
      <c r="W1801"/>
      <c r="Y1801"/>
      <c r="Z1801"/>
      <c r="AA1801"/>
      <c r="AD1801"/>
      <c r="AE1801"/>
      <c r="AF1801"/>
      <c r="AH1801"/>
      <c r="AI1801"/>
      <c r="AJ1801"/>
      <c r="AM1801"/>
    </row>
    <row r="1802" spans="3:39" x14ac:dyDescent="0.2">
      <c r="C1802"/>
      <c r="D1802"/>
      <c r="E1802"/>
      <c r="F1802"/>
      <c r="G1802"/>
      <c r="H1802"/>
      <c r="I1802" s="684"/>
      <c r="V1802"/>
      <c r="W1802"/>
      <c r="Y1802"/>
      <c r="Z1802"/>
      <c r="AA1802"/>
      <c r="AD1802"/>
      <c r="AE1802"/>
      <c r="AF1802"/>
      <c r="AH1802"/>
      <c r="AI1802"/>
      <c r="AJ1802"/>
      <c r="AM1802"/>
    </row>
    <row r="1803" spans="3:39" x14ac:dyDescent="0.2">
      <c r="C1803"/>
      <c r="D1803"/>
      <c r="E1803"/>
      <c r="F1803"/>
      <c r="G1803"/>
      <c r="H1803"/>
      <c r="I1803" s="684"/>
      <c r="V1803"/>
      <c r="W1803"/>
      <c r="Y1803"/>
      <c r="Z1803"/>
      <c r="AA1803"/>
      <c r="AD1803"/>
      <c r="AE1803"/>
      <c r="AF1803"/>
      <c r="AH1803"/>
      <c r="AI1803"/>
      <c r="AJ1803"/>
      <c r="AM1803"/>
    </row>
    <row r="1804" spans="3:39" x14ac:dyDescent="0.2">
      <c r="C1804"/>
      <c r="D1804"/>
      <c r="E1804"/>
      <c r="F1804"/>
      <c r="G1804"/>
      <c r="H1804"/>
      <c r="I1804" s="684"/>
      <c r="V1804"/>
      <c r="W1804"/>
      <c r="Y1804"/>
      <c r="Z1804"/>
      <c r="AA1804"/>
      <c r="AD1804"/>
      <c r="AE1804"/>
      <c r="AF1804"/>
      <c r="AH1804"/>
      <c r="AI1804"/>
      <c r="AJ1804"/>
      <c r="AM1804"/>
    </row>
    <row r="1805" spans="3:39" x14ac:dyDescent="0.2">
      <c r="C1805"/>
      <c r="D1805"/>
      <c r="E1805"/>
      <c r="F1805"/>
      <c r="G1805"/>
      <c r="H1805"/>
      <c r="I1805" s="684"/>
      <c r="V1805"/>
      <c r="W1805"/>
      <c r="Y1805"/>
      <c r="Z1805"/>
      <c r="AA1805"/>
      <c r="AD1805"/>
      <c r="AE1805"/>
      <c r="AF1805"/>
      <c r="AH1805"/>
      <c r="AI1805"/>
      <c r="AJ1805"/>
      <c r="AM1805"/>
    </row>
    <row r="1806" spans="3:39" x14ac:dyDescent="0.2">
      <c r="C1806"/>
      <c r="D1806"/>
      <c r="E1806"/>
      <c r="F1806"/>
      <c r="G1806"/>
      <c r="H1806"/>
      <c r="I1806" s="684"/>
      <c r="V1806"/>
      <c r="W1806"/>
      <c r="Y1806"/>
      <c r="Z1806"/>
      <c r="AA1806"/>
      <c r="AD1806"/>
      <c r="AE1806"/>
      <c r="AF1806"/>
      <c r="AH1806"/>
      <c r="AI1806"/>
      <c r="AJ1806"/>
      <c r="AM1806"/>
    </row>
    <row r="1807" spans="3:39" x14ac:dyDescent="0.2">
      <c r="C1807"/>
      <c r="D1807"/>
      <c r="E1807"/>
      <c r="F1807"/>
      <c r="G1807"/>
      <c r="H1807"/>
      <c r="I1807" s="684"/>
      <c r="V1807"/>
      <c r="W1807"/>
      <c r="Y1807"/>
      <c r="Z1807"/>
      <c r="AA1807"/>
      <c r="AD1807"/>
      <c r="AE1807"/>
      <c r="AF1807"/>
      <c r="AH1807"/>
      <c r="AI1807"/>
      <c r="AJ1807"/>
      <c r="AM1807"/>
    </row>
    <row r="1808" spans="3:39" x14ac:dyDescent="0.2">
      <c r="C1808"/>
      <c r="D1808"/>
      <c r="E1808"/>
      <c r="F1808"/>
      <c r="G1808"/>
      <c r="H1808"/>
      <c r="I1808" s="684"/>
      <c r="V1808"/>
      <c r="W1808"/>
      <c r="Y1808"/>
      <c r="Z1808"/>
      <c r="AA1808"/>
      <c r="AD1808"/>
      <c r="AE1808"/>
      <c r="AF1808"/>
      <c r="AH1808"/>
      <c r="AI1808"/>
      <c r="AJ1808"/>
      <c r="AM1808"/>
    </row>
    <row r="1809" spans="3:39" x14ac:dyDescent="0.2">
      <c r="C1809"/>
      <c r="D1809"/>
      <c r="E1809"/>
      <c r="F1809"/>
      <c r="G1809"/>
      <c r="H1809"/>
      <c r="I1809" s="684"/>
      <c r="V1809"/>
      <c r="W1809"/>
      <c r="Y1809"/>
      <c r="Z1809"/>
      <c r="AA1809"/>
      <c r="AD1809"/>
      <c r="AE1809"/>
      <c r="AF1809"/>
      <c r="AH1809"/>
      <c r="AI1809"/>
      <c r="AJ1809"/>
      <c r="AM1809"/>
    </row>
    <row r="1810" spans="3:39" x14ac:dyDescent="0.2">
      <c r="C1810"/>
      <c r="D1810"/>
      <c r="E1810"/>
      <c r="F1810"/>
      <c r="G1810"/>
      <c r="H1810"/>
      <c r="I1810" s="684"/>
      <c r="V1810"/>
      <c r="W1810"/>
      <c r="Y1810"/>
      <c r="Z1810"/>
      <c r="AA1810"/>
      <c r="AD1810"/>
      <c r="AE1810"/>
      <c r="AF1810"/>
      <c r="AH1810"/>
      <c r="AI1810"/>
      <c r="AJ1810"/>
      <c r="AM1810"/>
    </row>
    <row r="1811" spans="3:39" x14ac:dyDescent="0.2">
      <c r="C1811"/>
      <c r="D1811"/>
      <c r="E1811"/>
      <c r="F1811"/>
      <c r="G1811"/>
      <c r="H1811"/>
      <c r="I1811" s="684"/>
      <c r="V1811"/>
      <c r="W1811"/>
      <c r="Y1811"/>
      <c r="Z1811"/>
      <c r="AA1811"/>
      <c r="AD1811"/>
      <c r="AE1811"/>
      <c r="AF1811"/>
      <c r="AH1811"/>
      <c r="AI1811"/>
      <c r="AJ1811"/>
      <c r="AM1811"/>
    </row>
    <row r="1812" spans="3:39" x14ac:dyDescent="0.2">
      <c r="C1812"/>
      <c r="D1812"/>
      <c r="E1812"/>
      <c r="F1812"/>
      <c r="G1812"/>
      <c r="H1812"/>
      <c r="I1812" s="684"/>
      <c r="V1812"/>
      <c r="W1812"/>
      <c r="Y1812"/>
      <c r="Z1812"/>
      <c r="AA1812"/>
      <c r="AD1812"/>
      <c r="AE1812"/>
      <c r="AF1812"/>
      <c r="AH1812"/>
      <c r="AI1812"/>
      <c r="AJ1812"/>
      <c r="AM1812"/>
    </row>
    <row r="1813" spans="3:39" x14ac:dyDescent="0.2">
      <c r="C1813"/>
      <c r="D1813"/>
      <c r="E1813"/>
      <c r="F1813"/>
      <c r="G1813"/>
      <c r="H1813"/>
      <c r="I1813" s="684"/>
      <c r="V1813"/>
      <c r="W1813"/>
      <c r="Y1813"/>
      <c r="Z1813"/>
      <c r="AA1813"/>
      <c r="AD1813"/>
      <c r="AE1813"/>
      <c r="AF1813"/>
      <c r="AH1813"/>
      <c r="AI1813"/>
      <c r="AJ1813"/>
      <c r="AM1813"/>
    </row>
    <row r="1814" spans="3:39" x14ac:dyDescent="0.2">
      <c r="C1814"/>
      <c r="D1814"/>
      <c r="E1814"/>
      <c r="F1814"/>
      <c r="G1814"/>
      <c r="H1814"/>
      <c r="I1814" s="684"/>
      <c r="V1814"/>
      <c r="W1814"/>
      <c r="Y1814"/>
      <c r="Z1814"/>
      <c r="AA1814"/>
      <c r="AD1814"/>
      <c r="AE1814"/>
      <c r="AF1814"/>
      <c r="AH1814"/>
      <c r="AI1814"/>
      <c r="AJ1814"/>
      <c r="AM1814"/>
    </row>
    <row r="1815" spans="3:39" x14ac:dyDescent="0.2">
      <c r="C1815"/>
      <c r="D1815"/>
      <c r="E1815"/>
      <c r="F1815"/>
      <c r="G1815"/>
      <c r="H1815"/>
      <c r="I1815" s="684"/>
      <c r="V1815"/>
      <c r="W1815"/>
      <c r="Y1815"/>
      <c r="Z1815"/>
      <c r="AA1815"/>
      <c r="AD1815"/>
      <c r="AE1815"/>
      <c r="AF1815"/>
      <c r="AH1815"/>
      <c r="AI1815"/>
      <c r="AJ1815"/>
      <c r="AM1815"/>
    </row>
    <row r="1816" spans="3:39" x14ac:dyDescent="0.2">
      <c r="C1816"/>
      <c r="D1816"/>
      <c r="E1816"/>
      <c r="F1816"/>
      <c r="G1816"/>
      <c r="H1816"/>
      <c r="I1816" s="684"/>
      <c r="V1816"/>
      <c r="W1816"/>
      <c r="Y1816"/>
      <c r="Z1816"/>
      <c r="AA1816"/>
      <c r="AD1816"/>
      <c r="AE1816"/>
      <c r="AF1816"/>
      <c r="AH1816"/>
      <c r="AI1816"/>
      <c r="AJ1816"/>
      <c r="AM1816"/>
    </row>
    <row r="1817" spans="3:39" x14ac:dyDescent="0.2">
      <c r="C1817"/>
      <c r="D1817"/>
      <c r="E1817"/>
      <c r="F1817"/>
      <c r="G1817"/>
      <c r="H1817"/>
      <c r="I1817" s="684"/>
      <c r="V1817"/>
      <c r="W1817"/>
      <c r="Y1817"/>
      <c r="Z1817"/>
      <c r="AA1817"/>
      <c r="AD1817"/>
      <c r="AE1817"/>
      <c r="AF1817"/>
      <c r="AH1817"/>
      <c r="AI1817"/>
      <c r="AJ1817"/>
      <c r="AM1817"/>
    </row>
    <row r="1818" spans="3:39" x14ac:dyDescent="0.2">
      <c r="C1818"/>
      <c r="D1818"/>
      <c r="E1818"/>
      <c r="F1818"/>
      <c r="G1818"/>
      <c r="H1818"/>
      <c r="I1818" s="684"/>
      <c r="V1818"/>
      <c r="W1818"/>
      <c r="Y1818"/>
      <c r="Z1818"/>
      <c r="AA1818"/>
      <c r="AD1818"/>
      <c r="AE1818"/>
      <c r="AF1818"/>
      <c r="AH1818"/>
      <c r="AI1818"/>
      <c r="AJ1818"/>
      <c r="AM1818"/>
    </row>
    <row r="1819" spans="3:39" x14ac:dyDescent="0.2">
      <c r="C1819"/>
      <c r="D1819"/>
      <c r="E1819"/>
      <c r="F1819"/>
      <c r="G1819"/>
      <c r="H1819"/>
      <c r="I1819" s="684"/>
      <c r="V1819"/>
      <c r="W1819"/>
      <c r="Y1819"/>
      <c r="Z1819"/>
      <c r="AA1819"/>
      <c r="AD1819"/>
      <c r="AE1819"/>
      <c r="AF1819"/>
      <c r="AH1819"/>
      <c r="AI1819"/>
      <c r="AJ1819"/>
      <c r="AM1819"/>
    </row>
    <row r="1820" spans="3:39" x14ac:dyDescent="0.2">
      <c r="C1820"/>
      <c r="D1820"/>
      <c r="E1820"/>
      <c r="F1820"/>
      <c r="G1820"/>
      <c r="H1820"/>
      <c r="I1820" s="684"/>
      <c r="V1820"/>
      <c r="W1820"/>
      <c r="Y1820"/>
      <c r="Z1820"/>
      <c r="AA1820"/>
      <c r="AD1820"/>
      <c r="AE1820"/>
      <c r="AF1820"/>
      <c r="AH1820"/>
      <c r="AI1820"/>
      <c r="AJ1820"/>
      <c r="AM1820"/>
    </row>
    <row r="1821" spans="3:39" x14ac:dyDescent="0.2">
      <c r="C1821"/>
      <c r="D1821"/>
      <c r="E1821"/>
      <c r="F1821"/>
      <c r="G1821"/>
      <c r="H1821"/>
      <c r="I1821" s="684"/>
      <c r="V1821"/>
      <c r="W1821"/>
      <c r="Y1821"/>
      <c r="Z1821"/>
      <c r="AA1821"/>
      <c r="AD1821"/>
      <c r="AE1821"/>
      <c r="AF1821"/>
      <c r="AH1821"/>
      <c r="AI1821"/>
      <c r="AJ1821"/>
      <c r="AM1821"/>
    </row>
    <row r="1822" spans="3:39" x14ac:dyDescent="0.2">
      <c r="C1822"/>
      <c r="D1822"/>
      <c r="E1822"/>
      <c r="F1822"/>
      <c r="G1822"/>
      <c r="H1822"/>
      <c r="I1822" s="684"/>
      <c r="V1822"/>
      <c r="W1822"/>
      <c r="Y1822"/>
      <c r="Z1822"/>
      <c r="AA1822"/>
      <c r="AD1822"/>
      <c r="AE1822"/>
      <c r="AF1822"/>
      <c r="AH1822"/>
      <c r="AI1822"/>
      <c r="AJ1822"/>
      <c r="AM1822"/>
    </row>
    <row r="1823" spans="3:39" x14ac:dyDescent="0.2">
      <c r="C1823"/>
      <c r="D1823"/>
      <c r="E1823"/>
      <c r="F1823"/>
      <c r="G1823"/>
      <c r="H1823"/>
      <c r="I1823" s="684"/>
      <c r="V1823"/>
      <c r="W1823"/>
      <c r="Y1823"/>
      <c r="Z1823"/>
      <c r="AA1823"/>
      <c r="AD1823"/>
      <c r="AE1823"/>
      <c r="AF1823"/>
      <c r="AH1823"/>
      <c r="AI1823"/>
      <c r="AJ1823"/>
      <c r="AM1823"/>
    </row>
    <row r="1824" spans="3:39" x14ac:dyDescent="0.2">
      <c r="C1824"/>
      <c r="D1824"/>
      <c r="E1824"/>
      <c r="F1824"/>
      <c r="G1824"/>
      <c r="H1824"/>
      <c r="I1824" s="684"/>
      <c r="V1824"/>
      <c r="W1824"/>
      <c r="Y1824"/>
      <c r="Z1824"/>
      <c r="AA1824"/>
      <c r="AD1824"/>
      <c r="AE1824"/>
      <c r="AF1824"/>
      <c r="AH1824"/>
      <c r="AI1824"/>
      <c r="AJ1824"/>
      <c r="AM1824"/>
    </row>
    <row r="1825" spans="3:39" x14ac:dyDescent="0.2">
      <c r="C1825"/>
      <c r="D1825"/>
      <c r="E1825"/>
      <c r="F1825"/>
      <c r="G1825"/>
      <c r="H1825"/>
      <c r="I1825" s="684"/>
      <c r="V1825"/>
      <c r="W1825"/>
      <c r="Y1825"/>
      <c r="Z1825"/>
      <c r="AA1825"/>
      <c r="AD1825"/>
      <c r="AE1825"/>
      <c r="AF1825"/>
      <c r="AH1825"/>
      <c r="AI1825"/>
      <c r="AJ1825"/>
      <c r="AM1825"/>
    </row>
    <row r="1826" spans="3:39" x14ac:dyDescent="0.2">
      <c r="C1826"/>
      <c r="D1826"/>
      <c r="E1826"/>
      <c r="F1826"/>
      <c r="G1826"/>
      <c r="H1826"/>
      <c r="I1826" s="684"/>
      <c r="V1826"/>
      <c r="W1826"/>
      <c r="Y1826"/>
      <c r="Z1826"/>
      <c r="AA1826"/>
      <c r="AD1826"/>
      <c r="AE1826"/>
      <c r="AF1826"/>
      <c r="AH1826"/>
      <c r="AI1826"/>
      <c r="AJ1826"/>
      <c r="AM1826"/>
    </row>
    <row r="1827" spans="3:39" x14ac:dyDescent="0.2">
      <c r="C1827"/>
      <c r="D1827"/>
      <c r="E1827"/>
      <c r="F1827"/>
      <c r="G1827"/>
      <c r="H1827"/>
      <c r="I1827" s="684"/>
      <c r="V1827"/>
      <c r="W1827"/>
      <c r="Y1827"/>
      <c r="Z1827"/>
      <c r="AA1827"/>
      <c r="AD1827"/>
      <c r="AE1827"/>
      <c r="AF1827"/>
      <c r="AH1827"/>
      <c r="AI1827"/>
      <c r="AJ1827"/>
      <c r="AM1827"/>
    </row>
    <row r="1828" spans="3:39" x14ac:dyDescent="0.2">
      <c r="C1828"/>
      <c r="D1828"/>
      <c r="E1828"/>
      <c r="F1828"/>
      <c r="G1828"/>
      <c r="H1828"/>
      <c r="I1828" s="684"/>
      <c r="V1828"/>
      <c r="W1828"/>
      <c r="Y1828"/>
      <c r="Z1828"/>
      <c r="AA1828"/>
      <c r="AD1828"/>
      <c r="AE1828"/>
      <c r="AF1828"/>
      <c r="AH1828"/>
      <c r="AI1828"/>
      <c r="AJ1828"/>
      <c r="AM1828"/>
    </row>
    <row r="1829" spans="3:39" x14ac:dyDescent="0.2">
      <c r="C1829"/>
      <c r="D1829"/>
      <c r="E1829"/>
      <c r="F1829"/>
      <c r="G1829"/>
      <c r="H1829"/>
      <c r="I1829" s="684"/>
      <c r="V1829"/>
      <c r="W1829"/>
      <c r="Y1829"/>
      <c r="Z1829"/>
      <c r="AA1829"/>
      <c r="AD1829"/>
      <c r="AE1829"/>
      <c r="AF1829"/>
      <c r="AH1829"/>
      <c r="AI1829"/>
      <c r="AJ1829"/>
      <c r="AM1829"/>
    </row>
    <row r="1830" spans="3:39" x14ac:dyDescent="0.2">
      <c r="C1830"/>
      <c r="D1830"/>
      <c r="E1830"/>
      <c r="F1830"/>
      <c r="G1830"/>
      <c r="H1830"/>
      <c r="I1830" s="684"/>
      <c r="V1830"/>
      <c r="W1830"/>
      <c r="Y1830"/>
      <c r="Z1830"/>
      <c r="AA1830"/>
      <c r="AD1830"/>
      <c r="AE1830"/>
      <c r="AF1830"/>
      <c r="AH1830"/>
      <c r="AI1830"/>
      <c r="AJ1830"/>
      <c r="AM1830"/>
    </row>
    <row r="1831" spans="3:39" x14ac:dyDescent="0.2">
      <c r="C1831"/>
      <c r="D1831"/>
      <c r="E1831"/>
      <c r="F1831"/>
      <c r="G1831"/>
      <c r="H1831"/>
      <c r="I1831" s="684"/>
      <c r="V1831"/>
      <c r="W1831"/>
      <c r="Y1831"/>
      <c r="Z1831"/>
      <c r="AA1831"/>
      <c r="AD1831"/>
      <c r="AE1831"/>
      <c r="AF1831"/>
      <c r="AH1831"/>
      <c r="AI1831"/>
      <c r="AJ1831"/>
      <c r="AM1831"/>
    </row>
    <row r="1832" spans="3:39" x14ac:dyDescent="0.2">
      <c r="C1832"/>
      <c r="D1832"/>
      <c r="E1832"/>
      <c r="F1832"/>
      <c r="G1832"/>
      <c r="H1832"/>
      <c r="I1832" s="684"/>
      <c r="V1832"/>
      <c r="W1832"/>
      <c r="Y1832"/>
      <c r="Z1832"/>
      <c r="AA1832"/>
      <c r="AD1832"/>
      <c r="AE1832"/>
      <c r="AF1832"/>
      <c r="AH1832"/>
      <c r="AI1832"/>
      <c r="AJ1832"/>
      <c r="AM1832"/>
    </row>
    <row r="1833" spans="3:39" x14ac:dyDescent="0.2">
      <c r="C1833"/>
      <c r="D1833"/>
      <c r="E1833"/>
      <c r="F1833"/>
      <c r="G1833"/>
      <c r="H1833"/>
      <c r="I1833" s="684"/>
      <c r="V1833"/>
      <c r="W1833"/>
      <c r="Y1833"/>
      <c r="Z1833"/>
      <c r="AA1833"/>
      <c r="AD1833"/>
      <c r="AE1833"/>
      <c r="AF1833"/>
      <c r="AH1833"/>
      <c r="AI1833"/>
      <c r="AJ1833"/>
      <c r="AM1833"/>
    </row>
    <row r="1834" spans="3:39" x14ac:dyDescent="0.2">
      <c r="C1834"/>
      <c r="D1834"/>
      <c r="E1834"/>
      <c r="F1834"/>
      <c r="G1834"/>
      <c r="H1834"/>
      <c r="I1834" s="684"/>
      <c r="V1834"/>
      <c r="W1834"/>
      <c r="Y1834"/>
      <c r="Z1834"/>
      <c r="AA1834"/>
      <c r="AD1834"/>
      <c r="AE1834"/>
      <c r="AF1834"/>
      <c r="AH1834"/>
      <c r="AI1834"/>
      <c r="AJ1834"/>
      <c r="AM1834"/>
    </row>
    <row r="1835" spans="3:39" x14ac:dyDescent="0.2">
      <c r="C1835"/>
      <c r="D1835"/>
      <c r="E1835"/>
      <c r="F1835"/>
      <c r="G1835"/>
      <c r="H1835"/>
      <c r="I1835" s="684"/>
      <c r="V1835"/>
      <c r="W1835"/>
      <c r="Y1835"/>
      <c r="Z1835"/>
      <c r="AA1835"/>
      <c r="AD1835"/>
      <c r="AE1835"/>
      <c r="AF1835"/>
      <c r="AH1835"/>
      <c r="AI1835"/>
      <c r="AJ1835"/>
      <c r="AM1835"/>
    </row>
    <row r="1836" spans="3:39" x14ac:dyDescent="0.2">
      <c r="C1836"/>
      <c r="D1836"/>
      <c r="E1836"/>
      <c r="F1836"/>
      <c r="G1836"/>
      <c r="H1836"/>
      <c r="I1836" s="684"/>
      <c r="V1836"/>
      <c r="W1836"/>
      <c r="Y1836"/>
      <c r="Z1836"/>
      <c r="AA1836"/>
      <c r="AD1836"/>
      <c r="AE1836"/>
      <c r="AF1836"/>
      <c r="AH1836"/>
      <c r="AI1836"/>
      <c r="AJ1836"/>
      <c r="AM1836"/>
    </row>
    <row r="1837" spans="3:39" x14ac:dyDescent="0.2">
      <c r="C1837"/>
      <c r="D1837"/>
      <c r="E1837"/>
      <c r="F1837"/>
      <c r="G1837"/>
      <c r="H1837"/>
      <c r="I1837" s="684"/>
      <c r="V1837"/>
      <c r="W1837"/>
      <c r="Y1837"/>
      <c r="Z1837"/>
      <c r="AA1837"/>
      <c r="AD1837"/>
      <c r="AE1837"/>
      <c r="AF1837"/>
      <c r="AH1837"/>
      <c r="AI1837"/>
      <c r="AJ1837"/>
      <c r="AM1837"/>
    </row>
    <row r="1838" spans="3:39" x14ac:dyDescent="0.2">
      <c r="C1838"/>
      <c r="D1838"/>
      <c r="E1838"/>
      <c r="F1838"/>
      <c r="G1838"/>
      <c r="H1838"/>
      <c r="I1838" s="684"/>
      <c r="V1838"/>
      <c r="W1838"/>
      <c r="Y1838"/>
      <c r="Z1838"/>
      <c r="AA1838"/>
      <c r="AD1838"/>
      <c r="AE1838"/>
      <c r="AF1838"/>
      <c r="AH1838"/>
      <c r="AI1838"/>
      <c r="AJ1838"/>
      <c r="AM1838"/>
    </row>
    <row r="1839" spans="3:39" x14ac:dyDescent="0.2">
      <c r="C1839"/>
      <c r="D1839"/>
      <c r="E1839"/>
      <c r="F1839"/>
      <c r="G1839"/>
      <c r="H1839"/>
      <c r="I1839" s="684"/>
      <c r="V1839"/>
      <c r="W1839"/>
      <c r="Y1839"/>
      <c r="Z1839"/>
      <c r="AA1839"/>
      <c r="AD1839"/>
      <c r="AE1839"/>
      <c r="AF1839"/>
      <c r="AH1839"/>
      <c r="AI1839"/>
      <c r="AJ1839"/>
      <c r="AM1839"/>
    </row>
    <row r="1840" spans="3:39" x14ac:dyDescent="0.2">
      <c r="C1840"/>
      <c r="D1840"/>
      <c r="E1840"/>
      <c r="F1840"/>
      <c r="G1840"/>
      <c r="H1840"/>
      <c r="I1840" s="684"/>
      <c r="V1840"/>
      <c r="W1840"/>
      <c r="Y1840"/>
      <c r="Z1840"/>
      <c r="AA1840"/>
      <c r="AD1840"/>
      <c r="AE1840"/>
      <c r="AF1840"/>
      <c r="AH1840"/>
      <c r="AI1840"/>
      <c r="AJ1840"/>
      <c r="AM1840"/>
    </row>
    <row r="1841" spans="3:39" x14ac:dyDescent="0.2">
      <c r="C1841"/>
      <c r="D1841"/>
      <c r="E1841"/>
      <c r="F1841"/>
      <c r="G1841"/>
      <c r="H1841"/>
      <c r="I1841" s="684"/>
      <c r="V1841"/>
      <c r="W1841"/>
      <c r="Y1841"/>
      <c r="Z1841"/>
      <c r="AA1841"/>
      <c r="AD1841"/>
      <c r="AE1841"/>
      <c r="AF1841"/>
      <c r="AH1841"/>
      <c r="AI1841"/>
      <c r="AJ1841"/>
      <c r="AM1841"/>
    </row>
    <row r="1842" spans="3:39" x14ac:dyDescent="0.2">
      <c r="C1842"/>
      <c r="D1842"/>
      <c r="E1842"/>
      <c r="F1842"/>
      <c r="G1842"/>
      <c r="H1842"/>
      <c r="I1842" s="684"/>
      <c r="V1842"/>
      <c r="W1842"/>
      <c r="Y1842"/>
      <c r="Z1842"/>
      <c r="AA1842"/>
      <c r="AD1842"/>
      <c r="AE1842"/>
      <c r="AF1842"/>
      <c r="AH1842"/>
      <c r="AI1842"/>
      <c r="AJ1842"/>
      <c r="AM1842"/>
    </row>
    <row r="1843" spans="3:39" x14ac:dyDescent="0.2">
      <c r="C1843"/>
      <c r="D1843"/>
      <c r="E1843"/>
      <c r="F1843"/>
      <c r="G1843"/>
      <c r="H1843"/>
      <c r="I1843" s="684"/>
      <c r="V1843"/>
      <c r="W1843"/>
      <c r="Y1843"/>
      <c r="Z1843"/>
      <c r="AA1843"/>
      <c r="AD1843"/>
      <c r="AE1843"/>
      <c r="AF1843"/>
      <c r="AH1843"/>
      <c r="AI1843"/>
      <c r="AJ1843"/>
      <c r="AM1843"/>
    </row>
    <row r="1844" spans="3:39" x14ac:dyDescent="0.2">
      <c r="C1844"/>
      <c r="D1844"/>
      <c r="E1844"/>
      <c r="F1844"/>
      <c r="G1844"/>
      <c r="H1844"/>
      <c r="I1844" s="684"/>
      <c r="V1844"/>
      <c r="W1844"/>
      <c r="Y1844"/>
      <c r="Z1844"/>
      <c r="AA1844"/>
      <c r="AD1844"/>
      <c r="AE1844"/>
      <c r="AF1844"/>
      <c r="AH1844"/>
      <c r="AI1844"/>
      <c r="AJ1844"/>
      <c r="AM1844"/>
    </row>
    <row r="1845" spans="3:39" x14ac:dyDescent="0.2">
      <c r="C1845"/>
      <c r="D1845"/>
      <c r="E1845"/>
      <c r="F1845"/>
      <c r="G1845"/>
      <c r="H1845"/>
      <c r="I1845" s="684"/>
      <c r="V1845"/>
      <c r="W1845"/>
      <c r="Y1845"/>
      <c r="Z1845"/>
      <c r="AA1845"/>
      <c r="AD1845"/>
      <c r="AE1845"/>
      <c r="AF1845"/>
      <c r="AH1845"/>
      <c r="AI1845"/>
      <c r="AJ1845"/>
      <c r="AM1845"/>
    </row>
    <row r="1846" spans="3:39" x14ac:dyDescent="0.2">
      <c r="C1846"/>
      <c r="D1846"/>
      <c r="E1846"/>
      <c r="F1846"/>
      <c r="G1846"/>
      <c r="H1846"/>
      <c r="I1846" s="684"/>
      <c r="V1846"/>
      <c r="W1846"/>
      <c r="Y1846"/>
      <c r="Z1846"/>
      <c r="AA1846"/>
      <c r="AD1846"/>
      <c r="AE1846"/>
      <c r="AF1846"/>
      <c r="AH1846"/>
      <c r="AI1846"/>
      <c r="AJ1846"/>
      <c r="AM1846"/>
    </row>
    <row r="1847" spans="3:39" x14ac:dyDescent="0.2">
      <c r="C1847"/>
      <c r="D1847"/>
      <c r="E1847"/>
      <c r="F1847"/>
      <c r="G1847"/>
      <c r="H1847"/>
      <c r="I1847" s="684"/>
      <c r="V1847"/>
      <c r="W1847"/>
      <c r="Y1847"/>
      <c r="Z1847"/>
      <c r="AA1847"/>
      <c r="AD1847"/>
      <c r="AE1847"/>
      <c r="AF1847"/>
      <c r="AH1847"/>
      <c r="AI1847"/>
      <c r="AJ1847"/>
      <c r="AM1847"/>
    </row>
    <row r="1848" spans="3:39" x14ac:dyDescent="0.2">
      <c r="C1848"/>
      <c r="D1848"/>
      <c r="E1848"/>
      <c r="F1848"/>
      <c r="G1848"/>
      <c r="H1848"/>
      <c r="I1848" s="684"/>
      <c r="V1848"/>
      <c r="W1848"/>
      <c r="Y1848"/>
      <c r="Z1848"/>
      <c r="AA1848"/>
      <c r="AD1848"/>
      <c r="AE1848"/>
      <c r="AF1848"/>
      <c r="AH1848"/>
      <c r="AI1848"/>
      <c r="AJ1848"/>
      <c r="AM1848"/>
    </row>
    <row r="1849" spans="3:39" x14ac:dyDescent="0.2">
      <c r="C1849"/>
      <c r="D1849"/>
      <c r="E1849"/>
      <c r="F1849"/>
      <c r="G1849"/>
      <c r="H1849"/>
      <c r="I1849" s="684"/>
      <c r="V1849"/>
      <c r="W1849"/>
      <c r="Y1849"/>
      <c r="Z1849"/>
      <c r="AA1849"/>
      <c r="AD1849"/>
      <c r="AE1849"/>
      <c r="AF1849"/>
      <c r="AH1849"/>
      <c r="AI1849"/>
      <c r="AJ1849"/>
      <c r="AM1849"/>
    </row>
    <row r="1850" spans="3:39" x14ac:dyDescent="0.2">
      <c r="C1850"/>
      <c r="D1850"/>
      <c r="E1850"/>
      <c r="F1850"/>
      <c r="G1850"/>
      <c r="H1850"/>
      <c r="I1850" s="684"/>
      <c r="V1850"/>
      <c r="W1850"/>
      <c r="Y1850"/>
      <c r="Z1850"/>
      <c r="AA1850"/>
      <c r="AD1850"/>
      <c r="AE1850"/>
      <c r="AF1850"/>
      <c r="AH1850"/>
      <c r="AI1850"/>
      <c r="AJ1850"/>
      <c r="AM1850"/>
    </row>
    <row r="1851" spans="3:39" x14ac:dyDescent="0.2">
      <c r="C1851"/>
      <c r="D1851"/>
      <c r="E1851"/>
      <c r="F1851"/>
      <c r="G1851"/>
      <c r="H1851"/>
      <c r="I1851" s="684"/>
      <c r="V1851"/>
      <c r="W1851"/>
      <c r="Y1851"/>
      <c r="Z1851"/>
      <c r="AA1851"/>
      <c r="AD1851"/>
      <c r="AE1851"/>
      <c r="AF1851"/>
      <c r="AH1851"/>
      <c r="AI1851"/>
      <c r="AJ1851"/>
      <c r="AM1851"/>
    </row>
    <row r="1852" spans="3:39" x14ac:dyDescent="0.2">
      <c r="C1852"/>
      <c r="D1852"/>
      <c r="E1852"/>
      <c r="F1852"/>
      <c r="G1852"/>
      <c r="H1852"/>
      <c r="I1852" s="684"/>
      <c r="V1852"/>
      <c r="W1852"/>
      <c r="Y1852"/>
      <c r="Z1852"/>
      <c r="AA1852"/>
      <c r="AD1852"/>
      <c r="AE1852"/>
      <c r="AF1852"/>
      <c r="AH1852"/>
      <c r="AI1852"/>
      <c r="AJ1852"/>
      <c r="AM1852"/>
    </row>
    <row r="1853" spans="3:39" x14ac:dyDescent="0.2">
      <c r="C1853"/>
      <c r="D1853"/>
      <c r="E1853"/>
      <c r="F1853"/>
      <c r="G1853"/>
      <c r="H1853"/>
      <c r="I1853" s="684"/>
      <c r="V1853"/>
      <c r="W1853"/>
      <c r="Y1853"/>
      <c r="Z1853"/>
      <c r="AA1853"/>
      <c r="AD1853"/>
      <c r="AE1853"/>
      <c r="AF1853"/>
      <c r="AH1853"/>
      <c r="AI1853"/>
      <c r="AJ1853"/>
      <c r="AM1853"/>
    </row>
    <row r="1854" spans="3:39" x14ac:dyDescent="0.2">
      <c r="C1854"/>
      <c r="D1854"/>
      <c r="E1854"/>
      <c r="F1854"/>
      <c r="G1854"/>
      <c r="H1854"/>
      <c r="I1854" s="684"/>
      <c r="V1854"/>
      <c r="W1854"/>
      <c r="Y1854"/>
      <c r="Z1854"/>
      <c r="AA1854"/>
      <c r="AD1854"/>
      <c r="AE1854"/>
      <c r="AF1854"/>
      <c r="AH1854"/>
      <c r="AI1854"/>
      <c r="AJ1854"/>
      <c r="AM1854"/>
    </row>
    <row r="1855" spans="3:39" x14ac:dyDescent="0.2">
      <c r="C1855"/>
      <c r="D1855"/>
      <c r="E1855"/>
      <c r="F1855"/>
      <c r="G1855"/>
      <c r="H1855"/>
      <c r="I1855" s="684"/>
      <c r="V1855"/>
      <c r="W1855"/>
      <c r="Y1855"/>
      <c r="Z1855"/>
      <c r="AA1855"/>
      <c r="AD1855"/>
      <c r="AE1855"/>
      <c r="AF1855"/>
      <c r="AH1855"/>
      <c r="AI1855"/>
      <c r="AJ1855"/>
      <c r="AM1855"/>
    </row>
    <row r="1856" spans="3:39" x14ac:dyDescent="0.2">
      <c r="C1856"/>
      <c r="D1856"/>
      <c r="E1856"/>
      <c r="F1856"/>
      <c r="G1856"/>
      <c r="H1856"/>
      <c r="I1856" s="684"/>
      <c r="V1856"/>
      <c r="W1856"/>
      <c r="Y1856"/>
      <c r="Z1856"/>
      <c r="AA1856"/>
      <c r="AD1856"/>
      <c r="AE1856"/>
      <c r="AF1856"/>
      <c r="AH1856"/>
      <c r="AI1856"/>
      <c r="AJ1856"/>
      <c r="AM1856"/>
    </row>
    <row r="1857" spans="3:39" x14ac:dyDescent="0.2">
      <c r="C1857"/>
      <c r="D1857"/>
      <c r="E1857"/>
      <c r="F1857"/>
      <c r="G1857"/>
      <c r="H1857"/>
      <c r="I1857" s="684"/>
      <c r="V1857"/>
      <c r="W1857"/>
      <c r="Y1857"/>
      <c r="Z1857"/>
      <c r="AA1857"/>
      <c r="AD1857"/>
      <c r="AE1857"/>
      <c r="AF1857"/>
      <c r="AH1857"/>
      <c r="AI1857"/>
      <c r="AJ1857"/>
      <c r="AM1857"/>
    </row>
    <row r="1858" spans="3:39" x14ac:dyDescent="0.2">
      <c r="C1858"/>
      <c r="D1858"/>
      <c r="E1858"/>
      <c r="F1858"/>
      <c r="G1858"/>
      <c r="H1858"/>
      <c r="I1858" s="684"/>
      <c r="V1858"/>
      <c r="W1858"/>
      <c r="Y1858"/>
      <c r="Z1858"/>
      <c r="AA1858"/>
      <c r="AD1858"/>
      <c r="AE1858"/>
      <c r="AF1858"/>
      <c r="AH1858"/>
      <c r="AI1858"/>
      <c r="AJ1858"/>
      <c r="AM1858"/>
    </row>
    <row r="1859" spans="3:39" x14ac:dyDescent="0.2">
      <c r="C1859"/>
      <c r="D1859"/>
      <c r="E1859"/>
      <c r="F1859"/>
      <c r="G1859"/>
      <c r="H1859"/>
      <c r="I1859" s="684"/>
      <c r="V1859"/>
      <c r="W1859"/>
      <c r="Y1859"/>
      <c r="Z1859"/>
      <c r="AA1859"/>
      <c r="AD1859"/>
      <c r="AE1859"/>
      <c r="AF1859"/>
      <c r="AH1859"/>
      <c r="AI1859"/>
      <c r="AJ1859"/>
      <c r="AM1859"/>
    </row>
    <row r="1860" spans="3:39" x14ac:dyDescent="0.2">
      <c r="C1860"/>
      <c r="D1860"/>
      <c r="E1860"/>
      <c r="F1860"/>
      <c r="G1860"/>
      <c r="H1860"/>
      <c r="I1860" s="684"/>
      <c r="V1860"/>
      <c r="W1860"/>
      <c r="Y1860"/>
      <c r="Z1860"/>
      <c r="AA1860"/>
      <c r="AD1860"/>
      <c r="AE1860"/>
      <c r="AF1860"/>
      <c r="AH1860"/>
      <c r="AI1860"/>
      <c r="AJ1860"/>
      <c r="AM1860"/>
    </row>
    <row r="1861" spans="3:39" x14ac:dyDescent="0.2">
      <c r="C1861"/>
      <c r="D1861"/>
      <c r="E1861"/>
      <c r="F1861"/>
      <c r="G1861"/>
      <c r="H1861"/>
      <c r="I1861" s="684"/>
      <c r="V1861"/>
      <c r="W1861"/>
      <c r="Y1861"/>
      <c r="Z1861"/>
      <c r="AA1861"/>
      <c r="AD1861"/>
      <c r="AE1861"/>
      <c r="AF1861"/>
      <c r="AH1861"/>
      <c r="AI1861"/>
      <c r="AJ1861"/>
      <c r="AM1861"/>
    </row>
    <row r="1862" spans="3:39" x14ac:dyDescent="0.2">
      <c r="C1862"/>
      <c r="D1862"/>
      <c r="E1862"/>
      <c r="F1862"/>
      <c r="G1862"/>
      <c r="H1862"/>
      <c r="I1862" s="684"/>
      <c r="V1862"/>
      <c r="W1862"/>
      <c r="Y1862"/>
      <c r="Z1862"/>
      <c r="AA1862"/>
      <c r="AD1862"/>
      <c r="AE1862"/>
      <c r="AF1862"/>
      <c r="AH1862"/>
      <c r="AI1862"/>
      <c r="AJ1862"/>
      <c r="AM1862"/>
    </row>
    <row r="1863" spans="3:39" x14ac:dyDescent="0.2">
      <c r="C1863"/>
      <c r="D1863"/>
      <c r="E1863"/>
      <c r="F1863"/>
      <c r="G1863"/>
      <c r="H1863"/>
      <c r="I1863" s="684"/>
      <c r="V1863"/>
      <c r="W1863"/>
      <c r="Y1863"/>
      <c r="Z1863"/>
      <c r="AA1863"/>
      <c r="AD1863"/>
      <c r="AE1863"/>
      <c r="AF1863"/>
      <c r="AH1863"/>
      <c r="AI1863"/>
      <c r="AJ1863"/>
      <c r="AM1863"/>
    </row>
    <row r="1864" spans="3:39" x14ac:dyDescent="0.2">
      <c r="C1864"/>
      <c r="D1864"/>
      <c r="E1864"/>
      <c r="F1864"/>
      <c r="G1864"/>
      <c r="H1864"/>
      <c r="I1864" s="684"/>
      <c r="V1864"/>
      <c r="W1864"/>
      <c r="Y1864"/>
      <c r="Z1864"/>
      <c r="AA1864"/>
      <c r="AD1864"/>
      <c r="AE1864"/>
      <c r="AF1864"/>
      <c r="AH1864"/>
      <c r="AI1864"/>
      <c r="AJ1864"/>
      <c r="AM1864"/>
    </row>
    <row r="1865" spans="3:39" x14ac:dyDescent="0.2">
      <c r="C1865"/>
      <c r="D1865"/>
      <c r="E1865"/>
      <c r="F1865"/>
      <c r="G1865"/>
      <c r="H1865"/>
      <c r="I1865" s="684"/>
      <c r="V1865"/>
      <c r="W1865"/>
      <c r="Y1865"/>
      <c r="Z1865"/>
      <c r="AA1865"/>
      <c r="AD1865"/>
      <c r="AE1865"/>
      <c r="AF1865"/>
      <c r="AH1865"/>
      <c r="AI1865"/>
      <c r="AJ1865"/>
      <c r="AM1865"/>
    </row>
    <row r="1866" spans="3:39" x14ac:dyDescent="0.2">
      <c r="C1866"/>
      <c r="D1866"/>
      <c r="E1866"/>
      <c r="F1866"/>
      <c r="G1866"/>
      <c r="H1866"/>
      <c r="I1866" s="684"/>
      <c r="V1866"/>
      <c r="W1866"/>
      <c r="Y1866"/>
      <c r="Z1866"/>
      <c r="AA1866"/>
      <c r="AD1866"/>
      <c r="AE1866"/>
      <c r="AF1866"/>
      <c r="AH1866"/>
      <c r="AI1866"/>
      <c r="AJ1866"/>
      <c r="AM1866"/>
    </row>
    <row r="1867" spans="3:39" x14ac:dyDescent="0.2">
      <c r="C1867"/>
      <c r="D1867"/>
      <c r="E1867"/>
      <c r="F1867"/>
      <c r="G1867"/>
      <c r="H1867"/>
      <c r="I1867" s="684"/>
      <c r="V1867"/>
      <c r="W1867"/>
      <c r="Y1867"/>
      <c r="Z1867"/>
      <c r="AA1867"/>
      <c r="AD1867"/>
      <c r="AE1867"/>
      <c r="AF1867"/>
      <c r="AH1867"/>
      <c r="AI1867"/>
      <c r="AJ1867"/>
      <c r="AM1867"/>
    </row>
    <row r="1868" spans="3:39" x14ac:dyDescent="0.2">
      <c r="C1868"/>
      <c r="D1868"/>
      <c r="E1868"/>
      <c r="F1868"/>
      <c r="G1868"/>
      <c r="H1868"/>
      <c r="I1868" s="684"/>
      <c r="V1868"/>
      <c r="W1868"/>
      <c r="Y1868"/>
      <c r="Z1868"/>
      <c r="AA1868"/>
      <c r="AD1868"/>
      <c r="AE1868"/>
      <c r="AF1868"/>
      <c r="AH1868"/>
      <c r="AI1868"/>
      <c r="AJ1868"/>
      <c r="AM1868"/>
    </row>
    <row r="1869" spans="3:39" x14ac:dyDescent="0.2">
      <c r="C1869"/>
      <c r="D1869"/>
      <c r="E1869"/>
      <c r="F1869"/>
      <c r="G1869"/>
      <c r="H1869"/>
      <c r="I1869" s="684"/>
      <c r="V1869"/>
      <c r="W1869"/>
      <c r="Y1869"/>
      <c r="Z1869"/>
      <c r="AA1869"/>
      <c r="AD1869"/>
      <c r="AE1869"/>
      <c r="AF1869"/>
      <c r="AH1869"/>
      <c r="AI1869"/>
      <c r="AJ1869"/>
      <c r="AM1869"/>
    </row>
    <row r="1870" spans="3:39" x14ac:dyDescent="0.2">
      <c r="C1870"/>
      <c r="D1870"/>
      <c r="E1870"/>
      <c r="F1870"/>
      <c r="G1870"/>
      <c r="H1870"/>
      <c r="I1870" s="684"/>
      <c r="V1870"/>
      <c r="W1870"/>
      <c r="Y1870"/>
      <c r="Z1870"/>
      <c r="AA1870"/>
      <c r="AD1870"/>
      <c r="AE1870"/>
      <c r="AF1870"/>
      <c r="AH1870"/>
      <c r="AI1870"/>
      <c r="AJ1870"/>
      <c r="AM1870"/>
    </row>
    <row r="1871" spans="3:39" x14ac:dyDescent="0.2">
      <c r="C1871"/>
      <c r="D1871"/>
      <c r="E1871"/>
      <c r="F1871"/>
      <c r="G1871"/>
      <c r="H1871"/>
      <c r="I1871" s="684"/>
      <c r="V1871"/>
      <c r="W1871"/>
      <c r="Y1871"/>
      <c r="Z1871"/>
      <c r="AA1871"/>
      <c r="AD1871"/>
      <c r="AE1871"/>
      <c r="AF1871"/>
      <c r="AH1871"/>
      <c r="AI1871"/>
      <c r="AJ1871"/>
      <c r="AM1871"/>
    </row>
    <row r="1872" spans="3:39" x14ac:dyDescent="0.2">
      <c r="C1872"/>
      <c r="D1872"/>
      <c r="E1872"/>
      <c r="F1872"/>
      <c r="G1872"/>
      <c r="H1872"/>
      <c r="I1872" s="684"/>
      <c r="V1872"/>
      <c r="W1872"/>
      <c r="Y1872"/>
      <c r="Z1872"/>
      <c r="AA1872"/>
      <c r="AD1872"/>
      <c r="AE1872"/>
      <c r="AF1872"/>
      <c r="AH1872"/>
      <c r="AI1872"/>
      <c r="AJ1872"/>
      <c r="AM1872"/>
    </row>
    <row r="1873" spans="3:39" x14ac:dyDescent="0.2">
      <c r="C1873"/>
      <c r="D1873"/>
      <c r="E1873"/>
      <c r="F1873"/>
      <c r="G1873"/>
      <c r="H1873"/>
      <c r="I1873" s="684"/>
      <c r="V1873"/>
      <c r="W1873"/>
      <c r="Y1873"/>
      <c r="Z1873"/>
      <c r="AA1873"/>
      <c r="AD1873"/>
      <c r="AE1873"/>
      <c r="AF1873"/>
      <c r="AH1873"/>
      <c r="AI1873"/>
      <c r="AJ1873"/>
      <c r="AM1873"/>
    </row>
    <row r="1874" spans="3:39" x14ac:dyDescent="0.2">
      <c r="C1874"/>
      <c r="D1874"/>
      <c r="E1874"/>
      <c r="F1874"/>
      <c r="G1874"/>
      <c r="H1874"/>
      <c r="I1874" s="684"/>
      <c r="V1874"/>
      <c r="W1874"/>
      <c r="Y1874"/>
      <c r="Z1874"/>
      <c r="AA1874"/>
      <c r="AD1874"/>
      <c r="AE1874"/>
      <c r="AF1874"/>
      <c r="AH1874"/>
      <c r="AI1874"/>
      <c r="AJ1874"/>
      <c r="AM1874"/>
    </row>
    <row r="1875" spans="3:39" x14ac:dyDescent="0.2">
      <c r="C1875"/>
      <c r="D1875"/>
      <c r="E1875"/>
      <c r="F1875"/>
      <c r="G1875"/>
      <c r="H1875"/>
      <c r="I1875" s="684"/>
      <c r="V1875"/>
      <c r="W1875"/>
      <c r="Y1875"/>
      <c r="Z1875"/>
      <c r="AA1875"/>
      <c r="AD1875"/>
      <c r="AE1875"/>
      <c r="AF1875"/>
      <c r="AH1875"/>
      <c r="AI1875"/>
      <c r="AJ1875"/>
      <c r="AM1875"/>
    </row>
    <row r="1876" spans="3:39" x14ac:dyDescent="0.2">
      <c r="C1876"/>
      <c r="D1876"/>
      <c r="E1876"/>
      <c r="F1876"/>
      <c r="G1876"/>
      <c r="H1876"/>
      <c r="I1876" s="684"/>
      <c r="V1876"/>
      <c r="W1876"/>
      <c r="Y1876"/>
      <c r="Z1876"/>
      <c r="AA1876"/>
      <c r="AD1876"/>
      <c r="AE1876"/>
      <c r="AF1876"/>
      <c r="AH1876"/>
      <c r="AI1876"/>
      <c r="AJ1876"/>
      <c r="AM1876"/>
    </row>
    <row r="1877" spans="3:39" x14ac:dyDescent="0.2">
      <c r="C1877"/>
      <c r="D1877"/>
      <c r="E1877"/>
      <c r="F1877"/>
      <c r="G1877"/>
      <c r="H1877"/>
      <c r="I1877" s="684"/>
      <c r="V1877"/>
      <c r="W1877"/>
      <c r="Y1877"/>
      <c r="Z1877"/>
      <c r="AA1877"/>
      <c r="AD1877"/>
      <c r="AE1877"/>
      <c r="AF1877"/>
      <c r="AH1877"/>
      <c r="AI1877"/>
      <c r="AJ1877"/>
      <c r="AM1877"/>
    </row>
    <row r="1878" spans="3:39" x14ac:dyDescent="0.2">
      <c r="C1878"/>
      <c r="D1878"/>
      <c r="E1878"/>
      <c r="F1878"/>
      <c r="G1878"/>
      <c r="H1878"/>
      <c r="I1878" s="684"/>
      <c r="V1878"/>
      <c r="W1878"/>
      <c r="Y1878"/>
      <c r="Z1878"/>
      <c r="AA1878"/>
      <c r="AD1878"/>
      <c r="AE1878"/>
      <c r="AF1878"/>
      <c r="AH1878"/>
      <c r="AI1878"/>
      <c r="AJ1878"/>
      <c r="AM1878"/>
    </row>
    <row r="1879" spans="3:39" x14ac:dyDescent="0.2">
      <c r="C1879"/>
      <c r="D1879"/>
      <c r="E1879"/>
      <c r="F1879"/>
      <c r="G1879"/>
      <c r="H1879"/>
      <c r="I1879" s="684"/>
      <c r="V1879"/>
      <c r="W1879"/>
      <c r="Y1879"/>
      <c r="Z1879"/>
      <c r="AA1879"/>
      <c r="AD1879"/>
      <c r="AE1879"/>
      <c r="AF1879"/>
      <c r="AH1879"/>
      <c r="AI1879"/>
      <c r="AJ1879"/>
      <c r="AM1879"/>
    </row>
    <row r="1880" spans="3:39" x14ac:dyDescent="0.2">
      <c r="C1880"/>
      <c r="D1880"/>
      <c r="E1880"/>
      <c r="F1880"/>
      <c r="G1880"/>
      <c r="H1880"/>
      <c r="I1880" s="684"/>
      <c r="V1880"/>
      <c r="W1880"/>
      <c r="Y1880"/>
      <c r="Z1880"/>
      <c r="AA1880"/>
      <c r="AD1880"/>
      <c r="AE1880"/>
      <c r="AF1880"/>
      <c r="AH1880"/>
      <c r="AI1880"/>
      <c r="AJ1880"/>
      <c r="AM1880"/>
    </row>
    <row r="1881" spans="3:39" x14ac:dyDescent="0.2">
      <c r="C1881"/>
      <c r="D1881"/>
      <c r="E1881"/>
      <c r="F1881"/>
      <c r="G1881"/>
      <c r="H1881"/>
      <c r="I1881" s="684"/>
      <c r="V1881"/>
      <c r="W1881"/>
      <c r="Y1881"/>
      <c r="Z1881"/>
      <c r="AA1881"/>
      <c r="AD1881"/>
      <c r="AE1881"/>
      <c r="AF1881"/>
      <c r="AH1881"/>
      <c r="AI1881"/>
      <c r="AJ1881"/>
      <c r="AM1881"/>
    </row>
    <row r="1882" spans="3:39" x14ac:dyDescent="0.2">
      <c r="C1882"/>
      <c r="D1882"/>
      <c r="E1882"/>
      <c r="F1882"/>
      <c r="G1882"/>
      <c r="H1882"/>
      <c r="I1882" s="684"/>
      <c r="V1882"/>
      <c r="W1882"/>
      <c r="Y1882"/>
      <c r="Z1882"/>
      <c r="AA1882"/>
      <c r="AD1882"/>
      <c r="AE1882"/>
      <c r="AF1882"/>
      <c r="AH1882"/>
      <c r="AI1882"/>
      <c r="AJ1882"/>
      <c r="AM1882"/>
    </row>
    <row r="1883" spans="3:39" x14ac:dyDescent="0.2">
      <c r="C1883"/>
      <c r="D1883"/>
      <c r="E1883"/>
      <c r="F1883"/>
      <c r="G1883"/>
      <c r="H1883"/>
      <c r="I1883" s="684"/>
      <c r="V1883"/>
      <c r="W1883"/>
      <c r="Y1883"/>
      <c r="Z1883"/>
      <c r="AA1883"/>
      <c r="AD1883"/>
      <c r="AE1883"/>
      <c r="AF1883"/>
      <c r="AH1883"/>
      <c r="AI1883"/>
      <c r="AJ1883"/>
      <c r="AM1883"/>
    </row>
    <row r="1884" spans="3:39" x14ac:dyDescent="0.2">
      <c r="C1884"/>
      <c r="D1884"/>
      <c r="E1884"/>
      <c r="F1884"/>
      <c r="G1884"/>
      <c r="H1884"/>
      <c r="I1884" s="684"/>
      <c r="V1884"/>
      <c r="W1884"/>
      <c r="Y1884"/>
      <c r="Z1884"/>
      <c r="AA1884"/>
      <c r="AD1884"/>
      <c r="AE1884"/>
      <c r="AF1884"/>
      <c r="AH1884"/>
      <c r="AI1884"/>
      <c r="AJ1884"/>
      <c r="AM1884"/>
    </row>
    <row r="1885" spans="3:39" x14ac:dyDescent="0.2">
      <c r="C1885"/>
      <c r="D1885"/>
      <c r="E1885"/>
      <c r="F1885"/>
      <c r="G1885"/>
      <c r="H1885"/>
      <c r="I1885" s="684"/>
      <c r="V1885"/>
      <c r="W1885"/>
      <c r="Y1885"/>
      <c r="Z1885"/>
      <c r="AA1885"/>
      <c r="AD1885"/>
      <c r="AE1885"/>
      <c r="AF1885"/>
      <c r="AH1885"/>
      <c r="AI1885"/>
      <c r="AJ1885"/>
      <c r="AM1885"/>
    </row>
    <row r="1886" spans="3:39" x14ac:dyDescent="0.2">
      <c r="C1886"/>
      <c r="D1886"/>
      <c r="E1886"/>
      <c r="F1886"/>
      <c r="G1886"/>
      <c r="H1886"/>
      <c r="I1886" s="684"/>
      <c r="V1886"/>
      <c r="W1886"/>
      <c r="Y1886"/>
      <c r="Z1886"/>
      <c r="AA1886"/>
      <c r="AD1886"/>
      <c r="AE1886"/>
      <c r="AF1886"/>
      <c r="AH1886"/>
      <c r="AI1886"/>
      <c r="AJ1886"/>
      <c r="AM1886"/>
    </row>
    <row r="1887" spans="3:39" x14ac:dyDescent="0.2">
      <c r="C1887"/>
      <c r="D1887"/>
      <c r="E1887"/>
      <c r="F1887"/>
      <c r="G1887"/>
      <c r="H1887"/>
      <c r="I1887" s="684"/>
      <c r="V1887"/>
      <c r="W1887"/>
      <c r="Y1887"/>
      <c r="Z1887"/>
      <c r="AA1887"/>
      <c r="AD1887"/>
      <c r="AE1887"/>
      <c r="AF1887"/>
      <c r="AH1887"/>
      <c r="AI1887"/>
      <c r="AJ1887"/>
      <c r="AM1887"/>
    </row>
    <row r="1888" spans="3:39" x14ac:dyDescent="0.2">
      <c r="C1888"/>
      <c r="D1888"/>
      <c r="E1888"/>
      <c r="F1888"/>
      <c r="G1888"/>
      <c r="H1888"/>
      <c r="I1888" s="684"/>
      <c r="V1888"/>
      <c r="W1888"/>
      <c r="Y1888"/>
      <c r="Z1888"/>
      <c r="AA1888"/>
      <c r="AD1888"/>
      <c r="AE1888"/>
      <c r="AF1888"/>
      <c r="AH1888"/>
      <c r="AI1888"/>
      <c r="AJ1888"/>
      <c r="AM1888"/>
    </row>
    <row r="1889" spans="3:39" x14ac:dyDescent="0.2">
      <c r="C1889"/>
      <c r="D1889"/>
      <c r="E1889"/>
      <c r="F1889"/>
      <c r="G1889"/>
      <c r="H1889"/>
      <c r="I1889" s="684"/>
      <c r="V1889"/>
      <c r="W1889"/>
      <c r="Y1889"/>
      <c r="Z1889"/>
      <c r="AA1889"/>
      <c r="AD1889"/>
      <c r="AE1889"/>
      <c r="AF1889"/>
      <c r="AH1889"/>
      <c r="AI1889"/>
      <c r="AJ1889"/>
      <c r="AM1889"/>
    </row>
    <row r="1890" spans="3:39" x14ac:dyDescent="0.2">
      <c r="C1890"/>
      <c r="D1890"/>
      <c r="E1890"/>
      <c r="F1890"/>
      <c r="G1890"/>
      <c r="H1890"/>
      <c r="I1890" s="684"/>
      <c r="V1890"/>
      <c r="W1890"/>
      <c r="Y1890"/>
      <c r="Z1890"/>
      <c r="AA1890"/>
      <c r="AD1890"/>
      <c r="AE1890"/>
      <c r="AF1890"/>
      <c r="AH1890"/>
      <c r="AI1890"/>
      <c r="AJ1890"/>
      <c r="AM1890"/>
    </row>
    <row r="1891" spans="3:39" x14ac:dyDescent="0.2">
      <c r="C1891"/>
      <c r="D1891"/>
      <c r="E1891"/>
      <c r="F1891"/>
      <c r="G1891"/>
      <c r="H1891"/>
      <c r="I1891" s="684"/>
      <c r="V1891"/>
      <c r="W1891"/>
      <c r="Y1891"/>
      <c r="Z1891"/>
      <c r="AA1891"/>
      <c r="AD1891"/>
      <c r="AE1891"/>
      <c r="AF1891"/>
      <c r="AH1891"/>
      <c r="AI1891"/>
      <c r="AJ1891"/>
      <c r="AM1891"/>
    </row>
    <row r="1892" spans="3:39" x14ac:dyDescent="0.2">
      <c r="C1892"/>
      <c r="D1892"/>
      <c r="E1892"/>
      <c r="F1892"/>
      <c r="G1892"/>
      <c r="H1892"/>
      <c r="I1892" s="684"/>
      <c r="V1892"/>
      <c r="W1892"/>
      <c r="Y1892"/>
      <c r="Z1892"/>
      <c r="AA1892"/>
      <c r="AD1892"/>
      <c r="AE1892"/>
      <c r="AF1892"/>
      <c r="AH1892"/>
      <c r="AI1892"/>
      <c r="AJ1892"/>
      <c r="AM1892"/>
    </row>
    <row r="1893" spans="3:39" x14ac:dyDescent="0.2">
      <c r="C1893"/>
      <c r="D1893"/>
      <c r="E1893"/>
      <c r="F1893"/>
      <c r="G1893"/>
      <c r="H1893"/>
      <c r="I1893" s="684"/>
      <c r="V1893"/>
      <c r="W1893"/>
      <c r="Y1893"/>
      <c r="Z1893"/>
      <c r="AA1893"/>
      <c r="AD1893"/>
      <c r="AE1893"/>
      <c r="AF1893"/>
      <c r="AH1893"/>
      <c r="AI1893"/>
      <c r="AJ1893"/>
      <c r="AM1893"/>
    </row>
    <row r="1894" spans="3:39" x14ac:dyDescent="0.2">
      <c r="C1894"/>
      <c r="D1894"/>
      <c r="E1894"/>
      <c r="F1894"/>
      <c r="G1894"/>
      <c r="H1894"/>
      <c r="I1894" s="684"/>
      <c r="V1894"/>
      <c r="W1894"/>
      <c r="Y1894"/>
      <c r="Z1894"/>
      <c r="AA1894"/>
      <c r="AD1894"/>
      <c r="AE1894"/>
      <c r="AF1894"/>
      <c r="AH1894"/>
      <c r="AI1894"/>
      <c r="AJ1894"/>
      <c r="AM1894"/>
    </row>
    <row r="1895" spans="3:39" x14ac:dyDescent="0.2">
      <c r="C1895"/>
      <c r="D1895"/>
      <c r="E1895"/>
      <c r="F1895"/>
      <c r="G1895"/>
      <c r="H1895"/>
      <c r="I1895" s="684"/>
      <c r="V1895"/>
      <c r="W1895"/>
      <c r="Y1895"/>
      <c r="Z1895"/>
      <c r="AA1895"/>
      <c r="AD1895"/>
      <c r="AE1895"/>
      <c r="AF1895"/>
      <c r="AH1895"/>
      <c r="AI1895"/>
      <c r="AJ1895"/>
      <c r="AM1895"/>
    </row>
    <row r="1896" spans="3:39" x14ac:dyDescent="0.2">
      <c r="C1896"/>
      <c r="D1896"/>
      <c r="E1896"/>
      <c r="F1896"/>
      <c r="G1896"/>
      <c r="H1896"/>
      <c r="I1896" s="684"/>
      <c r="V1896"/>
      <c r="W1896"/>
      <c r="Y1896"/>
      <c r="Z1896"/>
      <c r="AA1896"/>
      <c r="AD1896"/>
      <c r="AE1896"/>
      <c r="AF1896"/>
      <c r="AH1896"/>
      <c r="AI1896"/>
      <c r="AJ1896"/>
      <c r="AM1896"/>
    </row>
    <row r="1897" spans="3:39" x14ac:dyDescent="0.2">
      <c r="C1897"/>
      <c r="D1897"/>
      <c r="E1897"/>
      <c r="F1897"/>
      <c r="G1897"/>
      <c r="H1897"/>
      <c r="I1897" s="684"/>
      <c r="V1897"/>
      <c r="W1897"/>
      <c r="Y1897"/>
      <c r="Z1897"/>
      <c r="AA1897"/>
      <c r="AD1897"/>
      <c r="AE1897"/>
      <c r="AF1897"/>
      <c r="AH1897"/>
      <c r="AI1897"/>
      <c r="AJ1897"/>
      <c r="AM1897"/>
    </row>
    <row r="1898" spans="3:39" x14ac:dyDescent="0.2">
      <c r="C1898"/>
      <c r="D1898"/>
      <c r="E1898"/>
      <c r="F1898"/>
      <c r="G1898"/>
      <c r="H1898"/>
      <c r="I1898" s="684"/>
      <c r="V1898"/>
      <c r="W1898"/>
      <c r="Y1898"/>
      <c r="Z1898"/>
      <c r="AA1898"/>
      <c r="AD1898"/>
      <c r="AE1898"/>
      <c r="AF1898"/>
      <c r="AH1898"/>
      <c r="AI1898"/>
      <c r="AJ1898"/>
      <c r="AM1898"/>
    </row>
    <row r="1899" spans="3:39" x14ac:dyDescent="0.2">
      <c r="C1899"/>
      <c r="D1899"/>
      <c r="E1899"/>
      <c r="F1899"/>
      <c r="G1899"/>
      <c r="H1899"/>
      <c r="I1899" s="684"/>
      <c r="V1899"/>
      <c r="W1899"/>
      <c r="Y1899"/>
      <c r="Z1899"/>
      <c r="AA1899"/>
      <c r="AD1899"/>
      <c r="AE1899"/>
      <c r="AF1899"/>
      <c r="AH1899"/>
      <c r="AI1899"/>
      <c r="AJ1899"/>
      <c r="AM1899"/>
    </row>
    <row r="1900" spans="3:39" x14ac:dyDescent="0.2">
      <c r="C1900"/>
      <c r="D1900"/>
      <c r="E1900"/>
      <c r="F1900"/>
      <c r="G1900"/>
      <c r="H1900"/>
      <c r="I1900" s="684"/>
      <c r="V1900"/>
      <c r="W1900"/>
      <c r="Y1900"/>
      <c r="Z1900"/>
      <c r="AA1900"/>
      <c r="AD1900"/>
      <c r="AE1900"/>
      <c r="AF1900"/>
      <c r="AH1900"/>
      <c r="AI1900"/>
      <c r="AJ1900"/>
      <c r="AM1900"/>
    </row>
    <row r="1901" spans="3:39" x14ac:dyDescent="0.2">
      <c r="C1901"/>
      <c r="D1901"/>
      <c r="E1901"/>
      <c r="F1901"/>
      <c r="G1901"/>
      <c r="H1901"/>
      <c r="I1901" s="684"/>
      <c r="V1901"/>
      <c r="W1901"/>
      <c r="Y1901"/>
      <c r="Z1901"/>
      <c r="AA1901"/>
      <c r="AD1901"/>
      <c r="AE1901"/>
      <c r="AF1901"/>
      <c r="AH1901"/>
      <c r="AI1901"/>
      <c r="AJ1901"/>
      <c r="AM1901"/>
    </row>
    <row r="1902" spans="3:39" x14ac:dyDescent="0.2">
      <c r="C1902"/>
      <c r="D1902"/>
      <c r="E1902"/>
      <c r="F1902"/>
      <c r="G1902"/>
      <c r="H1902"/>
      <c r="I1902" s="684"/>
      <c r="V1902"/>
      <c r="W1902"/>
      <c r="Y1902"/>
      <c r="Z1902"/>
      <c r="AA1902"/>
      <c r="AD1902"/>
      <c r="AE1902"/>
      <c r="AF1902"/>
      <c r="AH1902"/>
      <c r="AI1902"/>
      <c r="AJ1902"/>
      <c r="AM1902"/>
    </row>
    <row r="1903" spans="3:39" x14ac:dyDescent="0.2">
      <c r="C1903"/>
      <c r="D1903"/>
      <c r="E1903"/>
      <c r="F1903"/>
      <c r="G1903"/>
      <c r="H1903"/>
      <c r="I1903" s="684"/>
      <c r="V1903"/>
      <c r="W1903"/>
      <c r="Y1903"/>
      <c r="Z1903"/>
      <c r="AA1903"/>
      <c r="AD1903"/>
      <c r="AE1903"/>
      <c r="AF1903"/>
      <c r="AH1903"/>
      <c r="AI1903"/>
      <c r="AJ1903"/>
      <c r="AM1903"/>
    </row>
    <row r="1904" spans="3:39" x14ac:dyDescent="0.2">
      <c r="C1904"/>
      <c r="D1904"/>
      <c r="E1904"/>
      <c r="F1904"/>
      <c r="G1904"/>
      <c r="H1904"/>
      <c r="I1904" s="684"/>
      <c r="V1904"/>
      <c r="W1904"/>
      <c r="Y1904"/>
      <c r="Z1904"/>
      <c r="AA1904"/>
      <c r="AD1904"/>
      <c r="AE1904"/>
      <c r="AF1904"/>
      <c r="AH1904"/>
      <c r="AI1904"/>
      <c r="AJ1904"/>
      <c r="AM1904"/>
    </row>
    <row r="1905" spans="3:39" x14ac:dyDescent="0.2">
      <c r="C1905"/>
      <c r="D1905"/>
      <c r="E1905"/>
      <c r="F1905"/>
      <c r="G1905"/>
      <c r="H1905"/>
      <c r="I1905" s="684"/>
      <c r="V1905"/>
      <c r="W1905"/>
      <c r="Y1905"/>
      <c r="Z1905"/>
      <c r="AA1905"/>
      <c r="AD1905"/>
      <c r="AE1905"/>
      <c r="AF1905"/>
      <c r="AH1905"/>
      <c r="AI1905"/>
      <c r="AJ1905"/>
      <c r="AM1905"/>
    </row>
    <row r="1906" spans="3:39" x14ac:dyDescent="0.2">
      <c r="C1906"/>
      <c r="D1906"/>
      <c r="E1906"/>
      <c r="F1906"/>
      <c r="G1906"/>
      <c r="H1906"/>
      <c r="I1906" s="684"/>
      <c r="V1906"/>
      <c r="W1906"/>
      <c r="Y1906"/>
      <c r="Z1906"/>
      <c r="AA1906"/>
      <c r="AD1906"/>
      <c r="AE1906"/>
      <c r="AF1906"/>
      <c r="AH1906"/>
      <c r="AI1906"/>
      <c r="AJ1906"/>
      <c r="AM1906"/>
    </row>
    <row r="1907" spans="3:39" x14ac:dyDescent="0.2">
      <c r="C1907"/>
      <c r="D1907"/>
      <c r="E1907"/>
      <c r="F1907"/>
      <c r="G1907"/>
      <c r="H1907"/>
      <c r="I1907" s="684"/>
      <c r="V1907"/>
      <c r="W1907"/>
      <c r="Y1907"/>
      <c r="Z1907"/>
      <c r="AA1907"/>
      <c r="AD1907"/>
      <c r="AE1907"/>
      <c r="AF1907"/>
      <c r="AH1907"/>
      <c r="AI1907"/>
      <c r="AJ1907"/>
      <c r="AM1907"/>
    </row>
    <row r="1908" spans="3:39" x14ac:dyDescent="0.2">
      <c r="C1908"/>
      <c r="D1908"/>
      <c r="E1908"/>
      <c r="F1908"/>
      <c r="G1908"/>
      <c r="H1908"/>
      <c r="I1908" s="684"/>
      <c r="V1908"/>
      <c r="W1908"/>
      <c r="Y1908"/>
      <c r="Z1908"/>
      <c r="AA1908"/>
      <c r="AD1908"/>
      <c r="AE1908"/>
      <c r="AF1908"/>
      <c r="AH1908"/>
      <c r="AI1908"/>
      <c r="AJ1908"/>
      <c r="AM1908"/>
    </row>
    <row r="1909" spans="3:39" x14ac:dyDescent="0.2">
      <c r="C1909"/>
      <c r="D1909"/>
      <c r="E1909"/>
      <c r="F1909"/>
      <c r="G1909"/>
      <c r="H1909"/>
      <c r="I1909" s="684"/>
      <c r="V1909"/>
      <c r="W1909"/>
      <c r="Y1909"/>
      <c r="Z1909"/>
      <c r="AA1909"/>
      <c r="AD1909"/>
      <c r="AE1909"/>
      <c r="AF1909"/>
      <c r="AH1909"/>
      <c r="AI1909"/>
      <c r="AJ1909"/>
      <c r="AM1909"/>
    </row>
    <row r="1910" spans="3:39" x14ac:dyDescent="0.2">
      <c r="C1910"/>
      <c r="D1910"/>
      <c r="E1910"/>
      <c r="F1910"/>
      <c r="G1910"/>
      <c r="H1910"/>
      <c r="I1910" s="684"/>
      <c r="V1910"/>
      <c r="W1910"/>
      <c r="Y1910"/>
      <c r="Z1910"/>
      <c r="AA1910"/>
      <c r="AD1910"/>
      <c r="AE1910"/>
      <c r="AF1910"/>
      <c r="AH1910"/>
      <c r="AI1910"/>
      <c r="AJ1910"/>
      <c r="AM1910"/>
    </row>
    <row r="1911" spans="3:39" x14ac:dyDescent="0.2">
      <c r="C1911"/>
      <c r="D1911"/>
      <c r="E1911"/>
      <c r="F1911"/>
      <c r="G1911"/>
      <c r="H1911"/>
      <c r="I1911" s="684"/>
      <c r="V1911"/>
      <c r="W1911"/>
      <c r="Y1911"/>
      <c r="Z1911"/>
      <c r="AA1911"/>
      <c r="AD1911"/>
      <c r="AE1911"/>
      <c r="AF1911"/>
      <c r="AH1911"/>
      <c r="AI1911"/>
      <c r="AJ1911"/>
      <c r="AM1911"/>
    </row>
    <row r="1912" spans="3:39" x14ac:dyDescent="0.2">
      <c r="C1912"/>
      <c r="D1912"/>
      <c r="E1912"/>
      <c r="F1912"/>
      <c r="G1912"/>
      <c r="H1912"/>
      <c r="I1912" s="684"/>
      <c r="V1912"/>
      <c r="W1912"/>
      <c r="Y1912"/>
      <c r="Z1912"/>
      <c r="AA1912"/>
      <c r="AD1912"/>
      <c r="AE1912"/>
      <c r="AF1912"/>
      <c r="AH1912"/>
      <c r="AI1912"/>
      <c r="AJ1912"/>
      <c r="AM1912"/>
    </row>
    <row r="1913" spans="3:39" x14ac:dyDescent="0.2">
      <c r="C1913"/>
      <c r="D1913"/>
      <c r="E1913"/>
      <c r="F1913"/>
      <c r="G1913"/>
      <c r="H1913"/>
      <c r="I1913" s="684"/>
      <c r="V1913"/>
      <c r="W1913"/>
      <c r="Y1913"/>
      <c r="Z1913"/>
      <c r="AA1913"/>
      <c r="AD1913"/>
      <c r="AE1913"/>
      <c r="AF1913"/>
      <c r="AH1913"/>
      <c r="AI1913"/>
      <c r="AJ1913"/>
      <c r="AM1913"/>
    </row>
    <row r="1914" spans="3:39" x14ac:dyDescent="0.2">
      <c r="C1914"/>
      <c r="D1914"/>
      <c r="E1914"/>
      <c r="F1914"/>
      <c r="G1914"/>
      <c r="H1914"/>
      <c r="I1914" s="684"/>
      <c r="V1914"/>
      <c r="W1914"/>
      <c r="Y1914"/>
      <c r="Z1914"/>
      <c r="AA1914"/>
      <c r="AD1914"/>
      <c r="AE1914"/>
      <c r="AF1914"/>
      <c r="AH1914"/>
      <c r="AI1914"/>
      <c r="AJ1914"/>
      <c r="AM1914"/>
    </row>
    <row r="1915" spans="3:39" x14ac:dyDescent="0.2">
      <c r="C1915"/>
      <c r="D1915"/>
      <c r="E1915"/>
      <c r="F1915"/>
      <c r="G1915"/>
      <c r="H1915"/>
      <c r="I1915" s="684"/>
      <c r="V1915"/>
      <c r="W1915"/>
      <c r="Y1915"/>
      <c r="Z1915"/>
      <c r="AA1915"/>
      <c r="AD1915"/>
      <c r="AE1915"/>
      <c r="AF1915"/>
      <c r="AH1915"/>
      <c r="AI1915"/>
      <c r="AJ1915"/>
      <c r="AM1915"/>
    </row>
    <row r="1916" spans="3:39" x14ac:dyDescent="0.2">
      <c r="C1916"/>
      <c r="D1916"/>
      <c r="E1916"/>
      <c r="F1916"/>
      <c r="G1916"/>
      <c r="H1916"/>
      <c r="I1916" s="684"/>
      <c r="V1916"/>
      <c r="W1916"/>
      <c r="Y1916"/>
      <c r="Z1916"/>
      <c r="AA1916"/>
      <c r="AD1916"/>
      <c r="AE1916"/>
      <c r="AF1916"/>
      <c r="AH1916"/>
      <c r="AI1916"/>
      <c r="AJ1916"/>
      <c r="AM1916"/>
    </row>
    <row r="1917" spans="3:39" x14ac:dyDescent="0.2">
      <c r="C1917"/>
      <c r="D1917"/>
      <c r="E1917"/>
      <c r="F1917"/>
      <c r="G1917"/>
      <c r="H1917"/>
      <c r="I1917" s="684"/>
      <c r="V1917"/>
      <c r="W1917"/>
      <c r="Y1917"/>
      <c r="Z1917"/>
      <c r="AA1917"/>
      <c r="AD1917"/>
      <c r="AE1917"/>
      <c r="AF1917"/>
      <c r="AH1917"/>
      <c r="AI1917"/>
      <c r="AJ1917"/>
      <c r="AM1917"/>
    </row>
    <row r="1918" spans="3:39" x14ac:dyDescent="0.2">
      <c r="C1918"/>
      <c r="D1918"/>
      <c r="E1918"/>
      <c r="F1918"/>
      <c r="G1918"/>
      <c r="H1918"/>
      <c r="I1918" s="684"/>
      <c r="V1918"/>
      <c r="W1918"/>
      <c r="Y1918"/>
      <c r="Z1918"/>
      <c r="AA1918"/>
      <c r="AD1918"/>
      <c r="AE1918"/>
      <c r="AF1918"/>
      <c r="AH1918"/>
      <c r="AI1918"/>
      <c r="AJ1918"/>
      <c r="AM1918"/>
    </row>
    <row r="1919" spans="3:39" x14ac:dyDescent="0.2">
      <c r="C1919"/>
      <c r="D1919"/>
      <c r="E1919"/>
      <c r="F1919"/>
      <c r="G1919"/>
      <c r="H1919"/>
      <c r="I1919" s="684"/>
      <c r="V1919"/>
      <c r="W1919"/>
      <c r="Y1919"/>
      <c r="Z1919"/>
      <c r="AA1919"/>
      <c r="AD1919"/>
      <c r="AE1919"/>
      <c r="AF1919"/>
      <c r="AH1919"/>
      <c r="AI1919"/>
      <c r="AJ1919"/>
      <c r="AM1919"/>
    </row>
    <row r="1920" spans="3:39" x14ac:dyDescent="0.2">
      <c r="C1920"/>
      <c r="D1920"/>
      <c r="E1920"/>
      <c r="F1920"/>
      <c r="G1920"/>
      <c r="H1920"/>
      <c r="I1920" s="684"/>
      <c r="V1920"/>
      <c r="W1920"/>
      <c r="Y1920"/>
      <c r="Z1920"/>
      <c r="AA1920"/>
      <c r="AD1920"/>
      <c r="AE1920"/>
      <c r="AF1920"/>
      <c r="AH1920"/>
      <c r="AI1920"/>
      <c r="AJ1920"/>
      <c r="AM1920"/>
    </row>
    <row r="1921" spans="3:39" x14ac:dyDescent="0.2">
      <c r="C1921"/>
      <c r="D1921"/>
      <c r="E1921"/>
      <c r="F1921"/>
      <c r="G1921"/>
      <c r="H1921"/>
      <c r="I1921" s="684"/>
      <c r="V1921"/>
      <c r="W1921"/>
      <c r="Y1921"/>
      <c r="Z1921"/>
      <c r="AA1921"/>
      <c r="AD1921"/>
      <c r="AE1921"/>
      <c r="AF1921"/>
      <c r="AH1921"/>
      <c r="AI1921"/>
      <c r="AJ1921"/>
      <c r="AM1921"/>
    </row>
    <row r="1922" spans="3:39" x14ac:dyDescent="0.2">
      <c r="C1922"/>
      <c r="D1922"/>
      <c r="E1922"/>
      <c r="F1922"/>
      <c r="G1922"/>
      <c r="H1922"/>
      <c r="I1922" s="684"/>
      <c r="V1922"/>
      <c r="W1922"/>
      <c r="Y1922"/>
      <c r="Z1922"/>
      <c r="AA1922"/>
      <c r="AD1922"/>
      <c r="AE1922"/>
      <c r="AF1922"/>
      <c r="AH1922"/>
      <c r="AI1922"/>
      <c r="AJ1922"/>
      <c r="AM1922"/>
    </row>
    <row r="1923" spans="3:39" x14ac:dyDescent="0.2">
      <c r="C1923"/>
      <c r="D1923"/>
      <c r="E1923"/>
      <c r="F1923"/>
      <c r="G1923"/>
      <c r="H1923"/>
      <c r="I1923" s="684"/>
      <c r="V1923"/>
      <c r="W1923"/>
      <c r="Y1923"/>
      <c r="Z1923"/>
      <c r="AA1923"/>
      <c r="AD1923"/>
      <c r="AE1923"/>
      <c r="AF1923"/>
      <c r="AH1923"/>
      <c r="AI1923"/>
      <c r="AJ1923"/>
      <c r="AM1923"/>
    </row>
    <row r="1924" spans="3:39" x14ac:dyDescent="0.2">
      <c r="C1924"/>
      <c r="D1924"/>
      <c r="E1924"/>
      <c r="F1924"/>
      <c r="G1924"/>
      <c r="H1924"/>
      <c r="I1924" s="684"/>
      <c r="V1924"/>
      <c r="W1924"/>
      <c r="Y1924"/>
      <c r="Z1924"/>
      <c r="AA1924"/>
      <c r="AD1924"/>
      <c r="AE1924"/>
      <c r="AF1924"/>
      <c r="AH1924"/>
      <c r="AI1924"/>
      <c r="AJ1924"/>
      <c r="AM1924"/>
    </row>
    <row r="1925" spans="3:39" x14ac:dyDescent="0.2">
      <c r="C1925"/>
      <c r="D1925"/>
      <c r="E1925"/>
      <c r="F1925"/>
      <c r="G1925"/>
      <c r="H1925"/>
      <c r="I1925" s="684"/>
      <c r="V1925"/>
      <c r="W1925"/>
      <c r="Y1925"/>
      <c r="Z1925"/>
      <c r="AA1925"/>
      <c r="AD1925"/>
      <c r="AE1925"/>
      <c r="AF1925"/>
      <c r="AH1925"/>
      <c r="AI1925"/>
      <c r="AJ1925"/>
      <c r="AM1925"/>
    </row>
    <row r="1926" spans="3:39" x14ac:dyDescent="0.2">
      <c r="C1926"/>
      <c r="D1926"/>
      <c r="E1926"/>
      <c r="F1926"/>
      <c r="G1926"/>
      <c r="H1926"/>
      <c r="I1926" s="684"/>
      <c r="V1926"/>
      <c r="W1926"/>
      <c r="Y1926"/>
      <c r="Z1926"/>
      <c r="AA1926"/>
      <c r="AD1926"/>
      <c r="AE1926"/>
      <c r="AF1926"/>
      <c r="AH1926"/>
      <c r="AI1926"/>
      <c r="AJ1926"/>
      <c r="AM1926"/>
    </row>
    <row r="1927" spans="3:39" x14ac:dyDescent="0.2">
      <c r="C1927"/>
      <c r="D1927"/>
      <c r="E1927"/>
      <c r="F1927"/>
      <c r="G1927"/>
      <c r="H1927"/>
      <c r="I1927" s="684"/>
      <c r="V1927"/>
      <c r="W1927"/>
      <c r="Y1927"/>
      <c r="Z1927"/>
      <c r="AA1927"/>
      <c r="AD1927"/>
      <c r="AE1927"/>
      <c r="AF1927"/>
      <c r="AH1927"/>
      <c r="AI1927"/>
      <c r="AJ1927"/>
      <c r="AM1927"/>
    </row>
    <row r="1928" spans="3:39" x14ac:dyDescent="0.2">
      <c r="C1928"/>
      <c r="D1928"/>
      <c r="E1928"/>
      <c r="F1928"/>
      <c r="G1928"/>
      <c r="H1928"/>
      <c r="I1928" s="684"/>
      <c r="V1928"/>
      <c r="W1928"/>
      <c r="Y1928"/>
      <c r="Z1928"/>
      <c r="AA1928"/>
      <c r="AD1928"/>
      <c r="AE1928"/>
      <c r="AF1928"/>
      <c r="AH1928"/>
      <c r="AI1928"/>
      <c r="AJ1928"/>
      <c r="AM1928"/>
    </row>
    <row r="1929" spans="3:39" x14ac:dyDescent="0.2">
      <c r="C1929"/>
      <c r="D1929"/>
      <c r="E1929"/>
      <c r="F1929"/>
      <c r="G1929"/>
      <c r="H1929"/>
      <c r="I1929" s="684"/>
      <c r="V1929"/>
      <c r="W1929"/>
      <c r="Y1929"/>
      <c r="Z1929"/>
      <c r="AA1929"/>
      <c r="AD1929"/>
      <c r="AE1929"/>
      <c r="AF1929"/>
      <c r="AH1929"/>
      <c r="AI1929"/>
      <c r="AJ1929"/>
      <c r="AM1929"/>
    </row>
    <row r="1930" spans="3:39" x14ac:dyDescent="0.2">
      <c r="C1930"/>
      <c r="D1930"/>
      <c r="E1930"/>
      <c r="F1930"/>
      <c r="G1930"/>
      <c r="H1930"/>
      <c r="I1930" s="684"/>
      <c r="V1930"/>
      <c r="W1930"/>
      <c r="Y1930"/>
      <c r="Z1930"/>
      <c r="AA1930"/>
      <c r="AD1930"/>
      <c r="AE1930"/>
      <c r="AF1930"/>
      <c r="AH1930"/>
      <c r="AI1930"/>
      <c r="AJ1930"/>
      <c r="AM1930"/>
    </row>
    <row r="1931" spans="3:39" x14ac:dyDescent="0.2">
      <c r="C1931"/>
      <c r="D1931"/>
      <c r="E1931"/>
      <c r="F1931"/>
      <c r="G1931"/>
      <c r="H1931"/>
      <c r="I1931" s="684"/>
      <c r="V1931"/>
      <c r="W1931"/>
      <c r="Y1931"/>
      <c r="Z1931"/>
      <c r="AA1931"/>
      <c r="AD1931"/>
      <c r="AE1931"/>
      <c r="AF1931"/>
      <c r="AH1931"/>
      <c r="AI1931"/>
      <c r="AJ1931"/>
      <c r="AM1931"/>
    </row>
    <row r="1932" spans="3:39" x14ac:dyDescent="0.2">
      <c r="C1932"/>
      <c r="D1932"/>
      <c r="E1932"/>
      <c r="F1932"/>
      <c r="G1932"/>
      <c r="H1932"/>
      <c r="I1932" s="684"/>
      <c r="V1932"/>
      <c r="W1932"/>
      <c r="Y1932"/>
      <c r="Z1932"/>
      <c r="AA1932"/>
      <c r="AD1932"/>
      <c r="AE1932"/>
      <c r="AF1932"/>
      <c r="AH1932"/>
      <c r="AI1932"/>
      <c r="AJ1932"/>
      <c r="AM1932"/>
    </row>
    <row r="1933" spans="3:39" x14ac:dyDescent="0.2">
      <c r="C1933"/>
      <c r="D1933"/>
      <c r="E1933"/>
      <c r="F1933"/>
      <c r="G1933"/>
      <c r="H1933"/>
      <c r="I1933" s="684"/>
      <c r="V1933"/>
      <c r="W1933"/>
      <c r="Y1933"/>
      <c r="Z1933"/>
      <c r="AA1933"/>
      <c r="AD1933"/>
      <c r="AE1933"/>
      <c r="AF1933"/>
      <c r="AH1933"/>
      <c r="AI1933"/>
      <c r="AJ1933"/>
      <c r="AM1933"/>
    </row>
    <row r="1934" spans="3:39" x14ac:dyDescent="0.2">
      <c r="C1934"/>
      <c r="D1934"/>
      <c r="E1934"/>
      <c r="F1934"/>
      <c r="G1934"/>
      <c r="H1934"/>
      <c r="I1934" s="684"/>
      <c r="V1934"/>
      <c r="W1934"/>
      <c r="Y1934"/>
      <c r="Z1934"/>
      <c r="AA1934"/>
      <c r="AD1934"/>
      <c r="AE1934"/>
      <c r="AF1934"/>
      <c r="AH1934"/>
      <c r="AI1934"/>
      <c r="AJ1934"/>
      <c r="AM1934"/>
    </row>
    <row r="1935" spans="3:39" x14ac:dyDescent="0.2">
      <c r="C1935"/>
      <c r="D1935"/>
      <c r="E1935"/>
      <c r="F1935"/>
      <c r="G1935"/>
      <c r="H1935"/>
      <c r="I1935" s="684"/>
      <c r="V1935"/>
      <c r="W1935"/>
      <c r="Y1935"/>
      <c r="Z1935"/>
      <c r="AA1935"/>
      <c r="AD1935"/>
      <c r="AE1935"/>
      <c r="AF1935"/>
      <c r="AH1935"/>
      <c r="AI1935"/>
      <c r="AJ1935"/>
      <c r="AM1935"/>
    </row>
    <row r="1936" spans="3:39" x14ac:dyDescent="0.2">
      <c r="C1936"/>
      <c r="D1936"/>
      <c r="E1936"/>
      <c r="F1936"/>
      <c r="G1936"/>
      <c r="H1936"/>
      <c r="I1936" s="684"/>
      <c r="V1936"/>
      <c r="W1936"/>
      <c r="Y1936"/>
      <c r="Z1936"/>
      <c r="AA1936"/>
      <c r="AD1936"/>
      <c r="AE1936"/>
      <c r="AF1936"/>
      <c r="AH1936"/>
      <c r="AI1936"/>
      <c r="AJ1936"/>
      <c r="AM1936"/>
    </row>
    <row r="1937" spans="3:39" x14ac:dyDescent="0.2">
      <c r="C1937"/>
      <c r="D1937"/>
      <c r="E1937"/>
      <c r="F1937"/>
      <c r="G1937"/>
      <c r="H1937"/>
      <c r="I1937" s="684"/>
      <c r="V1937"/>
      <c r="W1937"/>
      <c r="Y1937"/>
      <c r="Z1937"/>
      <c r="AA1937"/>
      <c r="AD1937"/>
      <c r="AE1937"/>
      <c r="AF1937"/>
      <c r="AH1937"/>
      <c r="AI1937"/>
      <c r="AJ1937"/>
      <c r="AM1937"/>
    </row>
    <row r="1938" spans="3:39" x14ac:dyDescent="0.2">
      <c r="C1938"/>
      <c r="D1938"/>
      <c r="E1938"/>
      <c r="F1938"/>
      <c r="G1938"/>
      <c r="H1938"/>
      <c r="I1938" s="684"/>
      <c r="V1938"/>
      <c r="W1938"/>
      <c r="Y1938"/>
      <c r="Z1938"/>
      <c r="AA1938"/>
      <c r="AD1938"/>
      <c r="AE1938"/>
      <c r="AF1938"/>
      <c r="AH1938"/>
      <c r="AI1938"/>
      <c r="AJ1938"/>
      <c r="AM1938"/>
    </row>
    <row r="1939" spans="3:39" x14ac:dyDescent="0.2">
      <c r="C1939"/>
      <c r="D1939"/>
      <c r="E1939"/>
      <c r="F1939"/>
      <c r="G1939"/>
      <c r="H1939"/>
      <c r="I1939" s="684"/>
      <c r="V1939"/>
      <c r="W1939"/>
      <c r="Y1939"/>
      <c r="Z1939"/>
      <c r="AA1939"/>
      <c r="AD1939"/>
      <c r="AE1939"/>
      <c r="AF1939"/>
      <c r="AH1939"/>
      <c r="AI1939"/>
      <c r="AJ1939"/>
      <c r="AM1939"/>
    </row>
    <row r="1940" spans="3:39" x14ac:dyDescent="0.2">
      <c r="C1940"/>
      <c r="D1940"/>
      <c r="E1940"/>
      <c r="F1940"/>
      <c r="G1940"/>
      <c r="H1940"/>
      <c r="I1940" s="684"/>
      <c r="V1940"/>
      <c r="W1940"/>
      <c r="Y1940"/>
      <c r="Z1940"/>
      <c r="AA1940"/>
      <c r="AD1940"/>
      <c r="AE1940"/>
      <c r="AF1940"/>
      <c r="AH1940"/>
      <c r="AI1940"/>
      <c r="AJ1940"/>
      <c r="AM1940"/>
    </row>
    <row r="1941" spans="3:39" x14ac:dyDescent="0.2">
      <c r="C1941"/>
      <c r="D1941"/>
      <c r="E1941"/>
      <c r="F1941"/>
      <c r="G1941"/>
      <c r="H1941"/>
      <c r="I1941" s="684"/>
      <c r="V1941"/>
      <c r="W1941"/>
      <c r="Y1941"/>
      <c r="Z1941"/>
      <c r="AA1941"/>
      <c r="AD1941"/>
      <c r="AE1941"/>
      <c r="AF1941"/>
      <c r="AH1941"/>
      <c r="AI1941"/>
      <c r="AJ1941"/>
      <c r="AM1941"/>
    </row>
    <row r="1942" spans="3:39" x14ac:dyDescent="0.2">
      <c r="C1942"/>
      <c r="D1942"/>
      <c r="E1942"/>
      <c r="F1942"/>
      <c r="G1942"/>
      <c r="H1942"/>
      <c r="I1942" s="684"/>
      <c r="V1942"/>
      <c r="W1942"/>
      <c r="Y1942"/>
      <c r="Z1942"/>
      <c r="AA1942"/>
      <c r="AD1942"/>
      <c r="AE1942"/>
      <c r="AF1942"/>
      <c r="AH1942"/>
      <c r="AI1942"/>
      <c r="AJ1942"/>
      <c r="AM1942"/>
    </row>
    <row r="1943" spans="3:39" x14ac:dyDescent="0.2">
      <c r="C1943"/>
      <c r="D1943"/>
      <c r="E1943"/>
      <c r="F1943"/>
      <c r="G1943"/>
      <c r="H1943"/>
      <c r="I1943" s="684"/>
      <c r="V1943"/>
      <c r="W1943"/>
      <c r="Y1943"/>
      <c r="Z1943"/>
      <c r="AA1943"/>
      <c r="AD1943"/>
      <c r="AE1943"/>
      <c r="AF1943"/>
      <c r="AH1943"/>
      <c r="AI1943"/>
      <c r="AJ1943"/>
      <c r="AM1943"/>
    </row>
    <row r="1944" spans="3:39" x14ac:dyDescent="0.2">
      <c r="C1944"/>
      <c r="D1944"/>
      <c r="E1944"/>
      <c r="F1944"/>
      <c r="G1944"/>
      <c r="H1944"/>
      <c r="I1944" s="684"/>
      <c r="V1944"/>
      <c r="W1944"/>
      <c r="Y1944"/>
      <c r="Z1944"/>
      <c r="AA1944"/>
      <c r="AD1944"/>
      <c r="AE1944"/>
      <c r="AF1944"/>
      <c r="AH1944"/>
      <c r="AI1944"/>
      <c r="AJ1944"/>
      <c r="AM1944"/>
    </row>
    <row r="1945" spans="3:39" x14ac:dyDescent="0.2">
      <c r="C1945"/>
      <c r="D1945"/>
      <c r="E1945"/>
      <c r="F1945"/>
      <c r="G1945"/>
      <c r="H1945"/>
      <c r="I1945" s="684"/>
      <c r="V1945"/>
      <c r="W1945"/>
      <c r="Y1945"/>
      <c r="Z1945"/>
      <c r="AA1945"/>
      <c r="AD1945"/>
      <c r="AE1945"/>
      <c r="AF1945"/>
      <c r="AH1945"/>
      <c r="AI1945"/>
      <c r="AJ1945"/>
      <c r="AM1945"/>
    </row>
    <row r="1946" spans="3:39" x14ac:dyDescent="0.2">
      <c r="C1946"/>
      <c r="D1946"/>
      <c r="E1946"/>
      <c r="F1946"/>
      <c r="G1946"/>
      <c r="H1946"/>
      <c r="I1946" s="684"/>
      <c r="V1946"/>
      <c r="W1946"/>
      <c r="Y1946"/>
      <c r="Z1946"/>
      <c r="AA1946"/>
      <c r="AD1946"/>
      <c r="AE1946"/>
      <c r="AF1946"/>
      <c r="AH1946"/>
      <c r="AI1946"/>
      <c r="AJ1946"/>
      <c r="AM1946"/>
    </row>
    <row r="1947" spans="3:39" x14ac:dyDescent="0.2">
      <c r="C1947"/>
      <c r="D1947"/>
      <c r="E1947"/>
      <c r="F1947"/>
      <c r="G1947"/>
      <c r="H1947"/>
      <c r="I1947" s="684"/>
      <c r="V1947"/>
      <c r="W1947"/>
      <c r="Y1947"/>
      <c r="Z1947"/>
      <c r="AA1947"/>
      <c r="AD1947"/>
      <c r="AE1947"/>
      <c r="AF1947"/>
      <c r="AH1947"/>
      <c r="AI1947"/>
      <c r="AJ1947"/>
      <c r="AM1947"/>
    </row>
    <row r="1948" spans="3:39" x14ac:dyDescent="0.2">
      <c r="C1948"/>
      <c r="D1948"/>
      <c r="E1948"/>
      <c r="F1948"/>
      <c r="G1948"/>
      <c r="H1948"/>
      <c r="I1948" s="684"/>
      <c r="V1948"/>
      <c r="W1948"/>
      <c r="Y1948"/>
      <c r="Z1948"/>
      <c r="AA1948"/>
      <c r="AD1948"/>
      <c r="AE1948"/>
      <c r="AF1948"/>
      <c r="AH1948"/>
      <c r="AI1948"/>
      <c r="AJ1948"/>
      <c r="AM1948"/>
    </row>
    <row r="1949" spans="3:39" x14ac:dyDescent="0.2">
      <c r="C1949"/>
      <c r="D1949"/>
      <c r="E1949"/>
      <c r="F1949"/>
      <c r="G1949"/>
      <c r="H1949"/>
      <c r="I1949" s="684"/>
      <c r="V1949"/>
      <c r="W1949"/>
      <c r="Y1949"/>
      <c r="Z1949"/>
      <c r="AA1949"/>
      <c r="AD1949"/>
      <c r="AE1949"/>
      <c r="AF1949"/>
      <c r="AH1949"/>
      <c r="AI1949"/>
      <c r="AJ1949"/>
      <c r="AM1949"/>
    </row>
    <row r="1950" spans="3:39" x14ac:dyDescent="0.2">
      <c r="C1950"/>
      <c r="D1950"/>
      <c r="E1950"/>
      <c r="F1950"/>
      <c r="G1950"/>
      <c r="H1950"/>
      <c r="I1950" s="684"/>
      <c r="V1950"/>
      <c r="W1950"/>
      <c r="Y1950"/>
      <c r="Z1950"/>
      <c r="AA1950"/>
      <c r="AD1950"/>
      <c r="AE1950"/>
      <c r="AF1950"/>
      <c r="AH1950"/>
      <c r="AI1950"/>
      <c r="AJ1950"/>
      <c r="AM1950"/>
    </row>
    <row r="1951" spans="3:39" x14ac:dyDescent="0.2">
      <c r="C1951"/>
      <c r="D1951"/>
      <c r="E1951"/>
      <c r="F1951"/>
      <c r="G1951"/>
      <c r="H1951"/>
      <c r="I1951" s="684"/>
      <c r="V1951"/>
      <c r="W1951"/>
      <c r="Y1951"/>
      <c r="Z1951"/>
      <c r="AA1951"/>
      <c r="AD1951"/>
      <c r="AE1951"/>
      <c r="AF1951"/>
      <c r="AH1951"/>
      <c r="AI1951"/>
      <c r="AJ1951"/>
      <c r="AM1951"/>
    </row>
    <row r="1952" spans="3:39" x14ac:dyDescent="0.2">
      <c r="C1952"/>
      <c r="D1952"/>
      <c r="E1952"/>
      <c r="F1952"/>
      <c r="G1952"/>
      <c r="H1952"/>
      <c r="I1952" s="684"/>
      <c r="V1952"/>
      <c r="W1952"/>
      <c r="Y1952"/>
      <c r="Z1952"/>
      <c r="AA1952"/>
      <c r="AD1952"/>
      <c r="AE1952"/>
      <c r="AF1952"/>
      <c r="AH1952"/>
      <c r="AI1952"/>
      <c r="AJ1952"/>
      <c r="AM1952"/>
    </row>
    <row r="1953" spans="3:39" x14ac:dyDescent="0.2">
      <c r="C1953"/>
      <c r="D1953"/>
      <c r="E1953"/>
      <c r="F1953"/>
      <c r="G1953"/>
      <c r="H1953"/>
      <c r="I1953" s="684"/>
      <c r="V1953"/>
      <c r="W1953"/>
      <c r="Y1953"/>
      <c r="Z1953"/>
      <c r="AA1953"/>
      <c r="AD1953"/>
      <c r="AE1953"/>
      <c r="AF1953"/>
      <c r="AH1953"/>
      <c r="AI1953"/>
      <c r="AJ1953"/>
      <c r="AM1953"/>
    </row>
    <row r="1954" spans="3:39" x14ac:dyDescent="0.2">
      <c r="C1954"/>
      <c r="D1954"/>
      <c r="E1954"/>
      <c r="F1954"/>
      <c r="G1954"/>
      <c r="H1954"/>
      <c r="I1954" s="684"/>
      <c r="V1954"/>
      <c r="W1954"/>
      <c r="Y1954"/>
      <c r="Z1954"/>
      <c r="AA1954"/>
      <c r="AD1954"/>
      <c r="AE1954"/>
      <c r="AF1954"/>
      <c r="AH1954"/>
      <c r="AI1954"/>
      <c r="AJ1954"/>
      <c r="AM1954"/>
    </row>
    <row r="1955" spans="3:39" x14ac:dyDescent="0.2">
      <c r="C1955"/>
      <c r="D1955"/>
      <c r="E1955"/>
      <c r="F1955"/>
      <c r="G1955"/>
      <c r="H1955"/>
      <c r="I1955" s="684"/>
      <c r="V1955"/>
      <c r="W1955"/>
      <c r="Y1955"/>
      <c r="Z1955"/>
      <c r="AA1955"/>
      <c r="AD1955"/>
      <c r="AE1955"/>
      <c r="AF1955"/>
      <c r="AH1955"/>
      <c r="AI1955"/>
      <c r="AJ1955"/>
      <c r="AM1955"/>
    </row>
    <row r="1956" spans="3:39" x14ac:dyDescent="0.2">
      <c r="C1956"/>
      <c r="D1956"/>
      <c r="E1956"/>
      <c r="F1956"/>
      <c r="G1956"/>
      <c r="H1956"/>
      <c r="I1956" s="684"/>
      <c r="V1956"/>
      <c r="W1956"/>
      <c r="Y1956"/>
      <c r="Z1956"/>
      <c r="AA1956"/>
      <c r="AD1956"/>
      <c r="AE1956"/>
      <c r="AF1956"/>
      <c r="AH1956"/>
      <c r="AI1956"/>
      <c r="AJ1956"/>
      <c r="AM1956"/>
    </row>
    <row r="1957" spans="3:39" x14ac:dyDescent="0.2">
      <c r="C1957"/>
      <c r="D1957"/>
      <c r="E1957"/>
      <c r="F1957"/>
      <c r="G1957"/>
      <c r="H1957"/>
      <c r="I1957" s="684"/>
      <c r="V1957"/>
      <c r="W1957"/>
      <c r="Y1957"/>
      <c r="Z1957"/>
      <c r="AA1957"/>
      <c r="AD1957"/>
      <c r="AE1957"/>
      <c r="AF1957"/>
      <c r="AH1957"/>
      <c r="AI1957"/>
      <c r="AJ1957"/>
      <c r="AM1957"/>
    </row>
    <row r="1958" spans="3:39" x14ac:dyDescent="0.2">
      <c r="C1958"/>
      <c r="D1958"/>
      <c r="E1958"/>
      <c r="F1958"/>
      <c r="G1958"/>
      <c r="H1958"/>
      <c r="I1958" s="684"/>
      <c r="V1958"/>
      <c r="W1958"/>
      <c r="Y1958"/>
      <c r="Z1958"/>
      <c r="AA1958"/>
      <c r="AD1958"/>
      <c r="AE1958"/>
      <c r="AF1958"/>
      <c r="AH1958"/>
      <c r="AI1958"/>
      <c r="AJ1958"/>
      <c r="AM1958"/>
    </row>
    <row r="1959" spans="3:39" x14ac:dyDescent="0.2">
      <c r="C1959"/>
      <c r="D1959"/>
      <c r="E1959"/>
      <c r="F1959"/>
      <c r="G1959"/>
      <c r="H1959"/>
      <c r="I1959" s="684"/>
      <c r="V1959"/>
      <c r="W1959"/>
      <c r="Y1959"/>
      <c r="Z1959"/>
      <c r="AA1959"/>
      <c r="AD1959"/>
      <c r="AE1959"/>
      <c r="AF1959"/>
      <c r="AH1959"/>
      <c r="AI1959"/>
      <c r="AJ1959"/>
      <c r="AM1959"/>
    </row>
    <row r="1960" spans="3:39" x14ac:dyDescent="0.2">
      <c r="C1960"/>
      <c r="D1960"/>
      <c r="E1960"/>
      <c r="F1960"/>
      <c r="G1960"/>
      <c r="H1960"/>
      <c r="I1960" s="684"/>
      <c r="V1960"/>
      <c r="W1960"/>
      <c r="Y1960"/>
      <c r="Z1960"/>
      <c r="AA1960"/>
      <c r="AD1960"/>
      <c r="AE1960"/>
      <c r="AF1960"/>
      <c r="AH1960"/>
      <c r="AI1960"/>
      <c r="AJ1960"/>
      <c r="AM1960"/>
    </row>
    <row r="1961" spans="3:39" x14ac:dyDescent="0.2">
      <c r="C1961"/>
      <c r="D1961"/>
      <c r="E1961"/>
      <c r="F1961"/>
      <c r="G1961"/>
      <c r="H1961"/>
      <c r="I1961" s="684"/>
      <c r="V1961"/>
      <c r="W1961"/>
      <c r="Y1961"/>
      <c r="Z1961"/>
      <c r="AA1961"/>
      <c r="AD1961"/>
      <c r="AE1961"/>
      <c r="AF1961"/>
      <c r="AH1961"/>
      <c r="AI1961"/>
      <c r="AJ1961"/>
      <c r="AM1961"/>
    </row>
    <row r="1962" spans="3:39" x14ac:dyDescent="0.2">
      <c r="C1962"/>
      <c r="D1962"/>
      <c r="E1962"/>
      <c r="F1962"/>
      <c r="G1962"/>
      <c r="H1962"/>
      <c r="I1962" s="684"/>
      <c r="V1962"/>
      <c r="W1962"/>
      <c r="Y1962"/>
      <c r="Z1962"/>
      <c r="AA1962"/>
      <c r="AD1962"/>
      <c r="AE1962"/>
      <c r="AF1962"/>
      <c r="AH1962"/>
      <c r="AI1962"/>
      <c r="AJ1962"/>
      <c r="AM1962"/>
    </row>
    <row r="1963" spans="3:39" x14ac:dyDescent="0.2">
      <c r="C1963"/>
      <c r="D1963"/>
      <c r="E1963"/>
      <c r="F1963"/>
      <c r="G1963"/>
      <c r="H1963"/>
      <c r="I1963" s="684"/>
      <c r="V1963"/>
      <c r="W1963"/>
      <c r="Y1963"/>
      <c r="Z1963"/>
      <c r="AA1963"/>
      <c r="AD1963"/>
      <c r="AE1963"/>
      <c r="AF1963"/>
      <c r="AH1963"/>
      <c r="AI1963"/>
      <c r="AJ1963"/>
      <c r="AM1963"/>
    </row>
    <row r="1964" spans="3:39" x14ac:dyDescent="0.2">
      <c r="C1964"/>
      <c r="D1964"/>
      <c r="E1964"/>
      <c r="F1964"/>
      <c r="G1964"/>
      <c r="H1964"/>
      <c r="I1964" s="684"/>
      <c r="V1964"/>
      <c r="W1964"/>
      <c r="Y1964"/>
      <c r="Z1964"/>
      <c r="AA1964"/>
      <c r="AD1964"/>
      <c r="AE1964"/>
      <c r="AF1964"/>
      <c r="AH1964"/>
      <c r="AI1964"/>
      <c r="AJ1964"/>
      <c r="AM1964"/>
    </row>
    <row r="1965" spans="3:39" x14ac:dyDescent="0.2">
      <c r="C1965"/>
      <c r="D1965"/>
      <c r="E1965"/>
      <c r="F1965"/>
      <c r="G1965"/>
      <c r="H1965"/>
      <c r="I1965" s="684"/>
      <c r="V1965"/>
      <c r="W1965"/>
      <c r="Y1965"/>
      <c r="Z1965"/>
      <c r="AA1965"/>
      <c r="AD1965"/>
      <c r="AE1965"/>
      <c r="AF1965"/>
      <c r="AH1965"/>
      <c r="AI1965"/>
      <c r="AJ1965"/>
      <c r="AM1965"/>
    </row>
    <row r="1966" spans="3:39" x14ac:dyDescent="0.2">
      <c r="C1966"/>
      <c r="D1966"/>
      <c r="E1966"/>
      <c r="F1966"/>
      <c r="G1966"/>
      <c r="H1966"/>
      <c r="I1966" s="684"/>
      <c r="V1966"/>
      <c r="W1966"/>
      <c r="Y1966"/>
      <c r="Z1966"/>
      <c r="AA1966"/>
      <c r="AD1966"/>
      <c r="AE1966"/>
      <c r="AF1966"/>
      <c r="AH1966"/>
      <c r="AI1966"/>
      <c r="AJ1966"/>
      <c r="AM1966"/>
    </row>
    <row r="1967" spans="3:39" x14ac:dyDescent="0.2">
      <c r="C1967"/>
      <c r="D1967"/>
      <c r="E1967"/>
      <c r="F1967"/>
      <c r="G1967"/>
      <c r="H1967"/>
      <c r="I1967" s="684"/>
      <c r="V1967"/>
      <c r="W1967"/>
      <c r="Y1967"/>
      <c r="Z1967"/>
      <c r="AA1967"/>
      <c r="AD1967"/>
      <c r="AE1967"/>
      <c r="AF1967"/>
      <c r="AH1967"/>
      <c r="AI1967"/>
      <c r="AJ1967"/>
      <c r="AM1967"/>
    </row>
    <row r="1968" spans="3:39" x14ac:dyDescent="0.2">
      <c r="C1968"/>
      <c r="D1968"/>
      <c r="E1968"/>
      <c r="F1968"/>
      <c r="G1968"/>
      <c r="H1968"/>
      <c r="I1968" s="684"/>
      <c r="V1968"/>
      <c r="W1968"/>
      <c r="Y1968"/>
      <c r="Z1968"/>
      <c r="AA1968"/>
      <c r="AD1968"/>
      <c r="AE1968"/>
      <c r="AF1968"/>
      <c r="AH1968"/>
      <c r="AI1968"/>
      <c r="AJ1968"/>
      <c r="AM1968"/>
    </row>
    <row r="1969" spans="3:39" x14ac:dyDescent="0.2">
      <c r="C1969"/>
      <c r="D1969"/>
      <c r="E1969"/>
      <c r="F1969"/>
      <c r="G1969"/>
      <c r="H1969"/>
      <c r="I1969" s="684"/>
      <c r="V1969"/>
      <c r="W1969"/>
      <c r="Y1969"/>
      <c r="Z1969"/>
      <c r="AA1969"/>
      <c r="AD1969"/>
      <c r="AE1969"/>
      <c r="AF1969"/>
      <c r="AH1969"/>
      <c r="AI1969"/>
      <c r="AJ1969"/>
      <c r="AM1969"/>
    </row>
    <row r="1970" spans="3:39" x14ac:dyDescent="0.2">
      <c r="C1970"/>
      <c r="D1970"/>
      <c r="E1970"/>
      <c r="F1970"/>
      <c r="G1970"/>
      <c r="H1970"/>
      <c r="I1970" s="684"/>
      <c r="V1970"/>
      <c r="W1970"/>
      <c r="Y1970"/>
      <c r="Z1970"/>
      <c r="AA1970"/>
      <c r="AD1970"/>
      <c r="AE1970"/>
      <c r="AF1970"/>
      <c r="AH1970"/>
      <c r="AI1970"/>
      <c r="AJ1970"/>
      <c r="AM1970"/>
    </row>
    <row r="1971" spans="3:39" x14ac:dyDescent="0.2">
      <c r="C1971"/>
      <c r="D1971"/>
      <c r="E1971"/>
      <c r="F1971"/>
      <c r="G1971"/>
      <c r="H1971"/>
      <c r="I1971" s="684"/>
      <c r="V1971"/>
      <c r="W1971"/>
      <c r="Y1971"/>
      <c r="Z1971"/>
      <c r="AA1971"/>
      <c r="AD1971"/>
      <c r="AE1971"/>
      <c r="AF1971"/>
      <c r="AH1971"/>
      <c r="AI1971"/>
      <c r="AJ1971"/>
      <c r="AM1971"/>
    </row>
    <row r="1972" spans="3:39" x14ac:dyDescent="0.2">
      <c r="C1972"/>
      <c r="D1972"/>
      <c r="E1972"/>
      <c r="F1972"/>
      <c r="G1972"/>
      <c r="H1972"/>
      <c r="I1972" s="684"/>
      <c r="V1972"/>
      <c r="W1972"/>
      <c r="Y1972"/>
      <c r="Z1972"/>
      <c r="AA1972"/>
      <c r="AD1972"/>
      <c r="AE1972"/>
      <c r="AF1972"/>
      <c r="AH1972"/>
      <c r="AI1972"/>
      <c r="AJ1972"/>
      <c r="AM1972"/>
    </row>
    <row r="1973" spans="3:39" x14ac:dyDescent="0.2">
      <c r="C1973"/>
      <c r="D1973"/>
      <c r="E1973"/>
      <c r="F1973"/>
      <c r="G1973"/>
      <c r="H1973"/>
      <c r="I1973" s="684"/>
      <c r="V1973"/>
      <c r="W1973"/>
      <c r="Y1973"/>
      <c r="Z1973"/>
      <c r="AA1973"/>
      <c r="AD1973"/>
      <c r="AE1973"/>
      <c r="AF1973"/>
      <c r="AH1973"/>
      <c r="AI1973"/>
      <c r="AJ1973"/>
      <c r="AM1973"/>
    </row>
    <row r="1974" spans="3:39" x14ac:dyDescent="0.2">
      <c r="C1974"/>
      <c r="D1974"/>
      <c r="E1974"/>
      <c r="F1974"/>
      <c r="G1974"/>
      <c r="H1974"/>
      <c r="I1974" s="684"/>
      <c r="V1974"/>
      <c r="W1974"/>
      <c r="Y1974"/>
      <c r="Z1974"/>
      <c r="AA1974"/>
      <c r="AD1974"/>
      <c r="AE1974"/>
      <c r="AF1974"/>
      <c r="AH1974"/>
      <c r="AI1974"/>
      <c r="AJ1974"/>
      <c r="AM1974"/>
    </row>
    <row r="1975" spans="3:39" x14ac:dyDescent="0.2">
      <c r="C1975"/>
      <c r="D1975"/>
      <c r="E1975"/>
      <c r="F1975"/>
      <c r="G1975"/>
      <c r="H1975"/>
      <c r="I1975" s="684"/>
      <c r="V1975"/>
      <c r="W1975"/>
      <c r="Y1975"/>
      <c r="Z1975"/>
      <c r="AA1975"/>
      <c r="AD1975"/>
      <c r="AE1975"/>
      <c r="AF1975"/>
      <c r="AH1975"/>
      <c r="AI1975"/>
      <c r="AJ1975"/>
      <c r="AM1975"/>
    </row>
    <row r="1976" spans="3:39" x14ac:dyDescent="0.2">
      <c r="C1976"/>
      <c r="D1976"/>
      <c r="E1976"/>
      <c r="F1976"/>
      <c r="G1976"/>
      <c r="H1976"/>
      <c r="I1976" s="684"/>
      <c r="V1976"/>
      <c r="W1976"/>
      <c r="Y1976"/>
      <c r="Z1976"/>
      <c r="AA1976"/>
      <c r="AD1976"/>
      <c r="AE1976"/>
      <c r="AF1976"/>
      <c r="AH1976"/>
      <c r="AI1976"/>
      <c r="AJ1976"/>
      <c r="AM1976"/>
    </row>
    <row r="1977" spans="3:39" x14ac:dyDescent="0.2">
      <c r="C1977"/>
      <c r="D1977"/>
      <c r="E1977"/>
      <c r="F1977"/>
      <c r="G1977"/>
      <c r="H1977"/>
      <c r="I1977" s="684"/>
      <c r="V1977"/>
      <c r="W1977"/>
      <c r="Y1977"/>
      <c r="Z1977"/>
      <c r="AA1977"/>
      <c r="AD1977"/>
      <c r="AE1977"/>
      <c r="AF1977"/>
      <c r="AH1977"/>
      <c r="AI1977"/>
      <c r="AJ1977"/>
      <c r="AM1977"/>
    </row>
    <row r="1978" spans="3:39" x14ac:dyDescent="0.2">
      <c r="C1978"/>
      <c r="D1978"/>
      <c r="E1978"/>
      <c r="F1978"/>
      <c r="G1978"/>
      <c r="H1978"/>
      <c r="I1978" s="684"/>
      <c r="V1978"/>
      <c r="W1978"/>
      <c r="Y1978"/>
      <c r="Z1978"/>
      <c r="AA1978"/>
      <c r="AD1978"/>
      <c r="AE1978"/>
      <c r="AF1978"/>
      <c r="AH1978"/>
      <c r="AI1978"/>
      <c r="AJ1978"/>
      <c r="AM1978"/>
    </row>
    <row r="1979" spans="3:39" x14ac:dyDescent="0.2">
      <c r="C1979"/>
      <c r="D1979"/>
      <c r="E1979"/>
      <c r="F1979"/>
      <c r="G1979"/>
      <c r="H1979"/>
      <c r="I1979" s="684"/>
      <c r="V1979"/>
      <c r="W1979"/>
      <c r="Y1979"/>
      <c r="Z1979"/>
      <c r="AA1979"/>
      <c r="AD1979"/>
      <c r="AE1979"/>
      <c r="AF1979"/>
      <c r="AH1979"/>
      <c r="AI1979"/>
      <c r="AJ1979"/>
      <c r="AM1979"/>
    </row>
    <row r="1980" spans="3:39" x14ac:dyDescent="0.2">
      <c r="C1980"/>
      <c r="D1980"/>
      <c r="E1980"/>
      <c r="F1980"/>
      <c r="G1980"/>
      <c r="H1980"/>
      <c r="I1980" s="684"/>
      <c r="V1980"/>
      <c r="W1980"/>
      <c r="Y1980"/>
      <c r="Z1980"/>
      <c r="AA1980"/>
      <c r="AD1980"/>
      <c r="AE1980"/>
      <c r="AF1980"/>
      <c r="AH1980"/>
      <c r="AI1980"/>
      <c r="AJ1980"/>
      <c r="AM1980"/>
    </row>
    <row r="1981" spans="3:39" x14ac:dyDescent="0.2">
      <c r="C1981"/>
      <c r="D1981"/>
      <c r="E1981"/>
      <c r="F1981"/>
      <c r="G1981"/>
      <c r="H1981"/>
      <c r="I1981" s="684"/>
      <c r="V1981"/>
      <c r="W1981"/>
      <c r="Y1981"/>
      <c r="Z1981"/>
      <c r="AA1981"/>
      <c r="AD1981"/>
      <c r="AE1981"/>
      <c r="AF1981"/>
      <c r="AH1981"/>
      <c r="AI1981"/>
      <c r="AJ1981"/>
      <c r="AM1981"/>
    </row>
    <row r="1982" spans="3:39" x14ac:dyDescent="0.2">
      <c r="C1982"/>
      <c r="D1982"/>
      <c r="E1982"/>
      <c r="F1982"/>
      <c r="G1982"/>
      <c r="H1982"/>
      <c r="I1982" s="684"/>
      <c r="V1982"/>
      <c r="W1982"/>
      <c r="Y1982"/>
      <c r="Z1982"/>
      <c r="AA1982"/>
      <c r="AD1982"/>
      <c r="AE1982"/>
      <c r="AF1982"/>
      <c r="AH1982"/>
      <c r="AI1982"/>
      <c r="AJ1982"/>
      <c r="AM1982"/>
    </row>
    <row r="1983" spans="3:39" x14ac:dyDescent="0.2">
      <c r="C1983"/>
      <c r="D1983"/>
      <c r="E1983"/>
      <c r="F1983"/>
      <c r="G1983"/>
      <c r="H1983"/>
      <c r="I1983" s="684"/>
      <c r="V1983"/>
      <c r="W1983"/>
      <c r="Y1983"/>
      <c r="Z1983"/>
      <c r="AA1983"/>
      <c r="AD1983"/>
      <c r="AE1983"/>
      <c r="AF1983"/>
      <c r="AH1983"/>
      <c r="AI1983"/>
      <c r="AJ1983"/>
      <c r="AM1983"/>
    </row>
    <row r="1984" spans="3:39" x14ac:dyDescent="0.2">
      <c r="C1984"/>
      <c r="D1984"/>
      <c r="E1984"/>
      <c r="F1984"/>
      <c r="G1984"/>
      <c r="H1984"/>
      <c r="I1984" s="684"/>
      <c r="V1984"/>
      <c r="W1984"/>
      <c r="Y1984"/>
      <c r="Z1984"/>
      <c r="AA1984"/>
      <c r="AD1984"/>
      <c r="AE1984"/>
      <c r="AF1984"/>
      <c r="AH1984"/>
      <c r="AI1984"/>
      <c r="AJ1984"/>
      <c r="AM1984"/>
    </row>
    <row r="1985" spans="3:39" x14ac:dyDescent="0.2">
      <c r="C1985"/>
      <c r="D1985"/>
      <c r="E1985"/>
      <c r="F1985"/>
      <c r="G1985"/>
      <c r="H1985"/>
      <c r="I1985" s="684"/>
      <c r="V1985"/>
      <c r="W1985"/>
      <c r="Y1985"/>
      <c r="Z1985"/>
      <c r="AA1985"/>
      <c r="AD1985"/>
      <c r="AE1985"/>
      <c r="AF1985"/>
      <c r="AH1985"/>
      <c r="AI1985"/>
      <c r="AJ1985"/>
      <c r="AM1985"/>
    </row>
    <row r="1986" spans="3:39" x14ac:dyDescent="0.2">
      <c r="C1986"/>
      <c r="D1986"/>
      <c r="E1986"/>
      <c r="F1986"/>
      <c r="G1986"/>
      <c r="H1986"/>
      <c r="I1986" s="684"/>
      <c r="V1986"/>
      <c r="W1986"/>
      <c r="Y1986"/>
      <c r="Z1986"/>
      <c r="AA1986"/>
      <c r="AD1986"/>
      <c r="AE1986"/>
      <c r="AF1986"/>
      <c r="AH1986"/>
      <c r="AI1986"/>
      <c r="AJ1986"/>
      <c r="AM1986"/>
    </row>
    <row r="1987" spans="3:39" x14ac:dyDescent="0.2">
      <c r="C1987"/>
      <c r="D1987"/>
      <c r="E1987"/>
      <c r="F1987"/>
      <c r="G1987"/>
      <c r="H1987"/>
      <c r="I1987" s="684"/>
      <c r="V1987"/>
      <c r="W1987"/>
      <c r="Y1987"/>
      <c r="Z1987"/>
      <c r="AA1987"/>
      <c r="AD1987"/>
      <c r="AE1987"/>
      <c r="AF1987"/>
      <c r="AH1987"/>
      <c r="AI1987"/>
      <c r="AJ1987"/>
      <c r="AM1987"/>
    </row>
    <row r="1988" spans="3:39" x14ac:dyDescent="0.2">
      <c r="C1988"/>
      <c r="D1988"/>
      <c r="E1988"/>
      <c r="F1988"/>
      <c r="G1988"/>
      <c r="H1988"/>
      <c r="I1988" s="684"/>
      <c r="V1988"/>
      <c r="W1988"/>
      <c r="Y1988"/>
      <c r="Z1988"/>
      <c r="AA1988"/>
      <c r="AD1988"/>
      <c r="AE1988"/>
      <c r="AF1988"/>
      <c r="AH1988"/>
      <c r="AI1988"/>
      <c r="AJ1988"/>
      <c r="AM1988"/>
    </row>
    <row r="1989" spans="3:39" x14ac:dyDescent="0.2">
      <c r="C1989"/>
      <c r="D1989"/>
      <c r="E1989"/>
      <c r="F1989"/>
      <c r="G1989"/>
      <c r="H1989"/>
      <c r="I1989" s="684"/>
      <c r="V1989"/>
      <c r="W1989"/>
      <c r="Y1989"/>
      <c r="Z1989"/>
      <c r="AA1989"/>
      <c r="AD1989"/>
      <c r="AE1989"/>
      <c r="AF1989"/>
      <c r="AH1989"/>
      <c r="AI1989"/>
      <c r="AJ1989"/>
      <c r="AM1989"/>
    </row>
    <row r="1990" spans="3:39" x14ac:dyDescent="0.2">
      <c r="C1990"/>
      <c r="D1990"/>
      <c r="E1990"/>
      <c r="F1990"/>
      <c r="G1990"/>
      <c r="H1990"/>
      <c r="I1990" s="684"/>
      <c r="V1990"/>
      <c r="W1990"/>
      <c r="Y1990"/>
      <c r="Z1990"/>
      <c r="AA1990"/>
      <c r="AD1990"/>
      <c r="AE1990"/>
      <c r="AF1990"/>
      <c r="AH1990"/>
      <c r="AI1990"/>
      <c r="AJ1990"/>
      <c r="AM1990"/>
    </row>
    <row r="1991" spans="3:39" x14ac:dyDescent="0.2">
      <c r="C1991"/>
      <c r="D1991"/>
      <c r="E1991"/>
      <c r="F1991"/>
      <c r="G1991"/>
      <c r="H1991"/>
      <c r="I1991" s="684"/>
      <c r="V1991"/>
      <c r="W1991"/>
      <c r="Y1991"/>
      <c r="Z1991"/>
      <c r="AA1991"/>
      <c r="AD1991"/>
      <c r="AE1991"/>
      <c r="AF1991"/>
      <c r="AH1991"/>
      <c r="AI1991"/>
      <c r="AJ1991"/>
      <c r="AM1991"/>
    </row>
    <row r="1992" spans="3:39" x14ac:dyDescent="0.2">
      <c r="C1992"/>
      <c r="D1992"/>
      <c r="E1992"/>
      <c r="F1992"/>
      <c r="G1992"/>
      <c r="H1992"/>
      <c r="I1992" s="684"/>
      <c r="V1992"/>
      <c r="W1992"/>
      <c r="Y1992"/>
      <c r="Z1992"/>
      <c r="AA1992"/>
      <c r="AD1992"/>
      <c r="AE1992"/>
      <c r="AF1992"/>
      <c r="AH1992"/>
      <c r="AI1992"/>
      <c r="AJ1992"/>
      <c r="AM1992"/>
    </row>
    <row r="1993" spans="3:39" x14ac:dyDescent="0.2">
      <c r="C1993"/>
      <c r="D1993"/>
      <c r="E1993"/>
      <c r="F1993"/>
      <c r="G1993"/>
      <c r="H1993"/>
      <c r="I1993" s="684"/>
      <c r="V1993"/>
      <c r="W1993"/>
      <c r="Y1993"/>
      <c r="Z1993"/>
      <c r="AA1993"/>
      <c r="AD1993"/>
      <c r="AE1993"/>
      <c r="AF1993"/>
      <c r="AH1993"/>
      <c r="AI1993"/>
      <c r="AJ1993"/>
      <c r="AM1993"/>
    </row>
    <row r="1994" spans="3:39" x14ac:dyDescent="0.2">
      <c r="C1994"/>
      <c r="D1994"/>
      <c r="E1994"/>
      <c r="F1994"/>
      <c r="G1994"/>
      <c r="H1994"/>
      <c r="I1994" s="684"/>
      <c r="V1994"/>
      <c r="W1994"/>
      <c r="Y1994"/>
      <c r="Z1994"/>
      <c r="AA1994"/>
      <c r="AD1994"/>
      <c r="AE1994"/>
      <c r="AF1994"/>
      <c r="AH1994"/>
      <c r="AI1994"/>
      <c r="AJ1994"/>
      <c r="AM1994"/>
    </row>
    <row r="1995" spans="3:39" x14ac:dyDescent="0.2">
      <c r="C1995"/>
      <c r="D1995"/>
      <c r="E1995"/>
      <c r="F1995"/>
      <c r="G1995"/>
      <c r="H1995"/>
      <c r="I1995" s="684"/>
      <c r="V1995"/>
      <c r="W1995"/>
      <c r="Y1995"/>
      <c r="Z1995"/>
      <c r="AA1995"/>
      <c r="AD1995"/>
      <c r="AE1995"/>
      <c r="AF1995"/>
      <c r="AH1995"/>
      <c r="AI1995"/>
      <c r="AJ1995"/>
      <c r="AM1995"/>
    </row>
    <row r="1996" spans="3:39" x14ac:dyDescent="0.2">
      <c r="C1996"/>
      <c r="D1996"/>
      <c r="E1996"/>
      <c r="F1996"/>
      <c r="G1996"/>
      <c r="H1996"/>
      <c r="I1996" s="684"/>
      <c r="V1996"/>
      <c r="W1996"/>
      <c r="Y1996"/>
      <c r="Z1996"/>
      <c r="AA1996"/>
      <c r="AD1996"/>
      <c r="AE1996"/>
      <c r="AF1996"/>
      <c r="AH1996"/>
      <c r="AI1996"/>
      <c r="AJ1996"/>
      <c r="AM1996"/>
    </row>
    <row r="1997" spans="3:39" x14ac:dyDescent="0.2">
      <c r="C1997"/>
      <c r="D1997"/>
      <c r="E1997"/>
      <c r="F1997"/>
      <c r="G1997"/>
      <c r="H1997"/>
      <c r="I1997" s="684"/>
      <c r="V1997"/>
      <c r="W1997"/>
      <c r="Y1997"/>
      <c r="Z1997"/>
      <c r="AA1997"/>
      <c r="AD1997"/>
      <c r="AE1997"/>
      <c r="AF1997"/>
      <c r="AH1997"/>
      <c r="AI1997"/>
      <c r="AJ1997"/>
      <c r="AM1997"/>
    </row>
    <row r="1998" spans="3:39" x14ac:dyDescent="0.2">
      <c r="C1998"/>
      <c r="D1998"/>
      <c r="E1998"/>
      <c r="F1998"/>
      <c r="G1998"/>
      <c r="H1998"/>
      <c r="I1998" s="684"/>
      <c r="V1998"/>
      <c r="W1998"/>
      <c r="Y1998"/>
      <c r="Z1998"/>
      <c r="AA1998"/>
      <c r="AD1998"/>
      <c r="AE1998"/>
      <c r="AF1998"/>
      <c r="AH1998"/>
      <c r="AI1998"/>
      <c r="AJ1998"/>
      <c r="AM1998"/>
    </row>
    <row r="1999" spans="3:39" x14ac:dyDescent="0.2">
      <c r="C1999"/>
      <c r="D1999"/>
      <c r="E1999"/>
      <c r="F1999"/>
      <c r="G1999"/>
      <c r="H1999"/>
      <c r="I1999" s="684"/>
      <c r="V1999"/>
      <c r="W1999"/>
      <c r="Y1999"/>
      <c r="Z1999"/>
      <c r="AA1999"/>
      <c r="AD1999"/>
      <c r="AE1999"/>
      <c r="AF1999"/>
      <c r="AH1999"/>
      <c r="AI1999"/>
      <c r="AJ1999"/>
      <c r="AM1999"/>
    </row>
    <row r="2000" spans="3:39" x14ac:dyDescent="0.2">
      <c r="C2000"/>
      <c r="D2000"/>
      <c r="E2000"/>
      <c r="F2000"/>
      <c r="G2000"/>
      <c r="H2000"/>
      <c r="I2000" s="684"/>
      <c r="V2000"/>
      <c r="W2000"/>
      <c r="Y2000"/>
      <c r="Z2000"/>
      <c r="AA2000"/>
      <c r="AD2000"/>
      <c r="AE2000"/>
      <c r="AF2000"/>
      <c r="AH2000"/>
      <c r="AI2000"/>
      <c r="AJ2000"/>
      <c r="AM2000"/>
    </row>
    <row r="2001" spans="3:39" x14ac:dyDescent="0.2">
      <c r="C2001"/>
      <c r="D2001"/>
      <c r="E2001"/>
      <c r="F2001"/>
      <c r="G2001"/>
      <c r="H2001"/>
      <c r="I2001" s="684"/>
      <c r="V2001"/>
      <c r="W2001"/>
      <c r="Y2001"/>
      <c r="Z2001"/>
      <c r="AA2001"/>
      <c r="AD2001"/>
      <c r="AE2001"/>
      <c r="AF2001"/>
      <c r="AH2001"/>
      <c r="AI2001"/>
      <c r="AJ2001"/>
      <c r="AM2001"/>
    </row>
    <row r="2002" spans="3:39" x14ac:dyDescent="0.2">
      <c r="C2002"/>
      <c r="D2002"/>
      <c r="E2002"/>
      <c r="F2002"/>
      <c r="G2002"/>
      <c r="H2002"/>
      <c r="I2002" s="684"/>
      <c r="V2002"/>
      <c r="W2002"/>
      <c r="Y2002"/>
      <c r="Z2002"/>
      <c r="AA2002"/>
      <c r="AD2002"/>
      <c r="AE2002"/>
      <c r="AF2002"/>
      <c r="AH2002"/>
      <c r="AI2002"/>
      <c r="AJ2002"/>
      <c r="AM2002"/>
    </row>
    <row r="2003" spans="3:39" x14ac:dyDescent="0.2">
      <c r="C2003"/>
      <c r="D2003"/>
      <c r="E2003"/>
      <c r="F2003"/>
      <c r="G2003"/>
      <c r="H2003"/>
      <c r="I2003" s="684"/>
      <c r="V2003"/>
      <c r="W2003"/>
      <c r="Y2003"/>
      <c r="Z2003"/>
      <c r="AA2003"/>
      <c r="AD2003"/>
      <c r="AE2003"/>
      <c r="AF2003"/>
      <c r="AH2003"/>
      <c r="AI2003"/>
      <c r="AJ2003"/>
      <c r="AM2003"/>
    </row>
    <row r="2004" spans="3:39" x14ac:dyDescent="0.2">
      <c r="C2004"/>
      <c r="D2004"/>
      <c r="E2004"/>
      <c r="F2004"/>
      <c r="G2004"/>
      <c r="H2004"/>
      <c r="I2004" s="684"/>
      <c r="V2004"/>
      <c r="W2004"/>
      <c r="Y2004"/>
      <c r="Z2004"/>
      <c r="AA2004"/>
      <c r="AD2004"/>
      <c r="AE2004"/>
      <c r="AF2004"/>
      <c r="AH2004"/>
      <c r="AI2004"/>
      <c r="AJ2004"/>
      <c r="AM2004"/>
    </row>
    <row r="2005" spans="3:39" x14ac:dyDescent="0.2">
      <c r="C2005"/>
      <c r="D2005"/>
      <c r="E2005"/>
      <c r="F2005"/>
      <c r="G2005"/>
      <c r="H2005"/>
      <c r="I2005" s="684"/>
      <c r="V2005"/>
      <c r="W2005"/>
      <c r="Y2005"/>
      <c r="Z2005"/>
      <c r="AA2005"/>
      <c r="AD2005"/>
      <c r="AE2005"/>
      <c r="AF2005"/>
      <c r="AH2005"/>
      <c r="AI2005"/>
      <c r="AJ2005"/>
      <c r="AM2005"/>
    </row>
    <row r="2006" spans="3:39" x14ac:dyDescent="0.2">
      <c r="C2006"/>
      <c r="D2006"/>
      <c r="E2006"/>
      <c r="F2006"/>
      <c r="G2006"/>
      <c r="H2006"/>
      <c r="I2006" s="684"/>
      <c r="V2006"/>
      <c r="W2006"/>
      <c r="Y2006"/>
      <c r="Z2006"/>
      <c r="AA2006"/>
      <c r="AD2006"/>
      <c r="AE2006"/>
      <c r="AF2006"/>
      <c r="AH2006"/>
      <c r="AI2006"/>
      <c r="AJ2006"/>
      <c r="AM2006"/>
    </row>
    <row r="2007" spans="3:39" x14ac:dyDescent="0.2">
      <c r="C2007"/>
      <c r="D2007"/>
      <c r="E2007"/>
      <c r="F2007"/>
      <c r="G2007"/>
      <c r="H2007"/>
      <c r="I2007" s="684"/>
      <c r="V2007"/>
      <c r="W2007"/>
      <c r="Y2007"/>
      <c r="Z2007"/>
      <c r="AA2007"/>
      <c r="AD2007"/>
      <c r="AE2007"/>
      <c r="AF2007"/>
      <c r="AH2007"/>
      <c r="AI2007"/>
      <c r="AJ2007"/>
      <c r="AM2007"/>
    </row>
    <row r="2008" spans="3:39" x14ac:dyDescent="0.2">
      <c r="C2008"/>
      <c r="D2008"/>
      <c r="E2008"/>
      <c r="F2008"/>
      <c r="G2008"/>
      <c r="H2008"/>
      <c r="I2008" s="684"/>
      <c r="V2008"/>
      <c r="W2008"/>
      <c r="Y2008"/>
      <c r="Z2008"/>
      <c r="AA2008"/>
      <c r="AD2008"/>
      <c r="AE2008"/>
      <c r="AF2008"/>
      <c r="AH2008"/>
      <c r="AI2008"/>
      <c r="AJ2008"/>
      <c r="AM2008"/>
    </row>
    <row r="2009" spans="3:39" x14ac:dyDescent="0.2">
      <c r="C2009"/>
      <c r="D2009"/>
      <c r="E2009"/>
      <c r="F2009"/>
      <c r="G2009"/>
      <c r="H2009"/>
      <c r="I2009" s="684"/>
      <c r="V2009"/>
      <c r="W2009"/>
      <c r="Y2009"/>
      <c r="Z2009"/>
      <c r="AA2009"/>
      <c r="AD2009"/>
      <c r="AE2009"/>
      <c r="AF2009"/>
      <c r="AH2009"/>
      <c r="AI2009"/>
      <c r="AJ2009"/>
      <c r="AM2009"/>
    </row>
    <row r="2010" spans="3:39" x14ac:dyDescent="0.2">
      <c r="C2010"/>
      <c r="D2010"/>
      <c r="E2010"/>
      <c r="F2010"/>
      <c r="G2010"/>
      <c r="H2010"/>
      <c r="I2010" s="684"/>
      <c r="V2010"/>
      <c r="W2010"/>
      <c r="Y2010"/>
      <c r="Z2010"/>
      <c r="AA2010"/>
      <c r="AD2010"/>
      <c r="AE2010"/>
      <c r="AF2010"/>
      <c r="AH2010"/>
      <c r="AI2010"/>
      <c r="AJ2010"/>
      <c r="AM2010"/>
    </row>
    <row r="2011" spans="3:39" x14ac:dyDescent="0.2">
      <c r="C2011"/>
      <c r="D2011"/>
      <c r="E2011"/>
      <c r="F2011"/>
      <c r="G2011"/>
      <c r="H2011"/>
      <c r="I2011" s="684"/>
      <c r="V2011"/>
      <c r="W2011"/>
      <c r="Y2011"/>
      <c r="Z2011"/>
      <c r="AA2011"/>
      <c r="AD2011"/>
      <c r="AE2011"/>
      <c r="AF2011"/>
      <c r="AH2011"/>
      <c r="AI2011"/>
      <c r="AJ2011"/>
      <c r="AM2011"/>
    </row>
    <row r="2012" spans="3:39" x14ac:dyDescent="0.2">
      <c r="C2012"/>
      <c r="D2012"/>
      <c r="E2012"/>
      <c r="F2012"/>
      <c r="G2012"/>
      <c r="H2012"/>
      <c r="I2012" s="684"/>
      <c r="V2012"/>
      <c r="W2012"/>
      <c r="Y2012"/>
      <c r="Z2012"/>
      <c r="AA2012"/>
      <c r="AD2012"/>
      <c r="AE2012"/>
      <c r="AF2012"/>
      <c r="AH2012"/>
      <c r="AI2012"/>
      <c r="AJ2012"/>
      <c r="AM2012"/>
    </row>
    <row r="2013" spans="3:39" x14ac:dyDescent="0.2">
      <c r="C2013"/>
      <c r="D2013"/>
      <c r="E2013"/>
      <c r="F2013"/>
      <c r="G2013"/>
      <c r="H2013"/>
      <c r="I2013" s="684"/>
      <c r="V2013"/>
      <c r="W2013"/>
      <c r="Y2013"/>
      <c r="Z2013"/>
      <c r="AA2013"/>
      <c r="AD2013"/>
      <c r="AE2013"/>
      <c r="AF2013"/>
      <c r="AH2013"/>
      <c r="AI2013"/>
      <c r="AJ2013"/>
      <c r="AM2013"/>
    </row>
    <row r="2014" spans="3:39" x14ac:dyDescent="0.2">
      <c r="C2014"/>
      <c r="D2014"/>
      <c r="E2014"/>
      <c r="F2014"/>
      <c r="G2014"/>
      <c r="H2014"/>
      <c r="I2014" s="684"/>
      <c r="V2014"/>
      <c r="W2014"/>
      <c r="Y2014"/>
      <c r="Z2014"/>
      <c r="AA2014"/>
      <c r="AD2014"/>
      <c r="AE2014"/>
      <c r="AF2014"/>
      <c r="AH2014"/>
      <c r="AI2014"/>
      <c r="AJ2014"/>
      <c r="AM2014"/>
    </row>
    <row r="2015" spans="3:39" x14ac:dyDescent="0.2">
      <c r="C2015"/>
      <c r="D2015"/>
      <c r="E2015"/>
      <c r="F2015"/>
      <c r="G2015"/>
      <c r="H2015"/>
      <c r="I2015" s="684"/>
      <c r="V2015"/>
      <c r="W2015"/>
      <c r="Y2015"/>
      <c r="Z2015"/>
      <c r="AA2015"/>
      <c r="AD2015"/>
      <c r="AE2015"/>
      <c r="AF2015"/>
      <c r="AH2015"/>
      <c r="AI2015"/>
      <c r="AJ2015"/>
      <c r="AM2015"/>
    </row>
    <row r="2016" spans="3:39" x14ac:dyDescent="0.2">
      <c r="C2016"/>
      <c r="D2016"/>
      <c r="E2016"/>
      <c r="F2016"/>
      <c r="G2016"/>
      <c r="H2016"/>
      <c r="I2016" s="684"/>
      <c r="V2016"/>
      <c r="W2016"/>
      <c r="Y2016"/>
      <c r="Z2016"/>
      <c r="AA2016"/>
      <c r="AD2016"/>
      <c r="AE2016"/>
      <c r="AF2016"/>
      <c r="AH2016"/>
      <c r="AI2016"/>
      <c r="AJ2016"/>
      <c r="AM2016"/>
    </row>
    <row r="2017" spans="3:39" x14ac:dyDescent="0.2">
      <c r="C2017"/>
      <c r="D2017"/>
      <c r="E2017"/>
      <c r="F2017"/>
      <c r="G2017"/>
      <c r="H2017"/>
      <c r="I2017" s="684"/>
      <c r="V2017"/>
      <c r="W2017"/>
      <c r="Y2017"/>
      <c r="Z2017"/>
      <c r="AA2017"/>
      <c r="AD2017"/>
      <c r="AE2017"/>
      <c r="AF2017"/>
      <c r="AH2017"/>
      <c r="AI2017"/>
      <c r="AJ2017"/>
      <c r="AM2017"/>
    </row>
    <row r="2018" spans="3:39" x14ac:dyDescent="0.2">
      <c r="C2018"/>
      <c r="D2018"/>
      <c r="E2018"/>
      <c r="F2018"/>
      <c r="G2018"/>
      <c r="H2018"/>
      <c r="I2018" s="684"/>
      <c r="V2018"/>
      <c r="W2018"/>
      <c r="Y2018"/>
      <c r="Z2018"/>
      <c r="AA2018"/>
      <c r="AD2018"/>
      <c r="AE2018"/>
      <c r="AF2018"/>
      <c r="AH2018"/>
      <c r="AI2018"/>
      <c r="AJ2018"/>
      <c r="AM2018"/>
    </row>
    <row r="2019" spans="3:39" x14ac:dyDescent="0.2">
      <c r="C2019"/>
      <c r="D2019"/>
      <c r="E2019"/>
      <c r="F2019"/>
      <c r="G2019"/>
      <c r="H2019"/>
      <c r="I2019" s="684"/>
      <c r="V2019"/>
      <c r="W2019"/>
      <c r="Y2019"/>
      <c r="Z2019"/>
      <c r="AA2019"/>
      <c r="AD2019"/>
      <c r="AE2019"/>
      <c r="AF2019"/>
      <c r="AH2019"/>
      <c r="AI2019"/>
      <c r="AJ2019"/>
      <c r="AM2019"/>
    </row>
    <row r="2020" spans="3:39" x14ac:dyDescent="0.2">
      <c r="C2020"/>
      <c r="D2020"/>
      <c r="E2020"/>
      <c r="F2020"/>
      <c r="G2020"/>
      <c r="H2020"/>
      <c r="I2020" s="684"/>
      <c r="V2020"/>
      <c r="W2020"/>
      <c r="Y2020"/>
      <c r="Z2020"/>
      <c r="AA2020"/>
      <c r="AD2020"/>
      <c r="AE2020"/>
      <c r="AF2020"/>
      <c r="AH2020"/>
      <c r="AI2020"/>
      <c r="AJ2020"/>
      <c r="AM2020"/>
    </row>
    <row r="2021" spans="3:39" x14ac:dyDescent="0.2">
      <c r="C2021"/>
      <c r="D2021"/>
      <c r="E2021"/>
      <c r="F2021"/>
      <c r="G2021"/>
      <c r="H2021"/>
      <c r="I2021" s="684"/>
      <c r="V2021"/>
      <c r="W2021"/>
      <c r="Y2021"/>
      <c r="Z2021"/>
      <c r="AA2021"/>
      <c r="AD2021"/>
      <c r="AE2021"/>
      <c r="AF2021"/>
      <c r="AH2021"/>
      <c r="AI2021"/>
      <c r="AJ2021"/>
      <c r="AM2021"/>
    </row>
    <row r="2022" spans="3:39" x14ac:dyDescent="0.2">
      <c r="C2022"/>
      <c r="D2022"/>
      <c r="E2022"/>
      <c r="F2022"/>
      <c r="G2022"/>
      <c r="H2022"/>
      <c r="I2022" s="684"/>
      <c r="V2022"/>
      <c r="W2022"/>
      <c r="Y2022"/>
      <c r="Z2022"/>
      <c r="AA2022"/>
      <c r="AD2022"/>
      <c r="AE2022"/>
      <c r="AF2022"/>
      <c r="AH2022"/>
      <c r="AI2022"/>
      <c r="AJ2022"/>
      <c r="AM2022"/>
    </row>
    <row r="2023" spans="3:39" x14ac:dyDescent="0.2">
      <c r="C2023"/>
      <c r="D2023"/>
      <c r="E2023"/>
      <c r="F2023"/>
      <c r="G2023"/>
      <c r="H2023"/>
      <c r="I2023" s="684"/>
      <c r="V2023"/>
      <c r="W2023"/>
      <c r="Y2023"/>
      <c r="Z2023"/>
      <c r="AA2023"/>
      <c r="AD2023"/>
      <c r="AE2023"/>
      <c r="AF2023"/>
      <c r="AH2023"/>
      <c r="AI2023"/>
      <c r="AJ2023"/>
      <c r="AM2023"/>
    </row>
    <row r="2024" spans="3:39" x14ac:dyDescent="0.2">
      <c r="C2024"/>
      <c r="D2024"/>
      <c r="E2024"/>
      <c r="F2024"/>
      <c r="G2024"/>
      <c r="H2024"/>
      <c r="I2024" s="684"/>
      <c r="V2024"/>
      <c r="W2024"/>
      <c r="Y2024"/>
      <c r="Z2024"/>
      <c r="AA2024"/>
      <c r="AD2024"/>
      <c r="AE2024"/>
      <c r="AF2024"/>
      <c r="AH2024"/>
      <c r="AI2024"/>
      <c r="AJ2024"/>
      <c r="AM2024"/>
    </row>
    <row r="2025" spans="3:39" x14ac:dyDescent="0.2">
      <c r="C2025"/>
      <c r="D2025"/>
      <c r="E2025"/>
      <c r="F2025"/>
      <c r="G2025"/>
      <c r="H2025"/>
      <c r="I2025" s="684"/>
      <c r="V2025"/>
      <c r="W2025"/>
      <c r="Y2025"/>
      <c r="Z2025"/>
      <c r="AA2025"/>
      <c r="AD2025"/>
      <c r="AE2025"/>
      <c r="AF2025"/>
      <c r="AH2025"/>
      <c r="AI2025"/>
      <c r="AJ2025"/>
      <c r="AM2025"/>
    </row>
    <row r="2026" spans="3:39" x14ac:dyDescent="0.2">
      <c r="C2026"/>
      <c r="D2026"/>
      <c r="E2026"/>
      <c r="F2026"/>
      <c r="G2026"/>
      <c r="H2026"/>
      <c r="I2026" s="684"/>
      <c r="V2026"/>
      <c r="W2026"/>
      <c r="Y2026"/>
      <c r="Z2026"/>
      <c r="AA2026"/>
      <c r="AD2026"/>
      <c r="AE2026"/>
      <c r="AF2026"/>
      <c r="AH2026"/>
      <c r="AI2026"/>
      <c r="AJ2026"/>
      <c r="AM2026"/>
    </row>
    <row r="2027" spans="3:39" x14ac:dyDescent="0.2">
      <c r="C2027"/>
      <c r="D2027"/>
      <c r="E2027"/>
      <c r="F2027"/>
      <c r="G2027"/>
      <c r="H2027"/>
      <c r="I2027" s="684"/>
      <c r="V2027"/>
      <c r="W2027"/>
      <c r="Y2027"/>
      <c r="Z2027"/>
      <c r="AA2027"/>
      <c r="AD2027"/>
      <c r="AE2027"/>
      <c r="AF2027"/>
      <c r="AH2027"/>
      <c r="AI2027"/>
      <c r="AJ2027"/>
      <c r="AM2027"/>
    </row>
    <row r="2028" spans="3:39" x14ac:dyDescent="0.2">
      <c r="C2028"/>
      <c r="D2028"/>
      <c r="E2028"/>
      <c r="F2028"/>
      <c r="G2028"/>
      <c r="H2028"/>
      <c r="I2028" s="684"/>
      <c r="V2028"/>
      <c r="W2028"/>
      <c r="Y2028"/>
      <c r="Z2028"/>
      <c r="AA2028"/>
      <c r="AD2028"/>
      <c r="AE2028"/>
      <c r="AF2028"/>
      <c r="AH2028"/>
      <c r="AI2028"/>
      <c r="AJ2028"/>
      <c r="AM2028"/>
    </row>
    <row r="2029" spans="3:39" x14ac:dyDescent="0.2">
      <c r="C2029"/>
      <c r="D2029"/>
      <c r="E2029"/>
      <c r="F2029"/>
      <c r="G2029"/>
      <c r="H2029"/>
      <c r="I2029" s="684"/>
      <c r="V2029"/>
      <c r="W2029"/>
      <c r="Y2029"/>
      <c r="Z2029"/>
      <c r="AA2029"/>
      <c r="AD2029"/>
      <c r="AE2029"/>
      <c r="AF2029"/>
      <c r="AH2029"/>
      <c r="AI2029"/>
      <c r="AJ2029"/>
      <c r="AM2029"/>
    </row>
    <row r="2030" spans="3:39" x14ac:dyDescent="0.2">
      <c r="C2030"/>
      <c r="D2030"/>
      <c r="E2030"/>
      <c r="F2030"/>
      <c r="G2030"/>
      <c r="H2030"/>
      <c r="I2030" s="684"/>
      <c r="V2030"/>
      <c r="W2030"/>
      <c r="Y2030"/>
      <c r="Z2030"/>
      <c r="AA2030"/>
      <c r="AD2030"/>
      <c r="AE2030"/>
      <c r="AF2030"/>
      <c r="AH2030"/>
      <c r="AI2030"/>
      <c r="AJ2030"/>
      <c r="AM2030"/>
    </row>
    <row r="2031" spans="3:39" x14ac:dyDescent="0.2">
      <c r="C2031"/>
      <c r="D2031"/>
      <c r="E2031"/>
      <c r="F2031"/>
      <c r="G2031"/>
      <c r="H2031"/>
      <c r="I2031" s="684"/>
      <c r="V2031"/>
      <c r="W2031"/>
      <c r="Y2031"/>
      <c r="Z2031"/>
      <c r="AA2031"/>
      <c r="AD2031"/>
      <c r="AE2031"/>
      <c r="AF2031"/>
      <c r="AH2031"/>
      <c r="AI2031"/>
      <c r="AJ2031"/>
      <c r="AM2031"/>
    </row>
    <row r="2032" spans="3:39" x14ac:dyDescent="0.2">
      <c r="C2032"/>
      <c r="D2032"/>
      <c r="E2032"/>
      <c r="F2032"/>
      <c r="G2032"/>
      <c r="H2032"/>
      <c r="I2032" s="684"/>
      <c r="V2032"/>
      <c r="W2032"/>
      <c r="Y2032"/>
      <c r="Z2032"/>
      <c r="AA2032"/>
      <c r="AD2032"/>
      <c r="AE2032"/>
      <c r="AF2032"/>
      <c r="AH2032"/>
      <c r="AI2032"/>
      <c r="AJ2032"/>
      <c r="AM2032"/>
    </row>
    <row r="2033" spans="3:39" x14ac:dyDescent="0.2">
      <c r="C2033"/>
      <c r="D2033"/>
      <c r="E2033"/>
      <c r="F2033"/>
      <c r="G2033"/>
      <c r="H2033"/>
      <c r="I2033" s="684"/>
      <c r="V2033"/>
      <c r="W2033"/>
      <c r="Y2033"/>
      <c r="Z2033"/>
      <c r="AA2033"/>
      <c r="AD2033"/>
      <c r="AE2033"/>
      <c r="AF2033"/>
      <c r="AH2033"/>
      <c r="AI2033"/>
      <c r="AJ2033"/>
      <c r="AM2033"/>
    </row>
    <row r="2034" spans="3:39" x14ac:dyDescent="0.2">
      <c r="C2034"/>
      <c r="D2034"/>
      <c r="E2034"/>
      <c r="F2034"/>
      <c r="G2034"/>
      <c r="H2034"/>
      <c r="I2034" s="684"/>
      <c r="V2034"/>
      <c r="W2034"/>
      <c r="Y2034"/>
      <c r="Z2034"/>
      <c r="AA2034"/>
      <c r="AD2034"/>
      <c r="AE2034"/>
      <c r="AF2034"/>
      <c r="AH2034"/>
      <c r="AI2034"/>
      <c r="AJ2034"/>
      <c r="AM2034"/>
    </row>
    <row r="2035" spans="3:39" x14ac:dyDescent="0.2">
      <c r="C2035"/>
      <c r="D2035"/>
      <c r="E2035"/>
      <c r="F2035"/>
      <c r="G2035"/>
      <c r="H2035"/>
      <c r="I2035" s="684"/>
      <c r="V2035"/>
      <c r="W2035"/>
      <c r="Y2035"/>
      <c r="Z2035"/>
      <c r="AA2035"/>
      <c r="AD2035"/>
      <c r="AE2035"/>
      <c r="AF2035"/>
      <c r="AH2035"/>
      <c r="AI2035"/>
      <c r="AJ2035"/>
      <c r="AM2035"/>
    </row>
    <row r="2036" spans="3:39" x14ac:dyDescent="0.2">
      <c r="C2036"/>
      <c r="D2036"/>
      <c r="E2036"/>
      <c r="F2036"/>
      <c r="G2036"/>
      <c r="H2036"/>
      <c r="I2036" s="684"/>
      <c r="V2036"/>
      <c r="W2036"/>
      <c r="Y2036"/>
      <c r="Z2036"/>
      <c r="AA2036"/>
      <c r="AD2036"/>
      <c r="AE2036"/>
      <c r="AF2036"/>
      <c r="AH2036"/>
      <c r="AI2036"/>
      <c r="AJ2036"/>
      <c r="AM2036"/>
    </row>
    <row r="2037" spans="3:39" x14ac:dyDescent="0.2">
      <c r="C2037"/>
      <c r="D2037"/>
      <c r="E2037"/>
      <c r="F2037"/>
      <c r="G2037"/>
      <c r="H2037"/>
      <c r="I2037" s="684"/>
      <c r="V2037"/>
      <c r="W2037"/>
      <c r="Y2037"/>
      <c r="Z2037"/>
      <c r="AA2037"/>
      <c r="AD2037"/>
      <c r="AE2037"/>
      <c r="AF2037"/>
      <c r="AH2037"/>
      <c r="AI2037"/>
      <c r="AJ2037"/>
      <c r="AM2037"/>
    </row>
    <row r="2038" spans="3:39" x14ac:dyDescent="0.2">
      <c r="C2038"/>
      <c r="D2038"/>
      <c r="E2038"/>
      <c r="F2038"/>
      <c r="G2038"/>
      <c r="H2038"/>
      <c r="I2038" s="684"/>
      <c r="V2038"/>
      <c r="W2038"/>
      <c r="Y2038"/>
      <c r="Z2038"/>
      <c r="AA2038"/>
      <c r="AD2038"/>
      <c r="AE2038"/>
      <c r="AF2038"/>
      <c r="AH2038"/>
      <c r="AI2038"/>
      <c r="AJ2038"/>
      <c r="AM2038"/>
    </row>
    <row r="2039" spans="3:39" x14ac:dyDescent="0.2">
      <c r="C2039"/>
      <c r="D2039"/>
      <c r="E2039"/>
      <c r="F2039"/>
      <c r="G2039"/>
      <c r="H2039"/>
      <c r="I2039" s="684"/>
      <c r="V2039"/>
      <c r="W2039"/>
      <c r="Y2039"/>
      <c r="Z2039"/>
      <c r="AA2039"/>
      <c r="AD2039"/>
      <c r="AE2039"/>
      <c r="AF2039"/>
      <c r="AH2039"/>
      <c r="AI2039"/>
      <c r="AJ2039"/>
      <c r="AM2039"/>
    </row>
    <row r="2040" spans="3:39" x14ac:dyDescent="0.2">
      <c r="C2040"/>
      <c r="D2040"/>
      <c r="E2040"/>
      <c r="F2040"/>
      <c r="G2040"/>
      <c r="H2040"/>
      <c r="I2040" s="684"/>
      <c r="V2040"/>
      <c r="W2040"/>
      <c r="Y2040"/>
      <c r="Z2040"/>
      <c r="AA2040"/>
      <c r="AD2040"/>
      <c r="AE2040"/>
      <c r="AF2040"/>
      <c r="AH2040"/>
      <c r="AI2040"/>
      <c r="AJ2040"/>
      <c r="AM2040"/>
    </row>
    <row r="2041" spans="3:39" x14ac:dyDescent="0.2">
      <c r="C2041"/>
      <c r="D2041"/>
      <c r="E2041"/>
      <c r="F2041"/>
      <c r="G2041"/>
      <c r="H2041"/>
      <c r="I2041" s="684"/>
      <c r="V2041"/>
      <c r="W2041"/>
      <c r="Y2041"/>
      <c r="Z2041"/>
      <c r="AA2041"/>
      <c r="AD2041"/>
      <c r="AE2041"/>
      <c r="AF2041"/>
      <c r="AH2041"/>
      <c r="AI2041"/>
      <c r="AJ2041"/>
      <c r="AM2041"/>
    </row>
    <row r="2042" spans="3:39" x14ac:dyDescent="0.2">
      <c r="C2042"/>
      <c r="D2042"/>
      <c r="E2042"/>
      <c r="F2042"/>
      <c r="G2042"/>
      <c r="H2042"/>
      <c r="I2042" s="684"/>
      <c r="V2042"/>
      <c r="W2042"/>
      <c r="Y2042"/>
      <c r="Z2042"/>
      <c r="AA2042"/>
      <c r="AD2042"/>
      <c r="AE2042"/>
      <c r="AF2042"/>
      <c r="AH2042"/>
      <c r="AI2042"/>
      <c r="AJ2042"/>
      <c r="AM2042"/>
    </row>
    <row r="2043" spans="3:39" x14ac:dyDescent="0.2">
      <c r="C2043"/>
      <c r="D2043"/>
      <c r="E2043"/>
      <c r="F2043"/>
      <c r="G2043"/>
      <c r="H2043"/>
      <c r="I2043" s="684"/>
      <c r="V2043"/>
      <c r="W2043"/>
      <c r="Y2043"/>
      <c r="Z2043"/>
      <c r="AA2043"/>
      <c r="AD2043"/>
      <c r="AE2043"/>
      <c r="AF2043"/>
      <c r="AH2043"/>
      <c r="AI2043"/>
      <c r="AJ2043"/>
      <c r="AM2043"/>
    </row>
    <row r="2044" spans="3:39" x14ac:dyDescent="0.2">
      <c r="C2044"/>
      <c r="D2044"/>
      <c r="E2044"/>
      <c r="F2044"/>
      <c r="G2044"/>
      <c r="H2044"/>
      <c r="I2044" s="684"/>
      <c r="V2044"/>
      <c r="W2044"/>
      <c r="Y2044"/>
      <c r="Z2044"/>
      <c r="AA2044"/>
      <c r="AD2044"/>
      <c r="AE2044"/>
      <c r="AF2044"/>
      <c r="AH2044"/>
      <c r="AI2044"/>
      <c r="AJ2044"/>
      <c r="AM2044"/>
    </row>
    <row r="2045" spans="3:39" x14ac:dyDescent="0.2">
      <c r="C2045"/>
      <c r="D2045"/>
      <c r="E2045"/>
      <c r="F2045"/>
      <c r="G2045"/>
      <c r="H2045"/>
      <c r="I2045" s="684"/>
      <c r="V2045"/>
      <c r="W2045"/>
      <c r="Y2045"/>
      <c r="Z2045"/>
      <c r="AA2045"/>
      <c r="AD2045"/>
      <c r="AE2045"/>
      <c r="AF2045"/>
      <c r="AH2045"/>
      <c r="AI2045"/>
      <c r="AJ2045"/>
      <c r="AM2045"/>
    </row>
    <row r="2046" spans="3:39" x14ac:dyDescent="0.2">
      <c r="C2046"/>
      <c r="D2046"/>
      <c r="E2046"/>
      <c r="F2046"/>
      <c r="G2046"/>
      <c r="H2046"/>
      <c r="I2046" s="684"/>
      <c r="V2046"/>
      <c r="W2046"/>
      <c r="Y2046"/>
      <c r="Z2046"/>
      <c r="AA2046"/>
      <c r="AD2046"/>
      <c r="AE2046"/>
      <c r="AF2046"/>
      <c r="AH2046"/>
      <c r="AI2046"/>
      <c r="AJ2046"/>
      <c r="AM2046"/>
    </row>
    <row r="2047" spans="3:39" x14ac:dyDescent="0.2">
      <c r="C2047"/>
      <c r="D2047"/>
      <c r="E2047"/>
      <c r="F2047"/>
      <c r="G2047"/>
      <c r="H2047"/>
      <c r="I2047" s="684"/>
      <c r="V2047"/>
      <c r="W2047"/>
      <c r="Y2047"/>
      <c r="Z2047"/>
      <c r="AA2047"/>
      <c r="AD2047"/>
      <c r="AE2047"/>
      <c r="AF2047"/>
      <c r="AH2047"/>
      <c r="AI2047"/>
      <c r="AJ2047"/>
      <c r="AM2047"/>
    </row>
    <row r="2048" spans="3:39" x14ac:dyDescent="0.2">
      <c r="C2048"/>
      <c r="D2048"/>
      <c r="E2048"/>
      <c r="F2048"/>
      <c r="G2048"/>
      <c r="H2048"/>
      <c r="I2048" s="684"/>
      <c r="V2048"/>
      <c r="W2048"/>
      <c r="Y2048"/>
      <c r="Z2048"/>
      <c r="AA2048"/>
      <c r="AD2048"/>
      <c r="AE2048"/>
      <c r="AF2048"/>
      <c r="AH2048"/>
      <c r="AI2048"/>
      <c r="AJ2048"/>
      <c r="AM2048"/>
    </row>
    <row r="2049" spans="3:39" x14ac:dyDescent="0.2">
      <c r="C2049"/>
      <c r="D2049"/>
      <c r="E2049"/>
      <c r="F2049"/>
      <c r="G2049"/>
      <c r="H2049"/>
      <c r="I2049" s="684"/>
      <c r="V2049"/>
      <c r="W2049"/>
      <c r="Y2049"/>
      <c r="Z2049"/>
      <c r="AA2049"/>
      <c r="AD2049"/>
      <c r="AE2049"/>
      <c r="AF2049"/>
      <c r="AH2049"/>
      <c r="AI2049"/>
      <c r="AJ2049"/>
      <c r="AM2049"/>
    </row>
    <row r="2050" spans="3:39" x14ac:dyDescent="0.2">
      <c r="C2050"/>
      <c r="D2050"/>
      <c r="E2050"/>
      <c r="F2050"/>
      <c r="G2050"/>
      <c r="H2050"/>
      <c r="I2050" s="684"/>
      <c r="V2050"/>
      <c r="W2050"/>
      <c r="Y2050"/>
      <c r="Z2050"/>
      <c r="AA2050"/>
      <c r="AD2050"/>
      <c r="AE2050"/>
      <c r="AF2050"/>
      <c r="AH2050"/>
      <c r="AI2050"/>
      <c r="AJ2050"/>
      <c r="AM2050"/>
    </row>
    <row r="2051" spans="3:39" x14ac:dyDescent="0.2">
      <c r="C2051"/>
      <c r="D2051"/>
      <c r="E2051"/>
      <c r="F2051"/>
      <c r="G2051"/>
      <c r="H2051"/>
      <c r="I2051" s="684"/>
      <c r="V2051"/>
      <c r="W2051"/>
      <c r="Y2051"/>
      <c r="Z2051"/>
      <c r="AA2051"/>
      <c r="AD2051"/>
      <c r="AE2051"/>
      <c r="AF2051"/>
      <c r="AH2051"/>
      <c r="AI2051"/>
      <c r="AJ2051"/>
      <c r="AM2051"/>
    </row>
    <row r="2052" spans="3:39" x14ac:dyDescent="0.2">
      <c r="C2052"/>
      <c r="D2052"/>
      <c r="E2052"/>
      <c r="F2052"/>
      <c r="G2052"/>
      <c r="H2052"/>
      <c r="I2052" s="684"/>
      <c r="V2052"/>
      <c r="W2052"/>
      <c r="Y2052"/>
      <c r="Z2052"/>
      <c r="AA2052"/>
      <c r="AD2052"/>
      <c r="AE2052"/>
      <c r="AF2052"/>
      <c r="AH2052"/>
      <c r="AI2052"/>
      <c r="AJ2052"/>
      <c r="AM2052"/>
    </row>
    <row r="2053" spans="3:39" x14ac:dyDescent="0.2">
      <c r="C2053"/>
      <c r="D2053"/>
      <c r="E2053"/>
      <c r="F2053"/>
      <c r="G2053"/>
      <c r="H2053"/>
      <c r="I2053" s="684"/>
      <c r="V2053"/>
      <c r="W2053"/>
      <c r="Y2053"/>
      <c r="Z2053"/>
      <c r="AA2053"/>
      <c r="AD2053"/>
      <c r="AE2053"/>
      <c r="AF2053"/>
      <c r="AH2053"/>
      <c r="AI2053"/>
      <c r="AJ2053"/>
      <c r="AM2053"/>
    </row>
    <row r="2054" spans="3:39" x14ac:dyDescent="0.2">
      <c r="C2054"/>
      <c r="D2054"/>
      <c r="E2054"/>
      <c r="F2054"/>
      <c r="G2054"/>
      <c r="H2054"/>
      <c r="I2054" s="684"/>
      <c r="V2054"/>
      <c r="W2054"/>
      <c r="Y2054"/>
      <c r="Z2054"/>
      <c r="AA2054"/>
      <c r="AD2054"/>
      <c r="AE2054"/>
      <c r="AF2054"/>
      <c r="AH2054"/>
      <c r="AI2054"/>
      <c r="AJ2054"/>
      <c r="AM2054"/>
    </row>
    <row r="2055" spans="3:39" x14ac:dyDescent="0.2">
      <c r="C2055"/>
      <c r="D2055"/>
      <c r="E2055"/>
      <c r="F2055"/>
      <c r="G2055"/>
      <c r="H2055"/>
      <c r="I2055" s="684"/>
      <c r="V2055"/>
      <c r="W2055"/>
      <c r="Y2055"/>
      <c r="Z2055"/>
      <c r="AA2055"/>
      <c r="AD2055"/>
      <c r="AE2055"/>
      <c r="AF2055"/>
      <c r="AH2055"/>
      <c r="AI2055"/>
      <c r="AJ2055"/>
      <c r="AM2055"/>
    </row>
    <row r="2056" spans="3:39" x14ac:dyDescent="0.2">
      <c r="C2056"/>
      <c r="D2056"/>
      <c r="E2056"/>
      <c r="F2056"/>
      <c r="G2056"/>
      <c r="H2056"/>
      <c r="I2056" s="684"/>
      <c r="V2056"/>
      <c r="W2056"/>
      <c r="Y2056"/>
      <c r="Z2056"/>
      <c r="AA2056"/>
      <c r="AD2056"/>
      <c r="AE2056"/>
      <c r="AF2056"/>
      <c r="AH2056"/>
      <c r="AI2056"/>
      <c r="AJ2056"/>
      <c r="AM2056"/>
    </row>
    <row r="2057" spans="3:39" x14ac:dyDescent="0.2">
      <c r="C2057"/>
      <c r="D2057"/>
      <c r="E2057"/>
      <c r="F2057"/>
      <c r="G2057"/>
      <c r="H2057"/>
      <c r="I2057" s="684"/>
      <c r="V2057"/>
      <c r="W2057"/>
      <c r="Y2057"/>
      <c r="Z2057"/>
      <c r="AA2057"/>
      <c r="AD2057"/>
      <c r="AE2057"/>
      <c r="AF2057"/>
      <c r="AH2057"/>
      <c r="AI2057"/>
      <c r="AJ2057"/>
      <c r="AM2057"/>
    </row>
    <row r="2058" spans="3:39" x14ac:dyDescent="0.2">
      <c r="C2058"/>
      <c r="D2058"/>
      <c r="E2058"/>
      <c r="F2058"/>
      <c r="G2058"/>
      <c r="H2058"/>
      <c r="I2058" s="684"/>
      <c r="V2058"/>
      <c r="W2058"/>
      <c r="Y2058"/>
      <c r="Z2058"/>
      <c r="AA2058"/>
      <c r="AD2058"/>
      <c r="AE2058"/>
      <c r="AF2058"/>
      <c r="AH2058"/>
      <c r="AI2058"/>
      <c r="AJ2058"/>
      <c r="AM2058"/>
    </row>
    <row r="2059" spans="3:39" x14ac:dyDescent="0.2">
      <c r="C2059"/>
      <c r="D2059"/>
      <c r="E2059"/>
      <c r="F2059"/>
      <c r="G2059"/>
      <c r="H2059"/>
      <c r="I2059" s="684"/>
      <c r="V2059"/>
      <c r="W2059"/>
      <c r="Y2059"/>
      <c r="Z2059"/>
      <c r="AA2059"/>
      <c r="AD2059"/>
      <c r="AE2059"/>
      <c r="AF2059"/>
      <c r="AH2059"/>
      <c r="AI2059"/>
      <c r="AJ2059"/>
      <c r="AM2059"/>
    </row>
    <row r="2060" spans="3:39" x14ac:dyDescent="0.2">
      <c r="C2060"/>
      <c r="D2060"/>
      <c r="E2060"/>
      <c r="F2060"/>
      <c r="G2060"/>
      <c r="H2060"/>
      <c r="I2060" s="684"/>
      <c r="V2060"/>
      <c r="W2060"/>
      <c r="Y2060"/>
      <c r="Z2060"/>
      <c r="AA2060"/>
      <c r="AD2060"/>
      <c r="AE2060"/>
      <c r="AF2060"/>
      <c r="AH2060"/>
      <c r="AI2060"/>
      <c r="AJ2060"/>
      <c r="AM2060"/>
    </row>
    <row r="2061" spans="3:39" x14ac:dyDescent="0.2">
      <c r="C2061"/>
      <c r="D2061"/>
      <c r="E2061"/>
      <c r="F2061"/>
      <c r="G2061"/>
      <c r="H2061"/>
      <c r="I2061" s="684"/>
      <c r="V2061"/>
      <c r="W2061"/>
      <c r="Y2061"/>
      <c r="Z2061"/>
      <c r="AA2061"/>
      <c r="AD2061"/>
      <c r="AE2061"/>
      <c r="AF2061"/>
      <c r="AH2061"/>
      <c r="AI2061"/>
      <c r="AJ2061"/>
      <c r="AM2061"/>
    </row>
    <row r="2062" spans="3:39" x14ac:dyDescent="0.2">
      <c r="C2062"/>
      <c r="D2062"/>
      <c r="E2062"/>
      <c r="F2062"/>
      <c r="G2062"/>
      <c r="H2062"/>
      <c r="I2062" s="684"/>
      <c r="V2062"/>
      <c r="W2062"/>
      <c r="Y2062"/>
      <c r="Z2062"/>
      <c r="AA2062"/>
      <c r="AD2062"/>
      <c r="AE2062"/>
      <c r="AF2062"/>
      <c r="AH2062"/>
      <c r="AI2062"/>
      <c r="AJ2062"/>
      <c r="AM2062"/>
    </row>
    <row r="2063" spans="3:39" x14ac:dyDescent="0.2">
      <c r="C2063"/>
      <c r="D2063"/>
      <c r="E2063"/>
      <c r="F2063"/>
      <c r="G2063"/>
      <c r="H2063"/>
      <c r="I2063" s="684"/>
      <c r="V2063"/>
      <c r="W2063"/>
      <c r="Y2063"/>
      <c r="Z2063"/>
      <c r="AA2063"/>
      <c r="AD2063"/>
      <c r="AE2063"/>
      <c r="AF2063"/>
      <c r="AH2063"/>
      <c r="AI2063"/>
      <c r="AJ2063"/>
      <c r="AM2063"/>
    </row>
    <row r="2064" spans="3:39" x14ac:dyDescent="0.2">
      <c r="C2064"/>
      <c r="D2064"/>
      <c r="E2064"/>
      <c r="F2064"/>
      <c r="G2064"/>
      <c r="H2064"/>
      <c r="I2064" s="684"/>
      <c r="V2064"/>
      <c r="W2064"/>
      <c r="Y2064"/>
      <c r="Z2064"/>
      <c r="AA2064"/>
      <c r="AD2064"/>
      <c r="AE2064"/>
      <c r="AF2064"/>
      <c r="AH2064"/>
      <c r="AI2064"/>
      <c r="AJ2064"/>
      <c r="AM2064"/>
    </row>
    <row r="2065" spans="3:39" x14ac:dyDescent="0.2">
      <c r="C2065"/>
      <c r="D2065"/>
      <c r="E2065"/>
      <c r="F2065"/>
      <c r="G2065"/>
      <c r="H2065"/>
      <c r="I2065" s="684"/>
      <c r="V2065"/>
      <c r="W2065"/>
      <c r="Y2065"/>
      <c r="Z2065"/>
      <c r="AA2065"/>
      <c r="AD2065"/>
      <c r="AE2065"/>
      <c r="AF2065"/>
      <c r="AH2065"/>
      <c r="AI2065"/>
      <c r="AJ2065"/>
      <c r="AM2065"/>
    </row>
    <row r="2066" spans="3:39" x14ac:dyDescent="0.2">
      <c r="C2066"/>
      <c r="D2066"/>
      <c r="E2066"/>
      <c r="F2066"/>
      <c r="G2066"/>
      <c r="H2066"/>
      <c r="I2066" s="684"/>
      <c r="V2066"/>
      <c r="W2066"/>
      <c r="Y2066"/>
      <c r="Z2066"/>
      <c r="AA2066"/>
      <c r="AD2066"/>
      <c r="AE2066"/>
      <c r="AF2066"/>
      <c r="AH2066"/>
      <c r="AI2066"/>
      <c r="AJ2066"/>
      <c r="AM2066"/>
    </row>
    <row r="2067" spans="3:39" x14ac:dyDescent="0.2">
      <c r="C2067"/>
      <c r="D2067"/>
      <c r="E2067"/>
      <c r="F2067"/>
      <c r="G2067"/>
      <c r="H2067"/>
      <c r="I2067" s="684"/>
      <c r="V2067"/>
      <c r="W2067"/>
      <c r="Y2067"/>
      <c r="Z2067"/>
      <c r="AA2067"/>
      <c r="AD2067"/>
      <c r="AE2067"/>
      <c r="AF2067"/>
      <c r="AH2067"/>
      <c r="AI2067"/>
      <c r="AJ2067"/>
      <c r="AM2067"/>
    </row>
    <row r="2068" spans="3:39" x14ac:dyDescent="0.2">
      <c r="C2068"/>
      <c r="D2068"/>
      <c r="E2068"/>
      <c r="F2068"/>
      <c r="G2068"/>
      <c r="H2068"/>
      <c r="I2068" s="684"/>
      <c r="V2068"/>
      <c r="W2068"/>
      <c r="Y2068"/>
      <c r="Z2068"/>
      <c r="AA2068"/>
      <c r="AD2068"/>
      <c r="AE2068"/>
      <c r="AF2068"/>
      <c r="AH2068"/>
      <c r="AI2068"/>
      <c r="AJ2068"/>
      <c r="AM2068"/>
    </row>
    <row r="2069" spans="3:39" x14ac:dyDescent="0.2">
      <c r="C2069"/>
      <c r="D2069"/>
      <c r="E2069"/>
      <c r="F2069"/>
      <c r="G2069"/>
      <c r="H2069"/>
      <c r="I2069" s="684"/>
      <c r="V2069"/>
      <c r="W2069"/>
      <c r="Y2069"/>
      <c r="Z2069"/>
      <c r="AA2069"/>
      <c r="AD2069"/>
      <c r="AE2069"/>
      <c r="AF2069"/>
      <c r="AH2069"/>
      <c r="AI2069"/>
      <c r="AJ2069"/>
      <c r="AM2069"/>
    </row>
    <row r="2070" spans="3:39" x14ac:dyDescent="0.2">
      <c r="C2070"/>
      <c r="D2070"/>
      <c r="E2070"/>
      <c r="F2070"/>
      <c r="G2070"/>
      <c r="H2070"/>
      <c r="I2070" s="684"/>
      <c r="V2070"/>
      <c r="W2070"/>
      <c r="Y2070"/>
      <c r="Z2070"/>
      <c r="AA2070"/>
      <c r="AD2070"/>
      <c r="AE2070"/>
      <c r="AF2070"/>
      <c r="AH2070"/>
      <c r="AI2070"/>
      <c r="AJ2070"/>
      <c r="AM2070"/>
    </row>
    <row r="2071" spans="3:39" x14ac:dyDescent="0.2">
      <c r="C2071"/>
      <c r="D2071"/>
      <c r="E2071"/>
      <c r="F2071"/>
      <c r="G2071"/>
      <c r="H2071"/>
      <c r="I2071" s="684"/>
      <c r="V2071"/>
      <c r="W2071"/>
      <c r="Y2071"/>
      <c r="Z2071"/>
      <c r="AA2071"/>
      <c r="AD2071"/>
      <c r="AE2071"/>
      <c r="AF2071"/>
      <c r="AH2071"/>
      <c r="AI2071"/>
      <c r="AJ2071"/>
      <c r="AM2071"/>
    </row>
    <row r="2072" spans="3:39" x14ac:dyDescent="0.2">
      <c r="C2072"/>
      <c r="D2072"/>
      <c r="E2072"/>
      <c r="F2072"/>
      <c r="G2072"/>
      <c r="H2072"/>
      <c r="I2072" s="684"/>
      <c r="V2072"/>
      <c r="W2072"/>
      <c r="Y2072"/>
      <c r="Z2072"/>
      <c r="AA2072"/>
      <c r="AD2072"/>
      <c r="AE2072"/>
      <c r="AF2072"/>
      <c r="AH2072"/>
      <c r="AI2072"/>
      <c r="AJ2072"/>
      <c r="AM2072"/>
    </row>
    <row r="2073" spans="3:39" x14ac:dyDescent="0.2">
      <c r="C2073"/>
      <c r="D2073"/>
      <c r="E2073"/>
      <c r="F2073"/>
      <c r="G2073"/>
      <c r="H2073"/>
      <c r="I2073" s="684"/>
      <c r="V2073"/>
      <c r="W2073"/>
      <c r="Y2073"/>
      <c r="Z2073"/>
      <c r="AA2073"/>
      <c r="AD2073"/>
      <c r="AE2073"/>
      <c r="AF2073"/>
      <c r="AH2073"/>
      <c r="AI2073"/>
      <c r="AJ2073"/>
      <c r="AM2073"/>
    </row>
    <row r="2074" spans="3:39" x14ac:dyDescent="0.2">
      <c r="C2074"/>
      <c r="D2074"/>
      <c r="E2074"/>
      <c r="F2074"/>
      <c r="G2074"/>
      <c r="H2074"/>
      <c r="I2074" s="684"/>
      <c r="V2074"/>
      <c r="W2074"/>
      <c r="Y2074"/>
      <c r="Z2074"/>
      <c r="AA2074"/>
      <c r="AD2074"/>
      <c r="AE2074"/>
      <c r="AF2074"/>
      <c r="AH2074"/>
      <c r="AI2074"/>
      <c r="AJ2074"/>
      <c r="AM2074"/>
    </row>
    <row r="2075" spans="3:39" x14ac:dyDescent="0.2">
      <c r="C2075"/>
      <c r="D2075"/>
      <c r="E2075"/>
      <c r="F2075"/>
      <c r="G2075"/>
      <c r="H2075"/>
      <c r="I2075" s="684"/>
      <c r="V2075"/>
      <c r="W2075"/>
      <c r="Y2075"/>
      <c r="Z2075"/>
      <c r="AA2075"/>
      <c r="AD2075"/>
      <c r="AE2075"/>
      <c r="AF2075"/>
      <c r="AH2075"/>
      <c r="AI2075"/>
      <c r="AJ2075"/>
      <c r="AM2075"/>
    </row>
    <row r="2076" spans="3:39" x14ac:dyDescent="0.2">
      <c r="C2076"/>
      <c r="D2076"/>
      <c r="E2076"/>
      <c r="F2076"/>
      <c r="G2076"/>
      <c r="H2076"/>
      <c r="I2076" s="684"/>
      <c r="V2076"/>
      <c r="W2076"/>
      <c r="Y2076"/>
      <c r="Z2076"/>
      <c r="AA2076"/>
      <c r="AD2076"/>
      <c r="AE2076"/>
      <c r="AF2076"/>
      <c r="AH2076"/>
      <c r="AI2076"/>
      <c r="AJ2076"/>
      <c r="AM2076"/>
    </row>
    <row r="2077" spans="3:39" x14ac:dyDescent="0.2">
      <c r="C2077"/>
      <c r="D2077"/>
      <c r="E2077"/>
      <c r="F2077"/>
      <c r="G2077"/>
      <c r="H2077"/>
      <c r="I2077" s="684"/>
      <c r="V2077"/>
      <c r="W2077"/>
      <c r="Y2077"/>
      <c r="Z2077"/>
      <c r="AA2077"/>
      <c r="AD2077"/>
      <c r="AE2077"/>
      <c r="AF2077"/>
      <c r="AH2077"/>
      <c r="AI2077"/>
      <c r="AJ2077"/>
      <c r="AM2077"/>
    </row>
    <row r="2078" spans="3:39" x14ac:dyDescent="0.2">
      <c r="C2078"/>
      <c r="D2078"/>
      <c r="E2078"/>
      <c r="F2078"/>
      <c r="G2078"/>
      <c r="H2078"/>
      <c r="I2078" s="684"/>
      <c r="V2078"/>
      <c r="W2078"/>
      <c r="Y2078"/>
      <c r="Z2078"/>
      <c r="AA2078"/>
      <c r="AD2078"/>
      <c r="AE2078"/>
      <c r="AF2078"/>
      <c r="AH2078"/>
      <c r="AI2078"/>
      <c r="AJ2078"/>
      <c r="AM2078"/>
    </row>
    <row r="2079" spans="3:39" x14ac:dyDescent="0.2">
      <c r="C2079"/>
      <c r="D2079"/>
      <c r="E2079"/>
      <c r="F2079"/>
      <c r="G2079"/>
      <c r="H2079"/>
      <c r="I2079" s="684"/>
      <c r="V2079"/>
      <c r="W2079"/>
      <c r="Y2079"/>
      <c r="Z2079"/>
      <c r="AA2079"/>
      <c r="AD2079"/>
      <c r="AE2079"/>
      <c r="AF2079"/>
      <c r="AH2079"/>
      <c r="AI2079"/>
      <c r="AJ2079"/>
      <c r="AM2079"/>
    </row>
    <row r="2080" spans="3:39" x14ac:dyDescent="0.2">
      <c r="C2080"/>
      <c r="D2080"/>
      <c r="E2080"/>
      <c r="F2080"/>
      <c r="G2080"/>
      <c r="H2080"/>
      <c r="I2080" s="684"/>
      <c r="V2080"/>
      <c r="W2080"/>
      <c r="Y2080"/>
      <c r="Z2080"/>
      <c r="AA2080"/>
      <c r="AD2080"/>
      <c r="AE2080"/>
      <c r="AF2080"/>
      <c r="AH2080"/>
      <c r="AI2080"/>
      <c r="AJ2080"/>
      <c r="AM2080"/>
    </row>
    <row r="2081" spans="3:39" x14ac:dyDescent="0.2">
      <c r="C2081"/>
      <c r="D2081"/>
      <c r="E2081"/>
      <c r="F2081"/>
      <c r="G2081"/>
      <c r="H2081"/>
      <c r="I2081" s="684"/>
      <c r="V2081"/>
      <c r="W2081"/>
      <c r="Y2081"/>
      <c r="Z2081"/>
      <c r="AA2081"/>
      <c r="AD2081"/>
      <c r="AE2081"/>
      <c r="AF2081"/>
      <c r="AH2081"/>
      <c r="AI2081"/>
      <c r="AJ2081"/>
      <c r="AM2081"/>
    </row>
    <row r="2082" spans="3:39" x14ac:dyDescent="0.2">
      <c r="C2082"/>
      <c r="D2082"/>
      <c r="E2082"/>
      <c r="F2082"/>
      <c r="G2082"/>
      <c r="H2082"/>
      <c r="I2082" s="684"/>
      <c r="V2082"/>
      <c r="W2082"/>
      <c r="Y2082"/>
      <c r="Z2082"/>
      <c r="AA2082"/>
      <c r="AD2082"/>
      <c r="AE2082"/>
      <c r="AF2082"/>
      <c r="AH2082"/>
      <c r="AI2082"/>
      <c r="AJ2082"/>
      <c r="AM2082"/>
    </row>
    <row r="2083" spans="3:39" x14ac:dyDescent="0.2">
      <c r="C2083"/>
      <c r="D2083"/>
      <c r="E2083"/>
      <c r="F2083"/>
      <c r="G2083"/>
      <c r="H2083"/>
      <c r="I2083" s="684"/>
      <c r="V2083"/>
      <c r="W2083"/>
      <c r="Y2083"/>
      <c r="Z2083"/>
      <c r="AA2083"/>
      <c r="AD2083"/>
      <c r="AE2083"/>
      <c r="AF2083"/>
      <c r="AH2083"/>
      <c r="AI2083"/>
      <c r="AJ2083"/>
      <c r="AM2083"/>
    </row>
    <row r="2084" spans="3:39" x14ac:dyDescent="0.2">
      <c r="C2084"/>
      <c r="D2084"/>
      <c r="E2084"/>
      <c r="F2084"/>
      <c r="G2084"/>
      <c r="H2084"/>
      <c r="I2084" s="684"/>
      <c r="V2084"/>
      <c r="W2084"/>
      <c r="Y2084"/>
      <c r="Z2084"/>
      <c r="AA2084"/>
      <c r="AD2084"/>
      <c r="AE2084"/>
      <c r="AF2084"/>
      <c r="AH2084"/>
      <c r="AI2084"/>
      <c r="AJ2084"/>
      <c r="AM2084"/>
    </row>
    <row r="2085" spans="3:39" x14ac:dyDescent="0.2">
      <c r="C2085"/>
      <c r="D2085"/>
      <c r="E2085"/>
      <c r="F2085"/>
      <c r="G2085"/>
      <c r="H2085"/>
      <c r="I2085" s="684"/>
      <c r="V2085"/>
      <c r="W2085"/>
      <c r="Y2085"/>
      <c r="Z2085"/>
      <c r="AA2085"/>
      <c r="AD2085"/>
      <c r="AE2085"/>
      <c r="AF2085"/>
      <c r="AH2085"/>
      <c r="AI2085"/>
      <c r="AJ2085"/>
      <c r="AM2085"/>
    </row>
    <row r="2086" spans="3:39" x14ac:dyDescent="0.2">
      <c r="C2086"/>
      <c r="D2086"/>
      <c r="E2086"/>
      <c r="F2086"/>
      <c r="G2086"/>
      <c r="H2086"/>
      <c r="I2086" s="684"/>
      <c r="V2086"/>
      <c r="W2086"/>
      <c r="Y2086"/>
      <c r="Z2086"/>
      <c r="AA2086"/>
      <c r="AD2086"/>
      <c r="AE2086"/>
      <c r="AF2086"/>
      <c r="AH2086"/>
      <c r="AI2086"/>
      <c r="AJ2086"/>
      <c r="AM2086"/>
    </row>
    <row r="2087" spans="3:39" x14ac:dyDescent="0.2">
      <c r="C2087"/>
      <c r="D2087"/>
      <c r="E2087"/>
      <c r="F2087"/>
      <c r="G2087"/>
      <c r="H2087"/>
      <c r="I2087" s="684"/>
      <c r="V2087"/>
      <c r="W2087"/>
      <c r="Y2087"/>
      <c r="Z2087"/>
      <c r="AA2087"/>
      <c r="AD2087"/>
      <c r="AE2087"/>
      <c r="AF2087"/>
      <c r="AH2087"/>
      <c r="AI2087"/>
      <c r="AJ2087"/>
      <c r="AM2087"/>
    </row>
    <row r="2088" spans="3:39" x14ac:dyDescent="0.2">
      <c r="C2088"/>
      <c r="D2088"/>
      <c r="E2088"/>
      <c r="F2088"/>
      <c r="G2088"/>
      <c r="H2088"/>
      <c r="I2088" s="684"/>
      <c r="V2088"/>
      <c r="W2088"/>
      <c r="Y2088"/>
      <c r="Z2088"/>
      <c r="AA2088"/>
      <c r="AD2088"/>
      <c r="AE2088"/>
      <c r="AF2088"/>
      <c r="AH2088"/>
      <c r="AI2088"/>
      <c r="AJ2088"/>
      <c r="AM2088"/>
    </row>
    <row r="2089" spans="3:39" x14ac:dyDescent="0.2">
      <c r="C2089"/>
      <c r="D2089"/>
      <c r="E2089"/>
      <c r="F2089"/>
      <c r="G2089"/>
      <c r="H2089"/>
      <c r="I2089" s="684"/>
      <c r="V2089"/>
      <c r="W2089"/>
      <c r="Y2089"/>
      <c r="Z2089"/>
      <c r="AA2089"/>
      <c r="AD2089"/>
      <c r="AE2089"/>
      <c r="AF2089"/>
      <c r="AH2089"/>
      <c r="AI2089"/>
      <c r="AJ2089"/>
      <c r="AM2089"/>
    </row>
    <row r="2090" spans="3:39" x14ac:dyDescent="0.2">
      <c r="C2090"/>
      <c r="D2090"/>
      <c r="E2090"/>
      <c r="F2090"/>
      <c r="G2090"/>
      <c r="H2090"/>
      <c r="I2090" s="684"/>
      <c r="V2090"/>
      <c r="W2090"/>
      <c r="Y2090"/>
      <c r="Z2090"/>
      <c r="AA2090"/>
      <c r="AD2090"/>
      <c r="AE2090"/>
      <c r="AF2090"/>
      <c r="AH2090"/>
      <c r="AI2090"/>
      <c r="AJ2090"/>
      <c r="AM2090"/>
    </row>
    <row r="2091" spans="3:39" x14ac:dyDescent="0.2">
      <c r="C2091"/>
      <c r="D2091"/>
      <c r="E2091"/>
      <c r="F2091"/>
      <c r="G2091"/>
      <c r="H2091"/>
      <c r="I2091" s="684"/>
      <c r="V2091"/>
      <c r="W2091"/>
      <c r="Y2091"/>
      <c r="Z2091"/>
      <c r="AA2091"/>
      <c r="AD2091"/>
      <c r="AE2091"/>
      <c r="AF2091"/>
      <c r="AH2091"/>
      <c r="AI2091"/>
      <c r="AJ2091"/>
      <c r="AM2091"/>
    </row>
    <row r="2092" spans="3:39" x14ac:dyDescent="0.2">
      <c r="C2092"/>
      <c r="D2092"/>
      <c r="E2092"/>
      <c r="F2092"/>
      <c r="G2092"/>
      <c r="H2092"/>
      <c r="I2092" s="684"/>
      <c r="V2092"/>
      <c r="W2092"/>
      <c r="Y2092"/>
      <c r="Z2092"/>
      <c r="AA2092"/>
      <c r="AD2092"/>
      <c r="AE2092"/>
      <c r="AF2092"/>
      <c r="AH2092"/>
      <c r="AI2092"/>
      <c r="AJ2092"/>
      <c r="AM2092"/>
    </row>
    <row r="2093" spans="3:39" x14ac:dyDescent="0.2">
      <c r="C2093"/>
      <c r="D2093"/>
      <c r="E2093"/>
      <c r="F2093"/>
      <c r="G2093"/>
      <c r="H2093"/>
      <c r="I2093" s="684"/>
      <c r="V2093"/>
      <c r="W2093"/>
      <c r="Y2093"/>
      <c r="Z2093"/>
      <c r="AA2093"/>
      <c r="AD2093"/>
      <c r="AE2093"/>
      <c r="AF2093"/>
      <c r="AH2093"/>
      <c r="AI2093"/>
      <c r="AJ2093"/>
      <c r="AM2093"/>
    </row>
    <row r="2094" spans="3:39" x14ac:dyDescent="0.2">
      <c r="C2094"/>
      <c r="D2094"/>
      <c r="E2094"/>
      <c r="F2094"/>
      <c r="G2094"/>
      <c r="H2094"/>
      <c r="I2094" s="684"/>
      <c r="V2094"/>
      <c r="W2094"/>
      <c r="Y2094"/>
      <c r="Z2094"/>
      <c r="AA2094"/>
      <c r="AD2094"/>
      <c r="AE2094"/>
      <c r="AF2094"/>
      <c r="AH2094"/>
      <c r="AI2094"/>
      <c r="AJ2094"/>
      <c r="AM2094"/>
    </row>
    <row r="2095" spans="3:39" x14ac:dyDescent="0.2">
      <c r="C2095"/>
      <c r="D2095"/>
      <c r="E2095"/>
      <c r="F2095"/>
      <c r="G2095"/>
      <c r="H2095"/>
      <c r="I2095" s="684"/>
      <c r="V2095"/>
      <c r="W2095"/>
      <c r="Y2095"/>
      <c r="Z2095"/>
      <c r="AA2095"/>
      <c r="AD2095"/>
      <c r="AE2095"/>
      <c r="AF2095"/>
      <c r="AH2095"/>
      <c r="AI2095"/>
      <c r="AJ2095"/>
      <c r="AM2095"/>
    </row>
    <row r="2096" spans="3:39" x14ac:dyDescent="0.2">
      <c r="C2096"/>
      <c r="D2096"/>
      <c r="E2096"/>
      <c r="F2096"/>
      <c r="G2096"/>
      <c r="H2096"/>
      <c r="I2096" s="684"/>
      <c r="V2096"/>
      <c r="W2096"/>
      <c r="Y2096"/>
      <c r="Z2096"/>
      <c r="AA2096"/>
      <c r="AD2096"/>
      <c r="AE2096"/>
      <c r="AF2096"/>
      <c r="AH2096"/>
      <c r="AI2096"/>
      <c r="AJ2096"/>
      <c r="AM2096"/>
    </row>
    <row r="2097" spans="3:39" x14ac:dyDescent="0.2">
      <c r="C2097"/>
      <c r="D2097"/>
      <c r="E2097"/>
      <c r="F2097"/>
      <c r="G2097"/>
      <c r="H2097"/>
      <c r="I2097" s="684"/>
      <c r="V2097"/>
      <c r="W2097"/>
      <c r="Y2097"/>
      <c r="Z2097"/>
      <c r="AA2097"/>
      <c r="AD2097"/>
      <c r="AE2097"/>
      <c r="AF2097"/>
      <c r="AH2097"/>
      <c r="AI2097"/>
      <c r="AJ2097"/>
      <c r="AM2097"/>
    </row>
    <row r="2098" spans="3:39" x14ac:dyDescent="0.2">
      <c r="C2098"/>
      <c r="D2098"/>
      <c r="E2098"/>
      <c r="F2098"/>
      <c r="G2098"/>
      <c r="H2098"/>
      <c r="I2098" s="684"/>
      <c r="V2098"/>
      <c r="W2098"/>
      <c r="Y2098"/>
      <c r="Z2098"/>
      <c r="AA2098"/>
      <c r="AD2098"/>
      <c r="AE2098"/>
      <c r="AF2098"/>
      <c r="AH2098"/>
      <c r="AI2098"/>
      <c r="AJ2098"/>
      <c r="AM2098"/>
    </row>
    <row r="2099" spans="3:39" x14ac:dyDescent="0.2">
      <c r="C2099"/>
      <c r="D2099"/>
      <c r="E2099"/>
      <c r="F2099"/>
      <c r="G2099"/>
      <c r="H2099"/>
      <c r="I2099" s="684"/>
      <c r="V2099"/>
      <c r="W2099"/>
      <c r="Y2099"/>
      <c r="Z2099"/>
      <c r="AA2099"/>
      <c r="AD2099"/>
      <c r="AE2099"/>
      <c r="AF2099"/>
      <c r="AH2099"/>
      <c r="AI2099"/>
      <c r="AJ2099"/>
      <c r="AM2099"/>
    </row>
    <row r="2100" spans="3:39" x14ac:dyDescent="0.2">
      <c r="C2100"/>
      <c r="D2100"/>
      <c r="E2100"/>
      <c r="F2100"/>
      <c r="G2100"/>
      <c r="H2100"/>
      <c r="I2100" s="684"/>
      <c r="V2100"/>
      <c r="W2100"/>
      <c r="Y2100"/>
      <c r="Z2100"/>
      <c r="AA2100"/>
      <c r="AD2100"/>
      <c r="AE2100"/>
      <c r="AF2100"/>
      <c r="AH2100"/>
      <c r="AI2100"/>
      <c r="AJ2100"/>
      <c r="AM2100"/>
    </row>
    <row r="2101" spans="3:39" x14ac:dyDescent="0.2">
      <c r="C2101"/>
      <c r="D2101"/>
      <c r="E2101"/>
      <c r="F2101"/>
      <c r="G2101"/>
      <c r="H2101"/>
      <c r="I2101" s="684"/>
      <c r="V2101"/>
      <c r="W2101"/>
      <c r="Y2101"/>
      <c r="Z2101"/>
      <c r="AA2101"/>
      <c r="AD2101"/>
      <c r="AE2101"/>
      <c r="AF2101"/>
      <c r="AH2101"/>
      <c r="AI2101"/>
      <c r="AJ2101"/>
      <c r="AM2101"/>
    </row>
    <row r="2102" spans="3:39" x14ac:dyDescent="0.2">
      <c r="C2102"/>
      <c r="D2102"/>
      <c r="E2102"/>
      <c r="F2102"/>
      <c r="G2102"/>
      <c r="H2102"/>
      <c r="I2102" s="684"/>
      <c r="V2102"/>
      <c r="W2102"/>
      <c r="Y2102"/>
      <c r="Z2102"/>
      <c r="AA2102"/>
      <c r="AD2102"/>
      <c r="AE2102"/>
      <c r="AF2102"/>
      <c r="AH2102"/>
      <c r="AI2102"/>
      <c r="AJ2102"/>
      <c r="AM2102"/>
    </row>
    <row r="2103" spans="3:39" x14ac:dyDescent="0.2">
      <c r="C2103"/>
      <c r="D2103"/>
      <c r="E2103"/>
      <c r="F2103"/>
      <c r="G2103"/>
      <c r="H2103"/>
      <c r="I2103" s="684"/>
      <c r="V2103"/>
      <c r="W2103"/>
      <c r="Y2103"/>
      <c r="Z2103"/>
      <c r="AA2103"/>
      <c r="AD2103"/>
      <c r="AE2103"/>
      <c r="AF2103"/>
      <c r="AH2103"/>
      <c r="AI2103"/>
      <c r="AJ2103"/>
      <c r="AM2103"/>
    </row>
    <row r="2104" spans="3:39" x14ac:dyDescent="0.2">
      <c r="C2104"/>
      <c r="D2104"/>
      <c r="E2104"/>
      <c r="F2104"/>
      <c r="G2104"/>
      <c r="H2104"/>
      <c r="I2104" s="684"/>
      <c r="V2104"/>
      <c r="W2104"/>
      <c r="Y2104"/>
      <c r="Z2104"/>
      <c r="AA2104"/>
      <c r="AD2104"/>
      <c r="AE2104"/>
      <c r="AF2104"/>
      <c r="AH2104"/>
      <c r="AI2104"/>
      <c r="AJ2104"/>
      <c r="AM2104"/>
    </row>
    <row r="2105" spans="3:39" x14ac:dyDescent="0.2">
      <c r="C2105"/>
      <c r="D2105"/>
      <c r="E2105"/>
      <c r="F2105"/>
      <c r="G2105"/>
      <c r="H2105"/>
      <c r="I2105" s="684"/>
      <c r="V2105"/>
      <c r="W2105"/>
      <c r="Y2105"/>
      <c r="Z2105"/>
      <c r="AA2105"/>
      <c r="AD2105"/>
      <c r="AE2105"/>
      <c r="AF2105"/>
      <c r="AH2105"/>
      <c r="AI2105"/>
      <c r="AJ2105"/>
      <c r="AM2105"/>
    </row>
    <row r="2106" spans="3:39" x14ac:dyDescent="0.2">
      <c r="C2106"/>
      <c r="D2106"/>
      <c r="E2106"/>
      <c r="F2106"/>
      <c r="G2106"/>
      <c r="H2106"/>
      <c r="I2106" s="684"/>
      <c r="V2106"/>
      <c r="W2106"/>
      <c r="Y2106"/>
      <c r="Z2106"/>
      <c r="AA2106"/>
      <c r="AD2106"/>
      <c r="AE2106"/>
      <c r="AF2106"/>
      <c r="AH2106"/>
      <c r="AI2106"/>
      <c r="AJ2106"/>
      <c r="AM2106"/>
    </row>
    <row r="2107" spans="3:39" x14ac:dyDescent="0.2">
      <c r="C2107"/>
      <c r="D2107"/>
      <c r="E2107"/>
      <c r="F2107"/>
      <c r="G2107"/>
      <c r="H2107"/>
      <c r="I2107" s="684"/>
      <c r="V2107"/>
      <c r="W2107"/>
      <c r="Y2107"/>
      <c r="Z2107"/>
      <c r="AA2107"/>
      <c r="AD2107"/>
      <c r="AE2107"/>
      <c r="AF2107"/>
      <c r="AH2107"/>
      <c r="AI2107"/>
      <c r="AJ2107"/>
      <c r="AM2107"/>
    </row>
    <row r="2108" spans="3:39" x14ac:dyDescent="0.2">
      <c r="C2108"/>
      <c r="D2108"/>
      <c r="E2108"/>
      <c r="F2108"/>
      <c r="G2108"/>
      <c r="H2108"/>
      <c r="I2108" s="684"/>
      <c r="V2108"/>
      <c r="W2108"/>
      <c r="Y2108"/>
      <c r="Z2108"/>
      <c r="AA2108"/>
      <c r="AD2108"/>
      <c r="AE2108"/>
      <c r="AF2108"/>
      <c r="AH2108"/>
      <c r="AI2108"/>
      <c r="AJ2108"/>
      <c r="AM2108"/>
    </row>
    <row r="2109" spans="3:39" x14ac:dyDescent="0.2">
      <c r="C2109"/>
      <c r="D2109"/>
      <c r="E2109"/>
      <c r="F2109"/>
      <c r="G2109"/>
      <c r="H2109"/>
      <c r="I2109" s="684"/>
      <c r="V2109"/>
      <c r="W2109"/>
      <c r="Y2109"/>
      <c r="Z2109"/>
      <c r="AA2109"/>
      <c r="AD2109"/>
      <c r="AE2109"/>
      <c r="AF2109"/>
      <c r="AH2109"/>
      <c r="AI2109"/>
      <c r="AJ2109"/>
      <c r="AM2109"/>
    </row>
    <row r="2110" spans="3:39" x14ac:dyDescent="0.2">
      <c r="C2110"/>
      <c r="D2110"/>
      <c r="E2110"/>
      <c r="F2110"/>
      <c r="G2110"/>
      <c r="H2110"/>
      <c r="I2110" s="684"/>
      <c r="V2110"/>
      <c r="W2110"/>
      <c r="Y2110"/>
      <c r="Z2110"/>
      <c r="AA2110"/>
      <c r="AD2110"/>
      <c r="AE2110"/>
      <c r="AF2110"/>
      <c r="AH2110"/>
      <c r="AI2110"/>
      <c r="AJ2110"/>
      <c r="AM2110"/>
    </row>
    <row r="2111" spans="3:39" x14ac:dyDescent="0.2">
      <c r="C2111"/>
      <c r="D2111"/>
      <c r="E2111"/>
      <c r="F2111"/>
      <c r="G2111"/>
      <c r="H2111"/>
      <c r="I2111" s="684"/>
      <c r="V2111"/>
      <c r="W2111"/>
      <c r="Y2111"/>
      <c r="Z2111"/>
      <c r="AA2111"/>
      <c r="AD2111"/>
      <c r="AE2111"/>
      <c r="AF2111"/>
      <c r="AH2111"/>
      <c r="AI2111"/>
      <c r="AJ2111"/>
      <c r="AM2111"/>
    </row>
    <row r="2112" spans="3:39" x14ac:dyDescent="0.2">
      <c r="C2112"/>
      <c r="D2112"/>
      <c r="E2112"/>
      <c r="F2112"/>
      <c r="G2112"/>
      <c r="H2112"/>
      <c r="I2112" s="684"/>
      <c r="V2112"/>
      <c r="W2112"/>
      <c r="Y2112"/>
      <c r="Z2112"/>
      <c r="AA2112"/>
      <c r="AD2112"/>
      <c r="AE2112"/>
      <c r="AF2112"/>
      <c r="AH2112"/>
      <c r="AI2112"/>
      <c r="AJ2112"/>
      <c r="AM2112"/>
    </row>
    <row r="2113" spans="3:39" x14ac:dyDescent="0.2">
      <c r="C2113"/>
      <c r="D2113"/>
      <c r="E2113"/>
      <c r="F2113"/>
      <c r="G2113"/>
      <c r="H2113"/>
      <c r="I2113" s="684"/>
      <c r="V2113"/>
      <c r="W2113"/>
      <c r="Y2113"/>
      <c r="Z2113"/>
      <c r="AA2113"/>
      <c r="AD2113"/>
      <c r="AE2113"/>
      <c r="AF2113"/>
      <c r="AH2113"/>
      <c r="AI2113"/>
      <c r="AJ2113"/>
      <c r="AM2113"/>
    </row>
    <row r="2114" spans="3:39" x14ac:dyDescent="0.2">
      <c r="C2114"/>
      <c r="D2114"/>
      <c r="E2114"/>
      <c r="F2114"/>
      <c r="G2114"/>
      <c r="H2114"/>
      <c r="I2114" s="684"/>
      <c r="V2114"/>
      <c r="W2114"/>
      <c r="Y2114"/>
      <c r="Z2114"/>
      <c r="AA2114"/>
      <c r="AD2114"/>
      <c r="AE2114"/>
      <c r="AF2114"/>
      <c r="AH2114"/>
      <c r="AI2114"/>
      <c r="AJ2114"/>
      <c r="AM2114"/>
    </row>
    <row r="2115" spans="3:39" x14ac:dyDescent="0.2">
      <c r="C2115"/>
      <c r="D2115"/>
      <c r="E2115"/>
      <c r="F2115"/>
      <c r="G2115"/>
      <c r="H2115"/>
      <c r="I2115" s="684"/>
      <c r="V2115"/>
      <c r="W2115"/>
      <c r="Y2115"/>
      <c r="Z2115"/>
      <c r="AA2115"/>
      <c r="AD2115"/>
      <c r="AE2115"/>
      <c r="AF2115"/>
      <c r="AH2115"/>
      <c r="AI2115"/>
      <c r="AJ2115"/>
      <c r="AM2115"/>
    </row>
    <row r="2116" spans="3:39" x14ac:dyDescent="0.2">
      <c r="C2116"/>
      <c r="D2116"/>
      <c r="E2116"/>
      <c r="F2116"/>
      <c r="G2116"/>
      <c r="H2116"/>
      <c r="I2116" s="684"/>
      <c r="V2116"/>
      <c r="W2116"/>
      <c r="Y2116"/>
      <c r="Z2116"/>
      <c r="AA2116"/>
      <c r="AD2116"/>
      <c r="AE2116"/>
      <c r="AF2116"/>
      <c r="AH2116"/>
      <c r="AI2116"/>
      <c r="AJ2116"/>
      <c r="AM2116"/>
    </row>
    <row r="2117" spans="3:39" x14ac:dyDescent="0.2">
      <c r="C2117"/>
      <c r="D2117"/>
      <c r="E2117"/>
      <c r="F2117"/>
      <c r="G2117"/>
      <c r="H2117"/>
      <c r="I2117" s="684"/>
      <c r="V2117"/>
      <c r="W2117"/>
      <c r="Y2117"/>
      <c r="Z2117"/>
      <c r="AA2117"/>
      <c r="AD2117"/>
      <c r="AE2117"/>
      <c r="AF2117"/>
      <c r="AH2117"/>
      <c r="AI2117"/>
      <c r="AJ2117"/>
      <c r="AM2117"/>
    </row>
    <row r="2118" spans="3:39" x14ac:dyDescent="0.2">
      <c r="C2118"/>
      <c r="D2118"/>
      <c r="E2118"/>
      <c r="F2118"/>
      <c r="G2118"/>
      <c r="H2118"/>
      <c r="I2118" s="684"/>
      <c r="V2118"/>
      <c r="W2118"/>
      <c r="Y2118"/>
      <c r="Z2118"/>
      <c r="AA2118"/>
      <c r="AD2118"/>
      <c r="AE2118"/>
      <c r="AF2118"/>
      <c r="AH2118"/>
      <c r="AI2118"/>
      <c r="AJ2118"/>
      <c r="AM2118"/>
    </row>
    <row r="2119" spans="3:39" x14ac:dyDescent="0.2">
      <c r="C2119"/>
      <c r="D2119"/>
      <c r="E2119"/>
      <c r="F2119"/>
      <c r="G2119"/>
      <c r="H2119"/>
      <c r="I2119" s="684"/>
      <c r="V2119"/>
      <c r="W2119"/>
      <c r="Y2119"/>
      <c r="Z2119"/>
      <c r="AA2119"/>
      <c r="AD2119"/>
      <c r="AE2119"/>
      <c r="AF2119"/>
      <c r="AH2119"/>
      <c r="AI2119"/>
      <c r="AJ2119"/>
      <c r="AM2119"/>
    </row>
    <row r="2120" spans="3:39" x14ac:dyDescent="0.2">
      <c r="C2120"/>
      <c r="D2120"/>
      <c r="E2120"/>
      <c r="F2120"/>
      <c r="G2120"/>
      <c r="H2120"/>
      <c r="I2120" s="684"/>
      <c r="V2120"/>
      <c r="W2120"/>
      <c r="Y2120"/>
      <c r="Z2120"/>
      <c r="AA2120"/>
      <c r="AD2120"/>
      <c r="AE2120"/>
      <c r="AF2120"/>
      <c r="AH2120"/>
      <c r="AI2120"/>
      <c r="AJ2120"/>
      <c r="AM2120"/>
    </row>
    <row r="2121" spans="3:39" x14ac:dyDescent="0.2">
      <c r="C2121"/>
      <c r="D2121"/>
      <c r="E2121"/>
      <c r="F2121"/>
      <c r="G2121"/>
      <c r="H2121"/>
      <c r="I2121" s="684"/>
      <c r="V2121"/>
      <c r="W2121"/>
      <c r="Y2121"/>
      <c r="Z2121"/>
      <c r="AA2121"/>
      <c r="AD2121"/>
      <c r="AE2121"/>
      <c r="AF2121"/>
      <c r="AH2121"/>
      <c r="AI2121"/>
      <c r="AJ2121"/>
      <c r="AM2121"/>
    </row>
    <row r="2122" spans="3:39" x14ac:dyDescent="0.2">
      <c r="C2122"/>
      <c r="D2122"/>
      <c r="E2122"/>
      <c r="F2122"/>
      <c r="G2122"/>
      <c r="H2122"/>
      <c r="I2122" s="684"/>
      <c r="V2122"/>
      <c r="W2122"/>
      <c r="Y2122"/>
      <c r="Z2122"/>
      <c r="AA2122"/>
      <c r="AD2122"/>
      <c r="AE2122"/>
      <c r="AF2122"/>
      <c r="AH2122"/>
      <c r="AI2122"/>
      <c r="AJ2122"/>
      <c r="AM2122"/>
    </row>
    <row r="2123" spans="3:39" x14ac:dyDescent="0.2">
      <c r="C2123"/>
      <c r="D2123"/>
      <c r="E2123"/>
      <c r="F2123"/>
      <c r="G2123"/>
      <c r="H2123"/>
      <c r="I2123" s="684"/>
      <c r="V2123"/>
      <c r="W2123"/>
      <c r="Y2123"/>
      <c r="Z2123"/>
      <c r="AA2123"/>
      <c r="AD2123"/>
      <c r="AE2123"/>
      <c r="AF2123"/>
      <c r="AH2123"/>
      <c r="AI2123"/>
      <c r="AJ2123"/>
      <c r="AM2123"/>
    </row>
    <row r="2124" spans="3:39" x14ac:dyDescent="0.2">
      <c r="C2124"/>
      <c r="D2124"/>
      <c r="E2124"/>
      <c r="F2124"/>
      <c r="G2124"/>
      <c r="H2124"/>
      <c r="I2124" s="684"/>
      <c r="V2124"/>
      <c r="W2124"/>
      <c r="Y2124"/>
      <c r="Z2124"/>
      <c r="AA2124"/>
      <c r="AD2124"/>
      <c r="AE2124"/>
      <c r="AF2124"/>
      <c r="AH2124"/>
      <c r="AI2124"/>
      <c r="AJ2124"/>
      <c r="AM2124"/>
    </row>
    <row r="2125" spans="3:39" x14ac:dyDescent="0.2">
      <c r="C2125"/>
      <c r="D2125"/>
      <c r="E2125"/>
      <c r="F2125"/>
      <c r="G2125"/>
      <c r="H2125"/>
      <c r="I2125" s="684"/>
      <c r="V2125"/>
      <c r="W2125"/>
      <c r="Y2125"/>
      <c r="Z2125"/>
      <c r="AA2125"/>
      <c r="AD2125"/>
      <c r="AE2125"/>
      <c r="AF2125"/>
      <c r="AH2125"/>
      <c r="AI2125"/>
      <c r="AJ2125"/>
      <c r="AM2125"/>
    </row>
    <row r="2126" spans="3:39" x14ac:dyDescent="0.2">
      <c r="C2126"/>
      <c r="D2126"/>
      <c r="E2126"/>
      <c r="F2126"/>
      <c r="G2126"/>
      <c r="H2126"/>
      <c r="I2126" s="684"/>
      <c r="V2126"/>
      <c r="W2126"/>
      <c r="Y2126"/>
      <c r="Z2126"/>
      <c r="AA2126"/>
      <c r="AD2126"/>
      <c r="AE2126"/>
      <c r="AF2126"/>
      <c r="AH2126"/>
      <c r="AI2126"/>
      <c r="AJ2126"/>
      <c r="AM2126"/>
    </row>
    <row r="2127" spans="3:39" x14ac:dyDescent="0.2">
      <c r="C2127"/>
      <c r="D2127"/>
      <c r="E2127"/>
      <c r="F2127"/>
      <c r="G2127"/>
      <c r="H2127"/>
      <c r="I2127" s="684"/>
      <c r="V2127"/>
      <c r="W2127"/>
      <c r="Y2127"/>
      <c r="Z2127"/>
      <c r="AA2127"/>
      <c r="AD2127"/>
      <c r="AE2127"/>
      <c r="AF2127"/>
      <c r="AH2127"/>
      <c r="AI2127"/>
      <c r="AJ2127"/>
      <c r="AM2127"/>
    </row>
    <row r="2128" spans="3:39" x14ac:dyDescent="0.2">
      <c r="C2128"/>
      <c r="D2128"/>
      <c r="E2128"/>
      <c r="F2128"/>
      <c r="G2128"/>
      <c r="H2128"/>
      <c r="I2128" s="684"/>
      <c r="V2128"/>
      <c r="W2128"/>
      <c r="Y2128"/>
      <c r="Z2128"/>
      <c r="AA2128"/>
      <c r="AD2128"/>
      <c r="AE2128"/>
      <c r="AF2128"/>
      <c r="AH2128"/>
      <c r="AI2128"/>
      <c r="AJ2128"/>
      <c r="AM2128"/>
    </row>
    <row r="2129" spans="3:39" x14ac:dyDescent="0.2">
      <c r="C2129"/>
      <c r="D2129"/>
      <c r="E2129"/>
      <c r="F2129"/>
      <c r="G2129"/>
      <c r="H2129"/>
      <c r="I2129" s="684"/>
      <c r="V2129"/>
      <c r="W2129"/>
      <c r="Y2129"/>
      <c r="Z2129"/>
      <c r="AA2129"/>
      <c r="AD2129"/>
      <c r="AE2129"/>
      <c r="AF2129"/>
      <c r="AH2129"/>
      <c r="AI2129"/>
      <c r="AJ2129"/>
      <c r="AM2129"/>
    </row>
    <row r="2130" spans="3:39" x14ac:dyDescent="0.2">
      <c r="C2130"/>
      <c r="D2130"/>
      <c r="E2130"/>
      <c r="F2130"/>
      <c r="G2130"/>
      <c r="H2130"/>
      <c r="I2130" s="684"/>
      <c r="V2130"/>
      <c r="W2130"/>
      <c r="Y2130"/>
      <c r="Z2130"/>
      <c r="AA2130"/>
      <c r="AD2130"/>
      <c r="AE2130"/>
      <c r="AF2130"/>
      <c r="AH2130"/>
      <c r="AI2130"/>
      <c r="AJ2130"/>
      <c r="AM2130"/>
    </row>
    <row r="2131" spans="3:39" x14ac:dyDescent="0.2">
      <c r="C2131"/>
      <c r="D2131"/>
      <c r="E2131"/>
      <c r="F2131"/>
      <c r="G2131"/>
      <c r="H2131"/>
      <c r="I2131" s="684"/>
      <c r="V2131"/>
      <c r="W2131"/>
      <c r="Y2131"/>
      <c r="Z2131"/>
      <c r="AA2131"/>
      <c r="AD2131"/>
      <c r="AE2131"/>
      <c r="AF2131"/>
      <c r="AH2131"/>
      <c r="AI2131"/>
      <c r="AJ2131"/>
      <c r="AM2131"/>
    </row>
    <row r="2132" spans="3:39" x14ac:dyDescent="0.2">
      <c r="C2132"/>
      <c r="D2132"/>
      <c r="E2132"/>
      <c r="F2132"/>
      <c r="G2132"/>
      <c r="H2132"/>
      <c r="I2132" s="684"/>
      <c r="V2132"/>
      <c r="W2132"/>
      <c r="Y2132"/>
      <c r="Z2132"/>
      <c r="AA2132"/>
      <c r="AD2132"/>
      <c r="AE2132"/>
      <c r="AF2132"/>
      <c r="AH2132"/>
      <c r="AI2132"/>
      <c r="AJ2132"/>
      <c r="AM2132"/>
    </row>
    <row r="2133" spans="3:39" x14ac:dyDescent="0.2">
      <c r="C2133"/>
      <c r="D2133"/>
      <c r="E2133"/>
      <c r="F2133"/>
      <c r="G2133"/>
      <c r="H2133"/>
      <c r="I2133" s="684"/>
      <c r="V2133"/>
      <c r="W2133"/>
      <c r="Y2133"/>
      <c r="Z2133"/>
      <c r="AA2133"/>
      <c r="AD2133"/>
      <c r="AE2133"/>
      <c r="AF2133"/>
      <c r="AH2133"/>
      <c r="AI2133"/>
      <c r="AJ2133"/>
      <c r="AM2133"/>
    </row>
    <row r="2134" spans="3:39" x14ac:dyDescent="0.2">
      <c r="C2134"/>
      <c r="D2134"/>
      <c r="E2134"/>
      <c r="F2134"/>
      <c r="G2134"/>
      <c r="H2134"/>
      <c r="I2134" s="684"/>
      <c r="V2134"/>
      <c r="W2134"/>
      <c r="Y2134"/>
      <c r="Z2134"/>
      <c r="AA2134"/>
      <c r="AD2134"/>
      <c r="AE2134"/>
      <c r="AF2134"/>
      <c r="AH2134"/>
      <c r="AI2134"/>
      <c r="AJ2134"/>
      <c r="AM2134"/>
    </row>
    <row r="2135" spans="3:39" x14ac:dyDescent="0.2">
      <c r="C2135"/>
      <c r="D2135"/>
      <c r="E2135"/>
      <c r="F2135"/>
      <c r="G2135"/>
      <c r="H2135"/>
      <c r="I2135" s="684"/>
      <c r="V2135"/>
      <c r="W2135"/>
      <c r="Y2135"/>
      <c r="Z2135"/>
      <c r="AA2135"/>
      <c r="AD2135"/>
      <c r="AE2135"/>
      <c r="AF2135"/>
      <c r="AH2135"/>
      <c r="AI2135"/>
      <c r="AJ2135"/>
      <c r="AM2135"/>
    </row>
    <row r="2136" spans="3:39" x14ac:dyDescent="0.2">
      <c r="C2136"/>
      <c r="D2136"/>
      <c r="E2136"/>
      <c r="F2136"/>
      <c r="G2136"/>
      <c r="H2136"/>
      <c r="I2136" s="684"/>
      <c r="V2136"/>
      <c r="W2136"/>
      <c r="Y2136"/>
      <c r="Z2136"/>
      <c r="AA2136"/>
      <c r="AD2136"/>
      <c r="AE2136"/>
      <c r="AF2136"/>
      <c r="AH2136"/>
      <c r="AI2136"/>
      <c r="AJ2136"/>
      <c r="AM2136"/>
    </row>
    <row r="2137" spans="3:39" x14ac:dyDescent="0.2">
      <c r="C2137"/>
      <c r="D2137"/>
      <c r="E2137"/>
      <c r="F2137"/>
      <c r="G2137"/>
      <c r="H2137"/>
      <c r="I2137" s="684"/>
      <c r="V2137"/>
      <c r="W2137"/>
      <c r="Y2137"/>
      <c r="Z2137"/>
      <c r="AA2137"/>
      <c r="AD2137"/>
      <c r="AE2137"/>
      <c r="AF2137"/>
      <c r="AH2137"/>
      <c r="AI2137"/>
      <c r="AJ2137"/>
      <c r="AM2137"/>
    </row>
    <row r="2138" spans="3:39" x14ac:dyDescent="0.2">
      <c r="C2138"/>
      <c r="D2138"/>
      <c r="E2138"/>
      <c r="F2138"/>
      <c r="G2138"/>
      <c r="H2138"/>
      <c r="I2138" s="684"/>
      <c r="V2138"/>
      <c r="W2138"/>
      <c r="Y2138"/>
      <c r="Z2138"/>
      <c r="AA2138"/>
      <c r="AD2138"/>
      <c r="AE2138"/>
      <c r="AF2138"/>
      <c r="AH2138"/>
      <c r="AI2138"/>
      <c r="AJ2138"/>
      <c r="AM2138"/>
    </row>
    <row r="2139" spans="3:39" x14ac:dyDescent="0.2">
      <c r="C2139"/>
      <c r="D2139"/>
      <c r="E2139"/>
      <c r="F2139"/>
      <c r="G2139"/>
      <c r="H2139"/>
      <c r="I2139" s="684"/>
      <c r="V2139"/>
      <c r="W2139"/>
      <c r="Y2139"/>
      <c r="Z2139"/>
      <c r="AA2139"/>
      <c r="AD2139"/>
      <c r="AE2139"/>
      <c r="AF2139"/>
      <c r="AH2139"/>
      <c r="AI2139"/>
      <c r="AJ2139"/>
      <c r="AM2139"/>
    </row>
    <row r="2140" spans="3:39" x14ac:dyDescent="0.2">
      <c r="C2140"/>
      <c r="D2140"/>
      <c r="E2140"/>
      <c r="F2140"/>
      <c r="G2140"/>
      <c r="H2140"/>
      <c r="I2140" s="684"/>
      <c r="V2140"/>
      <c r="W2140"/>
      <c r="Y2140"/>
      <c r="Z2140"/>
      <c r="AA2140"/>
      <c r="AD2140"/>
      <c r="AE2140"/>
      <c r="AF2140"/>
      <c r="AH2140"/>
      <c r="AI2140"/>
      <c r="AJ2140"/>
      <c r="AM2140"/>
    </row>
    <row r="2141" spans="3:39" x14ac:dyDescent="0.2">
      <c r="C2141"/>
      <c r="D2141"/>
      <c r="E2141"/>
      <c r="F2141"/>
      <c r="G2141"/>
      <c r="H2141"/>
      <c r="I2141" s="684"/>
      <c r="V2141"/>
      <c r="W2141"/>
      <c r="Y2141"/>
      <c r="Z2141"/>
      <c r="AA2141"/>
      <c r="AD2141"/>
      <c r="AE2141"/>
      <c r="AF2141"/>
      <c r="AH2141"/>
      <c r="AI2141"/>
      <c r="AJ2141"/>
      <c r="AM2141"/>
    </row>
    <row r="2142" spans="3:39" x14ac:dyDescent="0.2">
      <c r="C2142"/>
      <c r="D2142"/>
      <c r="E2142"/>
      <c r="F2142"/>
      <c r="G2142"/>
      <c r="H2142"/>
      <c r="I2142" s="684"/>
      <c r="V2142"/>
      <c r="W2142"/>
      <c r="Y2142"/>
      <c r="Z2142"/>
      <c r="AA2142"/>
      <c r="AD2142"/>
      <c r="AE2142"/>
      <c r="AF2142"/>
      <c r="AH2142"/>
      <c r="AI2142"/>
      <c r="AJ2142"/>
      <c r="AM2142"/>
    </row>
    <row r="2143" spans="3:39" x14ac:dyDescent="0.2">
      <c r="C2143"/>
      <c r="D2143"/>
      <c r="E2143"/>
      <c r="F2143"/>
      <c r="G2143"/>
      <c r="H2143"/>
      <c r="I2143" s="684"/>
      <c r="V2143"/>
      <c r="W2143"/>
      <c r="Y2143"/>
      <c r="Z2143"/>
      <c r="AA2143"/>
      <c r="AD2143"/>
      <c r="AE2143"/>
      <c r="AF2143"/>
      <c r="AH2143"/>
      <c r="AI2143"/>
      <c r="AJ2143"/>
      <c r="AM2143"/>
    </row>
    <row r="2144" spans="3:39" x14ac:dyDescent="0.2">
      <c r="C2144"/>
      <c r="D2144"/>
      <c r="E2144"/>
      <c r="F2144"/>
      <c r="G2144"/>
      <c r="H2144"/>
      <c r="I2144" s="684"/>
      <c r="V2144"/>
      <c r="W2144"/>
      <c r="Y2144"/>
      <c r="Z2144"/>
      <c r="AA2144"/>
      <c r="AD2144"/>
      <c r="AE2144"/>
      <c r="AF2144"/>
      <c r="AH2144"/>
      <c r="AI2144"/>
      <c r="AJ2144"/>
      <c r="AM2144"/>
    </row>
    <row r="2145" spans="3:39" x14ac:dyDescent="0.2">
      <c r="C2145"/>
      <c r="D2145"/>
      <c r="E2145"/>
      <c r="F2145"/>
      <c r="G2145"/>
      <c r="H2145"/>
      <c r="I2145" s="684"/>
      <c r="V2145"/>
      <c r="W2145"/>
      <c r="Y2145"/>
      <c r="Z2145"/>
      <c r="AA2145"/>
      <c r="AD2145"/>
      <c r="AE2145"/>
      <c r="AF2145"/>
      <c r="AH2145"/>
      <c r="AI2145"/>
      <c r="AJ2145"/>
      <c r="AM2145"/>
    </row>
    <row r="2146" spans="3:39" x14ac:dyDescent="0.2">
      <c r="C2146"/>
      <c r="D2146"/>
      <c r="E2146"/>
      <c r="F2146"/>
      <c r="G2146"/>
      <c r="H2146"/>
      <c r="I2146" s="684"/>
      <c r="V2146"/>
      <c r="W2146"/>
      <c r="Y2146"/>
      <c r="Z2146"/>
      <c r="AA2146"/>
      <c r="AD2146"/>
      <c r="AE2146"/>
      <c r="AF2146"/>
      <c r="AH2146"/>
      <c r="AI2146"/>
      <c r="AJ2146"/>
      <c r="AM2146"/>
    </row>
    <row r="2147" spans="3:39" x14ac:dyDescent="0.2">
      <c r="C2147"/>
      <c r="D2147"/>
      <c r="E2147"/>
      <c r="F2147"/>
      <c r="G2147"/>
      <c r="H2147"/>
      <c r="I2147" s="684"/>
      <c r="V2147"/>
      <c r="W2147"/>
      <c r="Y2147"/>
      <c r="Z2147"/>
      <c r="AA2147"/>
      <c r="AD2147"/>
      <c r="AE2147"/>
      <c r="AF2147"/>
      <c r="AH2147"/>
      <c r="AI2147"/>
      <c r="AJ2147"/>
      <c r="AM2147"/>
    </row>
    <row r="2148" spans="3:39" x14ac:dyDescent="0.2">
      <c r="C2148"/>
      <c r="D2148"/>
      <c r="E2148"/>
      <c r="F2148"/>
      <c r="G2148"/>
      <c r="H2148"/>
      <c r="I2148" s="684"/>
      <c r="V2148"/>
      <c r="W2148"/>
      <c r="Y2148"/>
      <c r="Z2148"/>
      <c r="AA2148"/>
      <c r="AD2148"/>
      <c r="AE2148"/>
      <c r="AF2148"/>
      <c r="AH2148"/>
      <c r="AI2148"/>
      <c r="AJ2148"/>
      <c r="AM2148"/>
    </row>
    <row r="2149" spans="3:39" x14ac:dyDescent="0.2">
      <c r="C2149"/>
      <c r="D2149"/>
      <c r="E2149"/>
      <c r="F2149"/>
      <c r="G2149"/>
      <c r="H2149"/>
      <c r="I2149" s="684"/>
      <c r="V2149"/>
      <c r="W2149"/>
      <c r="Y2149"/>
      <c r="Z2149"/>
      <c r="AA2149"/>
      <c r="AD2149"/>
      <c r="AE2149"/>
      <c r="AF2149"/>
      <c r="AH2149"/>
      <c r="AI2149"/>
      <c r="AJ2149"/>
      <c r="AM2149"/>
    </row>
    <row r="2150" spans="3:39" x14ac:dyDescent="0.2">
      <c r="C2150"/>
      <c r="D2150"/>
      <c r="E2150"/>
      <c r="F2150"/>
      <c r="G2150"/>
      <c r="H2150"/>
      <c r="I2150" s="684"/>
      <c r="V2150"/>
      <c r="W2150"/>
      <c r="Y2150"/>
      <c r="Z2150"/>
      <c r="AA2150"/>
      <c r="AD2150"/>
      <c r="AE2150"/>
      <c r="AF2150"/>
      <c r="AH2150"/>
      <c r="AI2150"/>
      <c r="AJ2150"/>
      <c r="AM2150"/>
    </row>
    <row r="2151" spans="3:39" x14ac:dyDescent="0.2">
      <c r="C2151"/>
      <c r="D2151"/>
      <c r="E2151"/>
      <c r="F2151"/>
      <c r="G2151"/>
      <c r="H2151"/>
      <c r="I2151" s="684"/>
      <c r="V2151"/>
      <c r="W2151"/>
      <c r="Y2151"/>
      <c r="Z2151"/>
      <c r="AA2151"/>
      <c r="AD2151"/>
      <c r="AE2151"/>
      <c r="AF2151"/>
      <c r="AH2151"/>
      <c r="AI2151"/>
      <c r="AJ2151"/>
      <c r="AM2151"/>
    </row>
    <row r="2152" spans="3:39" x14ac:dyDescent="0.2">
      <c r="C2152"/>
      <c r="D2152"/>
      <c r="E2152"/>
      <c r="F2152"/>
      <c r="G2152"/>
      <c r="H2152"/>
      <c r="I2152" s="684"/>
      <c r="V2152"/>
      <c r="W2152"/>
      <c r="Y2152"/>
      <c r="Z2152"/>
      <c r="AA2152"/>
      <c r="AD2152"/>
      <c r="AE2152"/>
      <c r="AF2152"/>
      <c r="AH2152"/>
      <c r="AI2152"/>
      <c r="AJ2152"/>
      <c r="AM2152"/>
    </row>
    <row r="2153" spans="3:39" x14ac:dyDescent="0.2">
      <c r="C2153"/>
      <c r="D2153"/>
      <c r="E2153"/>
      <c r="F2153"/>
      <c r="G2153"/>
      <c r="H2153"/>
      <c r="I2153" s="684"/>
      <c r="V2153"/>
      <c r="W2153"/>
      <c r="Y2153"/>
      <c r="Z2153"/>
      <c r="AA2153"/>
      <c r="AD2153"/>
      <c r="AE2153"/>
      <c r="AF2153"/>
      <c r="AH2153"/>
      <c r="AI2153"/>
      <c r="AJ2153"/>
      <c r="AM2153"/>
    </row>
    <row r="2154" spans="3:39" x14ac:dyDescent="0.2">
      <c r="C2154"/>
      <c r="D2154"/>
      <c r="E2154"/>
      <c r="F2154"/>
      <c r="G2154"/>
      <c r="H2154"/>
      <c r="I2154" s="684"/>
      <c r="V2154"/>
      <c r="W2154"/>
      <c r="Y2154"/>
      <c r="Z2154"/>
      <c r="AA2154"/>
      <c r="AD2154"/>
      <c r="AE2154"/>
      <c r="AF2154"/>
      <c r="AH2154"/>
      <c r="AI2154"/>
      <c r="AJ2154"/>
      <c r="AM2154"/>
    </row>
    <row r="2155" spans="3:39" x14ac:dyDescent="0.2">
      <c r="C2155"/>
      <c r="D2155"/>
      <c r="E2155"/>
      <c r="F2155"/>
      <c r="G2155"/>
      <c r="H2155"/>
      <c r="I2155" s="684"/>
      <c r="V2155"/>
      <c r="W2155"/>
      <c r="Y2155"/>
      <c r="Z2155"/>
      <c r="AA2155"/>
      <c r="AD2155"/>
      <c r="AE2155"/>
      <c r="AF2155"/>
      <c r="AH2155"/>
      <c r="AI2155"/>
      <c r="AJ2155"/>
      <c r="AM2155"/>
    </row>
    <row r="2156" spans="3:39" x14ac:dyDescent="0.2">
      <c r="C2156"/>
      <c r="D2156"/>
      <c r="E2156"/>
      <c r="F2156"/>
      <c r="G2156"/>
      <c r="H2156"/>
      <c r="I2156" s="684"/>
      <c r="V2156"/>
      <c r="W2156"/>
      <c r="Y2156"/>
      <c r="Z2156"/>
      <c r="AA2156"/>
      <c r="AD2156"/>
      <c r="AE2156"/>
      <c r="AF2156"/>
      <c r="AH2156"/>
      <c r="AI2156"/>
      <c r="AJ2156"/>
      <c r="AM2156"/>
    </row>
    <row r="2157" spans="3:39" x14ac:dyDescent="0.2">
      <c r="C2157"/>
      <c r="D2157"/>
      <c r="E2157"/>
      <c r="F2157"/>
      <c r="G2157"/>
      <c r="H2157"/>
      <c r="I2157" s="684"/>
      <c r="V2157"/>
      <c r="W2157"/>
      <c r="Y2157"/>
      <c r="Z2157"/>
      <c r="AA2157"/>
      <c r="AD2157"/>
      <c r="AE2157"/>
      <c r="AF2157"/>
      <c r="AH2157"/>
      <c r="AI2157"/>
      <c r="AJ2157"/>
      <c r="AM2157"/>
    </row>
    <row r="2158" spans="3:39" x14ac:dyDescent="0.2">
      <c r="C2158"/>
      <c r="D2158"/>
      <c r="E2158"/>
      <c r="F2158"/>
      <c r="G2158"/>
      <c r="H2158"/>
      <c r="I2158" s="684"/>
      <c r="V2158"/>
      <c r="W2158"/>
      <c r="Y2158"/>
      <c r="Z2158"/>
      <c r="AA2158"/>
      <c r="AD2158"/>
      <c r="AE2158"/>
      <c r="AF2158"/>
      <c r="AH2158"/>
      <c r="AI2158"/>
      <c r="AJ2158"/>
      <c r="AM2158"/>
    </row>
    <row r="2159" spans="3:39" x14ac:dyDescent="0.2">
      <c r="C2159"/>
      <c r="D2159"/>
      <c r="E2159"/>
      <c r="F2159"/>
      <c r="G2159"/>
      <c r="H2159"/>
      <c r="I2159" s="684"/>
      <c r="V2159"/>
      <c r="W2159"/>
      <c r="Y2159"/>
      <c r="Z2159"/>
      <c r="AA2159"/>
      <c r="AD2159"/>
      <c r="AE2159"/>
      <c r="AF2159"/>
      <c r="AH2159"/>
      <c r="AI2159"/>
      <c r="AJ2159"/>
      <c r="AM2159"/>
    </row>
    <row r="2160" spans="3:39" x14ac:dyDescent="0.2">
      <c r="C2160"/>
      <c r="D2160"/>
      <c r="E2160"/>
      <c r="F2160"/>
      <c r="G2160"/>
      <c r="H2160"/>
      <c r="I2160" s="684"/>
      <c r="V2160"/>
      <c r="W2160"/>
      <c r="Y2160"/>
      <c r="Z2160"/>
      <c r="AA2160"/>
      <c r="AD2160"/>
      <c r="AE2160"/>
      <c r="AF2160"/>
      <c r="AH2160"/>
      <c r="AI2160"/>
      <c r="AJ2160"/>
      <c r="AM2160"/>
    </row>
    <row r="2161" spans="3:39" x14ac:dyDescent="0.2">
      <c r="C2161"/>
      <c r="D2161"/>
      <c r="E2161"/>
      <c r="F2161"/>
      <c r="G2161"/>
      <c r="H2161"/>
      <c r="I2161" s="684"/>
      <c r="V2161"/>
      <c r="W2161"/>
      <c r="Y2161"/>
      <c r="Z2161"/>
      <c r="AA2161"/>
      <c r="AD2161"/>
      <c r="AE2161"/>
      <c r="AF2161"/>
      <c r="AH2161"/>
      <c r="AI2161"/>
      <c r="AJ2161"/>
      <c r="AM2161"/>
    </row>
    <row r="2162" spans="3:39" x14ac:dyDescent="0.2">
      <c r="C2162"/>
      <c r="D2162"/>
      <c r="E2162"/>
      <c r="F2162"/>
      <c r="G2162"/>
      <c r="H2162"/>
      <c r="I2162" s="684"/>
      <c r="V2162"/>
      <c r="W2162"/>
      <c r="Y2162"/>
      <c r="Z2162"/>
      <c r="AA2162"/>
      <c r="AD2162"/>
      <c r="AE2162"/>
      <c r="AF2162"/>
      <c r="AH2162"/>
      <c r="AI2162"/>
      <c r="AJ2162"/>
      <c r="AM2162"/>
    </row>
    <row r="2163" spans="3:39" x14ac:dyDescent="0.2">
      <c r="C2163"/>
      <c r="D2163"/>
      <c r="E2163"/>
      <c r="F2163"/>
      <c r="G2163"/>
      <c r="H2163"/>
      <c r="I2163" s="684"/>
      <c r="V2163"/>
      <c r="W2163"/>
      <c r="Y2163"/>
      <c r="Z2163"/>
      <c r="AA2163"/>
      <c r="AD2163"/>
      <c r="AE2163"/>
      <c r="AF2163"/>
      <c r="AH2163"/>
      <c r="AI2163"/>
      <c r="AJ2163"/>
      <c r="AM2163"/>
    </row>
    <row r="2164" spans="3:39" x14ac:dyDescent="0.2">
      <c r="C2164"/>
      <c r="D2164"/>
      <c r="E2164"/>
      <c r="F2164"/>
      <c r="G2164"/>
      <c r="H2164"/>
      <c r="I2164" s="684"/>
      <c r="V2164"/>
      <c r="W2164"/>
      <c r="Y2164"/>
      <c r="Z2164"/>
      <c r="AA2164"/>
      <c r="AD2164"/>
      <c r="AE2164"/>
      <c r="AF2164"/>
      <c r="AH2164"/>
      <c r="AI2164"/>
      <c r="AJ2164"/>
      <c r="AM2164"/>
    </row>
    <row r="2165" spans="3:39" x14ac:dyDescent="0.2">
      <c r="C2165"/>
      <c r="D2165"/>
      <c r="E2165"/>
      <c r="F2165"/>
      <c r="G2165"/>
      <c r="H2165"/>
      <c r="I2165" s="684"/>
      <c r="V2165"/>
      <c r="W2165"/>
      <c r="Y2165"/>
      <c r="Z2165"/>
      <c r="AA2165"/>
      <c r="AD2165"/>
      <c r="AE2165"/>
      <c r="AF2165"/>
      <c r="AH2165"/>
      <c r="AI2165"/>
      <c r="AJ2165"/>
      <c r="AM2165"/>
    </row>
    <row r="2166" spans="3:39" x14ac:dyDescent="0.2">
      <c r="C2166"/>
      <c r="D2166"/>
      <c r="E2166"/>
      <c r="F2166"/>
      <c r="G2166"/>
      <c r="H2166"/>
      <c r="I2166" s="684"/>
      <c r="V2166"/>
      <c r="W2166"/>
      <c r="Y2166"/>
      <c r="Z2166"/>
      <c r="AA2166"/>
      <c r="AD2166"/>
      <c r="AE2166"/>
      <c r="AF2166"/>
      <c r="AH2166"/>
      <c r="AI2166"/>
      <c r="AJ2166"/>
      <c r="AM2166"/>
    </row>
    <row r="2167" spans="3:39" x14ac:dyDescent="0.2">
      <c r="C2167"/>
      <c r="D2167"/>
      <c r="E2167"/>
      <c r="F2167"/>
      <c r="G2167"/>
      <c r="H2167"/>
      <c r="I2167" s="684"/>
      <c r="V2167"/>
      <c r="W2167"/>
      <c r="Y2167"/>
      <c r="Z2167"/>
      <c r="AA2167"/>
      <c r="AD2167"/>
      <c r="AE2167"/>
      <c r="AF2167"/>
      <c r="AH2167"/>
      <c r="AI2167"/>
      <c r="AJ2167"/>
      <c r="AM2167"/>
    </row>
    <row r="2168" spans="3:39" x14ac:dyDescent="0.2">
      <c r="C2168"/>
      <c r="D2168"/>
      <c r="E2168"/>
      <c r="F2168"/>
      <c r="G2168"/>
      <c r="H2168"/>
      <c r="I2168" s="684"/>
      <c r="V2168"/>
      <c r="W2168"/>
      <c r="Y2168"/>
      <c r="Z2168"/>
      <c r="AA2168"/>
      <c r="AD2168"/>
      <c r="AE2168"/>
      <c r="AF2168"/>
      <c r="AH2168"/>
      <c r="AI2168"/>
      <c r="AJ2168"/>
      <c r="AM2168"/>
    </row>
    <row r="2169" spans="3:39" x14ac:dyDescent="0.2">
      <c r="C2169"/>
      <c r="D2169"/>
      <c r="E2169"/>
      <c r="F2169"/>
      <c r="G2169"/>
      <c r="H2169"/>
      <c r="I2169" s="684"/>
      <c r="V2169"/>
      <c r="W2169"/>
      <c r="Y2169"/>
      <c r="Z2169"/>
      <c r="AA2169"/>
      <c r="AD2169"/>
      <c r="AE2169"/>
      <c r="AF2169"/>
      <c r="AH2169"/>
      <c r="AI2169"/>
      <c r="AJ2169"/>
      <c r="AM2169"/>
    </row>
    <row r="2170" spans="3:39" x14ac:dyDescent="0.2">
      <c r="C2170"/>
      <c r="D2170"/>
      <c r="E2170"/>
      <c r="F2170"/>
      <c r="G2170"/>
      <c r="H2170"/>
      <c r="I2170" s="684"/>
      <c r="V2170"/>
      <c r="W2170"/>
      <c r="Y2170"/>
      <c r="Z2170"/>
      <c r="AA2170"/>
      <c r="AD2170"/>
      <c r="AE2170"/>
      <c r="AF2170"/>
      <c r="AH2170"/>
      <c r="AI2170"/>
      <c r="AJ2170"/>
      <c r="AM2170"/>
    </row>
    <row r="2171" spans="3:39" x14ac:dyDescent="0.2">
      <c r="C2171"/>
      <c r="D2171"/>
      <c r="E2171"/>
      <c r="F2171"/>
      <c r="G2171"/>
      <c r="H2171"/>
      <c r="I2171" s="684"/>
      <c r="V2171"/>
      <c r="W2171"/>
      <c r="Y2171"/>
      <c r="Z2171"/>
      <c r="AA2171"/>
      <c r="AD2171"/>
      <c r="AE2171"/>
      <c r="AF2171"/>
      <c r="AH2171"/>
      <c r="AI2171"/>
      <c r="AJ2171"/>
      <c r="AM2171"/>
    </row>
    <row r="2172" spans="3:39" x14ac:dyDescent="0.2">
      <c r="C2172"/>
      <c r="D2172"/>
      <c r="E2172"/>
      <c r="F2172"/>
      <c r="G2172"/>
      <c r="H2172"/>
      <c r="I2172" s="684"/>
      <c r="V2172"/>
      <c r="W2172"/>
      <c r="Y2172"/>
      <c r="Z2172"/>
      <c r="AA2172"/>
      <c r="AD2172"/>
      <c r="AE2172"/>
      <c r="AF2172"/>
      <c r="AH2172"/>
      <c r="AI2172"/>
      <c r="AJ2172"/>
      <c r="AM2172"/>
    </row>
    <row r="2173" spans="3:39" x14ac:dyDescent="0.2">
      <c r="C2173"/>
      <c r="D2173"/>
      <c r="E2173"/>
      <c r="F2173"/>
      <c r="G2173"/>
      <c r="H2173"/>
      <c r="I2173" s="684"/>
      <c r="V2173"/>
      <c r="W2173"/>
      <c r="Y2173"/>
      <c r="Z2173"/>
      <c r="AA2173"/>
      <c r="AD2173"/>
      <c r="AE2173"/>
      <c r="AF2173"/>
      <c r="AH2173"/>
      <c r="AI2173"/>
      <c r="AJ2173"/>
      <c r="AM2173"/>
    </row>
    <row r="2174" spans="3:39" x14ac:dyDescent="0.2">
      <c r="C2174"/>
      <c r="D2174"/>
      <c r="E2174"/>
      <c r="F2174"/>
      <c r="G2174"/>
      <c r="H2174"/>
      <c r="I2174" s="684"/>
      <c r="V2174"/>
      <c r="W2174"/>
      <c r="Y2174"/>
      <c r="Z2174"/>
      <c r="AA2174"/>
      <c r="AD2174"/>
      <c r="AE2174"/>
      <c r="AF2174"/>
      <c r="AH2174"/>
      <c r="AI2174"/>
      <c r="AJ2174"/>
      <c r="AM2174"/>
    </row>
    <row r="2175" spans="3:39" x14ac:dyDescent="0.2">
      <c r="C2175"/>
      <c r="D2175"/>
      <c r="E2175"/>
      <c r="F2175"/>
      <c r="G2175"/>
      <c r="H2175"/>
      <c r="I2175" s="684"/>
      <c r="V2175"/>
      <c r="W2175"/>
      <c r="Y2175"/>
      <c r="Z2175"/>
      <c r="AA2175"/>
      <c r="AD2175"/>
      <c r="AE2175"/>
      <c r="AF2175"/>
      <c r="AH2175"/>
      <c r="AI2175"/>
      <c r="AJ2175"/>
      <c r="AM2175"/>
    </row>
    <row r="2176" spans="3:39" x14ac:dyDescent="0.2">
      <c r="C2176"/>
      <c r="D2176"/>
      <c r="E2176"/>
      <c r="F2176"/>
      <c r="G2176"/>
      <c r="H2176"/>
      <c r="I2176" s="684"/>
      <c r="V2176"/>
      <c r="W2176"/>
      <c r="Y2176"/>
      <c r="Z2176"/>
      <c r="AA2176"/>
      <c r="AD2176"/>
      <c r="AE2176"/>
      <c r="AF2176"/>
      <c r="AH2176"/>
      <c r="AI2176"/>
      <c r="AJ2176"/>
      <c r="AM2176"/>
    </row>
    <row r="2177" spans="3:39" x14ac:dyDescent="0.2">
      <c r="C2177"/>
      <c r="D2177"/>
      <c r="E2177"/>
      <c r="F2177"/>
      <c r="G2177"/>
      <c r="H2177"/>
      <c r="I2177" s="684"/>
      <c r="V2177"/>
      <c r="W2177"/>
      <c r="Y2177"/>
      <c r="Z2177"/>
      <c r="AA2177"/>
      <c r="AD2177"/>
      <c r="AE2177"/>
      <c r="AF2177"/>
      <c r="AH2177"/>
      <c r="AI2177"/>
      <c r="AJ2177"/>
      <c r="AM2177"/>
    </row>
    <row r="2178" spans="3:39" x14ac:dyDescent="0.2">
      <c r="C2178"/>
      <c r="D2178"/>
      <c r="E2178"/>
      <c r="F2178"/>
      <c r="G2178"/>
      <c r="H2178"/>
      <c r="I2178" s="684"/>
      <c r="V2178"/>
      <c r="W2178"/>
      <c r="Y2178"/>
      <c r="Z2178"/>
      <c r="AA2178"/>
      <c r="AD2178"/>
      <c r="AE2178"/>
      <c r="AF2178"/>
      <c r="AH2178"/>
      <c r="AI2178"/>
      <c r="AJ2178"/>
      <c r="AM2178"/>
    </row>
    <row r="2179" spans="3:39" x14ac:dyDescent="0.2">
      <c r="C2179"/>
      <c r="D2179"/>
      <c r="E2179"/>
      <c r="F2179"/>
      <c r="G2179"/>
      <c r="H2179"/>
      <c r="I2179" s="684"/>
      <c r="V2179"/>
      <c r="W2179"/>
      <c r="Y2179"/>
      <c r="Z2179"/>
      <c r="AA2179"/>
      <c r="AD2179"/>
      <c r="AE2179"/>
      <c r="AF2179"/>
      <c r="AH2179"/>
      <c r="AI2179"/>
      <c r="AJ2179"/>
      <c r="AM2179"/>
    </row>
    <row r="2180" spans="3:39" x14ac:dyDescent="0.2">
      <c r="C2180"/>
      <c r="D2180"/>
      <c r="E2180"/>
      <c r="F2180"/>
      <c r="G2180"/>
      <c r="H2180"/>
      <c r="I2180" s="684"/>
      <c r="V2180"/>
      <c r="W2180"/>
      <c r="Y2180"/>
      <c r="Z2180"/>
      <c r="AA2180"/>
      <c r="AD2180"/>
      <c r="AE2180"/>
      <c r="AF2180"/>
      <c r="AH2180"/>
      <c r="AI2180"/>
      <c r="AJ2180"/>
      <c r="AM2180"/>
    </row>
    <row r="2181" spans="3:39" x14ac:dyDescent="0.2">
      <c r="C2181"/>
      <c r="D2181"/>
      <c r="E2181"/>
      <c r="F2181"/>
      <c r="G2181"/>
      <c r="H2181"/>
      <c r="I2181" s="684"/>
      <c r="V2181"/>
      <c r="W2181"/>
      <c r="Y2181"/>
      <c r="Z2181"/>
      <c r="AA2181"/>
      <c r="AD2181"/>
      <c r="AE2181"/>
      <c r="AF2181"/>
      <c r="AH2181"/>
      <c r="AI2181"/>
      <c r="AJ2181"/>
      <c r="AM2181"/>
    </row>
    <row r="2182" spans="3:39" x14ac:dyDescent="0.2">
      <c r="C2182"/>
      <c r="D2182"/>
      <c r="E2182"/>
      <c r="F2182"/>
      <c r="G2182"/>
      <c r="H2182"/>
      <c r="I2182" s="684"/>
      <c r="V2182"/>
      <c r="W2182"/>
      <c r="Y2182"/>
      <c r="Z2182"/>
      <c r="AA2182"/>
      <c r="AD2182"/>
      <c r="AE2182"/>
      <c r="AF2182"/>
      <c r="AH2182"/>
      <c r="AI2182"/>
      <c r="AJ2182"/>
      <c r="AM2182"/>
    </row>
    <row r="2183" spans="3:39" x14ac:dyDescent="0.2">
      <c r="C2183"/>
      <c r="D2183"/>
      <c r="E2183"/>
      <c r="F2183"/>
      <c r="G2183"/>
      <c r="H2183"/>
      <c r="I2183" s="684"/>
      <c r="V2183"/>
      <c r="W2183"/>
      <c r="Y2183"/>
      <c r="Z2183"/>
      <c r="AA2183"/>
      <c r="AD2183"/>
      <c r="AE2183"/>
      <c r="AF2183"/>
      <c r="AH2183"/>
      <c r="AI2183"/>
      <c r="AJ2183"/>
      <c r="AM2183"/>
    </row>
    <row r="2184" spans="3:39" x14ac:dyDescent="0.2">
      <c r="C2184"/>
      <c r="D2184"/>
      <c r="E2184"/>
      <c r="F2184"/>
      <c r="G2184"/>
      <c r="H2184"/>
      <c r="I2184" s="684"/>
      <c r="V2184"/>
      <c r="W2184"/>
      <c r="Y2184"/>
      <c r="Z2184"/>
      <c r="AA2184"/>
      <c r="AD2184"/>
      <c r="AE2184"/>
      <c r="AF2184"/>
      <c r="AH2184"/>
      <c r="AI2184"/>
      <c r="AJ2184"/>
      <c r="AM2184"/>
    </row>
    <row r="2185" spans="3:39" x14ac:dyDescent="0.2">
      <c r="C2185"/>
      <c r="D2185"/>
      <c r="E2185"/>
      <c r="F2185"/>
      <c r="G2185"/>
      <c r="H2185"/>
      <c r="I2185" s="684"/>
      <c r="V2185"/>
      <c r="W2185"/>
      <c r="Y2185"/>
      <c r="Z2185"/>
      <c r="AA2185"/>
      <c r="AD2185"/>
      <c r="AE2185"/>
      <c r="AF2185"/>
      <c r="AH2185"/>
      <c r="AI2185"/>
      <c r="AJ2185"/>
      <c r="AM2185"/>
    </row>
    <row r="2186" spans="3:39" x14ac:dyDescent="0.2">
      <c r="C2186"/>
      <c r="D2186"/>
      <c r="E2186"/>
      <c r="F2186"/>
      <c r="G2186"/>
      <c r="H2186"/>
      <c r="I2186" s="684"/>
      <c r="V2186"/>
      <c r="W2186"/>
      <c r="Y2186"/>
      <c r="Z2186"/>
      <c r="AA2186"/>
      <c r="AD2186"/>
      <c r="AE2186"/>
      <c r="AF2186"/>
      <c r="AH2186"/>
      <c r="AI2186"/>
      <c r="AJ2186"/>
      <c r="AM2186"/>
    </row>
    <row r="2187" spans="3:39" x14ac:dyDescent="0.2">
      <c r="C2187"/>
      <c r="D2187"/>
      <c r="E2187"/>
      <c r="F2187"/>
      <c r="G2187"/>
      <c r="H2187"/>
      <c r="I2187" s="684"/>
      <c r="V2187"/>
      <c r="W2187"/>
      <c r="Y2187"/>
      <c r="Z2187"/>
      <c r="AA2187"/>
      <c r="AD2187"/>
      <c r="AE2187"/>
      <c r="AF2187"/>
      <c r="AH2187"/>
      <c r="AI2187"/>
      <c r="AJ2187"/>
      <c r="AM2187"/>
    </row>
    <row r="2188" spans="3:39" x14ac:dyDescent="0.2">
      <c r="C2188"/>
      <c r="D2188"/>
      <c r="E2188"/>
      <c r="F2188"/>
      <c r="G2188"/>
      <c r="H2188"/>
      <c r="I2188" s="684"/>
      <c r="V2188"/>
      <c r="W2188"/>
      <c r="Y2188"/>
      <c r="Z2188"/>
      <c r="AA2188"/>
      <c r="AD2188"/>
      <c r="AE2188"/>
      <c r="AF2188"/>
      <c r="AH2188"/>
      <c r="AI2188"/>
      <c r="AJ2188"/>
      <c r="AM2188"/>
    </row>
    <row r="2189" spans="3:39" x14ac:dyDescent="0.2">
      <c r="C2189"/>
      <c r="D2189"/>
      <c r="E2189"/>
      <c r="F2189"/>
      <c r="G2189"/>
      <c r="H2189"/>
      <c r="I2189" s="684"/>
      <c r="V2189"/>
      <c r="W2189"/>
      <c r="Y2189"/>
      <c r="Z2189"/>
      <c r="AA2189"/>
      <c r="AD2189"/>
      <c r="AE2189"/>
      <c r="AF2189"/>
      <c r="AH2189"/>
      <c r="AI2189"/>
      <c r="AJ2189"/>
      <c r="AM2189"/>
    </row>
    <row r="2190" spans="3:39" x14ac:dyDescent="0.2">
      <c r="C2190"/>
      <c r="D2190"/>
      <c r="E2190"/>
      <c r="F2190"/>
      <c r="G2190"/>
      <c r="H2190"/>
      <c r="I2190" s="684"/>
      <c r="V2190"/>
      <c r="W2190"/>
      <c r="Y2190"/>
      <c r="Z2190"/>
      <c r="AA2190"/>
      <c r="AD2190"/>
      <c r="AE2190"/>
      <c r="AF2190"/>
      <c r="AH2190"/>
      <c r="AI2190"/>
      <c r="AJ2190"/>
      <c r="AM2190"/>
    </row>
    <row r="2191" spans="3:39" x14ac:dyDescent="0.2">
      <c r="C2191"/>
      <c r="D2191"/>
      <c r="E2191"/>
      <c r="F2191"/>
      <c r="G2191"/>
      <c r="H2191"/>
      <c r="I2191" s="684"/>
      <c r="V2191"/>
      <c r="W2191"/>
      <c r="Y2191"/>
      <c r="Z2191"/>
      <c r="AA2191"/>
      <c r="AD2191"/>
      <c r="AE2191"/>
      <c r="AF2191"/>
      <c r="AH2191"/>
      <c r="AI2191"/>
      <c r="AJ2191"/>
      <c r="AM2191"/>
    </row>
    <row r="2192" spans="3:39" x14ac:dyDescent="0.2">
      <c r="C2192"/>
      <c r="D2192"/>
      <c r="E2192"/>
      <c r="F2192"/>
      <c r="G2192"/>
      <c r="H2192"/>
      <c r="I2192" s="684"/>
      <c r="V2192"/>
      <c r="W2192"/>
      <c r="Y2192"/>
      <c r="Z2192"/>
      <c r="AA2192"/>
      <c r="AD2192"/>
      <c r="AE2192"/>
      <c r="AF2192"/>
      <c r="AH2192"/>
      <c r="AI2192"/>
      <c r="AJ2192"/>
      <c r="AM2192"/>
    </row>
    <row r="2193" spans="3:39" x14ac:dyDescent="0.2">
      <c r="C2193"/>
      <c r="D2193"/>
      <c r="E2193"/>
      <c r="F2193"/>
      <c r="G2193"/>
      <c r="H2193"/>
      <c r="I2193" s="684"/>
      <c r="V2193"/>
      <c r="W2193"/>
      <c r="Y2193"/>
      <c r="Z2193"/>
      <c r="AA2193"/>
      <c r="AD2193"/>
      <c r="AE2193"/>
      <c r="AF2193"/>
      <c r="AH2193"/>
      <c r="AI2193"/>
      <c r="AJ2193"/>
      <c r="AM2193"/>
    </row>
    <row r="2194" spans="3:39" x14ac:dyDescent="0.2">
      <c r="C2194"/>
      <c r="D2194"/>
      <c r="E2194"/>
      <c r="F2194"/>
      <c r="G2194"/>
      <c r="H2194"/>
      <c r="I2194" s="684"/>
      <c r="V2194"/>
      <c r="W2194"/>
      <c r="Y2194"/>
      <c r="Z2194"/>
      <c r="AA2194"/>
      <c r="AD2194"/>
      <c r="AE2194"/>
      <c r="AF2194"/>
      <c r="AH2194"/>
      <c r="AI2194"/>
      <c r="AJ2194"/>
      <c r="AM2194"/>
    </row>
    <row r="2195" spans="3:39" x14ac:dyDescent="0.2">
      <c r="C2195"/>
      <c r="D2195"/>
      <c r="E2195"/>
      <c r="F2195"/>
      <c r="G2195"/>
      <c r="H2195"/>
      <c r="I2195" s="684"/>
      <c r="V2195"/>
      <c r="W2195"/>
      <c r="Y2195"/>
      <c r="Z2195"/>
      <c r="AA2195"/>
      <c r="AD2195"/>
      <c r="AE2195"/>
      <c r="AF2195"/>
      <c r="AH2195"/>
      <c r="AI2195"/>
      <c r="AJ2195"/>
      <c r="AM2195"/>
    </row>
    <row r="2196" spans="3:39" x14ac:dyDescent="0.2">
      <c r="C2196"/>
      <c r="D2196"/>
      <c r="E2196"/>
      <c r="F2196"/>
      <c r="G2196"/>
      <c r="H2196"/>
      <c r="I2196" s="684"/>
      <c r="V2196"/>
      <c r="W2196"/>
      <c r="Y2196"/>
      <c r="Z2196"/>
      <c r="AA2196"/>
      <c r="AD2196"/>
      <c r="AE2196"/>
      <c r="AF2196"/>
      <c r="AH2196"/>
      <c r="AI2196"/>
      <c r="AJ2196"/>
      <c r="AM2196"/>
    </row>
    <row r="2197" spans="3:39" x14ac:dyDescent="0.2">
      <c r="C2197"/>
      <c r="D2197"/>
      <c r="E2197"/>
      <c r="F2197"/>
      <c r="G2197"/>
      <c r="H2197"/>
      <c r="I2197" s="684"/>
      <c r="V2197"/>
      <c r="W2197"/>
      <c r="Y2197"/>
      <c r="Z2197"/>
      <c r="AA2197"/>
      <c r="AD2197"/>
      <c r="AE2197"/>
      <c r="AF2197"/>
      <c r="AH2197"/>
      <c r="AI2197"/>
      <c r="AJ2197"/>
      <c r="AM2197"/>
    </row>
    <row r="2198" spans="3:39" x14ac:dyDescent="0.2">
      <c r="C2198"/>
      <c r="D2198"/>
      <c r="E2198"/>
      <c r="F2198"/>
      <c r="G2198"/>
      <c r="H2198"/>
      <c r="I2198" s="684"/>
      <c r="V2198"/>
      <c r="W2198"/>
      <c r="Y2198"/>
      <c r="Z2198"/>
      <c r="AA2198"/>
      <c r="AD2198"/>
      <c r="AE2198"/>
      <c r="AF2198"/>
      <c r="AH2198"/>
      <c r="AI2198"/>
      <c r="AJ2198"/>
      <c r="AM2198"/>
    </row>
    <row r="2199" spans="3:39" x14ac:dyDescent="0.2">
      <c r="C2199"/>
      <c r="D2199"/>
      <c r="E2199"/>
      <c r="F2199"/>
      <c r="G2199"/>
      <c r="H2199"/>
      <c r="I2199" s="684"/>
      <c r="V2199"/>
      <c r="W2199"/>
      <c r="Y2199"/>
      <c r="Z2199"/>
      <c r="AA2199"/>
      <c r="AD2199"/>
      <c r="AE2199"/>
      <c r="AF2199"/>
      <c r="AH2199"/>
      <c r="AI2199"/>
      <c r="AJ2199"/>
      <c r="AM2199"/>
    </row>
    <row r="2200" spans="3:39" x14ac:dyDescent="0.2">
      <c r="C2200"/>
      <c r="D2200"/>
      <c r="E2200"/>
      <c r="F2200"/>
      <c r="G2200"/>
      <c r="H2200"/>
      <c r="I2200" s="684"/>
      <c r="V2200"/>
      <c r="W2200"/>
      <c r="Y2200"/>
      <c r="Z2200"/>
      <c r="AA2200"/>
      <c r="AD2200"/>
      <c r="AE2200"/>
      <c r="AF2200"/>
      <c r="AH2200"/>
      <c r="AI2200"/>
      <c r="AJ2200"/>
      <c r="AM2200"/>
    </row>
    <row r="2201" spans="3:39" x14ac:dyDescent="0.2">
      <c r="C2201"/>
      <c r="D2201"/>
      <c r="E2201"/>
      <c r="F2201"/>
      <c r="G2201"/>
      <c r="H2201"/>
      <c r="I2201" s="684"/>
      <c r="V2201"/>
      <c r="W2201"/>
      <c r="Y2201"/>
      <c r="Z2201"/>
      <c r="AA2201"/>
      <c r="AD2201"/>
      <c r="AE2201"/>
      <c r="AF2201"/>
      <c r="AH2201"/>
      <c r="AI2201"/>
      <c r="AJ2201"/>
      <c r="AM2201"/>
    </row>
    <row r="2202" spans="3:39" x14ac:dyDescent="0.2">
      <c r="C2202"/>
      <c r="D2202"/>
      <c r="E2202"/>
      <c r="F2202"/>
      <c r="G2202"/>
      <c r="H2202"/>
      <c r="I2202" s="684"/>
      <c r="V2202"/>
      <c r="W2202"/>
      <c r="Y2202"/>
      <c r="Z2202"/>
      <c r="AA2202"/>
      <c r="AD2202"/>
      <c r="AE2202"/>
      <c r="AF2202"/>
      <c r="AH2202"/>
      <c r="AI2202"/>
      <c r="AJ2202"/>
      <c r="AM2202"/>
    </row>
    <row r="2203" spans="3:39" x14ac:dyDescent="0.2">
      <c r="C2203"/>
      <c r="D2203"/>
      <c r="E2203"/>
      <c r="F2203"/>
      <c r="G2203"/>
      <c r="H2203"/>
      <c r="I2203" s="684"/>
      <c r="V2203"/>
      <c r="W2203"/>
      <c r="Y2203"/>
      <c r="Z2203"/>
      <c r="AA2203"/>
      <c r="AD2203"/>
      <c r="AE2203"/>
      <c r="AF2203"/>
      <c r="AH2203"/>
      <c r="AI2203"/>
      <c r="AJ2203"/>
      <c r="AM2203"/>
    </row>
    <row r="2204" spans="3:39" x14ac:dyDescent="0.2">
      <c r="C2204"/>
      <c r="D2204"/>
      <c r="E2204"/>
      <c r="F2204"/>
      <c r="G2204"/>
      <c r="H2204"/>
      <c r="I2204" s="684"/>
      <c r="V2204"/>
      <c r="W2204"/>
      <c r="Y2204"/>
      <c r="Z2204"/>
      <c r="AA2204"/>
      <c r="AD2204"/>
      <c r="AE2204"/>
      <c r="AF2204"/>
      <c r="AH2204"/>
      <c r="AI2204"/>
      <c r="AJ2204"/>
      <c r="AM2204"/>
    </row>
    <row r="2205" spans="3:39" x14ac:dyDescent="0.2">
      <c r="C2205"/>
      <c r="D2205"/>
      <c r="E2205"/>
      <c r="F2205"/>
      <c r="G2205"/>
      <c r="H2205"/>
      <c r="I2205" s="684"/>
      <c r="V2205"/>
      <c r="W2205"/>
      <c r="Y2205"/>
      <c r="Z2205"/>
      <c r="AA2205"/>
      <c r="AD2205"/>
      <c r="AE2205"/>
      <c r="AF2205"/>
      <c r="AH2205"/>
      <c r="AI2205"/>
      <c r="AJ2205"/>
      <c r="AM2205"/>
    </row>
    <row r="2206" spans="3:39" x14ac:dyDescent="0.2">
      <c r="C2206"/>
      <c r="D2206"/>
      <c r="E2206"/>
      <c r="F2206"/>
      <c r="G2206"/>
      <c r="H2206"/>
      <c r="I2206" s="684"/>
      <c r="V2206"/>
      <c r="W2206"/>
      <c r="Y2206"/>
      <c r="Z2206"/>
      <c r="AA2206"/>
      <c r="AD2206"/>
      <c r="AE2206"/>
      <c r="AF2206"/>
      <c r="AH2206"/>
      <c r="AI2206"/>
      <c r="AJ2206"/>
      <c r="AM2206"/>
    </row>
    <row r="2207" spans="3:39" x14ac:dyDescent="0.2">
      <c r="C2207"/>
      <c r="D2207"/>
      <c r="E2207"/>
      <c r="F2207"/>
      <c r="G2207"/>
      <c r="H2207"/>
      <c r="I2207" s="684"/>
      <c r="V2207"/>
      <c r="W2207"/>
      <c r="Y2207"/>
      <c r="Z2207"/>
      <c r="AA2207"/>
      <c r="AD2207"/>
      <c r="AE2207"/>
      <c r="AF2207"/>
      <c r="AH2207"/>
      <c r="AI2207"/>
      <c r="AJ2207"/>
      <c r="AM2207"/>
    </row>
    <row r="2208" spans="3:39" x14ac:dyDescent="0.2">
      <c r="C2208"/>
      <c r="D2208"/>
      <c r="E2208"/>
      <c r="F2208"/>
      <c r="G2208"/>
      <c r="H2208"/>
      <c r="I2208" s="684"/>
      <c r="V2208"/>
      <c r="W2208"/>
      <c r="Y2208"/>
      <c r="Z2208"/>
      <c r="AA2208"/>
      <c r="AD2208"/>
      <c r="AE2208"/>
      <c r="AF2208"/>
      <c r="AH2208"/>
      <c r="AI2208"/>
      <c r="AJ2208"/>
      <c r="AM2208"/>
    </row>
    <row r="2209" spans="3:39" x14ac:dyDescent="0.2">
      <c r="C2209"/>
      <c r="D2209"/>
      <c r="E2209"/>
      <c r="F2209"/>
      <c r="G2209"/>
      <c r="H2209"/>
      <c r="I2209" s="684"/>
      <c r="V2209"/>
      <c r="W2209"/>
      <c r="Y2209"/>
      <c r="Z2209"/>
      <c r="AA2209"/>
      <c r="AD2209"/>
      <c r="AE2209"/>
      <c r="AF2209"/>
      <c r="AH2209"/>
      <c r="AI2209"/>
      <c r="AJ2209"/>
      <c r="AM2209"/>
    </row>
    <row r="2210" spans="3:39" x14ac:dyDescent="0.2">
      <c r="C2210"/>
      <c r="D2210"/>
      <c r="E2210"/>
      <c r="F2210"/>
      <c r="G2210"/>
      <c r="H2210"/>
      <c r="I2210" s="684"/>
      <c r="V2210"/>
      <c r="W2210"/>
      <c r="Y2210"/>
      <c r="Z2210"/>
      <c r="AA2210"/>
      <c r="AD2210"/>
      <c r="AE2210"/>
      <c r="AF2210"/>
      <c r="AH2210"/>
      <c r="AI2210"/>
      <c r="AJ2210"/>
      <c r="AM2210"/>
    </row>
    <row r="2211" spans="3:39" x14ac:dyDescent="0.2">
      <c r="C2211"/>
      <c r="D2211"/>
      <c r="E2211"/>
      <c r="F2211"/>
      <c r="G2211"/>
      <c r="H2211"/>
      <c r="I2211" s="684"/>
      <c r="V2211"/>
      <c r="W2211"/>
      <c r="Y2211"/>
      <c r="Z2211"/>
      <c r="AA2211"/>
      <c r="AD2211"/>
      <c r="AE2211"/>
      <c r="AF2211"/>
      <c r="AH2211"/>
      <c r="AI2211"/>
      <c r="AJ2211"/>
      <c r="AM2211"/>
    </row>
    <row r="2212" spans="3:39" x14ac:dyDescent="0.2">
      <c r="C2212"/>
      <c r="D2212"/>
      <c r="E2212"/>
      <c r="F2212"/>
      <c r="G2212"/>
      <c r="H2212"/>
      <c r="I2212" s="684"/>
      <c r="V2212"/>
      <c r="W2212"/>
      <c r="Y2212"/>
      <c r="Z2212"/>
      <c r="AA2212"/>
      <c r="AD2212"/>
      <c r="AE2212"/>
      <c r="AF2212"/>
      <c r="AH2212"/>
      <c r="AI2212"/>
      <c r="AJ2212"/>
      <c r="AM2212"/>
    </row>
    <row r="2213" spans="3:39" x14ac:dyDescent="0.2">
      <c r="C2213"/>
      <c r="D2213"/>
      <c r="E2213"/>
      <c r="F2213"/>
      <c r="G2213"/>
      <c r="H2213"/>
      <c r="I2213" s="684"/>
      <c r="V2213"/>
      <c r="W2213"/>
      <c r="Y2213"/>
      <c r="Z2213"/>
      <c r="AA2213"/>
      <c r="AD2213"/>
      <c r="AE2213"/>
      <c r="AF2213"/>
      <c r="AH2213"/>
      <c r="AI2213"/>
      <c r="AJ2213"/>
      <c r="AM2213"/>
    </row>
    <row r="2214" spans="3:39" x14ac:dyDescent="0.2">
      <c r="C2214"/>
      <c r="D2214"/>
      <c r="E2214"/>
      <c r="F2214"/>
      <c r="G2214"/>
      <c r="H2214"/>
      <c r="I2214" s="684"/>
      <c r="V2214"/>
      <c r="W2214"/>
      <c r="Y2214"/>
      <c r="Z2214"/>
      <c r="AA2214"/>
      <c r="AD2214"/>
      <c r="AE2214"/>
      <c r="AF2214"/>
      <c r="AH2214"/>
      <c r="AI2214"/>
      <c r="AJ2214"/>
      <c r="AM2214"/>
    </row>
    <row r="2215" spans="3:39" x14ac:dyDescent="0.2">
      <c r="C2215"/>
      <c r="D2215"/>
      <c r="E2215"/>
      <c r="F2215"/>
      <c r="G2215"/>
      <c r="H2215"/>
      <c r="I2215" s="684"/>
      <c r="V2215"/>
      <c r="W2215"/>
      <c r="Y2215"/>
      <c r="Z2215"/>
      <c r="AA2215"/>
      <c r="AD2215"/>
      <c r="AE2215"/>
      <c r="AF2215"/>
      <c r="AH2215"/>
      <c r="AI2215"/>
      <c r="AJ2215"/>
      <c r="AM2215"/>
    </row>
    <row r="2216" spans="3:39" x14ac:dyDescent="0.2">
      <c r="C2216"/>
      <c r="D2216"/>
      <c r="E2216"/>
      <c r="F2216"/>
      <c r="G2216"/>
      <c r="H2216"/>
      <c r="I2216" s="684"/>
      <c r="V2216"/>
      <c r="W2216"/>
      <c r="Y2216"/>
      <c r="Z2216"/>
      <c r="AA2216"/>
      <c r="AD2216"/>
      <c r="AE2216"/>
      <c r="AF2216"/>
      <c r="AH2216"/>
      <c r="AI2216"/>
      <c r="AJ2216"/>
      <c r="AM2216"/>
    </row>
    <row r="2217" spans="3:39" x14ac:dyDescent="0.2">
      <c r="C2217"/>
      <c r="D2217"/>
      <c r="E2217"/>
      <c r="F2217"/>
      <c r="G2217"/>
      <c r="H2217"/>
      <c r="I2217" s="684"/>
      <c r="V2217"/>
      <c r="W2217"/>
      <c r="Y2217"/>
      <c r="Z2217"/>
      <c r="AA2217"/>
      <c r="AD2217"/>
      <c r="AE2217"/>
      <c r="AF2217"/>
      <c r="AH2217"/>
      <c r="AI2217"/>
      <c r="AJ2217"/>
      <c r="AM2217"/>
    </row>
    <row r="2218" spans="3:39" x14ac:dyDescent="0.2">
      <c r="C2218"/>
      <c r="D2218"/>
      <c r="E2218"/>
      <c r="F2218"/>
      <c r="G2218"/>
      <c r="H2218"/>
      <c r="I2218" s="684"/>
      <c r="V2218"/>
      <c r="W2218"/>
      <c r="Y2218"/>
      <c r="Z2218"/>
      <c r="AA2218"/>
      <c r="AD2218"/>
      <c r="AE2218"/>
      <c r="AF2218"/>
      <c r="AH2218"/>
      <c r="AI2218"/>
      <c r="AJ2218"/>
      <c r="AM2218"/>
    </row>
    <row r="2219" spans="3:39" x14ac:dyDescent="0.2">
      <c r="C2219"/>
      <c r="D2219"/>
      <c r="E2219"/>
      <c r="F2219"/>
      <c r="G2219"/>
      <c r="H2219"/>
      <c r="I2219" s="684"/>
      <c r="V2219"/>
      <c r="W2219"/>
      <c r="Y2219"/>
      <c r="Z2219"/>
      <c r="AA2219"/>
      <c r="AD2219"/>
      <c r="AE2219"/>
      <c r="AF2219"/>
      <c r="AH2219"/>
      <c r="AI2219"/>
      <c r="AJ2219"/>
      <c r="AM2219"/>
    </row>
    <row r="2220" spans="3:39" x14ac:dyDescent="0.2">
      <c r="C2220"/>
      <c r="D2220"/>
      <c r="E2220"/>
      <c r="F2220"/>
      <c r="G2220"/>
      <c r="H2220"/>
      <c r="I2220" s="684"/>
      <c r="V2220"/>
      <c r="W2220"/>
      <c r="Y2220"/>
      <c r="Z2220"/>
      <c r="AA2220"/>
      <c r="AD2220"/>
      <c r="AE2220"/>
      <c r="AF2220"/>
      <c r="AH2220"/>
      <c r="AI2220"/>
      <c r="AJ2220"/>
      <c r="AM2220"/>
    </row>
    <row r="2221" spans="3:39" x14ac:dyDescent="0.2">
      <c r="C2221"/>
      <c r="D2221"/>
      <c r="E2221"/>
      <c r="F2221"/>
      <c r="G2221"/>
      <c r="H2221"/>
      <c r="I2221" s="684"/>
      <c r="V2221"/>
      <c r="W2221"/>
      <c r="Y2221"/>
      <c r="Z2221"/>
      <c r="AA2221"/>
      <c r="AD2221"/>
      <c r="AE2221"/>
      <c r="AF2221"/>
      <c r="AH2221"/>
      <c r="AI2221"/>
      <c r="AJ2221"/>
      <c r="AM2221"/>
    </row>
    <row r="2222" spans="3:39" x14ac:dyDescent="0.2">
      <c r="C2222"/>
      <c r="D2222"/>
      <c r="E2222"/>
      <c r="F2222"/>
      <c r="G2222"/>
      <c r="H2222"/>
      <c r="I2222" s="684"/>
      <c r="V2222"/>
      <c r="W2222"/>
      <c r="Y2222"/>
      <c r="Z2222"/>
      <c r="AA2222"/>
      <c r="AD2222"/>
      <c r="AE2222"/>
      <c r="AF2222"/>
      <c r="AH2222"/>
      <c r="AI2222"/>
      <c r="AJ2222"/>
      <c r="AM2222"/>
    </row>
    <row r="2223" spans="3:39" x14ac:dyDescent="0.2">
      <c r="C2223"/>
      <c r="D2223"/>
      <c r="E2223"/>
      <c r="F2223"/>
      <c r="G2223"/>
      <c r="H2223"/>
      <c r="I2223" s="684"/>
      <c r="V2223"/>
      <c r="W2223"/>
      <c r="Y2223"/>
      <c r="Z2223"/>
      <c r="AA2223"/>
      <c r="AD2223"/>
      <c r="AE2223"/>
      <c r="AF2223"/>
      <c r="AH2223"/>
      <c r="AI2223"/>
      <c r="AJ2223"/>
      <c r="AM2223"/>
    </row>
    <row r="2224" spans="3:39" x14ac:dyDescent="0.2">
      <c r="C2224"/>
      <c r="D2224"/>
      <c r="E2224"/>
      <c r="F2224"/>
      <c r="G2224"/>
      <c r="H2224"/>
      <c r="I2224" s="684"/>
      <c r="V2224"/>
      <c r="W2224"/>
      <c r="Y2224"/>
      <c r="Z2224"/>
      <c r="AA2224"/>
      <c r="AD2224"/>
      <c r="AE2224"/>
      <c r="AF2224"/>
      <c r="AH2224"/>
      <c r="AI2224"/>
      <c r="AJ2224"/>
      <c r="AM2224"/>
    </row>
    <row r="2225" spans="3:39" x14ac:dyDescent="0.2">
      <c r="C2225"/>
      <c r="D2225"/>
      <c r="E2225"/>
      <c r="F2225"/>
      <c r="G2225"/>
      <c r="H2225"/>
      <c r="I2225" s="684"/>
      <c r="V2225"/>
      <c r="W2225"/>
      <c r="Y2225"/>
      <c r="Z2225"/>
      <c r="AA2225"/>
      <c r="AD2225"/>
      <c r="AE2225"/>
      <c r="AF2225"/>
      <c r="AH2225"/>
      <c r="AI2225"/>
      <c r="AJ2225"/>
      <c r="AM2225"/>
    </row>
    <row r="2226" spans="3:39" x14ac:dyDescent="0.2">
      <c r="C2226"/>
      <c r="D2226"/>
      <c r="E2226"/>
      <c r="F2226"/>
      <c r="G2226"/>
      <c r="H2226"/>
      <c r="I2226" s="684"/>
      <c r="V2226"/>
      <c r="W2226"/>
      <c r="Y2226"/>
      <c r="Z2226"/>
      <c r="AA2226"/>
      <c r="AD2226"/>
      <c r="AE2226"/>
      <c r="AF2226"/>
      <c r="AH2226"/>
      <c r="AI2226"/>
      <c r="AJ2226"/>
      <c r="AM2226"/>
    </row>
    <row r="2227" spans="3:39" x14ac:dyDescent="0.2">
      <c r="C2227"/>
      <c r="D2227"/>
      <c r="E2227"/>
      <c r="F2227"/>
      <c r="G2227"/>
      <c r="H2227"/>
      <c r="I2227" s="684"/>
      <c r="V2227"/>
      <c r="W2227"/>
      <c r="Y2227"/>
      <c r="Z2227"/>
      <c r="AA2227"/>
      <c r="AD2227"/>
      <c r="AE2227"/>
      <c r="AF2227"/>
      <c r="AH2227"/>
      <c r="AI2227"/>
      <c r="AJ2227"/>
      <c r="AM2227"/>
    </row>
    <row r="2228" spans="3:39" x14ac:dyDescent="0.2">
      <c r="C2228"/>
      <c r="D2228"/>
      <c r="E2228"/>
      <c r="F2228"/>
      <c r="G2228"/>
      <c r="H2228"/>
      <c r="I2228" s="684"/>
      <c r="V2228"/>
      <c r="W2228"/>
      <c r="Y2228"/>
      <c r="Z2228"/>
      <c r="AA2228"/>
      <c r="AD2228"/>
      <c r="AE2228"/>
      <c r="AF2228"/>
      <c r="AH2228"/>
      <c r="AI2228"/>
      <c r="AJ2228"/>
      <c r="AM2228"/>
    </row>
    <row r="2229" spans="3:39" x14ac:dyDescent="0.2">
      <c r="C2229"/>
      <c r="D2229"/>
      <c r="E2229"/>
      <c r="F2229"/>
      <c r="G2229"/>
      <c r="H2229"/>
      <c r="I2229" s="684"/>
      <c r="V2229"/>
      <c r="W2229"/>
      <c r="Y2229"/>
      <c r="Z2229"/>
      <c r="AA2229"/>
      <c r="AD2229"/>
      <c r="AE2229"/>
      <c r="AF2229"/>
      <c r="AH2229"/>
      <c r="AI2229"/>
      <c r="AJ2229"/>
      <c r="AM2229"/>
    </row>
    <row r="2230" spans="3:39" x14ac:dyDescent="0.2">
      <c r="C2230"/>
      <c r="D2230"/>
      <c r="E2230"/>
      <c r="F2230"/>
      <c r="G2230"/>
      <c r="H2230"/>
      <c r="I2230" s="684"/>
      <c r="V2230"/>
      <c r="W2230"/>
      <c r="Y2230"/>
      <c r="Z2230"/>
      <c r="AA2230"/>
      <c r="AD2230"/>
      <c r="AE2230"/>
      <c r="AF2230"/>
      <c r="AH2230"/>
      <c r="AI2230"/>
      <c r="AJ2230"/>
      <c r="AM2230"/>
    </row>
    <row r="2231" spans="3:39" x14ac:dyDescent="0.2">
      <c r="C2231"/>
      <c r="D2231"/>
      <c r="E2231"/>
      <c r="F2231"/>
      <c r="G2231"/>
      <c r="H2231"/>
      <c r="I2231" s="684"/>
      <c r="V2231"/>
      <c r="W2231"/>
      <c r="Y2231"/>
      <c r="Z2231"/>
      <c r="AA2231"/>
      <c r="AD2231"/>
      <c r="AE2231"/>
      <c r="AF2231"/>
      <c r="AH2231"/>
      <c r="AI2231"/>
      <c r="AJ2231"/>
      <c r="AM2231"/>
    </row>
    <row r="2232" spans="3:39" x14ac:dyDescent="0.2">
      <c r="C2232"/>
      <c r="D2232"/>
      <c r="E2232"/>
      <c r="F2232"/>
      <c r="G2232"/>
      <c r="H2232"/>
      <c r="I2232" s="684"/>
      <c r="V2232"/>
      <c r="W2232"/>
      <c r="Y2232"/>
      <c r="Z2232"/>
      <c r="AA2232"/>
      <c r="AD2232"/>
      <c r="AE2232"/>
      <c r="AF2232"/>
      <c r="AH2232"/>
      <c r="AI2232"/>
      <c r="AJ2232"/>
      <c r="AM2232"/>
    </row>
    <row r="2233" spans="3:39" x14ac:dyDescent="0.2">
      <c r="C2233"/>
      <c r="D2233"/>
      <c r="E2233"/>
      <c r="F2233"/>
      <c r="G2233"/>
      <c r="H2233"/>
      <c r="I2233" s="684"/>
      <c r="V2233"/>
      <c r="W2233"/>
      <c r="Y2233"/>
      <c r="Z2233"/>
      <c r="AA2233"/>
      <c r="AD2233"/>
      <c r="AE2233"/>
      <c r="AF2233"/>
      <c r="AH2233"/>
      <c r="AI2233"/>
      <c r="AJ2233"/>
      <c r="AM2233"/>
    </row>
    <row r="2234" spans="3:39" x14ac:dyDescent="0.2">
      <c r="C2234"/>
      <c r="D2234"/>
      <c r="E2234"/>
      <c r="F2234"/>
      <c r="G2234"/>
      <c r="H2234"/>
      <c r="I2234" s="684"/>
      <c r="V2234"/>
      <c r="W2234"/>
      <c r="Y2234"/>
      <c r="Z2234"/>
      <c r="AA2234"/>
      <c r="AD2234"/>
      <c r="AE2234"/>
      <c r="AF2234"/>
      <c r="AH2234"/>
      <c r="AI2234"/>
      <c r="AJ2234"/>
      <c r="AM2234"/>
    </row>
    <row r="2235" spans="3:39" x14ac:dyDescent="0.2">
      <c r="C2235"/>
      <c r="D2235"/>
      <c r="E2235"/>
      <c r="F2235"/>
      <c r="G2235"/>
      <c r="H2235"/>
      <c r="I2235" s="684"/>
      <c r="V2235"/>
      <c r="W2235"/>
      <c r="Y2235"/>
      <c r="Z2235"/>
      <c r="AA2235"/>
      <c r="AD2235"/>
      <c r="AE2235"/>
      <c r="AF2235"/>
      <c r="AH2235"/>
      <c r="AI2235"/>
      <c r="AJ2235"/>
      <c r="AM2235"/>
    </row>
    <row r="2236" spans="3:39" x14ac:dyDescent="0.2">
      <c r="C2236"/>
      <c r="D2236"/>
      <c r="E2236"/>
      <c r="F2236"/>
      <c r="G2236"/>
      <c r="H2236"/>
      <c r="I2236" s="684"/>
      <c r="V2236"/>
      <c r="W2236"/>
      <c r="Y2236"/>
      <c r="Z2236"/>
      <c r="AA2236"/>
      <c r="AD2236"/>
      <c r="AE2236"/>
      <c r="AF2236"/>
      <c r="AH2236"/>
      <c r="AI2236"/>
      <c r="AJ2236"/>
      <c r="AM2236"/>
    </row>
    <row r="2237" spans="3:39" x14ac:dyDescent="0.2">
      <c r="C2237"/>
      <c r="D2237"/>
      <c r="E2237"/>
      <c r="F2237"/>
      <c r="G2237"/>
      <c r="H2237"/>
      <c r="I2237" s="684"/>
      <c r="V2237"/>
      <c r="W2237"/>
      <c r="Y2237"/>
      <c r="Z2237"/>
      <c r="AA2237"/>
      <c r="AD2237"/>
      <c r="AE2237"/>
      <c r="AF2237"/>
      <c r="AH2237"/>
      <c r="AI2237"/>
      <c r="AJ2237"/>
      <c r="AM2237"/>
    </row>
    <row r="2238" spans="3:39" x14ac:dyDescent="0.2">
      <c r="C2238"/>
      <c r="D2238"/>
      <c r="E2238"/>
      <c r="F2238"/>
      <c r="G2238"/>
      <c r="H2238"/>
      <c r="I2238" s="684"/>
      <c r="V2238"/>
      <c r="W2238"/>
      <c r="Y2238"/>
      <c r="Z2238"/>
      <c r="AA2238"/>
      <c r="AD2238"/>
      <c r="AE2238"/>
      <c r="AF2238"/>
      <c r="AH2238"/>
      <c r="AI2238"/>
      <c r="AJ2238"/>
      <c r="AM2238"/>
    </row>
    <row r="2239" spans="3:39" x14ac:dyDescent="0.2">
      <c r="C2239"/>
      <c r="D2239"/>
      <c r="E2239"/>
      <c r="F2239"/>
      <c r="G2239"/>
      <c r="H2239"/>
      <c r="I2239" s="684"/>
      <c r="V2239"/>
      <c r="W2239"/>
      <c r="Y2239"/>
      <c r="Z2239"/>
      <c r="AA2239"/>
      <c r="AD2239"/>
      <c r="AE2239"/>
      <c r="AF2239"/>
      <c r="AH2239"/>
      <c r="AI2239"/>
      <c r="AJ2239"/>
      <c r="AM2239"/>
    </row>
    <row r="2240" spans="3:39" x14ac:dyDescent="0.2">
      <c r="C2240"/>
      <c r="D2240"/>
      <c r="E2240"/>
      <c r="F2240"/>
      <c r="G2240"/>
      <c r="H2240"/>
      <c r="I2240" s="684"/>
      <c r="V2240"/>
      <c r="W2240"/>
      <c r="Y2240"/>
      <c r="Z2240"/>
      <c r="AA2240"/>
      <c r="AD2240"/>
      <c r="AE2240"/>
      <c r="AF2240"/>
      <c r="AH2240"/>
      <c r="AI2240"/>
      <c r="AJ2240"/>
      <c r="AM2240"/>
    </row>
    <row r="2241" spans="3:39" x14ac:dyDescent="0.2">
      <c r="C2241"/>
      <c r="D2241"/>
      <c r="E2241"/>
      <c r="F2241"/>
      <c r="G2241"/>
      <c r="H2241"/>
      <c r="I2241" s="684"/>
      <c r="V2241"/>
      <c r="W2241"/>
      <c r="Y2241"/>
      <c r="Z2241"/>
      <c r="AA2241"/>
      <c r="AD2241"/>
      <c r="AE2241"/>
      <c r="AF2241"/>
      <c r="AH2241"/>
      <c r="AI2241"/>
      <c r="AJ2241"/>
      <c r="AM2241"/>
    </row>
    <row r="2242" spans="3:39" x14ac:dyDescent="0.2">
      <c r="C2242"/>
      <c r="D2242"/>
      <c r="E2242"/>
      <c r="F2242"/>
      <c r="G2242"/>
      <c r="H2242"/>
      <c r="I2242" s="684"/>
      <c r="V2242"/>
      <c r="W2242"/>
      <c r="Y2242"/>
      <c r="Z2242"/>
      <c r="AA2242"/>
      <c r="AD2242"/>
      <c r="AE2242"/>
      <c r="AF2242"/>
      <c r="AH2242"/>
      <c r="AI2242"/>
      <c r="AJ2242"/>
      <c r="AM2242"/>
    </row>
    <row r="2243" spans="3:39" x14ac:dyDescent="0.2">
      <c r="C2243"/>
      <c r="D2243"/>
      <c r="E2243"/>
      <c r="F2243"/>
      <c r="G2243"/>
      <c r="H2243"/>
      <c r="I2243" s="684"/>
      <c r="V2243"/>
      <c r="W2243"/>
      <c r="Y2243"/>
      <c r="Z2243"/>
      <c r="AA2243"/>
      <c r="AD2243"/>
      <c r="AE2243"/>
      <c r="AF2243"/>
      <c r="AH2243"/>
      <c r="AI2243"/>
      <c r="AJ2243"/>
      <c r="AM2243"/>
    </row>
    <row r="2244" spans="3:39" x14ac:dyDescent="0.2">
      <c r="C2244"/>
      <c r="D2244"/>
      <c r="E2244"/>
      <c r="F2244"/>
      <c r="G2244"/>
      <c r="H2244"/>
      <c r="I2244" s="684"/>
      <c r="V2244"/>
      <c r="W2244"/>
      <c r="Y2244"/>
      <c r="Z2244"/>
      <c r="AA2244"/>
      <c r="AD2244"/>
      <c r="AE2244"/>
      <c r="AF2244"/>
      <c r="AH2244"/>
      <c r="AI2244"/>
      <c r="AJ2244"/>
      <c r="AM2244"/>
    </row>
    <row r="2245" spans="3:39" x14ac:dyDescent="0.2">
      <c r="C2245"/>
      <c r="D2245"/>
      <c r="E2245"/>
      <c r="F2245"/>
      <c r="G2245"/>
      <c r="H2245"/>
      <c r="I2245" s="684"/>
      <c r="V2245"/>
      <c r="W2245"/>
      <c r="Y2245"/>
      <c r="Z2245"/>
      <c r="AA2245"/>
      <c r="AD2245"/>
      <c r="AE2245"/>
      <c r="AF2245"/>
      <c r="AH2245"/>
      <c r="AI2245"/>
      <c r="AJ2245"/>
      <c r="AM2245"/>
    </row>
    <row r="2246" spans="3:39" x14ac:dyDescent="0.2">
      <c r="C2246"/>
      <c r="D2246"/>
      <c r="E2246"/>
      <c r="F2246"/>
      <c r="G2246"/>
      <c r="H2246"/>
      <c r="I2246" s="684"/>
      <c r="V2246"/>
      <c r="W2246"/>
      <c r="Y2246"/>
      <c r="Z2246"/>
      <c r="AA2246"/>
      <c r="AD2246"/>
      <c r="AE2246"/>
      <c r="AF2246"/>
      <c r="AH2246"/>
      <c r="AI2246"/>
      <c r="AJ2246"/>
      <c r="AM2246"/>
    </row>
    <row r="2247" spans="3:39" x14ac:dyDescent="0.2">
      <c r="C2247"/>
      <c r="D2247"/>
      <c r="E2247"/>
      <c r="F2247"/>
      <c r="G2247"/>
      <c r="H2247"/>
      <c r="I2247" s="684"/>
      <c r="V2247"/>
      <c r="W2247"/>
      <c r="Y2247"/>
      <c r="Z2247"/>
      <c r="AA2247"/>
      <c r="AD2247"/>
      <c r="AE2247"/>
      <c r="AF2247"/>
      <c r="AH2247"/>
      <c r="AI2247"/>
      <c r="AJ2247"/>
      <c r="AM2247"/>
    </row>
    <row r="2248" spans="3:39" x14ac:dyDescent="0.2">
      <c r="C2248"/>
      <c r="D2248"/>
      <c r="E2248"/>
      <c r="F2248"/>
      <c r="G2248"/>
      <c r="H2248"/>
      <c r="I2248" s="684"/>
      <c r="V2248"/>
      <c r="W2248"/>
      <c r="Y2248"/>
      <c r="Z2248"/>
      <c r="AA2248"/>
      <c r="AD2248"/>
      <c r="AE2248"/>
      <c r="AF2248"/>
      <c r="AH2248"/>
      <c r="AI2248"/>
      <c r="AJ2248"/>
      <c r="AM2248"/>
    </row>
    <row r="2249" spans="3:39" x14ac:dyDescent="0.2">
      <c r="C2249"/>
      <c r="D2249"/>
      <c r="E2249"/>
      <c r="F2249"/>
      <c r="G2249"/>
      <c r="H2249"/>
      <c r="I2249" s="684"/>
      <c r="V2249"/>
      <c r="W2249"/>
      <c r="Y2249"/>
      <c r="Z2249"/>
      <c r="AA2249"/>
      <c r="AD2249"/>
      <c r="AE2249"/>
      <c r="AF2249"/>
      <c r="AH2249"/>
      <c r="AI2249"/>
      <c r="AJ2249"/>
      <c r="AM2249"/>
    </row>
    <row r="2250" spans="3:39" x14ac:dyDescent="0.2">
      <c r="C2250"/>
      <c r="D2250"/>
      <c r="E2250"/>
      <c r="F2250"/>
      <c r="G2250"/>
      <c r="H2250"/>
      <c r="I2250" s="684"/>
      <c r="V2250"/>
      <c r="W2250"/>
      <c r="Y2250"/>
      <c r="Z2250"/>
      <c r="AA2250"/>
      <c r="AD2250"/>
      <c r="AE2250"/>
      <c r="AF2250"/>
      <c r="AH2250"/>
      <c r="AI2250"/>
      <c r="AJ2250"/>
      <c r="AM2250"/>
    </row>
    <row r="2251" spans="3:39" x14ac:dyDescent="0.2">
      <c r="C2251"/>
      <c r="D2251"/>
      <c r="E2251"/>
      <c r="F2251"/>
      <c r="G2251"/>
      <c r="H2251"/>
      <c r="I2251" s="684"/>
      <c r="V2251"/>
      <c r="W2251"/>
      <c r="Y2251"/>
      <c r="Z2251"/>
      <c r="AA2251"/>
      <c r="AD2251"/>
      <c r="AE2251"/>
      <c r="AF2251"/>
      <c r="AH2251"/>
      <c r="AI2251"/>
      <c r="AJ2251"/>
      <c r="AM2251"/>
    </row>
    <row r="2252" spans="3:39" x14ac:dyDescent="0.2">
      <c r="C2252"/>
      <c r="D2252"/>
      <c r="E2252"/>
      <c r="F2252"/>
      <c r="G2252"/>
      <c r="H2252"/>
      <c r="I2252" s="684"/>
      <c r="V2252"/>
      <c r="W2252"/>
      <c r="Y2252"/>
      <c r="Z2252"/>
      <c r="AA2252"/>
      <c r="AD2252"/>
      <c r="AE2252"/>
      <c r="AF2252"/>
      <c r="AH2252"/>
      <c r="AI2252"/>
      <c r="AJ2252"/>
      <c r="AM2252"/>
    </row>
    <row r="2253" spans="3:39" x14ac:dyDescent="0.2">
      <c r="C2253"/>
      <c r="D2253"/>
      <c r="E2253"/>
      <c r="F2253"/>
      <c r="G2253"/>
      <c r="H2253"/>
      <c r="I2253" s="684"/>
      <c r="V2253"/>
      <c r="W2253"/>
      <c r="Y2253"/>
      <c r="Z2253"/>
      <c r="AA2253"/>
      <c r="AD2253"/>
      <c r="AE2253"/>
      <c r="AF2253"/>
      <c r="AH2253"/>
      <c r="AI2253"/>
      <c r="AJ2253"/>
      <c r="AM2253"/>
    </row>
    <row r="2254" spans="3:39" x14ac:dyDescent="0.2">
      <c r="C2254"/>
      <c r="D2254"/>
      <c r="E2254"/>
      <c r="F2254"/>
      <c r="G2254"/>
      <c r="H2254"/>
      <c r="I2254" s="684"/>
      <c r="V2254"/>
      <c r="W2254"/>
      <c r="Y2254"/>
      <c r="Z2254"/>
      <c r="AA2254"/>
      <c r="AD2254"/>
      <c r="AE2254"/>
      <c r="AF2254"/>
      <c r="AH2254"/>
      <c r="AI2254"/>
      <c r="AJ2254"/>
      <c r="AM2254"/>
    </row>
    <row r="2255" spans="3:39" x14ac:dyDescent="0.2">
      <c r="C2255"/>
      <c r="D2255"/>
      <c r="E2255"/>
      <c r="F2255"/>
      <c r="G2255"/>
      <c r="H2255"/>
      <c r="I2255" s="684"/>
      <c r="V2255"/>
      <c r="W2255"/>
      <c r="Y2255"/>
      <c r="Z2255"/>
      <c r="AA2255"/>
      <c r="AD2255"/>
      <c r="AE2255"/>
      <c r="AF2255"/>
      <c r="AH2255"/>
      <c r="AI2255"/>
      <c r="AJ2255"/>
      <c r="AM2255"/>
    </row>
    <row r="2256" spans="3:39" x14ac:dyDescent="0.2">
      <c r="C2256"/>
      <c r="D2256"/>
      <c r="E2256"/>
      <c r="F2256"/>
      <c r="G2256"/>
      <c r="H2256"/>
      <c r="I2256" s="684"/>
      <c r="V2256"/>
      <c r="W2256"/>
      <c r="Y2256"/>
      <c r="Z2256"/>
      <c r="AA2256"/>
      <c r="AD2256"/>
      <c r="AE2256"/>
      <c r="AF2256"/>
      <c r="AH2256"/>
      <c r="AI2256"/>
      <c r="AJ2256"/>
      <c r="AM2256"/>
    </row>
    <row r="2257" spans="3:39" x14ac:dyDescent="0.2">
      <c r="C2257"/>
      <c r="D2257"/>
      <c r="E2257"/>
      <c r="F2257"/>
      <c r="G2257"/>
      <c r="H2257"/>
      <c r="I2257" s="684"/>
      <c r="V2257"/>
      <c r="W2257"/>
      <c r="Y2257"/>
      <c r="Z2257"/>
      <c r="AA2257"/>
      <c r="AD2257"/>
      <c r="AE2257"/>
      <c r="AF2257"/>
      <c r="AH2257"/>
      <c r="AI2257"/>
      <c r="AJ2257"/>
      <c r="AM2257"/>
    </row>
    <row r="2258" spans="3:39" x14ac:dyDescent="0.2">
      <c r="C2258"/>
      <c r="D2258"/>
      <c r="E2258"/>
      <c r="F2258"/>
      <c r="G2258"/>
      <c r="H2258"/>
      <c r="I2258" s="684"/>
      <c r="V2258"/>
      <c r="W2258"/>
      <c r="Y2258"/>
      <c r="Z2258"/>
      <c r="AA2258"/>
      <c r="AD2258"/>
      <c r="AE2258"/>
      <c r="AF2258"/>
      <c r="AH2258"/>
      <c r="AI2258"/>
      <c r="AJ2258"/>
      <c r="AM2258"/>
    </row>
    <row r="2259" spans="3:39" x14ac:dyDescent="0.2">
      <c r="C2259"/>
      <c r="D2259"/>
      <c r="E2259"/>
      <c r="F2259"/>
      <c r="G2259"/>
      <c r="H2259"/>
      <c r="I2259" s="684"/>
      <c r="V2259"/>
      <c r="W2259"/>
      <c r="Y2259"/>
      <c r="Z2259"/>
      <c r="AA2259"/>
      <c r="AD2259"/>
      <c r="AE2259"/>
      <c r="AF2259"/>
      <c r="AH2259"/>
      <c r="AI2259"/>
      <c r="AJ2259"/>
      <c r="AM2259"/>
    </row>
    <row r="2260" spans="3:39" x14ac:dyDescent="0.2">
      <c r="C2260"/>
      <c r="D2260"/>
      <c r="E2260"/>
      <c r="F2260"/>
      <c r="G2260"/>
      <c r="H2260"/>
      <c r="I2260" s="684"/>
      <c r="V2260"/>
      <c r="W2260"/>
      <c r="Y2260"/>
      <c r="Z2260"/>
      <c r="AA2260"/>
      <c r="AD2260"/>
      <c r="AE2260"/>
      <c r="AF2260"/>
      <c r="AH2260"/>
      <c r="AI2260"/>
      <c r="AJ2260"/>
      <c r="AM2260"/>
    </row>
    <row r="2261" spans="3:39" x14ac:dyDescent="0.2">
      <c r="C2261"/>
      <c r="D2261"/>
      <c r="E2261"/>
      <c r="F2261"/>
      <c r="G2261"/>
      <c r="H2261"/>
      <c r="I2261" s="684"/>
      <c r="V2261"/>
      <c r="W2261"/>
      <c r="Y2261"/>
      <c r="Z2261"/>
      <c r="AA2261"/>
      <c r="AD2261"/>
      <c r="AE2261"/>
      <c r="AF2261"/>
      <c r="AH2261"/>
      <c r="AI2261"/>
      <c r="AJ2261"/>
      <c r="AM2261"/>
    </row>
    <row r="2262" spans="3:39" x14ac:dyDescent="0.2">
      <c r="C2262"/>
      <c r="D2262"/>
      <c r="E2262"/>
      <c r="F2262"/>
      <c r="G2262"/>
      <c r="H2262"/>
      <c r="I2262" s="684"/>
      <c r="V2262"/>
      <c r="W2262"/>
      <c r="Y2262"/>
      <c r="Z2262"/>
      <c r="AA2262"/>
      <c r="AD2262"/>
      <c r="AE2262"/>
      <c r="AF2262"/>
      <c r="AH2262"/>
      <c r="AI2262"/>
      <c r="AJ2262"/>
      <c r="AM2262"/>
    </row>
    <row r="2263" spans="3:39" x14ac:dyDescent="0.2">
      <c r="C2263"/>
      <c r="D2263"/>
      <c r="E2263"/>
      <c r="F2263"/>
      <c r="G2263"/>
      <c r="H2263"/>
      <c r="I2263" s="684"/>
      <c r="V2263"/>
      <c r="W2263"/>
      <c r="Y2263"/>
      <c r="Z2263"/>
      <c r="AA2263"/>
      <c r="AD2263"/>
      <c r="AE2263"/>
      <c r="AF2263"/>
      <c r="AH2263"/>
      <c r="AI2263"/>
      <c r="AJ2263"/>
      <c r="AM2263"/>
    </row>
    <row r="2264" spans="3:39" x14ac:dyDescent="0.2">
      <c r="C2264"/>
      <c r="D2264"/>
      <c r="E2264"/>
      <c r="F2264"/>
      <c r="G2264"/>
      <c r="H2264"/>
      <c r="I2264" s="684"/>
      <c r="V2264"/>
      <c r="W2264"/>
      <c r="Y2264"/>
      <c r="Z2264"/>
      <c r="AA2264"/>
      <c r="AD2264"/>
      <c r="AE2264"/>
      <c r="AF2264"/>
      <c r="AH2264"/>
      <c r="AI2264"/>
      <c r="AJ2264"/>
      <c r="AM2264"/>
    </row>
    <row r="2265" spans="3:39" x14ac:dyDescent="0.2">
      <c r="C2265"/>
      <c r="D2265"/>
      <c r="E2265"/>
      <c r="F2265"/>
      <c r="G2265"/>
      <c r="H2265"/>
      <c r="I2265" s="684"/>
      <c r="V2265"/>
      <c r="W2265"/>
      <c r="Y2265"/>
      <c r="Z2265"/>
      <c r="AA2265"/>
      <c r="AD2265"/>
      <c r="AE2265"/>
      <c r="AF2265"/>
      <c r="AH2265"/>
      <c r="AI2265"/>
      <c r="AJ2265"/>
      <c r="AM2265"/>
    </row>
    <row r="2266" spans="3:39" x14ac:dyDescent="0.2">
      <c r="C2266"/>
      <c r="D2266"/>
      <c r="E2266"/>
      <c r="F2266"/>
      <c r="G2266"/>
      <c r="H2266"/>
      <c r="I2266" s="684"/>
      <c r="V2266"/>
      <c r="W2266"/>
      <c r="Y2266"/>
      <c r="Z2266"/>
      <c r="AA2266"/>
      <c r="AD2266"/>
      <c r="AE2266"/>
      <c r="AF2266"/>
      <c r="AH2266"/>
      <c r="AI2266"/>
      <c r="AJ2266"/>
      <c r="AM2266"/>
    </row>
    <row r="2267" spans="3:39" x14ac:dyDescent="0.2">
      <c r="C2267"/>
      <c r="D2267"/>
      <c r="E2267"/>
      <c r="F2267"/>
      <c r="G2267"/>
      <c r="H2267"/>
      <c r="I2267" s="684"/>
      <c r="V2267"/>
      <c r="W2267"/>
      <c r="Y2267"/>
      <c r="Z2267"/>
      <c r="AA2267"/>
      <c r="AD2267"/>
      <c r="AE2267"/>
      <c r="AF2267"/>
      <c r="AH2267"/>
      <c r="AI2267"/>
      <c r="AJ2267"/>
      <c r="AM2267"/>
    </row>
    <row r="2268" spans="3:39" x14ac:dyDescent="0.2">
      <c r="C2268"/>
      <c r="D2268"/>
      <c r="E2268"/>
      <c r="F2268"/>
      <c r="G2268"/>
      <c r="H2268"/>
      <c r="I2268" s="684"/>
      <c r="V2268"/>
      <c r="W2268"/>
      <c r="Y2268"/>
      <c r="Z2268"/>
      <c r="AA2268"/>
      <c r="AD2268"/>
      <c r="AE2268"/>
      <c r="AF2268"/>
      <c r="AH2268"/>
      <c r="AI2268"/>
      <c r="AJ2268"/>
      <c r="AM2268"/>
    </row>
    <row r="2269" spans="3:39" x14ac:dyDescent="0.2">
      <c r="C2269"/>
      <c r="D2269"/>
      <c r="E2269"/>
      <c r="F2269"/>
      <c r="G2269"/>
      <c r="H2269"/>
      <c r="I2269" s="684"/>
      <c r="V2269"/>
      <c r="W2269"/>
      <c r="Y2269"/>
      <c r="Z2269"/>
      <c r="AA2269"/>
      <c r="AD2269"/>
      <c r="AE2269"/>
      <c r="AF2269"/>
      <c r="AH2269"/>
      <c r="AI2269"/>
      <c r="AJ2269"/>
      <c r="AM2269"/>
    </row>
    <row r="2270" spans="3:39" x14ac:dyDescent="0.2">
      <c r="C2270"/>
      <c r="D2270"/>
      <c r="E2270"/>
      <c r="F2270"/>
      <c r="G2270"/>
      <c r="H2270"/>
      <c r="I2270" s="684"/>
      <c r="V2270"/>
      <c r="W2270"/>
      <c r="Y2270"/>
      <c r="Z2270"/>
      <c r="AA2270"/>
      <c r="AD2270"/>
      <c r="AE2270"/>
      <c r="AF2270"/>
      <c r="AH2270"/>
      <c r="AI2270"/>
      <c r="AJ2270"/>
      <c r="AM2270"/>
    </row>
    <row r="2271" spans="3:39" x14ac:dyDescent="0.2">
      <c r="C2271"/>
      <c r="D2271"/>
      <c r="E2271"/>
      <c r="F2271"/>
      <c r="G2271"/>
      <c r="H2271"/>
      <c r="I2271" s="684"/>
      <c r="V2271"/>
      <c r="W2271"/>
      <c r="Y2271"/>
      <c r="Z2271"/>
      <c r="AA2271"/>
      <c r="AD2271"/>
      <c r="AE2271"/>
      <c r="AF2271"/>
      <c r="AH2271"/>
      <c r="AI2271"/>
      <c r="AJ2271"/>
      <c r="AM2271"/>
    </row>
    <row r="2272" spans="3:39" x14ac:dyDescent="0.2">
      <c r="C2272"/>
      <c r="D2272"/>
      <c r="E2272"/>
      <c r="F2272"/>
      <c r="G2272"/>
      <c r="H2272"/>
      <c r="I2272" s="684"/>
      <c r="V2272"/>
      <c r="W2272"/>
      <c r="Y2272"/>
      <c r="Z2272"/>
      <c r="AA2272"/>
      <c r="AD2272"/>
      <c r="AE2272"/>
      <c r="AF2272"/>
      <c r="AH2272"/>
      <c r="AI2272"/>
      <c r="AJ2272"/>
      <c r="AM2272"/>
    </row>
    <row r="2273" spans="3:39" x14ac:dyDescent="0.2">
      <c r="C2273"/>
      <c r="D2273"/>
      <c r="E2273"/>
      <c r="F2273"/>
      <c r="G2273"/>
      <c r="H2273"/>
      <c r="I2273" s="684"/>
      <c r="V2273"/>
      <c r="W2273"/>
      <c r="Y2273"/>
      <c r="Z2273"/>
      <c r="AA2273"/>
      <c r="AD2273"/>
      <c r="AE2273"/>
      <c r="AF2273"/>
      <c r="AH2273"/>
      <c r="AI2273"/>
      <c r="AJ2273"/>
      <c r="AM2273"/>
    </row>
    <row r="2274" spans="3:39" x14ac:dyDescent="0.2">
      <c r="C2274"/>
      <c r="D2274"/>
      <c r="E2274"/>
      <c r="F2274"/>
      <c r="G2274"/>
      <c r="H2274"/>
      <c r="I2274" s="684"/>
      <c r="V2274"/>
      <c r="W2274"/>
      <c r="Y2274"/>
      <c r="Z2274"/>
      <c r="AA2274"/>
      <c r="AD2274"/>
      <c r="AE2274"/>
      <c r="AF2274"/>
      <c r="AH2274"/>
      <c r="AI2274"/>
      <c r="AJ2274"/>
      <c r="AM2274"/>
    </row>
    <row r="2275" spans="3:39" x14ac:dyDescent="0.2">
      <c r="C2275"/>
      <c r="D2275"/>
      <c r="E2275"/>
      <c r="F2275"/>
      <c r="G2275"/>
      <c r="H2275"/>
      <c r="I2275" s="684"/>
      <c r="V2275"/>
      <c r="W2275"/>
      <c r="Y2275"/>
      <c r="Z2275"/>
      <c r="AA2275"/>
      <c r="AD2275"/>
      <c r="AE2275"/>
      <c r="AF2275"/>
      <c r="AH2275"/>
      <c r="AI2275"/>
      <c r="AJ2275"/>
      <c r="AM2275"/>
    </row>
    <row r="2276" spans="3:39" x14ac:dyDescent="0.2">
      <c r="C2276"/>
      <c r="D2276"/>
      <c r="E2276"/>
      <c r="F2276"/>
      <c r="G2276"/>
      <c r="H2276"/>
      <c r="I2276" s="684"/>
      <c r="V2276"/>
      <c r="W2276"/>
      <c r="Y2276"/>
      <c r="Z2276"/>
      <c r="AA2276"/>
      <c r="AD2276"/>
      <c r="AE2276"/>
      <c r="AF2276"/>
      <c r="AH2276"/>
      <c r="AI2276"/>
      <c r="AJ2276"/>
      <c r="AM2276"/>
    </row>
    <row r="2277" spans="3:39" x14ac:dyDescent="0.2">
      <c r="C2277"/>
      <c r="D2277"/>
      <c r="E2277"/>
      <c r="F2277"/>
      <c r="G2277"/>
      <c r="H2277"/>
      <c r="I2277" s="684"/>
      <c r="V2277"/>
      <c r="W2277"/>
      <c r="Y2277"/>
      <c r="Z2277"/>
      <c r="AA2277"/>
      <c r="AD2277"/>
      <c r="AE2277"/>
      <c r="AF2277"/>
      <c r="AH2277"/>
      <c r="AI2277"/>
      <c r="AJ2277"/>
      <c r="AM2277"/>
    </row>
    <row r="2278" spans="3:39" x14ac:dyDescent="0.2">
      <c r="C2278"/>
      <c r="D2278"/>
      <c r="E2278"/>
      <c r="F2278"/>
      <c r="G2278"/>
      <c r="H2278"/>
      <c r="I2278" s="684"/>
      <c r="V2278"/>
      <c r="W2278"/>
      <c r="Y2278"/>
      <c r="Z2278"/>
      <c r="AA2278"/>
      <c r="AD2278"/>
      <c r="AE2278"/>
      <c r="AF2278"/>
      <c r="AH2278"/>
      <c r="AI2278"/>
      <c r="AJ2278"/>
      <c r="AM2278"/>
    </row>
    <row r="2279" spans="3:39" x14ac:dyDescent="0.2">
      <c r="C2279"/>
      <c r="D2279"/>
      <c r="E2279"/>
      <c r="F2279"/>
      <c r="G2279"/>
      <c r="H2279"/>
      <c r="I2279" s="684"/>
      <c r="V2279"/>
      <c r="W2279"/>
      <c r="Y2279"/>
      <c r="Z2279"/>
      <c r="AA2279"/>
      <c r="AD2279"/>
      <c r="AE2279"/>
      <c r="AF2279"/>
      <c r="AH2279"/>
      <c r="AI2279"/>
      <c r="AJ2279"/>
      <c r="AM2279"/>
    </row>
    <row r="2280" spans="3:39" x14ac:dyDescent="0.2">
      <c r="C2280"/>
      <c r="D2280"/>
      <c r="E2280"/>
      <c r="F2280"/>
      <c r="G2280"/>
      <c r="H2280"/>
      <c r="I2280" s="684"/>
      <c r="V2280"/>
      <c r="W2280"/>
      <c r="Y2280"/>
      <c r="Z2280"/>
      <c r="AA2280"/>
      <c r="AD2280"/>
      <c r="AE2280"/>
      <c r="AF2280"/>
      <c r="AH2280"/>
      <c r="AI2280"/>
      <c r="AJ2280"/>
      <c r="AM2280"/>
    </row>
    <row r="2281" spans="3:39" x14ac:dyDescent="0.2">
      <c r="C2281"/>
      <c r="D2281"/>
      <c r="E2281"/>
      <c r="F2281"/>
      <c r="G2281"/>
      <c r="H2281"/>
      <c r="I2281" s="684"/>
      <c r="V2281"/>
      <c r="W2281"/>
      <c r="Y2281"/>
      <c r="Z2281"/>
      <c r="AA2281"/>
      <c r="AD2281"/>
      <c r="AE2281"/>
      <c r="AF2281"/>
      <c r="AH2281"/>
      <c r="AI2281"/>
      <c r="AJ2281"/>
      <c r="AM2281"/>
    </row>
    <row r="2282" spans="3:39" x14ac:dyDescent="0.2">
      <c r="C2282"/>
      <c r="D2282"/>
      <c r="E2282"/>
      <c r="F2282"/>
      <c r="G2282"/>
      <c r="H2282"/>
      <c r="I2282" s="684"/>
      <c r="V2282"/>
      <c r="W2282"/>
      <c r="Y2282"/>
      <c r="Z2282"/>
      <c r="AA2282"/>
      <c r="AD2282"/>
      <c r="AE2282"/>
      <c r="AF2282"/>
      <c r="AH2282"/>
      <c r="AI2282"/>
      <c r="AJ2282"/>
      <c r="AM2282"/>
    </row>
    <row r="2283" spans="3:39" x14ac:dyDescent="0.2">
      <c r="C2283"/>
      <c r="D2283"/>
      <c r="E2283"/>
      <c r="F2283"/>
      <c r="G2283"/>
      <c r="H2283"/>
      <c r="I2283" s="684"/>
      <c r="V2283"/>
      <c r="W2283"/>
      <c r="Y2283"/>
      <c r="Z2283"/>
      <c r="AA2283"/>
      <c r="AD2283"/>
      <c r="AE2283"/>
      <c r="AF2283"/>
      <c r="AH2283"/>
      <c r="AI2283"/>
      <c r="AJ2283"/>
      <c r="AM2283"/>
    </row>
    <row r="2284" spans="3:39" x14ac:dyDescent="0.2">
      <c r="C2284"/>
      <c r="D2284"/>
      <c r="E2284"/>
      <c r="F2284"/>
      <c r="G2284"/>
      <c r="H2284"/>
      <c r="I2284" s="684"/>
      <c r="V2284"/>
      <c r="W2284"/>
      <c r="Y2284"/>
      <c r="Z2284"/>
      <c r="AA2284"/>
      <c r="AD2284"/>
      <c r="AE2284"/>
      <c r="AF2284"/>
      <c r="AH2284"/>
      <c r="AI2284"/>
      <c r="AJ2284"/>
      <c r="AM2284"/>
    </row>
    <row r="2285" spans="3:39" x14ac:dyDescent="0.2">
      <c r="C2285"/>
      <c r="D2285"/>
      <c r="E2285"/>
      <c r="F2285"/>
      <c r="G2285"/>
      <c r="H2285"/>
      <c r="I2285" s="684"/>
      <c r="V2285"/>
      <c r="W2285"/>
      <c r="Y2285"/>
      <c r="Z2285"/>
      <c r="AA2285"/>
      <c r="AD2285"/>
      <c r="AE2285"/>
      <c r="AF2285"/>
      <c r="AH2285"/>
      <c r="AI2285"/>
      <c r="AJ2285"/>
      <c r="AM2285"/>
    </row>
    <row r="2286" spans="3:39" x14ac:dyDescent="0.2">
      <c r="C2286"/>
      <c r="D2286"/>
      <c r="E2286"/>
      <c r="F2286"/>
      <c r="G2286"/>
      <c r="H2286"/>
      <c r="I2286" s="684"/>
      <c r="V2286"/>
      <c r="W2286"/>
      <c r="Y2286"/>
      <c r="Z2286"/>
      <c r="AA2286"/>
      <c r="AD2286"/>
      <c r="AE2286"/>
      <c r="AF2286"/>
      <c r="AH2286"/>
      <c r="AI2286"/>
      <c r="AJ2286"/>
      <c r="AM2286"/>
    </row>
    <row r="2287" spans="3:39" x14ac:dyDescent="0.2">
      <c r="C2287"/>
      <c r="D2287"/>
      <c r="E2287"/>
      <c r="F2287"/>
      <c r="G2287"/>
      <c r="H2287"/>
      <c r="I2287" s="684"/>
      <c r="V2287"/>
      <c r="W2287"/>
      <c r="Y2287"/>
      <c r="Z2287"/>
      <c r="AA2287"/>
      <c r="AD2287"/>
      <c r="AE2287"/>
      <c r="AF2287"/>
      <c r="AH2287"/>
      <c r="AI2287"/>
      <c r="AJ2287"/>
      <c r="AM2287"/>
    </row>
    <row r="2288" spans="3:39" x14ac:dyDescent="0.2">
      <c r="C2288"/>
      <c r="D2288"/>
      <c r="E2288"/>
      <c r="F2288"/>
      <c r="G2288"/>
      <c r="H2288"/>
      <c r="I2288" s="684"/>
      <c r="V2288"/>
      <c r="W2288"/>
      <c r="Y2288"/>
      <c r="Z2288"/>
      <c r="AA2288"/>
      <c r="AD2288"/>
      <c r="AE2288"/>
      <c r="AF2288"/>
      <c r="AH2288"/>
      <c r="AI2288"/>
      <c r="AJ2288"/>
      <c r="AM2288"/>
    </row>
    <row r="2289" spans="3:39" x14ac:dyDescent="0.2">
      <c r="C2289"/>
      <c r="D2289"/>
      <c r="E2289"/>
      <c r="F2289"/>
      <c r="G2289"/>
      <c r="H2289"/>
      <c r="I2289" s="684"/>
      <c r="V2289"/>
      <c r="W2289"/>
      <c r="Y2289"/>
      <c r="Z2289"/>
      <c r="AA2289"/>
      <c r="AD2289"/>
      <c r="AE2289"/>
      <c r="AF2289"/>
      <c r="AH2289"/>
      <c r="AI2289"/>
      <c r="AJ2289"/>
      <c r="AM2289"/>
    </row>
    <row r="2290" spans="3:39" x14ac:dyDescent="0.2">
      <c r="C2290"/>
      <c r="D2290"/>
      <c r="E2290"/>
      <c r="F2290"/>
      <c r="G2290"/>
      <c r="H2290"/>
      <c r="I2290" s="684"/>
      <c r="V2290"/>
      <c r="W2290"/>
      <c r="Y2290"/>
      <c r="Z2290"/>
      <c r="AA2290"/>
      <c r="AD2290"/>
      <c r="AE2290"/>
      <c r="AF2290"/>
      <c r="AH2290"/>
      <c r="AI2290"/>
      <c r="AJ2290"/>
      <c r="AM2290"/>
    </row>
    <row r="2291" spans="3:39" x14ac:dyDescent="0.2">
      <c r="C2291"/>
      <c r="D2291"/>
      <c r="E2291"/>
      <c r="F2291"/>
      <c r="G2291"/>
      <c r="H2291"/>
      <c r="I2291" s="684"/>
      <c r="V2291"/>
      <c r="W2291"/>
      <c r="Y2291"/>
      <c r="Z2291"/>
      <c r="AA2291"/>
      <c r="AD2291"/>
      <c r="AE2291"/>
      <c r="AF2291"/>
      <c r="AH2291"/>
      <c r="AI2291"/>
      <c r="AJ2291"/>
      <c r="AM2291"/>
    </row>
    <row r="2292" spans="3:39" x14ac:dyDescent="0.2">
      <c r="C2292"/>
      <c r="D2292"/>
      <c r="E2292"/>
      <c r="F2292"/>
      <c r="G2292"/>
      <c r="H2292"/>
      <c r="I2292" s="684"/>
      <c r="V2292"/>
      <c r="W2292"/>
      <c r="Y2292"/>
      <c r="Z2292"/>
      <c r="AA2292"/>
      <c r="AD2292"/>
      <c r="AE2292"/>
      <c r="AF2292"/>
      <c r="AH2292"/>
      <c r="AI2292"/>
      <c r="AJ2292"/>
      <c r="AM2292"/>
    </row>
    <row r="2293" spans="3:39" x14ac:dyDescent="0.2">
      <c r="C2293"/>
      <c r="D2293"/>
      <c r="E2293"/>
      <c r="F2293"/>
      <c r="G2293"/>
      <c r="H2293"/>
      <c r="I2293" s="684"/>
      <c r="V2293"/>
      <c r="W2293"/>
      <c r="Y2293"/>
      <c r="Z2293"/>
      <c r="AA2293"/>
      <c r="AD2293"/>
      <c r="AE2293"/>
      <c r="AF2293"/>
      <c r="AH2293"/>
      <c r="AI2293"/>
      <c r="AJ2293"/>
      <c r="AM2293"/>
    </row>
    <row r="2294" spans="3:39" x14ac:dyDescent="0.2">
      <c r="C2294"/>
      <c r="D2294"/>
      <c r="E2294"/>
      <c r="F2294"/>
      <c r="G2294"/>
      <c r="H2294"/>
      <c r="I2294" s="684"/>
      <c r="V2294"/>
      <c r="W2294"/>
      <c r="Y2294"/>
      <c r="Z2294"/>
      <c r="AA2294"/>
      <c r="AD2294"/>
      <c r="AE2294"/>
      <c r="AF2294"/>
      <c r="AH2294"/>
      <c r="AI2294"/>
      <c r="AJ2294"/>
      <c r="AM2294"/>
    </row>
    <row r="2295" spans="3:39" x14ac:dyDescent="0.2">
      <c r="C2295"/>
      <c r="D2295"/>
      <c r="E2295"/>
      <c r="F2295"/>
      <c r="G2295"/>
      <c r="H2295"/>
      <c r="I2295" s="684"/>
      <c r="V2295"/>
      <c r="W2295"/>
      <c r="Y2295"/>
      <c r="Z2295"/>
      <c r="AA2295"/>
      <c r="AD2295"/>
      <c r="AE2295"/>
      <c r="AF2295"/>
      <c r="AH2295"/>
      <c r="AI2295"/>
      <c r="AJ2295"/>
      <c r="AM2295"/>
    </row>
    <row r="2296" spans="3:39" x14ac:dyDescent="0.2">
      <c r="C2296"/>
      <c r="D2296"/>
      <c r="E2296"/>
      <c r="F2296"/>
      <c r="G2296"/>
      <c r="H2296"/>
      <c r="I2296" s="684"/>
      <c r="V2296"/>
      <c r="W2296"/>
      <c r="Y2296"/>
      <c r="Z2296"/>
      <c r="AA2296"/>
      <c r="AD2296"/>
      <c r="AE2296"/>
      <c r="AF2296"/>
      <c r="AH2296"/>
      <c r="AI2296"/>
      <c r="AJ2296"/>
      <c r="AM2296"/>
    </row>
    <row r="2297" spans="3:39" x14ac:dyDescent="0.2">
      <c r="C2297"/>
      <c r="D2297"/>
      <c r="E2297"/>
      <c r="F2297"/>
      <c r="G2297"/>
      <c r="H2297"/>
      <c r="I2297" s="684"/>
      <c r="V2297"/>
      <c r="W2297"/>
      <c r="Y2297"/>
      <c r="Z2297"/>
      <c r="AA2297"/>
      <c r="AD2297"/>
      <c r="AE2297"/>
      <c r="AF2297"/>
      <c r="AH2297"/>
      <c r="AI2297"/>
      <c r="AJ2297"/>
      <c r="AM2297"/>
    </row>
    <row r="2298" spans="3:39" x14ac:dyDescent="0.2">
      <c r="C2298"/>
      <c r="D2298"/>
      <c r="E2298"/>
      <c r="F2298"/>
      <c r="G2298"/>
      <c r="H2298"/>
      <c r="I2298" s="684"/>
      <c r="V2298"/>
      <c r="W2298"/>
      <c r="Y2298"/>
      <c r="Z2298"/>
      <c r="AA2298"/>
      <c r="AD2298"/>
      <c r="AE2298"/>
      <c r="AF2298"/>
      <c r="AH2298"/>
      <c r="AI2298"/>
      <c r="AJ2298"/>
      <c r="AM2298"/>
    </row>
    <row r="2299" spans="3:39" x14ac:dyDescent="0.2">
      <c r="C2299"/>
      <c r="D2299"/>
      <c r="E2299"/>
      <c r="F2299"/>
      <c r="G2299"/>
      <c r="H2299"/>
      <c r="I2299" s="684"/>
      <c r="V2299"/>
      <c r="W2299"/>
      <c r="Y2299"/>
      <c r="Z2299"/>
      <c r="AA2299"/>
      <c r="AD2299"/>
      <c r="AE2299"/>
      <c r="AF2299"/>
      <c r="AH2299"/>
      <c r="AI2299"/>
      <c r="AJ2299"/>
      <c r="AM2299"/>
    </row>
    <row r="2300" spans="3:39" x14ac:dyDescent="0.2">
      <c r="C2300"/>
      <c r="D2300"/>
      <c r="E2300"/>
      <c r="F2300"/>
      <c r="G2300"/>
      <c r="H2300"/>
      <c r="I2300" s="684"/>
      <c r="V2300"/>
      <c r="W2300"/>
      <c r="Y2300"/>
      <c r="Z2300"/>
      <c r="AA2300"/>
      <c r="AD2300"/>
      <c r="AE2300"/>
      <c r="AF2300"/>
      <c r="AH2300"/>
      <c r="AI2300"/>
      <c r="AJ2300"/>
      <c r="AM2300"/>
    </row>
    <row r="2301" spans="3:39" x14ac:dyDescent="0.2">
      <c r="C2301"/>
      <c r="D2301"/>
      <c r="E2301"/>
      <c r="F2301"/>
      <c r="G2301"/>
      <c r="H2301"/>
      <c r="I2301" s="684"/>
      <c r="V2301"/>
      <c r="W2301"/>
      <c r="Y2301"/>
      <c r="Z2301"/>
      <c r="AA2301"/>
      <c r="AD2301"/>
      <c r="AE2301"/>
      <c r="AF2301"/>
      <c r="AH2301"/>
      <c r="AI2301"/>
      <c r="AJ2301"/>
      <c r="AM2301"/>
    </row>
    <row r="2302" spans="3:39" x14ac:dyDescent="0.2">
      <c r="C2302"/>
      <c r="D2302"/>
      <c r="E2302"/>
      <c r="F2302"/>
      <c r="G2302"/>
      <c r="H2302"/>
      <c r="I2302" s="684"/>
      <c r="V2302"/>
      <c r="W2302"/>
      <c r="Y2302"/>
      <c r="Z2302"/>
      <c r="AA2302"/>
      <c r="AD2302"/>
      <c r="AE2302"/>
      <c r="AF2302"/>
      <c r="AH2302"/>
      <c r="AI2302"/>
      <c r="AJ2302"/>
      <c r="AM2302"/>
    </row>
    <row r="2303" spans="3:39" x14ac:dyDescent="0.2">
      <c r="C2303"/>
      <c r="D2303"/>
      <c r="E2303"/>
      <c r="F2303"/>
      <c r="G2303"/>
      <c r="H2303"/>
      <c r="I2303" s="684"/>
      <c r="V2303"/>
      <c r="W2303"/>
      <c r="Y2303"/>
      <c r="Z2303"/>
      <c r="AA2303"/>
      <c r="AD2303"/>
      <c r="AE2303"/>
      <c r="AF2303"/>
      <c r="AH2303"/>
      <c r="AI2303"/>
      <c r="AJ2303"/>
      <c r="AM2303"/>
    </row>
    <row r="2304" spans="3:39" x14ac:dyDescent="0.2">
      <c r="C2304"/>
      <c r="D2304"/>
      <c r="E2304"/>
      <c r="F2304"/>
      <c r="G2304"/>
      <c r="H2304"/>
      <c r="I2304" s="684"/>
      <c r="V2304"/>
      <c r="W2304"/>
      <c r="Y2304"/>
      <c r="Z2304"/>
      <c r="AA2304"/>
      <c r="AD2304"/>
      <c r="AE2304"/>
      <c r="AF2304"/>
      <c r="AH2304"/>
      <c r="AI2304"/>
      <c r="AJ2304"/>
      <c r="AM2304"/>
    </row>
    <row r="2305" spans="3:39" x14ac:dyDescent="0.2">
      <c r="C2305"/>
      <c r="D2305"/>
      <c r="E2305"/>
      <c r="F2305"/>
      <c r="G2305"/>
      <c r="H2305"/>
      <c r="I2305" s="684"/>
      <c r="V2305"/>
      <c r="W2305"/>
      <c r="Y2305"/>
      <c r="Z2305"/>
      <c r="AA2305"/>
      <c r="AD2305"/>
      <c r="AE2305"/>
      <c r="AF2305"/>
      <c r="AH2305"/>
      <c r="AI2305"/>
      <c r="AJ2305"/>
      <c r="AM2305"/>
    </row>
    <row r="2306" spans="3:39" x14ac:dyDescent="0.2">
      <c r="C2306"/>
      <c r="D2306"/>
      <c r="E2306"/>
      <c r="F2306"/>
      <c r="G2306"/>
      <c r="H2306"/>
      <c r="I2306" s="684"/>
      <c r="V2306"/>
      <c r="W2306"/>
      <c r="Y2306"/>
      <c r="Z2306"/>
      <c r="AA2306"/>
      <c r="AD2306"/>
      <c r="AE2306"/>
      <c r="AF2306"/>
      <c r="AH2306"/>
      <c r="AI2306"/>
      <c r="AJ2306"/>
      <c r="AM2306"/>
    </row>
    <row r="2307" spans="3:39" x14ac:dyDescent="0.2">
      <c r="C2307"/>
      <c r="D2307"/>
      <c r="E2307"/>
      <c r="F2307"/>
      <c r="G2307"/>
      <c r="H2307"/>
      <c r="I2307" s="684"/>
      <c r="V2307"/>
      <c r="W2307"/>
      <c r="Y2307"/>
      <c r="Z2307"/>
      <c r="AA2307"/>
      <c r="AD2307"/>
      <c r="AE2307"/>
      <c r="AF2307"/>
      <c r="AH2307"/>
      <c r="AI2307"/>
      <c r="AJ2307"/>
      <c r="AM2307"/>
    </row>
    <row r="2308" spans="3:39" x14ac:dyDescent="0.2">
      <c r="C2308"/>
      <c r="D2308"/>
      <c r="E2308"/>
      <c r="F2308"/>
      <c r="G2308"/>
      <c r="H2308"/>
      <c r="I2308" s="684"/>
      <c r="V2308"/>
      <c r="W2308"/>
      <c r="Y2308"/>
      <c r="Z2308"/>
      <c r="AA2308"/>
      <c r="AD2308"/>
      <c r="AE2308"/>
      <c r="AF2308"/>
      <c r="AH2308"/>
      <c r="AI2308"/>
      <c r="AJ2308"/>
      <c r="AM2308"/>
    </row>
    <row r="2309" spans="3:39" x14ac:dyDescent="0.2">
      <c r="C2309"/>
      <c r="D2309"/>
      <c r="E2309"/>
      <c r="F2309"/>
      <c r="G2309"/>
      <c r="H2309"/>
      <c r="I2309" s="684"/>
      <c r="V2309"/>
      <c r="W2309"/>
      <c r="Y2309"/>
      <c r="Z2309"/>
      <c r="AA2309"/>
      <c r="AD2309"/>
      <c r="AE2309"/>
      <c r="AF2309"/>
      <c r="AH2309"/>
      <c r="AI2309"/>
      <c r="AJ2309"/>
      <c r="AM2309"/>
    </row>
    <row r="2310" spans="3:39" x14ac:dyDescent="0.2">
      <c r="C2310"/>
      <c r="D2310"/>
      <c r="E2310"/>
      <c r="F2310"/>
      <c r="G2310"/>
      <c r="H2310"/>
      <c r="I2310" s="684"/>
      <c r="V2310"/>
      <c r="W2310"/>
      <c r="Y2310"/>
      <c r="Z2310"/>
      <c r="AA2310"/>
      <c r="AD2310"/>
      <c r="AE2310"/>
      <c r="AF2310"/>
      <c r="AH2310"/>
      <c r="AI2310"/>
      <c r="AJ2310"/>
      <c r="AM2310"/>
    </row>
    <row r="2311" spans="3:39" x14ac:dyDescent="0.2">
      <c r="C2311"/>
      <c r="D2311"/>
      <c r="E2311"/>
      <c r="F2311"/>
      <c r="G2311"/>
      <c r="H2311"/>
      <c r="I2311" s="684"/>
      <c r="V2311"/>
      <c r="W2311"/>
      <c r="Y2311"/>
      <c r="Z2311"/>
      <c r="AA2311"/>
      <c r="AD2311"/>
      <c r="AE2311"/>
      <c r="AF2311"/>
      <c r="AH2311"/>
      <c r="AI2311"/>
      <c r="AJ2311"/>
      <c r="AM2311"/>
    </row>
    <row r="2312" spans="3:39" x14ac:dyDescent="0.2">
      <c r="C2312"/>
      <c r="D2312"/>
      <c r="E2312"/>
      <c r="F2312"/>
      <c r="G2312"/>
      <c r="H2312"/>
      <c r="I2312" s="684"/>
      <c r="V2312"/>
      <c r="W2312"/>
      <c r="Y2312"/>
      <c r="Z2312"/>
      <c r="AA2312"/>
      <c r="AD2312"/>
      <c r="AE2312"/>
      <c r="AF2312"/>
      <c r="AH2312"/>
      <c r="AI2312"/>
      <c r="AJ2312"/>
      <c r="AM2312"/>
    </row>
    <row r="2313" spans="3:39" x14ac:dyDescent="0.2">
      <c r="C2313"/>
      <c r="D2313"/>
      <c r="E2313"/>
      <c r="F2313"/>
      <c r="G2313"/>
      <c r="H2313"/>
      <c r="I2313" s="684"/>
      <c r="V2313"/>
      <c r="W2313"/>
      <c r="Y2313"/>
      <c r="Z2313"/>
      <c r="AA2313"/>
      <c r="AD2313"/>
      <c r="AE2313"/>
      <c r="AF2313"/>
      <c r="AH2313"/>
      <c r="AI2313"/>
      <c r="AJ2313"/>
      <c r="AM2313"/>
    </row>
    <row r="2314" spans="3:39" x14ac:dyDescent="0.2">
      <c r="C2314"/>
      <c r="D2314"/>
      <c r="E2314"/>
      <c r="F2314"/>
      <c r="G2314"/>
      <c r="H2314"/>
      <c r="I2314" s="684"/>
      <c r="V2314"/>
      <c r="W2314"/>
      <c r="Y2314"/>
      <c r="Z2314"/>
      <c r="AA2314"/>
      <c r="AD2314"/>
      <c r="AE2314"/>
      <c r="AF2314"/>
      <c r="AH2314"/>
      <c r="AI2314"/>
      <c r="AJ2314"/>
      <c r="AM2314"/>
    </row>
    <row r="2315" spans="3:39" x14ac:dyDescent="0.2">
      <c r="C2315"/>
      <c r="D2315"/>
      <c r="E2315"/>
      <c r="F2315"/>
      <c r="G2315"/>
      <c r="H2315"/>
      <c r="I2315" s="684"/>
      <c r="V2315"/>
      <c r="W2315"/>
      <c r="Y2315"/>
      <c r="Z2315"/>
      <c r="AA2315"/>
      <c r="AD2315"/>
      <c r="AE2315"/>
      <c r="AF2315"/>
      <c r="AH2315"/>
      <c r="AI2315"/>
      <c r="AJ2315"/>
      <c r="AM2315"/>
    </row>
    <row r="2316" spans="3:39" x14ac:dyDescent="0.2">
      <c r="C2316"/>
      <c r="D2316"/>
      <c r="E2316"/>
      <c r="F2316"/>
      <c r="G2316"/>
      <c r="H2316"/>
      <c r="I2316" s="684"/>
      <c r="V2316"/>
      <c r="W2316"/>
      <c r="Y2316"/>
      <c r="Z2316"/>
      <c r="AA2316"/>
      <c r="AD2316"/>
      <c r="AE2316"/>
      <c r="AF2316"/>
      <c r="AH2316"/>
      <c r="AI2316"/>
      <c r="AJ2316"/>
      <c r="AM2316"/>
    </row>
    <row r="2317" spans="3:39" x14ac:dyDescent="0.2">
      <c r="C2317"/>
      <c r="D2317"/>
      <c r="E2317"/>
      <c r="F2317"/>
      <c r="G2317"/>
      <c r="H2317"/>
      <c r="I2317" s="684"/>
      <c r="V2317"/>
      <c r="W2317"/>
      <c r="Y2317"/>
      <c r="Z2317"/>
      <c r="AA2317"/>
      <c r="AD2317"/>
      <c r="AE2317"/>
      <c r="AF2317"/>
      <c r="AH2317"/>
      <c r="AI2317"/>
      <c r="AJ2317"/>
      <c r="AM2317"/>
    </row>
    <row r="2318" spans="3:39" x14ac:dyDescent="0.2">
      <c r="C2318"/>
      <c r="D2318"/>
      <c r="E2318"/>
      <c r="F2318"/>
      <c r="G2318"/>
      <c r="H2318"/>
      <c r="I2318" s="684"/>
      <c r="V2318"/>
      <c r="W2318"/>
      <c r="Y2318"/>
      <c r="Z2318"/>
      <c r="AA2318"/>
      <c r="AD2318"/>
      <c r="AE2318"/>
      <c r="AF2318"/>
      <c r="AH2318"/>
      <c r="AI2318"/>
      <c r="AJ2318"/>
      <c r="AM2318"/>
    </row>
    <row r="2319" spans="3:39" x14ac:dyDescent="0.2">
      <c r="C2319"/>
      <c r="D2319"/>
      <c r="E2319"/>
      <c r="F2319"/>
      <c r="G2319"/>
      <c r="H2319"/>
      <c r="I2319" s="684"/>
      <c r="V2319"/>
      <c r="W2319"/>
      <c r="Y2319"/>
      <c r="Z2319"/>
      <c r="AA2319"/>
      <c r="AD2319"/>
      <c r="AE2319"/>
      <c r="AF2319"/>
      <c r="AH2319"/>
      <c r="AI2319"/>
      <c r="AJ2319"/>
      <c r="AM2319"/>
    </row>
    <row r="2320" spans="3:39" x14ac:dyDescent="0.2">
      <c r="C2320"/>
      <c r="D2320"/>
      <c r="E2320"/>
      <c r="F2320"/>
      <c r="G2320"/>
      <c r="H2320"/>
      <c r="I2320" s="684"/>
      <c r="V2320"/>
      <c r="W2320"/>
      <c r="Y2320"/>
      <c r="Z2320"/>
      <c r="AA2320"/>
      <c r="AD2320"/>
      <c r="AE2320"/>
      <c r="AF2320"/>
      <c r="AH2320"/>
      <c r="AI2320"/>
      <c r="AJ2320"/>
      <c r="AM2320"/>
    </row>
    <row r="2321" spans="3:39" x14ac:dyDescent="0.2">
      <c r="C2321"/>
      <c r="D2321"/>
      <c r="E2321"/>
      <c r="F2321"/>
      <c r="G2321"/>
      <c r="H2321"/>
      <c r="I2321" s="684"/>
      <c r="V2321"/>
      <c r="W2321"/>
      <c r="Y2321"/>
      <c r="Z2321"/>
      <c r="AA2321"/>
      <c r="AD2321"/>
      <c r="AE2321"/>
      <c r="AF2321"/>
      <c r="AH2321"/>
      <c r="AI2321"/>
      <c r="AJ2321"/>
      <c r="AM2321"/>
    </row>
    <row r="2322" spans="3:39" x14ac:dyDescent="0.2">
      <c r="C2322"/>
      <c r="D2322"/>
      <c r="E2322"/>
      <c r="F2322"/>
      <c r="G2322"/>
      <c r="H2322"/>
      <c r="I2322" s="684"/>
      <c r="V2322"/>
      <c r="W2322"/>
      <c r="Y2322"/>
      <c r="Z2322"/>
      <c r="AA2322"/>
      <c r="AD2322"/>
      <c r="AE2322"/>
      <c r="AF2322"/>
      <c r="AH2322"/>
      <c r="AI2322"/>
      <c r="AJ2322"/>
      <c r="AM2322"/>
    </row>
    <row r="2323" spans="3:39" x14ac:dyDescent="0.2">
      <c r="C2323"/>
      <c r="D2323"/>
      <c r="E2323"/>
      <c r="F2323"/>
      <c r="G2323"/>
      <c r="H2323"/>
      <c r="I2323" s="684"/>
      <c r="V2323"/>
      <c r="W2323"/>
      <c r="Y2323"/>
      <c r="Z2323"/>
      <c r="AA2323"/>
      <c r="AD2323"/>
      <c r="AE2323"/>
      <c r="AF2323"/>
      <c r="AH2323"/>
      <c r="AI2323"/>
      <c r="AJ2323"/>
      <c r="AM2323"/>
    </row>
    <row r="2324" spans="3:39" x14ac:dyDescent="0.2">
      <c r="C2324"/>
      <c r="D2324"/>
      <c r="E2324"/>
      <c r="F2324"/>
      <c r="G2324"/>
      <c r="H2324"/>
      <c r="I2324" s="684"/>
      <c r="V2324"/>
      <c r="W2324"/>
      <c r="Y2324"/>
      <c r="Z2324"/>
      <c r="AA2324"/>
      <c r="AD2324"/>
      <c r="AE2324"/>
      <c r="AF2324"/>
      <c r="AH2324"/>
      <c r="AI2324"/>
      <c r="AJ2324"/>
      <c r="AM2324"/>
    </row>
    <row r="2325" spans="3:39" x14ac:dyDescent="0.2">
      <c r="C2325"/>
      <c r="D2325"/>
      <c r="E2325"/>
      <c r="F2325"/>
      <c r="G2325"/>
      <c r="H2325"/>
      <c r="I2325" s="684"/>
      <c r="V2325"/>
      <c r="W2325"/>
      <c r="Y2325"/>
      <c r="Z2325"/>
      <c r="AA2325"/>
      <c r="AD2325"/>
      <c r="AE2325"/>
      <c r="AF2325"/>
      <c r="AH2325"/>
      <c r="AI2325"/>
      <c r="AJ2325"/>
      <c r="AM2325"/>
    </row>
    <row r="2326" spans="3:39" x14ac:dyDescent="0.2">
      <c r="C2326"/>
      <c r="D2326"/>
      <c r="E2326"/>
      <c r="F2326"/>
      <c r="G2326"/>
      <c r="H2326"/>
      <c r="I2326" s="684"/>
      <c r="V2326"/>
      <c r="W2326"/>
      <c r="Y2326"/>
      <c r="Z2326"/>
      <c r="AA2326"/>
      <c r="AD2326"/>
      <c r="AE2326"/>
      <c r="AF2326"/>
      <c r="AH2326"/>
      <c r="AI2326"/>
      <c r="AJ2326"/>
      <c r="AM2326"/>
    </row>
    <row r="2327" spans="3:39" x14ac:dyDescent="0.2">
      <c r="C2327"/>
      <c r="D2327"/>
      <c r="E2327"/>
      <c r="F2327"/>
      <c r="G2327"/>
      <c r="H2327"/>
      <c r="I2327" s="684"/>
      <c r="V2327"/>
      <c r="W2327"/>
      <c r="Y2327"/>
      <c r="Z2327"/>
      <c r="AA2327"/>
      <c r="AD2327"/>
      <c r="AE2327"/>
      <c r="AF2327"/>
      <c r="AH2327"/>
      <c r="AI2327"/>
      <c r="AJ2327"/>
      <c r="AM2327"/>
    </row>
    <row r="2328" spans="3:39" x14ac:dyDescent="0.2">
      <c r="C2328"/>
      <c r="D2328"/>
      <c r="E2328"/>
      <c r="F2328"/>
      <c r="G2328"/>
      <c r="H2328"/>
      <c r="I2328" s="684"/>
      <c r="V2328"/>
      <c r="W2328"/>
      <c r="Y2328"/>
      <c r="Z2328"/>
      <c r="AA2328"/>
      <c r="AD2328"/>
      <c r="AE2328"/>
      <c r="AF2328"/>
      <c r="AH2328"/>
      <c r="AI2328"/>
      <c r="AJ2328"/>
      <c r="AM2328"/>
    </row>
    <row r="2329" spans="3:39" x14ac:dyDescent="0.2">
      <c r="C2329"/>
      <c r="D2329"/>
      <c r="E2329"/>
      <c r="F2329"/>
      <c r="G2329"/>
      <c r="H2329"/>
      <c r="I2329" s="684"/>
      <c r="V2329"/>
      <c r="W2329"/>
      <c r="Y2329"/>
      <c r="Z2329"/>
      <c r="AA2329"/>
      <c r="AD2329"/>
      <c r="AE2329"/>
      <c r="AF2329"/>
      <c r="AH2329"/>
      <c r="AI2329"/>
      <c r="AJ2329"/>
      <c r="AM2329"/>
    </row>
    <row r="2330" spans="3:39" x14ac:dyDescent="0.2">
      <c r="C2330"/>
      <c r="D2330"/>
      <c r="E2330"/>
      <c r="F2330"/>
      <c r="G2330"/>
      <c r="H2330"/>
      <c r="I2330" s="684"/>
      <c r="V2330"/>
      <c r="W2330"/>
      <c r="Y2330"/>
      <c r="Z2330"/>
      <c r="AA2330"/>
      <c r="AD2330"/>
      <c r="AE2330"/>
      <c r="AF2330"/>
      <c r="AH2330"/>
      <c r="AI2330"/>
      <c r="AJ2330"/>
      <c r="AM2330"/>
    </row>
    <row r="2331" spans="3:39" x14ac:dyDescent="0.2">
      <c r="C2331"/>
      <c r="D2331"/>
      <c r="E2331"/>
      <c r="F2331"/>
      <c r="G2331"/>
      <c r="H2331"/>
      <c r="I2331" s="684"/>
      <c r="V2331"/>
      <c r="W2331"/>
      <c r="Y2331"/>
      <c r="Z2331"/>
      <c r="AA2331"/>
      <c r="AD2331"/>
      <c r="AE2331"/>
      <c r="AF2331"/>
      <c r="AH2331"/>
      <c r="AI2331"/>
      <c r="AJ2331"/>
      <c r="AM2331"/>
    </row>
    <row r="2332" spans="3:39" x14ac:dyDescent="0.2">
      <c r="C2332"/>
      <c r="D2332"/>
      <c r="E2332"/>
      <c r="F2332"/>
      <c r="G2332"/>
      <c r="H2332"/>
      <c r="I2332" s="684"/>
      <c r="V2332"/>
      <c r="W2332"/>
      <c r="Y2332"/>
      <c r="Z2332"/>
      <c r="AA2332"/>
      <c r="AD2332"/>
      <c r="AE2332"/>
      <c r="AF2332"/>
      <c r="AH2332"/>
      <c r="AI2332"/>
      <c r="AJ2332"/>
      <c r="AM2332"/>
    </row>
    <row r="2333" spans="3:39" x14ac:dyDescent="0.2">
      <c r="C2333"/>
      <c r="D2333"/>
      <c r="E2333"/>
      <c r="F2333"/>
      <c r="G2333"/>
      <c r="H2333"/>
      <c r="I2333" s="684"/>
      <c r="V2333"/>
      <c r="W2333"/>
      <c r="Y2333"/>
      <c r="Z2333"/>
      <c r="AA2333"/>
      <c r="AD2333"/>
      <c r="AE2333"/>
      <c r="AF2333"/>
      <c r="AH2333"/>
      <c r="AI2333"/>
      <c r="AJ2333"/>
      <c r="AM2333"/>
    </row>
    <row r="2334" spans="3:39" x14ac:dyDescent="0.2">
      <c r="C2334"/>
      <c r="D2334"/>
      <c r="E2334"/>
      <c r="F2334"/>
      <c r="G2334"/>
      <c r="H2334"/>
      <c r="I2334" s="684"/>
      <c r="V2334"/>
      <c r="W2334"/>
      <c r="Y2334"/>
      <c r="Z2334"/>
      <c r="AA2334"/>
      <c r="AD2334"/>
      <c r="AE2334"/>
      <c r="AF2334"/>
      <c r="AH2334"/>
      <c r="AI2334"/>
      <c r="AJ2334"/>
      <c r="AM2334"/>
    </row>
    <row r="2335" spans="3:39" x14ac:dyDescent="0.2">
      <c r="C2335"/>
      <c r="D2335"/>
      <c r="E2335"/>
      <c r="F2335"/>
      <c r="G2335"/>
      <c r="H2335"/>
      <c r="I2335" s="684"/>
      <c r="V2335"/>
      <c r="W2335"/>
      <c r="Y2335"/>
      <c r="Z2335"/>
      <c r="AA2335"/>
      <c r="AD2335"/>
      <c r="AE2335"/>
      <c r="AF2335"/>
      <c r="AH2335"/>
      <c r="AI2335"/>
      <c r="AJ2335"/>
      <c r="AM2335"/>
    </row>
    <row r="2336" spans="3:39" x14ac:dyDescent="0.2">
      <c r="C2336"/>
      <c r="D2336"/>
      <c r="E2336"/>
      <c r="F2336"/>
      <c r="G2336"/>
      <c r="H2336"/>
      <c r="I2336" s="684"/>
      <c r="V2336"/>
      <c r="W2336"/>
      <c r="Y2336"/>
      <c r="Z2336"/>
      <c r="AA2336"/>
      <c r="AD2336"/>
      <c r="AE2336"/>
      <c r="AF2336"/>
      <c r="AH2336"/>
      <c r="AI2336"/>
      <c r="AJ2336"/>
      <c r="AM2336"/>
    </row>
    <row r="2337" spans="3:39" x14ac:dyDescent="0.2">
      <c r="C2337"/>
      <c r="D2337"/>
      <c r="E2337"/>
      <c r="F2337"/>
      <c r="G2337"/>
      <c r="H2337"/>
      <c r="I2337" s="684"/>
      <c r="V2337"/>
      <c r="W2337"/>
      <c r="Y2337"/>
      <c r="Z2337"/>
      <c r="AA2337"/>
      <c r="AD2337"/>
      <c r="AE2337"/>
      <c r="AF2337"/>
      <c r="AH2337"/>
      <c r="AI2337"/>
      <c r="AJ2337"/>
      <c r="AM2337"/>
    </row>
    <row r="2338" spans="3:39" x14ac:dyDescent="0.2">
      <c r="C2338"/>
      <c r="D2338"/>
      <c r="E2338"/>
      <c r="F2338"/>
      <c r="G2338"/>
      <c r="H2338"/>
      <c r="I2338" s="684"/>
      <c r="V2338"/>
      <c r="W2338"/>
      <c r="Y2338"/>
      <c r="Z2338"/>
      <c r="AA2338"/>
      <c r="AD2338"/>
      <c r="AE2338"/>
      <c r="AF2338"/>
      <c r="AH2338"/>
      <c r="AI2338"/>
      <c r="AJ2338"/>
      <c r="AM2338"/>
    </row>
    <row r="2339" spans="3:39" x14ac:dyDescent="0.2">
      <c r="C2339"/>
      <c r="D2339"/>
      <c r="E2339"/>
      <c r="F2339"/>
      <c r="G2339"/>
      <c r="H2339"/>
      <c r="I2339" s="684"/>
      <c r="V2339"/>
      <c r="W2339"/>
      <c r="Y2339"/>
      <c r="Z2339"/>
      <c r="AA2339"/>
      <c r="AD2339"/>
      <c r="AE2339"/>
      <c r="AF2339"/>
      <c r="AH2339"/>
      <c r="AI2339"/>
      <c r="AJ2339"/>
      <c r="AM2339"/>
    </row>
    <row r="2340" spans="3:39" x14ac:dyDescent="0.2">
      <c r="C2340"/>
      <c r="D2340"/>
      <c r="E2340"/>
      <c r="F2340"/>
      <c r="G2340"/>
      <c r="H2340"/>
      <c r="I2340" s="684"/>
      <c r="V2340"/>
      <c r="W2340"/>
      <c r="Y2340"/>
      <c r="Z2340"/>
      <c r="AA2340"/>
      <c r="AD2340"/>
      <c r="AE2340"/>
      <c r="AF2340"/>
      <c r="AH2340"/>
      <c r="AI2340"/>
      <c r="AJ2340"/>
      <c r="AM2340"/>
    </row>
    <row r="2341" spans="3:39" x14ac:dyDescent="0.2">
      <c r="C2341"/>
      <c r="D2341"/>
      <c r="E2341"/>
      <c r="F2341"/>
      <c r="G2341"/>
      <c r="H2341"/>
      <c r="I2341" s="684"/>
      <c r="V2341"/>
      <c r="W2341"/>
      <c r="Y2341"/>
      <c r="Z2341"/>
      <c r="AA2341"/>
      <c r="AD2341"/>
      <c r="AE2341"/>
      <c r="AF2341"/>
      <c r="AH2341"/>
      <c r="AI2341"/>
      <c r="AJ2341"/>
      <c r="AM2341"/>
    </row>
    <row r="2342" spans="3:39" x14ac:dyDescent="0.2">
      <c r="C2342"/>
      <c r="D2342"/>
      <c r="E2342"/>
      <c r="F2342"/>
      <c r="G2342"/>
      <c r="H2342"/>
      <c r="I2342" s="684"/>
      <c r="V2342"/>
      <c r="W2342"/>
      <c r="Y2342"/>
      <c r="Z2342"/>
      <c r="AA2342"/>
      <c r="AD2342"/>
      <c r="AE2342"/>
      <c r="AF2342"/>
      <c r="AH2342"/>
      <c r="AI2342"/>
      <c r="AJ2342"/>
      <c r="AM2342"/>
    </row>
    <row r="2343" spans="3:39" x14ac:dyDescent="0.2">
      <c r="C2343"/>
      <c r="D2343"/>
      <c r="E2343"/>
      <c r="F2343"/>
      <c r="G2343"/>
      <c r="H2343"/>
      <c r="I2343" s="684"/>
      <c r="V2343"/>
      <c r="W2343"/>
      <c r="Y2343"/>
      <c r="Z2343"/>
      <c r="AA2343"/>
      <c r="AD2343"/>
      <c r="AE2343"/>
      <c r="AF2343"/>
      <c r="AH2343"/>
      <c r="AI2343"/>
      <c r="AJ2343"/>
      <c r="AM2343"/>
    </row>
    <row r="2344" spans="3:39" x14ac:dyDescent="0.2">
      <c r="C2344"/>
      <c r="D2344"/>
      <c r="E2344"/>
      <c r="F2344"/>
      <c r="G2344"/>
      <c r="H2344"/>
      <c r="I2344" s="684"/>
      <c r="V2344"/>
      <c r="W2344"/>
      <c r="Y2344"/>
      <c r="Z2344"/>
      <c r="AA2344"/>
      <c r="AD2344"/>
      <c r="AE2344"/>
      <c r="AF2344"/>
      <c r="AH2344"/>
      <c r="AI2344"/>
      <c r="AJ2344"/>
      <c r="AM2344"/>
    </row>
    <row r="2345" spans="3:39" x14ac:dyDescent="0.2">
      <c r="C2345"/>
      <c r="D2345"/>
      <c r="E2345"/>
      <c r="F2345"/>
      <c r="G2345"/>
      <c r="H2345"/>
      <c r="I2345" s="684"/>
      <c r="V2345"/>
      <c r="W2345"/>
      <c r="Y2345"/>
      <c r="Z2345"/>
      <c r="AA2345"/>
      <c r="AD2345"/>
      <c r="AE2345"/>
      <c r="AF2345"/>
      <c r="AH2345"/>
      <c r="AI2345"/>
      <c r="AJ2345"/>
      <c r="AM2345"/>
    </row>
    <row r="2346" spans="3:39" x14ac:dyDescent="0.2">
      <c r="C2346"/>
      <c r="D2346"/>
      <c r="E2346"/>
      <c r="F2346"/>
      <c r="G2346"/>
      <c r="H2346"/>
      <c r="I2346" s="684"/>
      <c r="V2346"/>
      <c r="W2346"/>
      <c r="Y2346"/>
      <c r="Z2346"/>
      <c r="AA2346"/>
      <c r="AD2346"/>
      <c r="AE2346"/>
      <c r="AF2346"/>
      <c r="AH2346"/>
      <c r="AI2346"/>
      <c r="AJ2346"/>
      <c r="AM2346"/>
    </row>
    <row r="2347" spans="3:39" x14ac:dyDescent="0.2">
      <c r="C2347"/>
      <c r="D2347"/>
      <c r="E2347"/>
      <c r="F2347"/>
      <c r="G2347"/>
      <c r="H2347"/>
      <c r="I2347" s="684"/>
      <c r="V2347"/>
      <c r="W2347"/>
      <c r="Y2347"/>
      <c r="Z2347"/>
      <c r="AA2347"/>
      <c r="AD2347"/>
      <c r="AE2347"/>
      <c r="AF2347"/>
      <c r="AH2347"/>
      <c r="AI2347"/>
      <c r="AJ2347"/>
      <c r="AM2347"/>
    </row>
    <row r="2348" spans="3:39" x14ac:dyDescent="0.2">
      <c r="C2348"/>
      <c r="D2348"/>
      <c r="E2348"/>
      <c r="F2348"/>
      <c r="G2348"/>
      <c r="H2348"/>
      <c r="I2348" s="684"/>
      <c r="V2348"/>
      <c r="W2348"/>
      <c r="Y2348"/>
      <c r="Z2348"/>
      <c r="AA2348"/>
      <c r="AD2348"/>
      <c r="AE2348"/>
      <c r="AF2348"/>
      <c r="AH2348"/>
      <c r="AI2348"/>
      <c r="AJ2348"/>
      <c r="AM2348"/>
    </row>
    <row r="2349" spans="3:39" x14ac:dyDescent="0.2">
      <c r="C2349"/>
      <c r="D2349"/>
      <c r="E2349"/>
      <c r="F2349"/>
      <c r="G2349"/>
      <c r="H2349"/>
      <c r="I2349" s="684"/>
      <c r="V2349"/>
      <c r="W2349"/>
      <c r="Y2349"/>
      <c r="Z2349"/>
      <c r="AA2349"/>
      <c r="AD2349"/>
      <c r="AE2349"/>
      <c r="AF2349"/>
      <c r="AH2349"/>
      <c r="AI2349"/>
      <c r="AJ2349"/>
      <c r="AM2349"/>
    </row>
    <row r="2350" spans="3:39" x14ac:dyDescent="0.2">
      <c r="C2350"/>
      <c r="D2350"/>
      <c r="E2350"/>
      <c r="F2350"/>
      <c r="G2350"/>
      <c r="H2350"/>
      <c r="I2350" s="684"/>
      <c r="V2350"/>
      <c r="W2350"/>
      <c r="Y2350"/>
      <c r="Z2350"/>
      <c r="AA2350"/>
      <c r="AD2350"/>
      <c r="AE2350"/>
      <c r="AF2350"/>
      <c r="AH2350"/>
      <c r="AI2350"/>
      <c r="AJ2350"/>
      <c r="AM2350"/>
    </row>
    <row r="2351" spans="3:39" x14ac:dyDescent="0.2">
      <c r="C2351"/>
      <c r="D2351"/>
      <c r="E2351"/>
      <c r="F2351"/>
      <c r="G2351"/>
      <c r="H2351"/>
      <c r="I2351" s="684"/>
      <c r="V2351"/>
      <c r="W2351"/>
      <c r="Y2351"/>
      <c r="Z2351"/>
      <c r="AA2351"/>
      <c r="AD2351"/>
      <c r="AE2351"/>
      <c r="AF2351"/>
      <c r="AH2351"/>
      <c r="AI2351"/>
      <c r="AJ2351"/>
      <c r="AM2351"/>
    </row>
    <row r="2352" spans="3:39" x14ac:dyDescent="0.2">
      <c r="C2352"/>
      <c r="D2352"/>
      <c r="E2352"/>
      <c r="F2352"/>
      <c r="G2352"/>
      <c r="H2352"/>
      <c r="I2352" s="684"/>
      <c r="V2352"/>
      <c r="W2352"/>
      <c r="Y2352"/>
      <c r="Z2352"/>
      <c r="AA2352"/>
      <c r="AD2352"/>
      <c r="AE2352"/>
      <c r="AF2352"/>
      <c r="AH2352"/>
      <c r="AI2352"/>
      <c r="AJ2352"/>
      <c r="AM2352"/>
    </row>
    <row r="2353" spans="3:39" x14ac:dyDescent="0.2">
      <c r="C2353"/>
      <c r="D2353"/>
      <c r="E2353"/>
      <c r="F2353"/>
      <c r="G2353"/>
      <c r="H2353"/>
      <c r="I2353" s="684"/>
      <c r="V2353"/>
      <c r="W2353"/>
      <c r="Y2353"/>
      <c r="Z2353"/>
      <c r="AA2353"/>
      <c r="AD2353"/>
      <c r="AE2353"/>
      <c r="AF2353"/>
      <c r="AH2353"/>
      <c r="AI2353"/>
      <c r="AJ2353"/>
      <c r="AM2353"/>
    </row>
    <row r="2354" spans="3:39" x14ac:dyDescent="0.2">
      <c r="C2354"/>
      <c r="D2354"/>
      <c r="E2354"/>
      <c r="F2354"/>
      <c r="G2354"/>
      <c r="H2354"/>
      <c r="I2354" s="684"/>
      <c r="V2354"/>
      <c r="W2354"/>
      <c r="Y2354"/>
      <c r="Z2354"/>
      <c r="AA2354"/>
      <c r="AD2354"/>
      <c r="AE2354"/>
      <c r="AF2354"/>
      <c r="AH2354"/>
      <c r="AI2354"/>
      <c r="AJ2354"/>
      <c r="AM2354"/>
    </row>
    <row r="2355" spans="3:39" x14ac:dyDescent="0.2">
      <c r="C2355"/>
      <c r="D2355"/>
      <c r="E2355"/>
      <c r="F2355"/>
      <c r="G2355"/>
      <c r="H2355"/>
      <c r="I2355" s="684"/>
      <c r="V2355"/>
      <c r="W2355"/>
      <c r="Y2355"/>
      <c r="Z2355"/>
      <c r="AA2355"/>
      <c r="AD2355"/>
      <c r="AE2355"/>
      <c r="AF2355"/>
      <c r="AH2355"/>
      <c r="AI2355"/>
      <c r="AJ2355"/>
      <c r="AM2355"/>
    </row>
    <row r="2356" spans="3:39" x14ac:dyDescent="0.2">
      <c r="C2356"/>
      <c r="D2356"/>
      <c r="E2356"/>
      <c r="F2356"/>
      <c r="G2356"/>
      <c r="H2356"/>
      <c r="I2356" s="684"/>
      <c r="V2356"/>
      <c r="W2356"/>
      <c r="Y2356"/>
      <c r="Z2356"/>
      <c r="AA2356"/>
      <c r="AD2356"/>
      <c r="AE2356"/>
      <c r="AF2356"/>
      <c r="AH2356"/>
      <c r="AI2356"/>
      <c r="AJ2356"/>
      <c r="AM2356"/>
    </row>
    <row r="2357" spans="3:39" x14ac:dyDescent="0.2">
      <c r="C2357"/>
      <c r="D2357"/>
      <c r="E2357"/>
      <c r="F2357"/>
      <c r="G2357"/>
      <c r="H2357"/>
      <c r="I2357" s="684"/>
      <c r="V2357"/>
      <c r="W2357"/>
      <c r="Y2357"/>
      <c r="Z2357"/>
      <c r="AA2357"/>
      <c r="AD2357"/>
      <c r="AE2357"/>
      <c r="AF2357"/>
      <c r="AH2357"/>
      <c r="AI2357"/>
      <c r="AJ2357"/>
      <c r="AM2357"/>
    </row>
    <row r="2358" spans="3:39" x14ac:dyDescent="0.2">
      <c r="C2358"/>
      <c r="D2358"/>
      <c r="E2358"/>
      <c r="F2358"/>
      <c r="G2358"/>
      <c r="H2358"/>
      <c r="I2358" s="684"/>
      <c r="V2358"/>
      <c r="W2358"/>
      <c r="Y2358"/>
      <c r="Z2358"/>
      <c r="AA2358"/>
      <c r="AD2358"/>
      <c r="AE2358"/>
      <c r="AF2358"/>
      <c r="AH2358"/>
      <c r="AI2358"/>
      <c r="AJ2358"/>
      <c r="AM2358"/>
    </row>
    <row r="2359" spans="3:39" x14ac:dyDescent="0.2">
      <c r="C2359"/>
      <c r="D2359"/>
      <c r="E2359"/>
      <c r="F2359"/>
      <c r="G2359"/>
      <c r="H2359"/>
      <c r="I2359" s="684"/>
      <c r="V2359"/>
      <c r="W2359"/>
      <c r="Y2359"/>
      <c r="Z2359"/>
      <c r="AA2359"/>
      <c r="AD2359"/>
      <c r="AE2359"/>
      <c r="AF2359"/>
      <c r="AH2359"/>
      <c r="AI2359"/>
      <c r="AJ2359"/>
      <c r="AM2359"/>
    </row>
    <row r="2360" spans="3:39" x14ac:dyDescent="0.2">
      <c r="C2360"/>
      <c r="D2360"/>
      <c r="E2360"/>
      <c r="F2360"/>
      <c r="G2360"/>
      <c r="H2360"/>
      <c r="I2360" s="684"/>
      <c r="V2360"/>
      <c r="W2360"/>
      <c r="Y2360"/>
      <c r="Z2360"/>
      <c r="AA2360"/>
      <c r="AD2360"/>
      <c r="AE2360"/>
      <c r="AF2360"/>
      <c r="AH2360"/>
      <c r="AI2360"/>
      <c r="AJ2360"/>
      <c r="AM2360"/>
    </row>
    <row r="2361" spans="3:39" x14ac:dyDescent="0.2">
      <c r="C2361"/>
      <c r="D2361"/>
      <c r="E2361"/>
      <c r="F2361"/>
      <c r="G2361"/>
      <c r="H2361"/>
      <c r="I2361" s="684"/>
      <c r="V2361"/>
      <c r="W2361"/>
      <c r="Y2361"/>
      <c r="Z2361"/>
      <c r="AA2361"/>
      <c r="AD2361"/>
      <c r="AE2361"/>
      <c r="AF2361"/>
      <c r="AH2361"/>
      <c r="AI2361"/>
      <c r="AJ2361"/>
      <c r="AM2361"/>
    </row>
    <row r="2362" spans="3:39" x14ac:dyDescent="0.2">
      <c r="C2362"/>
      <c r="D2362"/>
      <c r="E2362"/>
      <c r="F2362"/>
      <c r="G2362"/>
      <c r="H2362"/>
      <c r="I2362" s="684"/>
      <c r="V2362"/>
      <c r="W2362"/>
      <c r="Y2362"/>
      <c r="Z2362"/>
      <c r="AA2362"/>
      <c r="AD2362"/>
      <c r="AE2362"/>
      <c r="AF2362"/>
      <c r="AH2362"/>
      <c r="AI2362"/>
      <c r="AJ2362"/>
      <c r="AM2362"/>
    </row>
    <row r="2363" spans="3:39" x14ac:dyDescent="0.2">
      <c r="C2363"/>
      <c r="D2363"/>
      <c r="E2363"/>
      <c r="F2363"/>
      <c r="G2363"/>
      <c r="H2363"/>
      <c r="I2363" s="684"/>
      <c r="V2363"/>
      <c r="W2363"/>
      <c r="Y2363"/>
      <c r="Z2363"/>
      <c r="AA2363"/>
      <c r="AD2363"/>
      <c r="AE2363"/>
      <c r="AF2363"/>
      <c r="AH2363"/>
      <c r="AI2363"/>
      <c r="AJ2363"/>
      <c r="AM2363"/>
    </row>
    <row r="2364" spans="3:39" x14ac:dyDescent="0.2">
      <c r="C2364"/>
      <c r="D2364"/>
      <c r="E2364"/>
      <c r="F2364"/>
      <c r="G2364"/>
      <c r="H2364"/>
      <c r="I2364" s="684"/>
      <c r="V2364"/>
      <c r="W2364"/>
      <c r="Y2364"/>
      <c r="Z2364"/>
      <c r="AA2364"/>
      <c r="AD2364"/>
      <c r="AE2364"/>
      <c r="AF2364"/>
      <c r="AH2364"/>
      <c r="AI2364"/>
      <c r="AJ2364"/>
      <c r="AM2364"/>
    </row>
    <row r="2365" spans="3:39" x14ac:dyDescent="0.2">
      <c r="C2365"/>
      <c r="D2365"/>
      <c r="E2365"/>
      <c r="F2365"/>
      <c r="G2365"/>
      <c r="H2365"/>
      <c r="I2365" s="684"/>
      <c r="V2365"/>
      <c r="W2365"/>
      <c r="Y2365"/>
      <c r="Z2365"/>
      <c r="AA2365"/>
      <c r="AD2365"/>
      <c r="AE2365"/>
      <c r="AF2365"/>
      <c r="AH2365"/>
      <c r="AI2365"/>
      <c r="AJ2365"/>
      <c r="AM2365"/>
    </row>
    <row r="2366" spans="3:39" x14ac:dyDescent="0.2">
      <c r="C2366"/>
      <c r="D2366"/>
      <c r="E2366"/>
      <c r="F2366"/>
      <c r="G2366"/>
      <c r="H2366"/>
      <c r="I2366" s="684"/>
      <c r="V2366"/>
      <c r="W2366"/>
      <c r="Y2366"/>
      <c r="Z2366"/>
      <c r="AA2366"/>
      <c r="AD2366"/>
      <c r="AE2366"/>
      <c r="AF2366"/>
      <c r="AH2366"/>
      <c r="AI2366"/>
      <c r="AJ2366"/>
      <c r="AM2366"/>
    </row>
    <row r="2367" spans="3:39" x14ac:dyDescent="0.2">
      <c r="C2367"/>
      <c r="D2367"/>
      <c r="E2367"/>
      <c r="F2367"/>
      <c r="G2367"/>
      <c r="H2367"/>
      <c r="I2367" s="684"/>
      <c r="V2367"/>
      <c r="W2367"/>
      <c r="Y2367"/>
      <c r="Z2367"/>
      <c r="AA2367"/>
      <c r="AD2367"/>
      <c r="AE2367"/>
      <c r="AF2367"/>
      <c r="AH2367"/>
      <c r="AI2367"/>
      <c r="AJ2367"/>
      <c r="AM2367"/>
    </row>
    <row r="2368" spans="3:39" x14ac:dyDescent="0.2">
      <c r="C2368"/>
      <c r="D2368"/>
      <c r="E2368"/>
      <c r="F2368"/>
      <c r="G2368"/>
      <c r="H2368"/>
      <c r="I2368" s="684"/>
      <c r="V2368"/>
      <c r="W2368"/>
      <c r="Y2368"/>
      <c r="Z2368"/>
      <c r="AA2368"/>
      <c r="AD2368"/>
      <c r="AE2368"/>
      <c r="AF2368"/>
      <c r="AH2368"/>
      <c r="AI2368"/>
      <c r="AJ2368"/>
      <c r="AM2368"/>
    </row>
    <row r="2369" spans="3:39" x14ac:dyDescent="0.2">
      <c r="C2369"/>
      <c r="D2369"/>
      <c r="E2369"/>
      <c r="F2369"/>
      <c r="G2369"/>
      <c r="H2369"/>
      <c r="I2369" s="684"/>
      <c r="V2369"/>
      <c r="W2369"/>
      <c r="Y2369"/>
      <c r="Z2369"/>
      <c r="AA2369"/>
      <c r="AD2369"/>
      <c r="AE2369"/>
      <c r="AF2369"/>
      <c r="AH2369"/>
      <c r="AI2369"/>
      <c r="AJ2369"/>
      <c r="AM2369"/>
    </row>
    <row r="2370" spans="3:39" x14ac:dyDescent="0.2">
      <c r="C2370"/>
      <c r="D2370"/>
      <c r="E2370"/>
      <c r="F2370"/>
      <c r="G2370"/>
      <c r="H2370"/>
      <c r="I2370" s="684"/>
      <c r="V2370"/>
      <c r="W2370"/>
      <c r="Y2370"/>
      <c r="Z2370"/>
      <c r="AA2370"/>
      <c r="AD2370"/>
      <c r="AE2370"/>
      <c r="AF2370"/>
      <c r="AH2370"/>
      <c r="AI2370"/>
      <c r="AJ2370"/>
      <c r="AM2370"/>
    </row>
    <row r="2371" spans="3:39" x14ac:dyDescent="0.2">
      <c r="C2371"/>
      <c r="D2371"/>
      <c r="E2371"/>
      <c r="F2371"/>
      <c r="G2371"/>
      <c r="H2371"/>
      <c r="I2371" s="684"/>
      <c r="V2371"/>
      <c r="W2371"/>
      <c r="Y2371"/>
      <c r="Z2371"/>
      <c r="AA2371"/>
      <c r="AD2371"/>
      <c r="AE2371"/>
      <c r="AF2371"/>
      <c r="AH2371"/>
      <c r="AI2371"/>
      <c r="AJ2371"/>
      <c r="AM2371"/>
    </row>
    <row r="2372" spans="3:39" x14ac:dyDescent="0.2">
      <c r="C2372"/>
      <c r="D2372"/>
      <c r="E2372"/>
      <c r="F2372"/>
      <c r="G2372"/>
      <c r="H2372"/>
      <c r="I2372" s="684"/>
      <c r="V2372"/>
      <c r="W2372"/>
      <c r="Y2372"/>
      <c r="Z2372"/>
      <c r="AA2372"/>
      <c r="AD2372"/>
      <c r="AE2372"/>
      <c r="AF2372"/>
      <c r="AH2372"/>
      <c r="AI2372"/>
      <c r="AJ2372"/>
      <c r="AM2372"/>
    </row>
    <row r="2373" spans="3:39" x14ac:dyDescent="0.2">
      <c r="C2373"/>
      <c r="D2373"/>
      <c r="E2373"/>
      <c r="F2373"/>
      <c r="G2373"/>
      <c r="H2373"/>
      <c r="I2373" s="684"/>
      <c r="V2373"/>
      <c r="W2373"/>
      <c r="Y2373"/>
      <c r="Z2373"/>
      <c r="AA2373"/>
      <c r="AD2373"/>
      <c r="AE2373"/>
      <c r="AF2373"/>
      <c r="AH2373"/>
      <c r="AI2373"/>
      <c r="AJ2373"/>
      <c r="AM2373"/>
    </row>
    <row r="2374" spans="3:39" x14ac:dyDescent="0.2">
      <c r="C2374"/>
      <c r="D2374"/>
      <c r="E2374"/>
      <c r="F2374"/>
      <c r="G2374"/>
      <c r="H2374"/>
      <c r="I2374" s="684"/>
      <c r="V2374"/>
      <c r="W2374"/>
      <c r="Y2374"/>
      <c r="Z2374"/>
      <c r="AA2374"/>
      <c r="AD2374"/>
      <c r="AE2374"/>
      <c r="AF2374"/>
      <c r="AH2374"/>
      <c r="AI2374"/>
      <c r="AJ2374"/>
      <c r="AM2374"/>
    </row>
    <row r="2375" spans="3:39" x14ac:dyDescent="0.2">
      <c r="C2375"/>
      <c r="D2375"/>
      <c r="E2375"/>
      <c r="F2375"/>
      <c r="G2375"/>
      <c r="H2375"/>
      <c r="I2375" s="684"/>
      <c r="V2375"/>
      <c r="W2375"/>
      <c r="Y2375"/>
      <c r="Z2375"/>
      <c r="AA2375"/>
      <c r="AD2375"/>
      <c r="AE2375"/>
      <c r="AF2375"/>
      <c r="AH2375"/>
      <c r="AI2375"/>
      <c r="AJ2375"/>
      <c r="AM2375"/>
    </row>
    <row r="2376" spans="3:39" x14ac:dyDescent="0.2">
      <c r="C2376"/>
      <c r="D2376"/>
      <c r="E2376"/>
      <c r="F2376"/>
      <c r="G2376"/>
      <c r="H2376"/>
      <c r="I2376" s="684"/>
      <c r="V2376"/>
      <c r="W2376"/>
      <c r="Y2376"/>
      <c r="Z2376"/>
      <c r="AA2376"/>
      <c r="AD2376"/>
      <c r="AE2376"/>
      <c r="AF2376"/>
      <c r="AH2376"/>
      <c r="AI2376"/>
      <c r="AJ2376"/>
      <c r="AM2376"/>
    </row>
    <row r="2377" spans="3:39" x14ac:dyDescent="0.2">
      <c r="C2377"/>
      <c r="D2377"/>
      <c r="E2377"/>
      <c r="F2377"/>
      <c r="G2377"/>
      <c r="H2377"/>
      <c r="I2377" s="684"/>
      <c r="V2377"/>
      <c r="W2377"/>
      <c r="Y2377"/>
      <c r="Z2377"/>
      <c r="AA2377"/>
      <c r="AD2377"/>
      <c r="AE2377"/>
      <c r="AF2377"/>
      <c r="AH2377"/>
      <c r="AI2377"/>
      <c r="AJ2377"/>
      <c r="AM2377"/>
    </row>
    <row r="2378" spans="3:39" x14ac:dyDescent="0.2">
      <c r="C2378"/>
      <c r="D2378"/>
      <c r="E2378"/>
      <c r="F2378"/>
      <c r="G2378"/>
      <c r="H2378"/>
      <c r="I2378" s="684"/>
      <c r="V2378"/>
      <c r="W2378"/>
      <c r="Y2378"/>
      <c r="Z2378"/>
      <c r="AA2378"/>
      <c r="AD2378"/>
      <c r="AE2378"/>
      <c r="AF2378"/>
      <c r="AH2378"/>
      <c r="AI2378"/>
      <c r="AJ2378"/>
      <c r="AM2378"/>
    </row>
    <row r="2379" spans="3:39" x14ac:dyDescent="0.2">
      <c r="C2379"/>
      <c r="D2379"/>
      <c r="E2379"/>
      <c r="F2379"/>
      <c r="G2379"/>
      <c r="H2379"/>
      <c r="I2379" s="684"/>
      <c r="V2379"/>
      <c r="W2379"/>
      <c r="Y2379"/>
      <c r="Z2379"/>
      <c r="AA2379"/>
      <c r="AD2379"/>
      <c r="AE2379"/>
      <c r="AF2379"/>
      <c r="AH2379"/>
      <c r="AI2379"/>
      <c r="AJ2379"/>
      <c r="AM2379"/>
    </row>
    <row r="2380" spans="3:39" x14ac:dyDescent="0.2">
      <c r="C2380"/>
      <c r="D2380"/>
      <c r="E2380"/>
      <c r="F2380"/>
      <c r="G2380"/>
      <c r="H2380"/>
      <c r="I2380" s="684"/>
      <c r="V2380"/>
      <c r="W2380"/>
      <c r="Y2380"/>
      <c r="Z2380"/>
      <c r="AA2380"/>
      <c r="AD2380"/>
      <c r="AE2380"/>
      <c r="AF2380"/>
      <c r="AH2380"/>
      <c r="AI2380"/>
      <c r="AJ2380"/>
      <c r="AM2380"/>
    </row>
    <row r="2381" spans="3:39" x14ac:dyDescent="0.2">
      <c r="C2381"/>
      <c r="D2381"/>
      <c r="E2381"/>
      <c r="F2381"/>
      <c r="G2381"/>
      <c r="H2381"/>
      <c r="I2381" s="684"/>
      <c r="V2381"/>
      <c r="W2381"/>
      <c r="Y2381"/>
      <c r="Z2381"/>
      <c r="AA2381"/>
      <c r="AD2381"/>
      <c r="AE2381"/>
      <c r="AF2381"/>
      <c r="AH2381"/>
      <c r="AI2381"/>
      <c r="AJ2381"/>
      <c r="AM2381"/>
    </row>
    <row r="2382" spans="3:39" x14ac:dyDescent="0.2">
      <c r="C2382"/>
      <c r="D2382"/>
      <c r="E2382"/>
      <c r="F2382"/>
      <c r="G2382"/>
      <c r="H2382"/>
      <c r="I2382" s="684"/>
      <c r="V2382"/>
      <c r="W2382"/>
      <c r="Y2382"/>
      <c r="Z2382"/>
      <c r="AA2382"/>
      <c r="AD2382"/>
      <c r="AE2382"/>
      <c r="AF2382"/>
      <c r="AH2382"/>
      <c r="AI2382"/>
      <c r="AJ2382"/>
      <c r="AM2382"/>
    </row>
    <row r="2383" spans="3:39" x14ac:dyDescent="0.2">
      <c r="C2383"/>
      <c r="D2383"/>
      <c r="E2383"/>
      <c r="F2383"/>
      <c r="G2383"/>
      <c r="H2383"/>
      <c r="I2383" s="684"/>
      <c r="V2383"/>
      <c r="W2383"/>
      <c r="Y2383"/>
      <c r="Z2383"/>
      <c r="AA2383"/>
      <c r="AD2383"/>
      <c r="AE2383"/>
      <c r="AF2383"/>
      <c r="AH2383"/>
      <c r="AI2383"/>
      <c r="AJ2383"/>
      <c r="AM2383"/>
    </row>
    <row r="2384" spans="3:39" x14ac:dyDescent="0.2">
      <c r="C2384"/>
      <c r="D2384"/>
      <c r="E2384"/>
      <c r="F2384"/>
      <c r="G2384"/>
      <c r="H2384"/>
      <c r="I2384" s="684"/>
      <c r="V2384"/>
      <c r="W2384"/>
      <c r="Y2384"/>
      <c r="Z2384"/>
      <c r="AA2384"/>
      <c r="AD2384"/>
      <c r="AE2384"/>
      <c r="AF2384"/>
      <c r="AH2384"/>
      <c r="AI2384"/>
      <c r="AJ2384"/>
      <c r="AM2384"/>
    </row>
    <row r="2385" spans="3:39" x14ac:dyDescent="0.2">
      <c r="C2385"/>
      <c r="D2385"/>
      <c r="E2385"/>
      <c r="F2385"/>
      <c r="G2385"/>
      <c r="H2385"/>
      <c r="I2385" s="684"/>
      <c r="V2385"/>
      <c r="W2385"/>
      <c r="Y2385"/>
      <c r="Z2385"/>
      <c r="AA2385"/>
      <c r="AD2385"/>
      <c r="AE2385"/>
      <c r="AF2385"/>
      <c r="AH2385"/>
      <c r="AI2385"/>
      <c r="AJ2385"/>
      <c r="AM2385"/>
    </row>
  </sheetData>
  <sheetProtection formatRows="0" insertHyperlinks="0"/>
  <mergeCells count="60">
    <mergeCell ref="C820:AD820"/>
    <mergeCell ref="D722:G722"/>
    <mergeCell ref="G788:H788"/>
    <mergeCell ref="C817:H817"/>
    <mergeCell ref="C818:H818"/>
    <mergeCell ref="C819:AD819"/>
    <mergeCell ref="B845:H845"/>
    <mergeCell ref="B680:H680"/>
    <mergeCell ref="D237:G237"/>
    <mergeCell ref="G583:H583"/>
    <mergeCell ref="B487:H487"/>
    <mergeCell ref="B287:H287"/>
    <mergeCell ref="D661:G661"/>
    <mergeCell ref="C249:G249"/>
    <mergeCell ref="C541:G541"/>
    <mergeCell ref="C542:G542"/>
    <mergeCell ref="C543:G543"/>
    <mergeCell ref="G625:H625"/>
    <mergeCell ref="G628:H628"/>
    <mergeCell ref="D657:G657"/>
    <mergeCell ref="C545:G545"/>
    <mergeCell ref="C821:AD821"/>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0:C90"/>
    <mergeCell ref="B452:H452"/>
    <mergeCell ref="AS3:AY3"/>
    <mergeCell ref="D218:F218"/>
    <mergeCell ref="D220:F220"/>
    <mergeCell ref="D221:F221"/>
    <mergeCell ref="D222:F222"/>
    <mergeCell ref="B5:F5"/>
    <mergeCell ref="AI16:AI18"/>
    <mergeCell ref="AG43:AK43"/>
    <mergeCell ref="AG44:AK44"/>
    <mergeCell ref="C3:F3"/>
    <mergeCell ref="C27:G27"/>
    <mergeCell ref="C42:G42"/>
    <mergeCell ref="B91:C91"/>
    <mergeCell ref="D423:G423"/>
    <mergeCell ref="D377:G377"/>
    <mergeCell ref="D400:G400"/>
    <mergeCell ref="D446:G446"/>
    <mergeCell ref="G43:H44"/>
    <mergeCell ref="C235:H235"/>
    <mergeCell ref="D241:G241"/>
    <mergeCell ref="D242:G242"/>
    <mergeCell ref="F257:G261"/>
  </mergeCells>
  <conditionalFormatting sqref="H589:H611 H616:H780 H613:H614 H12:H585 H841:H910 H836:H838 H782:H789 H825:H826 H829:H834 H813:H823 H794:H811 H791:H792">
    <cfRule type="expression" dxfId="172" priority="480" stopIfTrue="1">
      <formula>IF(WORKDAY($H12-1,1,S.DDL_DEQClosed)&lt;&gt;$H12,TRUE)</formula>
    </cfRule>
  </conditionalFormatting>
  <conditionalFormatting sqref="B30 B32">
    <cfRule type="expression" dxfId="171" priority="487">
      <formula>IF(AND(S.General.RuleType="P",S.Notice.HearingInvolved="Y",S.Notice.Involved="N"),TRUE,FALSE)</formula>
    </cfRule>
  </conditionalFormatting>
  <conditionalFormatting sqref="B18:H49">
    <cfRule type="expression" dxfId="170" priority="483">
      <formula>IF($AF18=2,TRUE)</formula>
    </cfRule>
  </conditionalFormatting>
  <conditionalFormatting sqref="D28:E42 D543:E569 D772:E772 D775:E775 E724:E780 D6:E26 D45:E353 E655:E722 D488:E541 D355:D486 E355:E445 E447:E486 D574:E654 D841:E910 D823:E823 D836:F838 C771:D778 D655:D781 D779:I781 G781:H784 D782:E792 D825:E826 D829:E834 D813:E816 D794:E811">
    <cfRule type="expression" dxfId="169" priority="232">
      <formula>IF(OR($D6="X",$D6="x"),TRUE)</formula>
    </cfRule>
  </conditionalFormatting>
  <conditionalFormatting sqref="E6:G445 E447:F780 G447:G583 H6:H583 G614:H614 B577:H577 G589:H610 B841:H910 B836:H838 B6:D780 D779:I781 G616:H784 B782:H789 B825:H826 B829:H834 B813:H823 B790:F790 B794:H811 B791:H792">
    <cfRule type="expression" dxfId="168" priority="224" stopIfTrue="1">
      <formula>IF($AF6=0,TRUE)</formula>
    </cfRule>
  </conditionalFormatting>
  <conditionalFormatting sqref="B19">
    <cfRule type="expression" dxfId="167" priority="591">
      <formula>IF(ISERROR($H$19)=TRUE,TRUE,)</formula>
    </cfRule>
  </conditionalFormatting>
  <conditionalFormatting sqref="B32">
    <cfRule type="expression" dxfId="166" priority="923">
      <formula>IF($AJ$32=1,TRUE)</formula>
    </cfRule>
  </conditionalFormatting>
  <conditionalFormatting sqref="I43:I44 E43">
    <cfRule type="expression" dxfId="165" priority="977">
      <formula>IF(OR($I43="X",$I43="x"),TRUE)</formula>
    </cfRule>
  </conditionalFormatting>
  <conditionalFormatting sqref="E570:E573 C570">
    <cfRule type="expression" dxfId="164" priority="1152">
      <formula>IF(OR($C570="X",$C570="x"),TRUE)</formula>
    </cfRule>
  </conditionalFormatting>
  <conditionalFormatting sqref="G6:G445 G613:G614 G447:G585 G589:G611 G841:G910 G836:G838 G616:G780 G829:H829 G836:H836 G782:G789 G825:G826 G829:G834 G813:G823 G791:G792 G794:G811">
    <cfRule type="expression" dxfId="163" priority="478" stopIfTrue="1">
      <formula>IF(WORKDAY($G6-1,1,S.DDL_DEQClosed)&lt;&gt;$G6,TRUE)</formula>
    </cfRule>
  </conditionalFormatting>
  <conditionalFormatting sqref="C56">
    <cfRule type="expression" dxfId="162" priority="135">
      <formula>IF($AF56=2,TRUE)</formula>
    </cfRule>
  </conditionalFormatting>
  <conditionalFormatting sqref="C56">
    <cfRule type="expression" dxfId="161" priority="134">
      <formula>IF(OR($D56="X",$D56="x"),TRUE)</formula>
    </cfRule>
  </conditionalFormatting>
  <conditionalFormatting sqref="C56">
    <cfRule type="expression" dxfId="160" priority="133">
      <formula>IF($AF56=2,TRUE)</formula>
    </cfRule>
  </conditionalFormatting>
  <conditionalFormatting sqref="C56">
    <cfRule type="expression" dxfId="159" priority="132">
      <formula>IF(OR($D56="X",$D56="x"),TRUE)</formula>
    </cfRule>
  </conditionalFormatting>
  <conditionalFormatting sqref="G584:H585">
    <cfRule type="expression" dxfId="158" priority="1159" stopIfTrue="1">
      <formula>IF($AF585=0,TRUE)</formula>
    </cfRule>
  </conditionalFormatting>
  <conditionalFormatting sqref="G611:H611 G613:H613">
    <cfRule type="expression" dxfId="157" priority="1166" stopIfTrue="1">
      <formula>IF($AF613=0,TRUE)</formula>
    </cfRule>
  </conditionalFormatting>
  <conditionalFormatting sqref="H610">
    <cfRule type="expression" dxfId="156" priority="131" stopIfTrue="1">
      <formula>IF(WORKDAY($G610-1,1,S.DDL_DEQClosed)&lt;&gt;$G610,TRUE)</formula>
    </cfRule>
  </conditionalFormatting>
  <conditionalFormatting sqref="I610">
    <cfRule type="expression" dxfId="155" priority="129" stopIfTrue="1">
      <formula>IF($AF610=0,TRUE)</formula>
    </cfRule>
  </conditionalFormatting>
  <conditionalFormatting sqref="I610">
    <cfRule type="expression" dxfId="154" priority="130" stopIfTrue="1">
      <formula>IF(WORKDAY($G610-1,1,S.DDL_DEQClosed)&lt;&gt;$G610,TRUE)</formula>
    </cfRule>
  </conditionalFormatting>
  <conditionalFormatting sqref="I609">
    <cfRule type="expression" dxfId="153" priority="127" stopIfTrue="1">
      <formula>IF($AF609=0,TRUE)</formula>
    </cfRule>
  </conditionalFormatting>
  <conditionalFormatting sqref="I609">
    <cfRule type="expression" dxfId="152" priority="128" stopIfTrue="1">
      <formula>IF(WORKDAY($G609-1,1,S.DDL_DEQClosed)&lt;&gt;$G609,TRUE)</formula>
    </cfRule>
  </conditionalFormatting>
  <conditionalFormatting sqref="H609">
    <cfRule type="expression" dxfId="151" priority="126" stopIfTrue="1">
      <formula>IF(WORKDAY($G609-1,1,S.DDL_DEQClosed)&lt;&gt;$G609,TRUE)</formula>
    </cfRule>
  </conditionalFormatting>
  <conditionalFormatting sqref="H840">
    <cfRule type="expression" dxfId="150" priority="121" stopIfTrue="1">
      <formula>IF(WORKDAY($H840-1,1,S.DDL_DEQClosed)&lt;&gt;$H840,TRUE)</formula>
    </cfRule>
  </conditionalFormatting>
  <conditionalFormatting sqref="D839:E839">
    <cfRule type="expression" dxfId="149" priority="123">
      <formula>IF(OR($D839="X",$D839="x"),TRUE)</formula>
    </cfRule>
  </conditionalFormatting>
  <conditionalFormatting sqref="B839:F839">
    <cfRule type="expression" dxfId="148" priority="122" stopIfTrue="1">
      <formula>IF($AF839=0,TRUE)</formula>
    </cfRule>
  </conditionalFormatting>
  <conditionalFormatting sqref="H838">
    <cfRule type="expression" dxfId="147" priority="116" stopIfTrue="1">
      <formula>IF(WORKDAY($G838-1,1,S.DDL_DEQClosed)&lt;&gt;$G838,TRUE)</formula>
    </cfRule>
  </conditionalFormatting>
  <conditionalFormatting sqref="D840:E840">
    <cfRule type="expression" dxfId="146" priority="119">
      <formula>IF(OR($D840="X",$D840="x"),TRUE)</formula>
    </cfRule>
  </conditionalFormatting>
  <conditionalFormatting sqref="B840:H840">
    <cfRule type="expression" dxfId="145" priority="118" stopIfTrue="1">
      <formula>IF($AF840=0,TRUE)</formula>
    </cfRule>
  </conditionalFormatting>
  <conditionalFormatting sqref="G840">
    <cfRule type="expression" dxfId="144" priority="120" stopIfTrue="1">
      <formula>IF(WORKDAY($G840-1,1,S.DDL_DEQClosed)&lt;&gt;$G840,TRUE)</formula>
    </cfRule>
  </conditionalFormatting>
  <conditionalFormatting sqref="H837">
    <cfRule type="expression" dxfId="143" priority="117" stopIfTrue="1">
      <formula>IF(WORKDAY($G837-1,1,S.DDL_DEQClosed)&lt;&gt;$G837,TRUE)</formula>
    </cfRule>
  </conditionalFormatting>
  <conditionalFormatting sqref="G839">
    <cfRule type="expression" dxfId="142" priority="113" stopIfTrue="1">
      <formula>IF(WORKDAY($G839-1,1,S.DDL_DEQClosed)&lt;&gt;$G839,TRUE)</formula>
    </cfRule>
  </conditionalFormatting>
  <conditionalFormatting sqref="H839">
    <cfRule type="expression" dxfId="141" priority="114" stopIfTrue="1">
      <formula>IF($AF839=0,TRUE)</formula>
    </cfRule>
  </conditionalFormatting>
  <conditionalFormatting sqref="H839">
    <cfRule type="expression" dxfId="140" priority="115" stopIfTrue="1">
      <formula>IF(WORKDAY($G839-1,1,S.DDL_DEQClosed)&lt;&gt;$G839,TRUE)</formula>
    </cfRule>
  </conditionalFormatting>
  <conditionalFormatting sqref="G839">
    <cfRule type="expression" dxfId="139" priority="112" stopIfTrue="1">
      <formula>IF($AF839=0,TRUE)</formula>
    </cfRule>
  </conditionalFormatting>
  <conditionalFormatting sqref="H835">
    <cfRule type="expression" dxfId="138" priority="111" stopIfTrue="1">
      <formula>IF(WORKDAY($H835-1,1,S.DDL_DEQClosed)&lt;&gt;$H835,TRUE)</formula>
    </cfRule>
  </conditionalFormatting>
  <conditionalFormatting sqref="D835:E835">
    <cfRule type="expression" dxfId="137" priority="109">
      <formula>IF(OR($D835="X",$D835="x"),TRUE)</formula>
    </cfRule>
  </conditionalFormatting>
  <conditionalFormatting sqref="B835:H835">
    <cfRule type="expression" dxfId="136" priority="108" stopIfTrue="1">
      <formula>IF($AF835=0,TRUE)</formula>
    </cfRule>
  </conditionalFormatting>
  <conditionalFormatting sqref="G835">
    <cfRule type="expression" dxfId="135" priority="110" stopIfTrue="1">
      <formula>IF(WORKDAY($G835-1,1,S.DDL_DEQClosed)&lt;&gt;$G835,TRUE)</formula>
    </cfRule>
  </conditionalFormatting>
  <conditionalFormatting sqref="G782">
    <cfRule type="expression" dxfId="134" priority="97" stopIfTrue="1">
      <formula>IF(WORKDAY($G782-1,1,S.DDL_DEQClosed)&lt;&gt;$G782,TRUE)</formula>
    </cfRule>
  </conditionalFormatting>
  <conditionalFormatting sqref="H782">
    <cfRule type="expression" dxfId="133" priority="94" stopIfTrue="1">
      <formula>IF(WORKDAY($G782-1,1,S.DDL_DEQClosed)&lt;&gt;$G782,TRUE)</formula>
    </cfRule>
  </conditionalFormatting>
  <conditionalFormatting sqref="H756">
    <cfRule type="expression" dxfId="132" priority="105" stopIfTrue="1">
      <formula>IF(WORKDAY($G756-1,1,S.DDL_DEQClosed)&lt;&gt;$G756,TRUE)</formula>
    </cfRule>
  </conditionalFormatting>
  <conditionalFormatting sqref="D756">
    <cfRule type="expression" dxfId="131" priority="104" stopIfTrue="1">
      <formula>IF(WORKDAY($G756-1,1,S.DDL_DEQClosed)&lt;&gt;$G756,TRUE)</formula>
    </cfRule>
  </conditionalFormatting>
  <conditionalFormatting sqref="H768">
    <cfRule type="expression" dxfId="130" priority="103" stopIfTrue="1">
      <formula>IF(WORKDAY($G768-1,1,S.DDL_DEQClosed)&lt;&gt;$G768,TRUE)</formula>
    </cfRule>
  </conditionalFormatting>
  <conditionalFormatting sqref="G781:H784">
    <cfRule type="expression" dxfId="129" priority="102" stopIfTrue="1">
      <formula>IF(WORKDAY($H781-1,1,S.DDL_DEQClosed)&lt;&gt;$H781,TRUE)</formula>
    </cfRule>
  </conditionalFormatting>
  <conditionalFormatting sqref="D781:E781">
    <cfRule type="expression" dxfId="128" priority="100">
      <formula>IF(OR($D781="X",$D781="x"),TRUE)</formula>
    </cfRule>
  </conditionalFormatting>
  <conditionalFormatting sqref="B781:H781 G781:H784">
    <cfRule type="expression" dxfId="127" priority="99" stopIfTrue="1">
      <formula>IF($AF781=0,TRUE)</formula>
    </cfRule>
  </conditionalFormatting>
  <conditionalFormatting sqref="G781">
    <cfRule type="expression" dxfId="126" priority="101" stopIfTrue="1">
      <formula>IF(WORKDAY($G781-1,1,S.DDL_DEQClosed)&lt;&gt;$G781,TRUE)</formula>
    </cfRule>
  </conditionalFormatting>
  <conditionalFormatting sqref="G782">
    <cfRule type="expression" dxfId="125" priority="98">
      <formula>IF(OR($D782="X",$D782="x"),TRUE)</formula>
    </cfRule>
  </conditionalFormatting>
  <conditionalFormatting sqref="G782">
    <cfRule type="expression" dxfId="124" priority="96" stopIfTrue="1">
      <formula>IF($AF782=0,TRUE)</formula>
    </cfRule>
  </conditionalFormatting>
  <conditionalFormatting sqref="H782">
    <cfRule type="expression" dxfId="122" priority="95">
      <formula>IF(OR($D782="X",$D782="x"),TRUE)</formula>
    </cfRule>
  </conditionalFormatting>
  <conditionalFormatting sqref="H782">
    <cfRule type="expression" dxfId="121" priority="93" stopIfTrue="1">
      <formula>IF($AF782=0,TRUE)</formula>
    </cfRule>
  </conditionalFormatting>
  <conditionalFormatting sqref="G785">
    <cfRule type="expression" dxfId="120" priority="90" stopIfTrue="1">
      <formula>IF(WORKDAY($G785-1,1,S.DDL_DEQClosed)&lt;&gt;$G785,TRUE)</formula>
    </cfRule>
  </conditionalFormatting>
  <conditionalFormatting sqref="G781:H784">
    <cfRule type="expression" dxfId="119" priority="92" stopIfTrue="1">
      <formula>IF(WORKDAY($G781-1,1,S.DDL_DEQClosed)&lt;&gt;$G781,TRUE)</formula>
    </cfRule>
  </conditionalFormatting>
  <conditionalFormatting sqref="G785">
    <cfRule type="expression" dxfId="118" priority="91">
      <formula>IF(OR($D785="X",$D785="x"),TRUE)</formula>
    </cfRule>
  </conditionalFormatting>
  <conditionalFormatting sqref="G785">
    <cfRule type="expression" dxfId="117" priority="89" stopIfTrue="1">
      <formula>IF($AF785=0,TRUE)</formula>
    </cfRule>
  </conditionalFormatting>
  <conditionalFormatting sqref="H785">
    <cfRule type="expression" dxfId="115" priority="88" stopIfTrue="1">
      <formula>IF(WORKDAY($G785-1,1,S.DDL_DEQClosed)&lt;&gt;$G785,TRUE)</formula>
    </cfRule>
  </conditionalFormatting>
  <conditionalFormatting sqref="H785">
    <cfRule type="expression" dxfId="114" priority="87">
      <formula>IF(OR($D785="X",$D785="x"),TRUE)</formula>
    </cfRule>
  </conditionalFormatting>
  <conditionalFormatting sqref="H785">
    <cfRule type="expression" dxfId="113" priority="85" stopIfTrue="1">
      <formula>IF($AF785=0,TRUE)</formula>
    </cfRule>
  </conditionalFormatting>
  <conditionalFormatting sqref="H785">
    <cfRule type="expression" dxfId="112" priority="86" stopIfTrue="1">
      <formula>IF(WORKDAY($G785-1,1,S.DDL_DEQClosed)&lt;&gt;$G785,TRUE)</formula>
    </cfRule>
  </conditionalFormatting>
  <conditionalFormatting sqref="H785">
    <cfRule type="expression" dxfId="111" priority="77">
      <formula>IF(OR($D785="X",$D785="x"),TRUE)</formula>
    </cfRule>
  </conditionalFormatting>
  <conditionalFormatting sqref="H785">
    <cfRule type="expression" dxfId="110" priority="76" stopIfTrue="1">
      <formula>IF(WORKDAY($H785-1,1,S.DDL_DEQClosed)&lt;&gt;$H785,TRUE)</formula>
    </cfRule>
  </conditionalFormatting>
  <conditionalFormatting sqref="H785">
    <cfRule type="expression" dxfId="109" priority="75" stopIfTrue="1">
      <formula>IF($AF785=0,TRUE)</formula>
    </cfRule>
  </conditionalFormatting>
  <conditionalFormatting sqref="H785">
    <cfRule type="expression" dxfId="108" priority="74" stopIfTrue="1">
      <formula>IF(WORKDAY($G785-1,1,S.DDL_DEQClosed)&lt;&gt;$G785,TRUE)</formula>
    </cfRule>
  </conditionalFormatting>
  <conditionalFormatting sqref="G785">
    <cfRule type="expression" dxfId="107" priority="73" stopIfTrue="1">
      <formula>IF(WORKDAY($H785-1,1,S.DDL_DEQClosed)&lt;&gt;$H785,TRUE)</formula>
    </cfRule>
  </conditionalFormatting>
  <conditionalFormatting sqref="G785">
    <cfRule type="expression" dxfId="106" priority="72">
      <formula>IF(OR($D785="X",$D785="x"),TRUE)</formula>
    </cfRule>
  </conditionalFormatting>
  <conditionalFormatting sqref="G785">
    <cfRule type="expression" dxfId="105" priority="71" stopIfTrue="1">
      <formula>IF(WORKDAY($H785-1,1,S.DDL_DEQClosed)&lt;&gt;$H785,TRUE)</formula>
    </cfRule>
  </conditionalFormatting>
  <conditionalFormatting sqref="G785">
    <cfRule type="expression" dxfId="104" priority="70" stopIfTrue="1">
      <formula>IF($AF785=0,TRUE)</formula>
    </cfRule>
  </conditionalFormatting>
  <conditionalFormatting sqref="G785">
    <cfRule type="expression" dxfId="103" priority="69" stopIfTrue="1">
      <formula>IF(WORKDAY($G785-1,1,S.DDL_DEQClosed)&lt;&gt;$G785,TRUE)</formula>
    </cfRule>
  </conditionalFormatting>
  <conditionalFormatting sqref="G786">
    <cfRule type="expression" dxfId="102" priority="68">
      <formula>IF(OR($D786="X",$D786="x"),TRUE)</formula>
    </cfRule>
  </conditionalFormatting>
  <conditionalFormatting sqref="G786">
    <cfRule type="expression" dxfId="101" priority="66" stopIfTrue="1">
      <formula>IF($AF786=0,TRUE)</formula>
    </cfRule>
  </conditionalFormatting>
  <conditionalFormatting sqref="G786">
    <cfRule type="expression" dxfId="100" priority="67" stopIfTrue="1">
      <formula>IF(WORKDAY($G786-1,1,S.DDL_DEQClosed)&lt;&gt;$G786,TRUE)</formula>
    </cfRule>
  </conditionalFormatting>
  <conditionalFormatting sqref="H786">
    <cfRule type="expression" dxfId="99" priority="65" stopIfTrue="1">
      <formula>IF(WORKDAY($G786-1,1,S.DDL_DEQClosed)&lt;&gt;$G786,TRUE)</formula>
    </cfRule>
  </conditionalFormatting>
  <conditionalFormatting sqref="H786">
    <cfRule type="expression" dxfId="98" priority="64">
      <formula>IF(OR($D786="X",$D786="x"),TRUE)</formula>
    </cfRule>
  </conditionalFormatting>
  <conditionalFormatting sqref="H786">
    <cfRule type="expression" dxfId="97" priority="62" stopIfTrue="1">
      <formula>IF($AF786=0,TRUE)</formula>
    </cfRule>
  </conditionalFormatting>
  <conditionalFormatting sqref="H786">
    <cfRule type="expression" dxfId="96" priority="63" stopIfTrue="1">
      <formula>IF(WORKDAY($G786-1,1,S.DDL_DEQClosed)&lt;&gt;$G786,TRUE)</formula>
    </cfRule>
  </conditionalFormatting>
  <conditionalFormatting sqref="D793:E793">
    <cfRule type="expression" dxfId="94" priority="42">
      <formula>IF(OR($D793="X",$D793="x"),TRUE)</formula>
    </cfRule>
  </conditionalFormatting>
  <conditionalFormatting sqref="B793:F793">
    <cfRule type="expression" dxfId="93" priority="41" stopIfTrue="1">
      <formula>IF($AF793=0,TRUE)</formula>
    </cfRule>
  </conditionalFormatting>
  <conditionalFormatting sqref="H824">
    <cfRule type="expression" dxfId="91" priority="40" stopIfTrue="1">
      <formula>IF(WORKDAY($H824-1,1,S.DDL_DEQClosed)&lt;&gt;$H824,TRUE)</formula>
    </cfRule>
  </conditionalFormatting>
  <conditionalFormatting sqref="D824:E824">
    <cfRule type="expression" dxfId="90" priority="38">
      <formula>IF(OR($D824="X",$D824="x"),TRUE)</formula>
    </cfRule>
  </conditionalFormatting>
  <conditionalFormatting sqref="B824:H824">
    <cfRule type="expression" dxfId="89" priority="37" stopIfTrue="1">
      <formula>IF($AF824=0,TRUE)</formula>
    </cfRule>
  </conditionalFormatting>
  <conditionalFormatting sqref="G824">
    <cfRule type="expression" dxfId="88" priority="39" stopIfTrue="1">
      <formula>IF(WORKDAY($G824-1,1,S.DDL_DEQClosed)&lt;&gt;$G824,TRUE)</formula>
    </cfRule>
  </conditionalFormatting>
  <conditionalFormatting sqref="H827">
    <cfRule type="expression" dxfId="87" priority="36" stopIfTrue="1">
      <formula>IF(WORKDAY($H827-1,1,S.DDL_DEQClosed)&lt;&gt;$H827,TRUE)</formula>
    </cfRule>
  </conditionalFormatting>
  <conditionalFormatting sqref="E827:E828">
    <cfRule type="expression" dxfId="86" priority="34">
      <formula>IF(OR($D827="X",$D827="x"),TRUE)</formula>
    </cfRule>
  </conditionalFormatting>
  <conditionalFormatting sqref="B827:C828 H827 E827:E828">
    <cfRule type="expression" dxfId="85" priority="33" stopIfTrue="1">
      <formula>IF($AF827=0,TRUE)</formula>
    </cfRule>
  </conditionalFormatting>
  <conditionalFormatting sqref="G812">
    <cfRule type="expression" dxfId="84" priority="23" stopIfTrue="1">
      <formula>IF(WORKDAY($G812-1,1,S.DDL_DEQClosed)&lt;&gt;$G812,TRUE)</formula>
    </cfRule>
  </conditionalFormatting>
  <conditionalFormatting sqref="G827:G828">
    <cfRule type="expression" dxfId="83" priority="31" stopIfTrue="1">
      <formula>IF($AF827=0,TRUE)</formula>
    </cfRule>
  </conditionalFormatting>
  <conditionalFormatting sqref="G827:G828">
    <cfRule type="expression" dxfId="82" priority="32" stopIfTrue="1">
      <formula>IF(WORKDAY($G827-1,1,S.DDL_DEQClosed)&lt;&gt;$G827,TRUE)</formula>
    </cfRule>
  </conditionalFormatting>
  <conditionalFormatting sqref="F827:F828">
    <cfRule type="expression" dxfId="81" priority="29" stopIfTrue="1">
      <formula>IF($AF827=0,TRUE)</formula>
    </cfRule>
  </conditionalFormatting>
  <conditionalFormatting sqref="F827:F828">
    <cfRule type="expression" dxfId="80" priority="30" stopIfTrue="1">
      <formula>IF(WORKDAY($G827-1,1,S.DDL_DEQClosed)&lt;&gt;$G827,TRUE)</formula>
    </cfRule>
  </conditionalFormatting>
  <conditionalFormatting sqref="D827:D828">
    <cfRule type="expression" dxfId="79" priority="27" stopIfTrue="1">
      <formula>IF($AF827=0,TRUE)</formula>
    </cfRule>
  </conditionalFormatting>
  <conditionalFormatting sqref="D827:D828">
    <cfRule type="expression" dxfId="78" priority="28" stopIfTrue="1">
      <formula>IF(WORKDAY($G827-1,1,S.DDL_DEQClosed)&lt;&gt;$G827,TRUE)</formula>
    </cfRule>
  </conditionalFormatting>
  <conditionalFormatting sqref="H828">
    <cfRule type="expression" dxfId="77" priority="25" stopIfTrue="1">
      <formula>IF($AF828=0,TRUE)</formula>
    </cfRule>
  </conditionalFormatting>
  <conditionalFormatting sqref="H828">
    <cfRule type="expression" dxfId="76" priority="26" stopIfTrue="1">
      <formula>IF(WORKDAY($G828-1,1,S.DDL_DEQClosed)&lt;&gt;$G828,TRUE)</formula>
    </cfRule>
  </conditionalFormatting>
  <conditionalFormatting sqref="H812">
    <cfRule type="expression" dxfId="75" priority="24" stopIfTrue="1">
      <formula>IF(WORKDAY($H812-1,1,S.DDL_DEQClosed)&lt;&gt;$H812,TRUE)</formula>
    </cfRule>
  </conditionalFormatting>
  <conditionalFormatting sqref="D812:E812">
    <cfRule type="expression" dxfId="74" priority="22">
      <formula>IF(OR($D812="X",$D812="x"),TRUE)</formula>
    </cfRule>
  </conditionalFormatting>
  <conditionalFormatting sqref="B812:H812">
    <cfRule type="expression" dxfId="73" priority="21" stopIfTrue="1">
      <formula>IF($AF812=0,TRUE)</formula>
    </cfRule>
  </conditionalFormatting>
  <conditionalFormatting sqref="F811">
    <cfRule type="expression" dxfId="57" priority="20">
      <formula>IF(OR($D811="X",$D811="x"),TRUE)</formula>
    </cfRule>
  </conditionalFormatting>
  <conditionalFormatting sqref="G811">
    <cfRule type="expression" dxfId="54" priority="19">
      <formula>IF(OR($D811="X",$D811="x"),TRUE)</formula>
    </cfRule>
  </conditionalFormatting>
  <conditionalFormatting sqref="H811">
    <cfRule type="expression" dxfId="51" priority="18">
      <formula>IF(OR($D811="X",$D811="x"),TRUE)</formula>
    </cfRule>
  </conditionalFormatting>
  <conditionalFormatting sqref="G812">
    <cfRule type="expression" dxfId="48" priority="17" stopIfTrue="1">
      <formula>IF(WORKDAY($H812-1,1,S.DDL_DEQClosed)&lt;&gt;$H812,TRUE)</formula>
    </cfRule>
  </conditionalFormatting>
  <conditionalFormatting sqref="H795">
    <cfRule type="expression" dxfId="42" priority="16" stopIfTrue="1">
      <formula>IF(WORKDAY($G795-1,1,S.DDL_DEQClosed)&lt;&gt;$G795,TRUE)</formula>
    </cfRule>
  </conditionalFormatting>
  <conditionalFormatting sqref="G790">
    <cfRule type="expression" dxfId="30" priority="10" stopIfTrue="1">
      <formula>IF($AF790=0,TRUE)</formula>
    </cfRule>
  </conditionalFormatting>
  <conditionalFormatting sqref="G790">
    <cfRule type="expression" dxfId="28" priority="11" stopIfTrue="1">
      <formula>IF(WORKDAY($G790-1,1,S.DDL_DEQClosed)&lt;&gt;$G790,TRUE)</formula>
    </cfRule>
  </conditionalFormatting>
  <conditionalFormatting sqref="G793">
    <cfRule type="expression" dxfId="22" priority="8" stopIfTrue="1">
      <formula>IF($AF793=0,TRUE)</formula>
    </cfRule>
  </conditionalFormatting>
  <conditionalFormatting sqref="G793">
    <cfRule type="expression" dxfId="20" priority="9" stopIfTrue="1">
      <formula>IF(WORKDAY($G793-1,1,S.DDL_DEQClosed)&lt;&gt;$G793,TRUE)</formula>
    </cfRule>
  </conditionalFormatting>
  <conditionalFormatting sqref="H794">
    <cfRule type="expression" dxfId="15" priority="7" stopIfTrue="1">
      <formula>IF(WORKDAY($G794-1,1,S.DDL_DEQClosed)&lt;&gt;$G794,TRUE)</formula>
    </cfRule>
  </conditionalFormatting>
  <conditionalFormatting sqref="H793">
    <cfRule type="expression" dxfId="13" priority="5" stopIfTrue="1">
      <formula>IF($AF793=0,TRUE)</formula>
    </cfRule>
  </conditionalFormatting>
  <conditionalFormatting sqref="H793">
    <cfRule type="expression" dxfId="11" priority="6" stopIfTrue="1">
      <formula>IF(WORKDAY($G793-1,1,S.DDL_DEQClosed)&lt;&gt;$G793,TRUE)</formula>
    </cfRule>
  </conditionalFormatting>
  <conditionalFormatting sqref="H792">
    <cfRule type="expression" dxfId="8" priority="4" stopIfTrue="1">
      <formula>IF(WORKDAY($G792-1,1,S.DDL_DEQClosed)&lt;&gt;$G792,TRUE)</formula>
    </cfRule>
  </conditionalFormatting>
  <conditionalFormatting sqref="H791">
    <cfRule type="expression" dxfId="5" priority="3" stopIfTrue="1">
      <formula>IF(WORKDAY($G791-1,1,S.DDL_DEQClosed)&lt;&gt;$G791,TRUE)</formula>
    </cfRule>
  </conditionalFormatting>
  <conditionalFormatting sqref="H790">
    <cfRule type="expression" dxfId="3" priority="1" stopIfTrue="1">
      <formula>IF($AF790=0,TRUE)</formula>
    </cfRule>
  </conditionalFormatting>
  <conditionalFormatting sqref="H790">
    <cfRule type="expression" dxfId="1" priority="2" stopIfTrue="1">
      <formula>IF(WORKDAY($G790-1,1,S.DDL_DEQClosed)&lt;&gt;$G790,TRUE)</formula>
    </cfRule>
  </conditionalFormatting>
  <dataValidations xWindow="1357" yWindow="581" count="21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65:H868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76">
      <formula1>G676</formula1>
      <formula2>G676</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718 H723">
      <formula1>G718</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89 H190 H904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57 H753:H755 H812">
      <formula1>G753</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99 H803 H807 H550 H554 H558">
      <formula1>G550</formula1>
      <formula2>S.EQC.SubmitStaffRpt</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93">
      <formula1>G693</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93">
      <formula1>MAX(H688:H692)</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87">
      <formula1>G687</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71">
      <formula1>G870</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816 H800:H802 H804:H806 H824:H827 H551:H553 H555:H557 H559:H561 H796:H798 H781 H813:H814 H808:H810">
      <formula1>G551</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89">
      <formula1>G789</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68 H624 H673">
      <formula1>G624</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77">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37">
      <formula1>H635</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32">
      <formula1>G732</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842">
      <formula1>G842</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38:H742">
      <formula1>G738</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8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99">
      <formula1>H782</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10:H513 H516:H522 H531">
      <formula1>G510</formula1>
      <formula2>S.Notice.Submit.ToSponsoringMgr</formula2>
    </dataValidation>
    <dataValidation type="date" operator="greaterThan" allowBlank="1" showInputMessage="1" showErrorMessage="1" promptTitle="LOCKED" prompt="Date set under Overview of Key Dates_x000a__x000a__x000a_" sqref="H585">
      <formula1>G585</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613">
      <formula1>G613</formula1>
      <formula2>S.Notice.PreviewBegin</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611">
      <formula1>G611</formula1>
      <formula2>#REF!</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620">
      <formula1>#REF!</formula1>
      <formula2>H622</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611">
      <formula1>G585</formula1>
    </dataValidation>
    <dataValidation operator="greaterThanOrEqual" allowBlank="1" showInputMessage="1" showErrorMessage="1" sqref="AG613 AG233 AG630 AG668 AG673 AG815:AH815 AG835:AH835 AG850 AG493 AG250:AG251 AG510:AG513 AG229 AG508 AG516:AG532 AH545 AH543 AG550:AG561 AG611 AG840:AH840 AG823:AH823"/>
    <dataValidation allowBlank="1" showInputMessage="1" showErrorMessage="1" promptTitle="START DATE" prompt="DEFAULT   1st work day after the end of the rule publication work period_x000a__x000a_" sqref="G613"/>
    <dataValidation allowBlank="1" showInputMessage="1" showErrorMessage="1" errorTitle="LOCKED" error="Date set under Overview of Key Dates banner by Rules Group Lead" promptTitle="LOCKED" prompt="Date set under Overview of Key Dates banner by Rules Group Lead_x000a__x000a__x000a_" sqref="G585"/>
    <dataValidation allowBlank="1" showInputMessage="1" showErrorMessage="1" promptTitle="TEAM DISCRETION" prompt="The team may place an &quot;X&quot; in this location to indicate the task has been completed." sqref="D654:E654 D578:E579 D79:E79 D650:E650 D647:E647 D637:E637 D630:E635 D616:D618 D609 D621:D623 E605:E606 E599 D612:E613 D615:E615 E620 D627:E627 D889:E889 D895:E895 D842:E842 E724 D908:E908 D901:E904 D859:E860 D870:E872 D865:E868 D862:E863 D807:E807 D803:E803 D799:E799 D836:E839 D772:E778 D723:D724 D897:E899 D685:E685 D690:E700 D738:E744 D687:E688 D718:E721 D731:E732 D658:E660 D662:E666 D668:E678 D726:E729 D569:E569 D641:D643 D638:D639 D564:E564 D565:D568 D534:E539 D281:D284 D279 E279:E284 D264:D269 E264:E271 D98:E100 D95:E95 D150:E163 D146:E146 D102:E102 D115:E129 D171:E171 D181:E183 D169:E169 D174:E175 D190:E190 D201:E214 D415:E422 D438:E445 D392:E399 D369:E376 D432:E436 D447:E449 D386:E390 D409:E413 D378:E381 D424:E427 D355:E358 D363:E367 D401:E404 D330:E331 D347:E353 D337:E338 D328:E328 D325:E326 D333:E334 D341:E345 D458:E458 D460:E464 D466:E470 D475:E482 D472:E472 D484:E484 D316:E323 D291:E310 D271 D218:E218 D229:E230 D233:E234 C236:E236 D246:E248 E258:E261 D277:E277 D250:E251 D558:E558 D550:E550 D554:E554 D87:E93 D72:E77 D57:E69 D82:E85 D829:E834 E780"/>
    <dataValidation allowBlank="1" showErrorMessage="1" promptTitle="OUTCOME BASED MEASURE" prompt="The number of loops is a reportable measure for outcome-based measures. Please track the start and end date for each loop. Ask the PE to add more loop lines if needed." sqref="B739:B742 B583:B587 B803 B612:B618 B531 B807 B799 B569:B573 B564 B207:B210 B514:B515 B554 B558 B550 B823"/>
    <dataValidation allowBlank="1" showErrorMessage="1" sqref="AK859:AK863 B859:B863"/>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687:AG692 AG838:AG839">
      <formula1>S.Notice.BANNER.Begin</formula1>
      <formula2>S.Notice.CloseComment</formula2>
    </dataValidation>
    <dataValidation allowBlank="1" showErrorMessage="1" promptTitle="TEAM DISCRETION" prompt="The team may place an &quot;X&quot; in this location to indicate the task has been completed." sqref="C768 AL300 C534 C161 C201 D427:E427 D381:E381 D358:E358 D337:E338 D333:E334 C271 D404:E404"/>
    <dataValidation allowBlank="1" showInputMessage="1" showErrorMessage="1" errorTitle="LOCKED:CHANGE UNDER NOTICE" sqref="AK704 AK706 AK708 AK710 AK712 AK714 AK716"/>
    <dataValidation allowBlank="1" showInputMessage="1" showErrorMessage="1" errorTitle="LOCKED:CHANGE UNDER NOTICE" error="Change the city name under 4-Notice banner" sqref="AK702 B716 B714 B712 B710 B708 B706 B704 B702"/>
    <dataValidation allowBlank="1" showInputMessage="1" showErrorMessage="1" promptTitle="LOCKED: CANNOT CHANGE DATE HERE" prompt="Change the hearing dates under Public notice section." sqref="AH716 AH714 AH712 AH710 AH708 AH706 AH704 AH702 H704 H706 H708 H710 H712 H714 H702 H716"/>
    <dataValidation allowBlank="1" showInputMessage="1" sqref="AG693:AG697"/>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46 H681 H748 H453 H488 H288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904">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908 G901">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901:H903 H908">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89">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92 H871:H872 H877">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95">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95">
      <formula1>S.PostEQC.FileRuleWithSOS</formula1>
    </dataValidation>
    <dataValidation allowBlank="1" showInputMessage="1" showErrorMessage="1" errorTitle="LOCKED" error="Modify under Overview of Key Dates." promptTitle="LOCKED" prompt="The EQC meeting date. Modify under Overview of Key Dates." sqref="G899"/>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99">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70">
      <formula1>S.EQC.Meeting</formula1>
    </dataValidation>
    <dataValidation type="date" allowBlank="1" showInputMessage="1" showErrorMessage="1" sqref="H852">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47">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47">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46 G681 G748 G488 G453 G288 G53 G1:G2"/>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836 G829">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836 H829">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842">
      <formula1>S.EQC.BANNER.Begin</formula1>
      <formula2>S.Overview.BANNER.End</formula2>
    </dataValidation>
    <dataValidation type="list" allowBlank="1" showInputMessage="1" showErrorMessage="1" sqref="C898 C571:C573 C637 C816 C803 C799 C807 C695:C697 C740:C742 C859 C192:C197 C174 C208:C210 C437 C426 C380 C391 C368 C357 C414 C403 C346 C332 C468:C470 C479:C481 C318:C319 C257:C261 C219:C226 C550 C554 C558 C37:C39 C49 C29 C6 C22 C18 C12 C14:C15 C31">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77"/>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82"/>
    <dataValidation allowBlank="1" showInputMessage="1" showErrorMessage="1" promptTitle="ADDRESS" prompt="SHUTTLE LABLELS stored with Agency rules coordinator_x000a__x000a_Legislative Counsel_x000a_900 Court St NE S101_x000a_Salem, OR 97301_x000a_142000 " sqref="B872"/>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46 F748 F681 F453 F288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555:G557 G824:G826 G804:G806 G800:G802 G781:G782 G757 G796:G798 G551:G553 G559:G561 G753:G755 H782 G786:H786 G808:G810 G812:G814">
      <formula1>S.EQC.BANNER.Begin</formula1>
      <formula2>S.EQC.BANNER.End</formula2>
    </dataValidation>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807 G803 G558 G554">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816">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89:G794 G233:G234 G250:G251 H790:H794">
      <formula1>S.Notice.BANNER.Begin</formula1>
      <formula2>S.Notice.OpenComment</formula2>
    </dataValidation>
    <dataValidation type="date" allowBlank="1" showErrorMessage="1" errorTitle="INVALID DATE" error="If you need a differenct date, change the Submit notice to SOS under Key dates." sqref="H661 H658">
      <formula1>#REF!</formula1>
      <formula2>#REF!</formula2>
    </dataValidation>
    <dataValidation type="date" allowBlank="1" showInputMessage="1" showErrorMessage="1" promptTitle="LOCKED" prompt="DEFAULT   EQC Meeting date selected in cell G10" sqref="H749">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49"/>
    <dataValidation allowBlank="1" showInputMessage="1" showErrorMessage="1" errorTitle="LOCKED" error="Change under Overview of Key Dates" promptTitle="LOCKED" prompt="Change under Overview of Key Dates" sqref="H722"/>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39:G742">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718 G723">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94:H697 H699:H700 H685">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94:G697 G699:G700 G685">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87">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82">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82">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31">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32">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76">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77 G484">
      <formula1>S.Notice.BANNER.Begin</formula1>
    </dataValidation>
    <dataValidation allowBlank="1" showInputMessage="1" showErrorMessage="1" errorTitle="LOCKED" error="To make changes" sqref="H657"/>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56 B248 B233:B234"/>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37 H639 H630">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630">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627">
      <formula1>S.Notice.PreviewBegin</formula1>
      <formula2>S.Notice.EMAIL.RulePublication</formula2>
    </dataValidation>
    <dataValidation allowBlank="1" showInputMessage="1" showErrorMessage="1" errorTitle="LOCKED" error="Set under Overview of Key Dates by Rules Group Lead" promptTitle="LOCKED" prompt="Set under Overview of Key Dates by Rules Group Lead" sqref="G627"/>
    <dataValidation allowBlank="1" showInputMessage="1" showErrorMessage="1" errorTitle="OUTSIDE VALID DATE RANGE" error="Enter a date earlier than the day before Rule Publication work begins" promptTitle="TASK END" prompt="DEFUALT         1 workdays before Rule Publication work starts_x000a__x000a_OVERWRITE     Yes, to an earler date_x000a__x000a_" sqref="H571:H573 H569 H564"/>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50">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41"/>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2:H543 H545"/>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2 G531">
      <formula1>S.Notice.BANNER.Begin</formula1>
      <formula2>S.Notice.BANNER.End</formula2>
    </dataValidation>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79 G467:G470 G464">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46 H400 H354 H423"/>
    <dataValidation allowBlank="1" showInputMessage="1" showErrorMessage="1" promptTitle="ENTER TIME" prompt="Enter the time of the advisory committee meeting as hh:mm followed by a.m. or p.m._x000a__x000a__x000a_" sqref="H426 H332 H403 H357 H380"/>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404 G427 G381">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47:G448 G401:G402 G424:G425">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348 G350:G351 G334 G342:G345 G337:G338 G360:G367 G370 G372:G376 G383:G390 G393 G395:G399 G406:G413 G416 G418:G422 G429:G436 G439">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308 G292">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82:E382 D405:E405 D359:E359"/>
    <dataValidation allowBlank="1" showInputMessage="1" showErrorMessage="1" promptTitle="ENTER LOCATION" prompt="Enter location of advisory committee meeting." sqref="F426 F380 F357 F403"/>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174:H175 H181:H182 H271 H284 H281:H282">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188 G215 G172 G198 G252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G207 G203:G204 G201">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6"/>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10:G513 G516:G521">
      <formula1>$G$508</formula1>
      <formula2>$H$508</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8">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85" r:id="rId3" display="Q"/>
    <hyperlink ref="C299" r:id="rId4" display="i"/>
    <hyperlink ref="C339" r:id="rId5" display="i"/>
    <hyperlink ref="AL300" r:id="rId6"/>
    <hyperlink ref="C271" r:id="rId7" display="i"/>
    <hyperlink ref="C870" r:id="rId8" display="i"/>
    <hyperlink ref="C872" r:id="rId9" display="i"/>
    <hyperlink ref="C700" r:id="rId10" display="Q"/>
    <hyperlink ref="C328" r:id="rId11" display="i"/>
    <hyperlink ref="C352" r:id="rId12" display="i"/>
    <hyperlink ref="C658" r:id="rId13"/>
    <hyperlink ref="C250" location="HearingAndAdDates!A1" display="i"/>
    <hyperlink ref="C659" r:id="rId14"/>
    <hyperlink ref="C201" r:id="rId15" display="i"/>
    <hyperlink ref="C689" r:id="rId16" display="Q"/>
    <hyperlink ref="C754" r:id="rId17" display="i"/>
    <hyperlink ref="C247" r:id="rId18" display="i"/>
    <hyperlink ref="C731" r:id="rId19"/>
    <hyperlink ref="C255" r:id="rId20" display="i"/>
    <hyperlink ref="C171" r:id="rId21" display="i"/>
    <hyperlink ref="C335" r:id="rId22" display="i"/>
    <hyperlink ref="C383" r:id="rId23" display="i"/>
    <hyperlink ref="C406" r:id="rId24" display="i"/>
    <hyperlink ref="C429" r:id="rId25" display="i"/>
    <hyperlink ref="C385" r:id="rId26" display="i"/>
    <hyperlink ref="C408" r:id="rId27" display="i"/>
    <hyperlink ref="C431" r:id="rId28" display="i"/>
    <hyperlink ref="C393" r:id="rId29" display="i"/>
    <hyperlink ref="C416" r:id="rId30" display="i"/>
    <hyperlink ref="C439" r:id="rId31" display="i"/>
    <hyperlink ref="C397" r:id="rId32" display="i"/>
    <hyperlink ref="C420" r:id="rId33" display="i"/>
    <hyperlink ref="C443" r:id="rId34" display="i"/>
    <hyperlink ref="C401" r:id="rId35" display="i"/>
    <hyperlink ref="C424" r:id="rId36" display="i"/>
    <hyperlink ref="C447" r:id="rId37" display="i"/>
    <hyperlink ref="C534" r:id="rId38" display="i"/>
    <hyperlink ref="C768" r:id="rId39" display="i"/>
    <hyperlink ref="B258" r:id="rId40" display="mailto:JoKRanch@hotmail.com"/>
    <hyperlink ref="B259" r:id="rId41"/>
    <hyperlink ref="B260" r:id="rId42"/>
    <hyperlink ref="B261" r:id="rId43"/>
    <hyperlink ref="C295" r:id="rId44" display="i"/>
    <hyperlink ref="B312" r:id="rId45"/>
    <hyperlink ref="B313" r:id="rId46"/>
    <hyperlink ref="B314" r:id="rId47"/>
    <hyperlink ref="B315" r:id="rId48"/>
    <hyperlink ref="AK112" r:id="rId49" display="mailto:Comment-CodeName@deq.state,or,us"/>
    <hyperlink ref="AK114" r:id="rId50" display="mailto:Comment-CodeName@deq.state.or.us"/>
    <hyperlink ref="B311" r:id="rId51" display="mailto:MEden@neea.org"/>
    <hyperlink ref="C378" r:id="rId52" display="i"/>
    <hyperlink ref="C374" r:id="rId53" display="i"/>
    <hyperlink ref="C370" r:id="rId54" display="i"/>
    <hyperlink ref="C362" r:id="rId55" display="i"/>
    <hyperlink ref="C360" r:id="rId56" display="i"/>
    <hyperlink ref="C268" r:id="rId57" display="i"/>
    <hyperlink ref="B257" r:id="rId58" display="mailto:MEden@neea.org"/>
    <hyperlink ref="AK107" r:id="rId59" display="mailto:Comment-CodeName@deq.state,or,us"/>
    <hyperlink ref="C230" location="S.HearingsOfficers" display="i"/>
    <hyperlink ref="C818" r:id="rId60"/>
    <hyperlink ref="C819" r:id="rId61"/>
    <hyperlink ref="C820" r:id="rId62"/>
    <hyperlink ref="C821" r:id="rId63"/>
    <hyperlink ref="C817" r:id="rId64" display="mailto:MEden@neea.org"/>
    <hyperlink ref="C570" r:id="rId65"/>
    <hyperlink ref="C578" r:id="rId66"/>
    <hyperlink ref="C577" r:id="rId67" display="i"/>
  </hyperlinks>
  <pageMargins left="0.53" right="0.25" top="1" bottom="0.36" header="0.3" footer="0.3"/>
  <pageSetup orientation="portrait" horizontalDpi="4294967293" r:id="rId68"/>
  <headerFooter>
    <oddHeader xml:space="preserve">&amp;L&amp;"Times New Roman,Bold"&amp;22&amp;K04-035Schedule of Tasks&amp;C&amp;"Times New Roman,Regular"&amp;14&amp;K04-043AQ Permitting&amp;R&amp;"Times New Roman,Regular"&amp;12&amp;K04-040
&amp;D
&amp;P of &amp;N
</oddHeader>
  </headerFooter>
  <rowBreaks count="8" manualBreakCount="8">
    <brk id="51" min="1" max="7" man="1"/>
    <brk id="286" min="1" max="7" man="1"/>
    <brk id="356" min="1" max="7" man="1"/>
    <brk id="402" min="1" max="7" man="1"/>
    <brk id="451" min="1" max="7" man="1"/>
    <brk id="486" min="1" max="7" man="1"/>
    <brk id="679" min="1" max="7" man="1"/>
    <brk id="844" min="1" max="7" man="1"/>
  </rowBreaks>
  <ignoredErrors>
    <ignoredError sqref="G685:H685 H475:H476 G479:G481 G694:H698 G743:H743 G757:H757 G841:H843 G901:H908 G739:G742 H881:H885 H892:H896 H852 H877 H879 H888 G142:H145 H899 G118:H119 G54 G129 G124:H124 G169:H170 G321:H322 G311:H315 H120 G161:H162 G189:H189 G203:H210 G263:H263 G278:H278 H283 G317:H319 G324:H328 D353 H466 G55:H56 G173:H173 G177:H177 G40:H41 G116:H116 G131:H134 G21:H21 G201:H201 G199:H199 H190 D538:D539 G191:H193 D534 G13:H13 G36:H37 G17:H17 G47:H53 G196:H197 G355:H356 F382:H445 F467:H470 F458:H459 D382:D445 D355:D356 H354 G769:H771 G825:H826 G815:H816 H859:H872 H18 G15:H15 G449:H449 G30:G32 D536 F447:H448 H446 D447:D449 G836:H836 G753:H755 G796:H810 G823:H823" unlockedFormula="1"/>
  </ignoredErrors>
  <drawing r:id="rId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7"/>
  <sheetViews>
    <sheetView workbookViewId="0">
      <selection activeCell="D9" sqref="D9"/>
    </sheetView>
  </sheetViews>
  <sheetFormatPr defaultRowHeight="14.25" x14ac:dyDescent="0.2"/>
  <cols>
    <col min="1" max="1" width="1.125" customWidth="1"/>
    <col min="2" max="2" width="12.25" style="28" customWidth="1"/>
    <col min="3" max="3" width="41.125" customWidth="1"/>
    <col min="4" max="4" width="16.625" customWidth="1"/>
    <col min="5" max="5" width="59.125" style="23" customWidth="1"/>
    <col min="6" max="6" width="26.375" customWidth="1"/>
    <col min="7" max="7" width="12.75" customWidth="1"/>
  </cols>
  <sheetData>
    <row r="1" spans="1:7" ht="21.75" customHeight="1" x14ac:dyDescent="0.25">
      <c r="A1" s="75"/>
      <c r="B1" s="143"/>
      <c r="C1" s="75"/>
      <c r="D1" s="33" t="s">
        <v>710</v>
      </c>
      <c r="E1" s="33" t="s">
        <v>35</v>
      </c>
      <c r="F1" s="33" t="s">
        <v>30</v>
      </c>
      <c r="G1" s="131" t="s">
        <v>49</v>
      </c>
    </row>
    <row r="2" spans="1:7" s="941" customFormat="1" ht="33.75" customHeight="1" x14ac:dyDescent="0.25">
      <c r="A2" s="75"/>
      <c r="B2" s="942"/>
      <c r="C2" s="75"/>
      <c r="D2" s="945"/>
      <c r="E2" s="950" t="s">
        <v>706</v>
      </c>
      <c r="G2" s="131"/>
    </row>
    <row r="3" spans="1:7" s="941" customFormat="1" ht="25.5" x14ac:dyDescent="0.35">
      <c r="A3" s="75"/>
      <c r="B3" s="1017" t="s">
        <v>714</v>
      </c>
      <c r="C3" s="1017"/>
      <c r="D3" s="141"/>
      <c r="E3" s="147"/>
      <c r="F3" s="146"/>
      <c r="G3" s="75"/>
    </row>
    <row r="4" spans="1:7" ht="18" x14ac:dyDescent="0.25">
      <c r="A4" s="75"/>
      <c r="B4" s="1019" t="s">
        <v>709</v>
      </c>
      <c r="C4" s="1019"/>
      <c r="E4" s="947" t="s">
        <v>705</v>
      </c>
      <c r="F4" s="145" t="s">
        <v>713</v>
      </c>
      <c r="G4" s="75"/>
    </row>
    <row r="5" spans="1:7" s="941" customFormat="1" ht="12" customHeight="1" x14ac:dyDescent="0.2">
      <c r="A5" s="75"/>
      <c r="B5" s="1020" t="s">
        <v>715</v>
      </c>
      <c r="C5" s="1020"/>
      <c r="D5" s="142" t="s">
        <v>708</v>
      </c>
      <c r="E5" s="948" t="s">
        <v>711</v>
      </c>
      <c r="F5" s="146"/>
      <c r="G5" s="75"/>
    </row>
    <row r="6" spans="1:7" s="941" customFormat="1" ht="12" customHeight="1" x14ac:dyDescent="0.2">
      <c r="A6" s="75"/>
      <c r="B6" s="1020" t="s">
        <v>716</v>
      </c>
      <c r="C6" s="1020"/>
      <c r="D6" s="946" t="s">
        <v>707</v>
      </c>
      <c r="E6" s="949" t="s">
        <v>712</v>
      </c>
      <c r="F6" s="146"/>
      <c r="G6" s="75"/>
    </row>
    <row r="7" spans="1:7" s="23" customFormat="1" x14ac:dyDescent="0.2">
      <c r="A7" s="75"/>
      <c r="B7" s="143"/>
      <c r="C7" s="75"/>
      <c r="D7" s="141"/>
      <c r="E7" s="147"/>
      <c r="F7" s="146"/>
      <c r="G7" s="75"/>
    </row>
    <row r="8" spans="1:7" ht="18" x14ac:dyDescent="0.25">
      <c r="A8" s="75"/>
      <c r="B8" s="1018" t="s">
        <v>34</v>
      </c>
      <c r="C8" s="1018"/>
      <c r="E8"/>
      <c r="F8" s="75"/>
      <c r="G8" s="75"/>
    </row>
    <row r="9" spans="1:7" x14ac:dyDescent="0.2">
      <c r="A9" s="75"/>
      <c r="B9" s="1021" t="s">
        <v>717</v>
      </c>
      <c r="C9" s="1022"/>
      <c r="D9" s="149" t="s">
        <v>33</v>
      </c>
      <c r="E9" s="145" t="s">
        <v>718</v>
      </c>
      <c r="F9" s="75" t="s">
        <v>719</v>
      </c>
      <c r="G9" s="75"/>
    </row>
    <row r="10" spans="1:7" x14ac:dyDescent="0.2">
      <c r="A10" s="75"/>
      <c r="B10" s="1021"/>
      <c r="C10" s="1022"/>
      <c r="D10" s="149" t="s">
        <v>33</v>
      </c>
      <c r="E10" s="145" t="s">
        <v>720</v>
      </c>
      <c r="F10" s="75" t="s">
        <v>721</v>
      </c>
      <c r="G10" s="75"/>
    </row>
    <row r="11" spans="1:7" s="941" customFormat="1" x14ac:dyDescent="0.2">
      <c r="A11" s="75"/>
      <c r="B11" s="951"/>
      <c r="C11" s="952"/>
      <c r="D11"/>
      <c r="E11" s="145"/>
      <c r="F11" s="75"/>
      <c r="G11" s="75"/>
    </row>
    <row r="12" spans="1:7" ht="18" x14ac:dyDescent="0.25">
      <c r="A12" s="75"/>
      <c r="B12" s="1018" t="s">
        <v>40</v>
      </c>
      <c r="C12" s="1018"/>
      <c r="D12" s="75"/>
      <c r="E12" s="75"/>
      <c r="F12" s="75"/>
      <c r="G12" s="75"/>
    </row>
    <row r="13" spans="1:7" x14ac:dyDescent="0.2">
      <c r="A13" s="75"/>
      <c r="B13" s="143"/>
      <c r="C13" s="75" t="s">
        <v>50</v>
      </c>
      <c r="D13" s="148" t="s">
        <v>27</v>
      </c>
      <c r="E13" s="145" t="s">
        <v>39</v>
      </c>
      <c r="F13" s="75" t="s">
        <v>42</v>
      </c>
      <c r="G13" s="75"/>
    </row>
    <row r="14" spans="1:7" x14ac:dyDescent="0.2">
      <c r="A14" s="75"/>
      <c r="B14" s="143"/>
      <c r="C14" s="75"/>
      <c r="D14" s="25" t="s">
        <v>26</v>
      </c>
      <c r="E14" s="147" t="s">
        <v>41</v>
      </c>
      <c r="F14" s="75" t="s">
        <v>42</v>
      </c>
      <c r="G14" s="75"/>
    </row>
    <row r="15" spans="1:7" x14ac:dyDescent="0.2">
      <c r="A15" s="75"/>
      <c r="B15" s="143"/>
      <c r="C15" s="75"/>
      <c r="D15" s="24" t="s">
        <v>25</v>
      </c>
      <c r="E15" s="147" t="s">
        <v>43</v>
      </c>
      <c r="F15" s="75" t="s">
        <v>42</v>
      </c>
      <c r="G15" s="75"/>
    </row>
    <row r="16" spans="1:7" x14ac:dyDescent="0.2">
      <c r="A16" s="75"/>
      <c r="B16" s="143"/>
      <c r="C16" s="75"/>
      <c r="D16" s="75"/>
      <c r="E16" s="75"/>
      <c r="F16" s="75"/>
      <c r="G16" s="75"/>
    </row>
    <row r="17" spans="1:7" x14ac:dyDescent="0.2">
      <c r="A17" s="75"/>
      <c r="B17" s="143"/>
      <c r="C17" s="75"/>
      <c r="D17" s="75"/>
      <c r="E17" s="75"/>
      <c r="F17" s="75"/>
      <c r="G17" s="75"/>
    </row>
    <row r="18" spans="1:7" x14ac:dyDescent="0.2">
      <c r="A18" s="75"/>
      <c r="B18" s="143"/>
      <c r="C18" s="75"/>
      <c r="D18" s="75"/>
      <c r="E18" s="75"/>
      <c r="F18" s="75"/>
      <c r="G18" s="75"/>
    </row>
    <row r="19" spans="1:7" x14ac:dyDescent="0.2">
      <c r="A19" s="75"/>
      <c r="B19" s="143"/>
      <c r="C19" s="75"/>
      <c r="D19" s="75"/>
      <c r="E19" s="75" t="s">
        <v>51</v>
      </c>
      <c r="F19" s="75" t="s">
        <v>0</v>
      </c>
      <c r="G19" s="75"/>
    </row>
    <row r="20" spans="1:7" x14ac:dyDescent="0.2">
      <c r="A20" s="75"/>
      <c r="B20" s="143"/>
      <c r="C20" s="75"/>
      <c r="D20" s="75"/>
      <c r="E20" s="75" t="s">
        <v>52</v>
      </c>
      <c r="F20" s="75" t="s">
        <v>0</v>
      </c>
      <c r="G20" s="75"/>
    </row>
    <row r="21" spans="1:7" x14ac:dyDescent="0.2">
      <c r="A21" s="75"/>
      <c r="B21" s="143"/>
      <c r="C21" s="75"/>
      <c r="D21" s="75"/>
      <c r="E21" s="75"/>
      <c r="F21" s="75"/>
      <c r="G21" s="75"/>
    </row>
    <row r="22" spans="1:7" x14ac:dyDescent="0.2">
      <c r="A22" s="75"/>
      <c r="B22" s="143"/>
      <c r="C22" s="75"/>
      <c r="D22" s="75"/>
      <c r="E22" s="75"/>
      <c r="F22" s="75"/>
      <c r="G22" s="75"/>
    </row>
    <row r="23" spans="1:7" x14ac:dyDescent="0.2">
      <c r="A23" s="75"/>
      <c r="B23" s="143"/>
      <c r="C23" s="75"/>
      <c r="D23" s="75"/>
      <c r="F23" s="75"/>
      <c r="G23" s="75"/>
    </row>
    <row r="24" spans="1:7" x14ac:dyDescent="0.2">
      <c r="A24" s="75"/>
      <c r="B24" s="143"/>
      <c r="C24" s="75"/>
      <c r="D24" s="75"/>
      <c r="E24" s="75"/>
      <c r="F24" s="75"/>
      <c r="G24" s="75"/>
    </row>
    <row r="26" spans="1:7" x14ac:dyDescent="0.2">
      <c r="A26" s="75"/>
      <c r="B26" s="143"/>
      <c r="C26" s="75"/>
      <c r="D26" s="75"/>
      <c r="E26" s="75"/>
      <c r="F26" s="75"/>
      <c r="G26" s="75"/>
    </row>
    <row r="27" spans="1:7" x14ac:dyDescent="0.2">
      <c r="D27" s="75"/>
      <c r="E27" s="75"/>
      <c r="F27" s="75"/>
      <c r="G27" s="75"/>
    </row>
  </sheetData>
  <mergeCells count="7">
    <mergeCell ref="B3:C3"/>
    <mergeCell ref="B8:C8"/>
    <mergeCell ref="B12:C12"/>
    <mergeCell ref="B4:C4"/>
    <mergeCell ref="B5:C5"/>
    <mergeCell ref="B6:C6"/>
    <mergeCell ref="B9:C10"/>
  </mergeCells>
  <pageMargins left="0.2" right="0.2" top="0.25" bottom="0.2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10"/>
  <sheetViews>
    <sheetView workbookViewId="0">
      <selection activeCell="B20" sqref="B20"/>
    </sheetView>
  </sheetViews>
  <sheetFormatPr defaultRowHeight="14.25" x14ac:dyDescent="0.2"/>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26" customWidth="1"/>
    <col min="13" max="17" width="3.125" customWidth="1"/>
    <col min="18" max="19" width="3.125" style="524" customWidth="1"/>
    <col min="20" max="24" width="3.125" customWidth="1"/>
    <col min="25" max="26" width="3.125" style="524" customWidth="1"/>
    <col min="27" max="31" width="3.125" customWidth="1"/>
    <col min="32" max="33" width="3.125" style="524" customWidth="1"/>
    <col min="34" max="38" width="3.125" style="23" customWidth="1"/>
    <col min="39" max="40" width="3.125" style="524" customWidth="1"/>
    <col min="41" max="45" width="3.125" style="23" customWidth="1"/>
    <col min="46" max="47" width="3.125" style="524" customWidth="1"/>
    <col min="48" max="52" width="3.125" style="23" customWidth="1"/>
    <col min="53" max="54" width="3.125" style="524" customWidth="1"/>
    <col min="55" max="59" width="3.125" style="23" customWidth="1"/>
    <col min="60" max="61" width="3.125" style="524" customWidth="1"/>
  </cols>
  <sheetData>
    <row r="1" spans="1:61" s="23" customFormat="1" ht="37.5" customHeight="1" x14ac:dyDescent="0.25">
      <c r="A1" s="1027" t="str">
        <f>S.General.RulemakingTitle</f>
        <v>AQ Permitting</v>
      </c>
      <c r="B1" s="1027"/>
      <c r="C1" s="1027"/>
      <c r="D1" s="575"/>
      <c r="E1" s="75"/>
      <c r="F1" s="1024" t="str">
        <f>S.General.CodeName</f>
        <v>AQPerm</v>
      </c>
      <c r="G1" s="1024"/>
      <c r="H1" s="1024"/>
      <c r="I1" s="1024"/>
      <c r="J1" s="1024"/>
      <c r="K1" s="75"/>
      <c r="L1" s="75"/>
      <c r="M1" s="75"/>
      <c r="N1" s="1030" t="s">
        <v>0</v>
      </c>
      <c r="O1" s="1030"/>
      <c r="P1" s="1030"/>
      <c r="Q1" s="1030"/>
      <c r="R1" s="1030"/>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x14ac:dyDescent="0.25">
      <c r="A2" s="1028" t="s">
        <v>284</v>
      </c>
      <c r="B2" s="1028"/>
      <c r="C2" s="1028"/>
      <c r="D2" s="576"/>
      <c r="E2" s="534"/>
      <c r="F2" s="1023">
        <f ca="1">A3</f>
        <v>41914</v>
      </c>
      <c r="G2" s="1023"/>
      <c r="H2" s="1023"/>
      <c r="I2" s="1023"/>
      <c r="J2" s="1023"/>
      <c r="K2" s="1023"/>
      <c r="L2" s="1023"/>
      <c r="M2" s="1023">
        <f ca="1">M4</f>
        <v>41918</v>
      </c>
      <c r="N2" s="1023"/>
      <c r="O2" s="1023"/>
      <c r="P2" s="1023"/>
      <c r="Q2" s="1023"/>
      <c r="R2" s="1023"/>
      <c r="S2" s="1023"/>
      <c r="T2" s="1023">
        <f ca="1">T4</f>
        <v>41925</v>
      </c>
      <c r="U2" s="1023"/>
      <c r="V2" s="1023"/>
      <c r="W2" s="1023"/>
      <c r="X2" s="1023"/>
      <c r="Y2" s="1023"/>
      <c r="Z2" s="1023"/>
      <c r="AA2" s="1023">
        <f ca="1">AA4</f>
        <v>41932</v>
      </c>
      <c r="AB2" s="1023"/>
      <c r="AC2" s="1023"/>
      <c r="AD2" s="1023"/>
      <c r="AE2" s="1023"/>
      <c r="AF2" s="1023"/>
      <c r="AG2" s="1023"/>
      <c r="AH2" s="1023">
        <f ca="1">AH4</f>
        <v>41939</v>
      </c>
      <c r="AI2" s="1023"/>
      <c r="AJ2" s="1023"/>
      <c r="AK2" s="1023"/>
      <c r="AL2" s="1023"/>
      <c r="AM2" s="1023"/>
      <c r="AN2" s="1023"/>
      <c r="AO2" s="1023">
        <f ca="1">AO4</f>
        <v>41946</v>
      </c>
      <c r="AP2" s="1023"/>
      <c r="AQ2" s="1023"/>
      <c r="AR2" s="1023"/>
      <c r="AS2" s="1023"/>
      <c r="AT2" s="1023"/>
      <c r="AU2" s="1023"/>
      <c r="AV2" s="1023">
        <f ca="1">AV4</f>
        <v>41953</v>
      </c>
      <c r="AW2" s="1023"/>
      <c r="AX2" s="1023"/>
      <c r="AY2" s="1023"/>
      <c r="AZ2" s="1023"/>
      <c r="BA2" s="1023"/>
      <c r="BB2" s="1023"/>
      <c r="BC2" s="1023">
        <f ca="1">BC4</f>
        <v>41960</v>
      </c>
      <c r="BD2" s="1023"/>
      <c r="BE2" s="1023"/>
      <c r="BF2" s="1023"/>
      <c r="BG2" s="1023"/>
      <c r="BH2" s="1023"/>
      <c r="BI2" s="1023"/>
    </row>
    <row r="3" spans="1:61" ht="18.75" thickBot="1" x14ac:dyDescent="0.25">
      <c r="A3" s="1029">
        <f ca="1">TODAY()+E4</f>
        <v>41914</v>
      </c>
      <c r="B3" s="1029"/>
      <c r="C3" s="1029"/>
      <c r="D3" s="577"/>
      <c r="F3" s="523" t="s">
        <v>280</v>
      </c>
      <c r="G3" s="523" t="s">
        <v>21</v>
      </c>
      <c r="H3" s="523" t="s">
        <v>20</v>
      </c>
      <c r="I3" s="523" t="s">
        <v>21</v>
      </c>
      <c r="J3" s="523" t="s">
        <v>281</v>
      </c>
      <c r="K3" s="527" t="s">
        <v>282</v>
      </c>
      <c r="L3" s="527" t="s">
        <v>282</v>
      </c>
      <c r="M3" s="523" t="s">
        <v>280</v>
      </c>
      <c r="N3" s="523" t="s">
        <v>21</v>
      </c>
      <c r="O3" s="523" t="s">
        <v>20</v>
      </c>
      <c r="P3" s="523" t="s">
        <v>21</v>
      </c>
      <c r="Q3" s="523" t="s">
        <v>281</v>
      </c>
      <c r="R3" s="525" t="s">
        <v>282</v>
      </c>
      <c r="S3" s="525" t="s">
        <v>282</v>
      </c>
      <c r="T3" s="523" t="s">
        <v>280</v>
      </c>
      <c r="U3" s="523" t="s">
        <v>21</v>
      </c>
      <c r="V3" s="523" t="s">
        <v>20</v>
      </c>
      <c r="W3" s="523" t="s">
        <v>21</v>
      </c>
      <c r="X3" s="523" t="s">
        <v>281</v>
      </c>
      <c r="Y3" s="525" t="s">
        <v>282</v>
      </c>
      <c r="Z3" s="525" t="s">
        <v>282</v>
      </c>
      <c r="AA3" s="523" t="s">
        <v>280</v>
      </c>
      <c r="AB3" s="523" t="s">
        <v>21</v>
      </c>
      <c r="AC3" s="523" t="s">
        <v>20</v>
      </c>
      <c r="AD3" s="523" t="s">
        <v>21</v>
      </c>
      <c r="AE3" s="523" t="s">
        <v>281</v>
      </c>
      <c r="AF3" s="525" t="s">
        <v>282</v>
      </c>
      <c r="AG3" s="525" t="s">
        <v>282</v>
      </c>
      <c r="AH3" s="523" t="s">
        <v>280</v>
      </c>
      <c r="AI3" s="523" t="s">
        <v>21</v>
      </c>
      <c r="AJ3" s="523" t="s">
        <v>20</v>
      </c>
      <c r="AK3" s="523" t="s">
        <v>21</v>
      </c>
      <c r="AL3" s="523" t="s">
        <v>281</v>
      </c>
      <c r="AM3" s="525" t="s">
        <v>282</v>
      </c>
      <c r="AN3" s="525" t="s">
        <v>282</v>
      </c>
      <c r="AO3" s="523" t="s">
        <v>280</v>
      </c>
      <c r="AP3" s="523" t="s">
        <v>21</v>
      </c>
      <c r="AQ3" s="523" t="s">
        <v>20</v>
      </c>
      <c r="AR3" s="523" t="s">
        <v>21</v>
      </c>
      <c r="AS3" s="523" t="s">
        <v>281</v>
      </c>
      <c r="AT3" s="525" t="s">
        <v>282</v>
      </c>
      <c r="AU3" s="525" t="s">
        <v>282</v>
      </c>
      <c r="AV3" s="523" t="s">
        <v>280</v>
      </c>
      <c r="AW3" s="523" t="s">
        <v>21</v>
      </c>
      <c r="AX3" s="523" t="s">
        <v>20</v>
      </c>
      <c r="AY3" s="523" t="s">
        <v>21</v>
      </c>
      <c r="AZ3" s="523" t="s">
        <v>281</v>
      </c>
      <c r="BA3" s="525" t="s">
        <v>282</v>
      </c>
      <c r="BB3" s="525" t="s">
        <v>282</v>
      </c>
      <c r="BC3" s="523" t="s">
        <v>280</v>
      </c>
      <c r="BD3" s="523" t="s">
        <v>21</v>
      </c>
      <c r="BE3" s="523" t="s">
        <v>20</v>
      </c>
      <c r="BF3" s="523" t="s">
        <v>21</v>
      </c>
      <c r="BG3" s="523" t="s">
        <v>281</v>
      </c>
      <c r="BH3" s="525" t="s">
        <v>282</v>
      </c>
      <c r="BI3" s="525" t="s">
        <v>282</v>
      </c>
    </row>
    <row r="4" spans="1:61" s="23" customFormat="1" ht="16.5" thickBot="1" x14ac:dyDescent="0.3">
      <c r="A4" s="1025" t="s">
        <v>283</v>
      </c>
      <c r="B4" s="1025"/>
      <c r="C4" s="1026"/>
      <c r="D4" s="574"/>
      <c r="E4" s="528">
        <v>0</v>
      </c>
      <c r="F4" s="529" t="str">
        <f ca="1">IF(WEEKDAY($A$3,3)&lt;&gt;0,"-",$A$3)</f>
        <v>-</v>
      </c>
      <c r="G4" s="529" t="str">
        <f ca="1">IF(WEEKDAY($A$3,3)=1,$A$3,IF(WEEKDAY($A$3,3)&lt;1,F4+1,"-"))</f>
        <v>-</v>
      </c>
      <c r="H4" s="529" t="str">
        <f ca="1">IF(WEEKDAY($A$3,3)=2,$A$3,IF(WEEKDAY($A$3,3)&lt;2,G4+1,"-"))</f>
        <v>-</v>
      </c>
      <c r="I4" s="529">
        <f ca="1">IF(WEEKDAY($A$3,3)=3,$A$3,IF(WEEKDAY($A$3,3)&lt;3,H4+1,"-"))</f>
        <v>41914</v>
      </c>
      <c r="J4" s="529">
        <f ca="1">IF(WEEKDAY($A$3,3)=4,$A$3,IF(WEEKDAY($A$3,3)&lt;4,I4+1,"-"))</f>
        <v>41915</v>
      </c>
      <c r="K4" s="530">
        <f ca="1">IF(WEEKDAY($A$3,3)=5,$A$3,IF(WEEKDAY($A$3,3)&lt;5,J4+1,"-"))</f>
        <v>41916</v>
      </c>
      <c r="L4" s="530">
        <f ca="1">IF(WEEKDAY($A$3,3)=6,$A$3,IF(WEEKDAY($A$3,3)&lt;6,K4+1,"-"))</f>
        <v>41917</v>
      </c>
      <c r="M4" s="531">
        <f ca="1">L4+1</f>
        <v>41918</v>
      </c>
      <c r="N4" s="531">
        <f t="shared" ref="N4:AG4" ca="1" si="0">M4+1</f>
        <v>41919</v>
      </c>
      <c r="O4" s="531">
        <f t="shared" ca="1" si="0"/>
        <v>41920</v>
      </c>
      <c r="P4" s="531">
        <f t="shared" ca="1" si="0"/>
        <v>41921</v>
      </c>
      <c r="Q4" s="531">
        <f t="shared" ca="1" si="0"/>
        <v>41922</v>
      </c>
      <c r="R4" s="532">
        <f t="shared" ca="1" si="0"/>
        <v>41923</v>
      </c>
      <c r="S4" s="532">
        <f t="shared" ca="1" si="0"/>
        <v>41924</v>
      </c>
      <c r="T4" s="531">
        <f t="shared" ca="1" si="0"/>
        <v>41925</v>
      </c>
      <c r="U4" s="531">
        <f t="shared" ca="1" si="0"/>
        <v>41926</v>
      </c>
      <c r="V4" s="531">
        <f t="shared" ca="1" si="0"/>
        <v>41927</v>
      </c>
      <c r="W4" s="531">
        <f t="shared" ca="1" si="0"/>
        <v>41928</v>
      </c>
      <c r="X4" s="531">
        <f t="shared" ca="1" si="0"/>
        <v>41929</v>
      </c>
      <c r="Y4" s="532">
        <f t="shared" ca="1" si="0"/>
        <v>41930</v>
      </c>
      <c r="Z4" s="532">
        <f t="shared" ca="1" si="0"/>
        <v>41931</v>
      </c>
      <c r="AA4" s="531">
        <f t="shared" ca="1" si="0"/>
        <v>41932</v>
      </c>
      <c r="AB4" s="531">
        <f t="shared" ca="1" si="0"/>
        <v>41933</v>
      </c>
      <c r="AC4" s="531">
        <f t="shared" ca="1" si="0"/>
        <v>41934</v>
      </c>
      <c r="AD4" s="531">
        <f t="shared" ca="1" si="0"/>
        <v>41935</v>
      </c>
      <c r="AE4" s="531">
        <f t="shared" ca="1" si="0"/>
        <v>41936</v>
      </c>
      <c r="AF4" s="532">
        <f t="shared" ca="1" si="0"/>
        <v>41937</v>
      </c>
      <c r="AG4" s="532">
        <f t="shared" ca="1" si="0"/>
        <v>41938</v>
      </c>
      <c r="AH4" s="531">
        <f t="shared" ref="AH4:BI4" ca="1" si="1">AG4+1</f>
        <v>41939</v>
      </c>
      <c r="AI4" s="531">
        <f t="shared" ca="1" si="1"/>
        <v>41940</v>
      </c>
      <c r="AJ4" s="531">
        <f t="shared" ca="1" si="1"/>
        <v>41941</v>
      </c>
      <c r="AK4" s="531">
        <f t="shared" ca="1" si="1"/>
        <v>41942</v>
      </c>
      <c r="AL4" s="531">
        <f t="shared" ca="1" si="1"/>
        <v>41943</v>
      </c>
      <c r="AM4" s="532">
        <f t="shared" ca="1" si="1"/>
        <v>41944</v>
      </c>
      <c r="AN4" s="532">
        <f t="shared" ca="1" si="1"/>
        <v>41945</v>
      </c>
      <c r="AO4" s="531">
        <f t="shared" ca="1" si="1"/>
        <v>41946</v>
      </c>
      <c r="AP4" s="531">
        <f t="shared" ca="1" si="1"/>
        <v>41947</v>
      </c>
      <c r="AQ4" s="531">
        <f t="shared" ca="1" si="1"/>
        <v>41948</v>
      </c>
      <c r="AR4" s="531">
        <f t="shared" ca="1" si="1"/>
        <v>41949</v>
      </c>
      <c r="AS4" s="531">
        <f t="shared" ca="1" si="1"/>
        <v>41950</v>
      </c>
      <c r="AT4" s="532">
        <f t="shared" ca="1" si="1"/>
        <v>41951</v>
      </c>
      <c r="AU4" s="532">
        <f t="shared" ca="1" si="1"/>
        <v>41952</v>
      </c>
      <c r="AV4" s="531">
        <f t="shared" ca="1" si="1"/>
        <v>41953</v>
      </c>
      <c r="AW4" s="531">
        <f t="shared" ca="1" si="1"/>
        <v>41954</v>
      </c>
      <c r="AX4" s="531">
        <f t="shared" ca="1" si="1"/>
        <v>41955</v>
      </c>
      <c r="AY4" s="531">
        <f t="shared" ca="1" si="1"/>
        <v>41956</v>
      </c>
      <c r="AZ4" s="531">
        <f t="shared" ca="1" si="1"/>
        <v>41957</v>
      </c>
      <c r="BA4" s="532">
        <f t="shared" ca="1" si="1"/>
        <v>41958</v>
      </c>
      <c r="BB4" s="532">
        <f t="shared" ca="1" si="1"/>
        <v>41959</v>
      </c>
      <c r="BC4" s="531">
        <f t="shared" ca="1" si="1"/>
        <v>41960</v>
      </c>
      <c r="BD4" s="531">
        <f t="shared" ca="1" si="1"/>
        <v>41961</v>
      </c>
      <c r="BE4" s="531">
        <f t="shared" ca="1" si="1"/>
        <v>41962</v>
      </c>
      <c r="BF4" s="531">
        <f t="shared" ca="1" si="1"/>
        <v>41963</v>
      </c>
      <c r="BG4" s="531">
        <f t="shared" ca="1" si="1"/>
        <v>41964</v>
      </c>
      <c r="BH4" s="532">
        <f t="shared" ca="1" si="1"/>
        <v>41965</v>
      </c>
      <c r="BI4" s="532">
        <f t="shared" ca="1" si="1"/>
        <v>41966</v>
      </c>
    </row>
    <row r="5" spans="1:61" ht="15.75" x14ac:dyDescent="0.25">
      <c r="A5" s="542" t="s">
        <v>0</v>
      </c>
      <c r="B5" s="543" t="s">
        <v>45</v>
      </c>
      <c r="C5" s="543" t="s">
        <v>100</v>
      </c>
      <c r="D5" s="543"/>
      <c r="E5" s="75"/>
      <c r="F5" s="75"/>
      <c r="G5" s="75"/>
      <c r="H5" s="75"/>
      <c r="I5" s="75"/>
      <c r="J5" s="75"/>
      <c r="K5" s="535"/>
      <c r="L5" s="535"/>
      <c r="M5" s="75"/>
      <c r="N5" s="75"/>
      <c r="O5" s="75"/>
      <c r="P5" s="75"/>
      <c r="Q5" s="75"/>
      <c r="R5" s="536"/>
      <c r="S5" s="536"/>
      <c r="T5" s="75"/>
      <c r="U5" s="75"/>
      <c r="V5" s="75"/>
      <c r="W5" s="75"/>
      <c r="X5" s="75"/>
      <c r="Y5" s="536"/>
      <c r="Z5" s="536"/>
      <c r="AA5" s="75"/>
      <c r="AB5" s="75"/>
      <c r="AC5" s="75"/>
      <c r="AD5" s="75"/>
      <c r="AE5" s="75"/>
      <c r="AF5" s="536"/>
      <c r="AG5" s="536"/>
      <c r="AH5" s="75"/>
      <c r="AI5" s="75"/>
      <c r="AJ5" s="75"/>
      <c r="AK5" s="75"/>
      <c r="AL5" s="75"/>
      <c r="AM5" s="536"/>
      <c r="AN5" s="536"/>
      <c r="AO5" s="75"/>
      <c r="AP5" s="75"/>
      <c r="AQ5" s="75"/>
      <c r="AR5" s="75"/>
      <c r="AS5" s="75"/>
      <c r="AT5" s="536"/>
      <c r="AU5" s="536"/>
      <c r="AV5" s="75"/>
      <c r="AW5" s="75"/>
      <c r="AX5" s="75"/>
      <c r="AY5" s="75"/>
      <c r="AZ5" s="75"/>
      <c r="BA5" s="536"/>
      <c r="BB5" s="536"/>
      <c r="BC5" s="75"/>
      <c r="BD5" s="75"/>
      <c r="BE5" s="75"/>
      <c r="BF5" s="75"/>
      <c r="BG5" s="75"/>
      <c r="BH5" s="536"/>
      <c r="BI5" s="536"/>
    </row>
    <row r="6" spans="1:61" ht="15.75" x14ac:dyDescent="0.25">
      <c r="A6" s="544" t="s">
        <v>392</v>
      </c>
      <c r="B6" s="545" t="s">
        <v>0</v>
      </c>
      <c r="C6" s="545" t="s">
        <v>0</v>
      </c>
      <c r="D6" s="545"/>
      <c r="E6" s="540">
        <f ca="1">IF($C6&gt;=$A$3,0,1)</f>
        <v>0</v>
      </c>
      <c r="F6" s="144" t="s">
        <v>0</v>
      </c>
      <c r="G6" s="40"/>
      <c r="H6" s="40"/>
      <c r="I6" s="40"/>
      <c r="J6" s="40"/>
      <c r="K6" s="537"/>
      <c r="L6" s="537"/>
      <c r="M6" s="40"/>
      <c r="N6" s="40"/>
      <c r="O6" s="40"/>
      <c r="P6" s="40"/>
      <c r="Q6" s="40"/>
      <c r="R6" s="538"/>
      <c r="S6" s="538"/>
      <c r="T6" s="40"/>
      <c r="U6" s="40"/>
      <c r="V6" s="40"/>
      <c r="W6" s="40"/>
      <c r="X6" s="40"/>
      <c r="Y6" s="538"/>
      <c r="Z6" s="538"/>
      <c r="AA6" s="40"/>
      <c r="AB6" s="40"/>
      <c r="AC6" s="40"/>
      <c r="AD6" s="40"/>
      <c r="AE6" s="40"/>
      <c r="AF6" s="538"/>
      <c r="AG6" s="538"/>
      <c r="AH6" s="40"/>
      <c r="AI6" s="40"/>
      <c r="AJ6" s="40"/>
      <c r="AK6" s="40"/>
      <c r="AL6" s="40"/>
      <c r="AM6" s="538"/>
      <c r="AN6" s="538"/>
      <c r="AO6" s="40"/>
      <c r="AP6" s="40"/>
      <c r="AQ6" s="40"/>
      <c r="AR6" s="40"/>
      <c r="AS6" s="40"/>
      <c r="AT6" s="538"/>
      <c r="AU6" s="538"/>
      <c r="AV6" s="40"/>
      <c r="AW6" s="40"/>
      <c r="AX6" s="40"/>
      <c r="AY6" s="40"/>
      <c r="AZ6" s="40"/>
      <c r="BA6" s="538"/>
      <c r="BB6" s="538"/>
      <c r="BC6" s="40"/>
      <c r="BD6" s="40"/>
      <c r="BE6" s="40"/>
      <c r="BF6" s="40"/>
      <c r="BG6" s="40"/>
      <c r="BH6" s="538"/>
      <c r="BI6" s="538"/>
    </row>
    <row r="7" spans="1:61" s="23" customFormat="1" ht="15.75" x14ac:dyDescent="0.25">
      <c r="A7" s="587" t="s">
        <v>352</v>
      </c>
      <c r="B7" s="546">
        <f>S.QtimeStart</f>
        <v>0</v>
      </c>
      <c r="C7" s="546">
        <f>S.QtimeEnd</f>
        <v>41641</v>
      </c>
      <c r="D7" s="546"/>
      <c r="E7" s="540">
        <f t="shared" ref="E7:E57" ca="1" si="2">IF($C7&gt;=$A$3,0,1)</f>
        <v>1</v>
      </c>
      <c r="F7" s="40"/>
      <c r="G7" s="40"/>
      <c r="H7" s="40"/>
      <c r="I7" s="40"/>
      <c r="J7" s="40"/>
      <c r="K7" s="537"/>
      <c r="L7" s="537"/>
      <c r="M7" s="40"/>
      <c r="N7" s="40"/>
      <c r="O7" s="40"/>
      <c r="P7" s="40"/>
      <c r="Q7" s="40"/>
      <c r="R7" s="538"/>
      <c r="S7" s="538"/>
      <c r="T7" s="40"/>
      <c r="U7" s="40"/>
      <c r="V7" s="40"/>
      <c r="W7" s="40"/>
      <c r="X7" s="40"/>
      <c r="Y7" s="538"/>
      <c r="Z7" s="538"/>
      <c r="AA7" s="40"/>
      <c r="AB7" s="40"/>
      <c r="AC7" s="40"/>
      <c r="AD7" s="40"/>
      <c r="AE7" s="40"/>
      <c r="AF7" s="538"/>
      <c r="AG7" s="538"/>
      <c r="AH7" s="40"/>
      <c r="AI7" s="40"/>
      <c r="AJ7" s="40"/>
      <c r="AK7" s="40"/>
      <c r="AL7" s="40"/>
      <c r="AM7" s="538"/>
      <c r="AN7" s="538"/>
      <c r="AO7" s="40"/>
      <c r="AP7" s="40"/>
      <c r="AQ7" s="40"/>
      <c r="AR7" s="40"/>
      <c r="AS7" s="40"/>
      <c r="AT7" s="538"/>
      <c r="AU7" s="538"/>
      <c r="AV7" s="40"/>
      <c r="AW7" s="40"/>
      <c r="AX7" s="40"/>
      <c r="AY7" s="40"/>
      <c r="AZ7" s="40"/>
      <c r="BA7" s="538"/>
      <c r="BB7" s="538"/>
      <c r="BC7" s="40"/>
      <c r="BD7" s="40"/>
      <c r="BE7" s="40"/>
      <c r="BF7" s="40"/>
      <c r="BG7" s="40"/>
      <c r="BH7" s="538"/>
      <c r="BI7" s="538"/>
    </row>
    <row r="8" spans="1:61" s="23" customFormat="1" ht="15.75" x14ac:dyDescent="0.25">
      <c r="A8" s="587" t="s">
        <v>353</v>
      </c>
      <c r="B8" s="546">
        <f>S.Planning.AddConceptToPlanDate</f>
        <v>41641</v>
      </c>
      <c r="C8" s="546">
        <f>B8</f>
        <v>41641</v>
      </c>
      <c r="D8" s="546"/>
      <c r="E8" s="540">
        <f t="shared" ca="1" si="2"/>
        <v>1</v>
      </c>
      <c r="F8" s="40"/>
      <c r="G8" s="40"/>
      <c r="H8" s="40"/>
      <c r="I8" s="40"/>
      <c r="J8" s="40"/>
      <c r="K8" s="537"/>
      <c r="L8" s="537"/>
      <c r="M8" s="40"/>
      <c r="N8" s="40"/>
      <c r="O8" s="40"/>
      <c r="P8" s="40"/>
      <c r="Q8" s="40"/>
      <c r="R8" s="538"/>
      <c r="S8" s="538"/>
      <c r="T8" s="40"/>
      <c r="U8" s="40"/>
      <c r="V8" s="40"/>
      <c r="W8" s="40"/>
      <c r="X8" s="40"/>
      <c r="Y8" s="538"/>
      <c r="Z8" s="538"/>
      <c r="AA8" s="40"/>
      <c r="AB8" s="40"/>
      <c r="AC8" s="40"/>
      <c r="AD8" s="40"/>
      <c r="AE8" s="40"/>
      <c r="AF8" s="538"/>
      <c r="AG8" s="538"/>
      <c r="AH8" s="40"/>
      <c r="AI8" s="40"/>
      <c r="AJ8" s="40"/>
      <c r="AK8" s="40"/>
      <c r="AL8" s="40"/>
      <c r="AM8" s="538"/>
      <c r="AN8" s="538"/>
      <c r="AO8" s="40"/>
      <c r="AP8" s="40"/>
      <c r="AQ8" s="40"/>
      <c r="AR8" s="40"/>
      <c r="AS8" s="40"/>
      <c r="AT8" s="538"/>
      <c r="AU8" s="538"/>
      <c r="AV8" s="40"/>
      <c r="AW8" s="40"/>
      <c r="AX8" s="40"/>
      <c r="AY8" s="40"/>
      <c r="AZ8" s="40"/>
      <c r="BA8" s="538"/>
      <c r="BB8" s="538"/>
      <c r="BC8" s="40"/>
      <c r="BD8" s="40"/>
      <c r="BE8" s="40"/>
      <c r="BF8" s="40"/>
      <c r="BG8" s="40"/>
      <c r="BH8" s="538"/>
      <c r="BI8" s="538"/>
    </row>
    <row r="9" spans="1:61" ht="15.75" x14ac:dyDescent="0.25">
      <c r="A9" s="587" t="s">
        <v>354</v>
      </c>
      <c r="B9" s="546">
        <f>S.PlanningKickoff</f>
        <v>41641</v>
      </c>
      <c r="C9" s="546">
        <f>B9</f>
        <v>41641</v>
      </c>
      <c r="D9" s="546"/>
      <c r="E9" s="540">
        <f t="shared" ca="1" si="2"/>
        <v>1</v>
      </c>
      <c r="F9" s="40"/>
      <c r="G9" s="40"/>
      <c r="H9" s="40"/>
      <c r="I9" s="40"/>
      <c r="J9" s="40"/>
      <c r="K9" s="537"/>
      <c r="L9" s="537"/>
      <c r="M9" s="40"/>
      <c r="N9" s="40"/>
      <c r="O9" s="40"/>
      <c r="P9" s="40"/>
      <c r="Q9" s="40"/>
      <c r="R9" s="538"/>
      <c r="S9" s="538"/>
      <c r="T9" s="40"/>
      <c r="U9" s="40"/>
      <c r="V9" s="40"/>
      <c r="W9" s="40"/>
      <c r="X9" s="40"/>
      <c r="Y9" s="538"/>
      <c r="Z9" s="538"/>
      <c r="AA9" s="40"/>
      <c r="AB9" s="40"/>
      <c r="AC9" s="40"/>
      <c r="AD9" s="40"/>
      <c r="AE9" s="40"/>
      <c r="AF9" s="538"/>
      <c r="AG9" s="538"/>
      <c r="AH9" s="40"/>
      <c r="AI9" s="40"/>
      <c r="AJ9" s="40"/>
      <c r="AK9" s="40"/>
      <c r="AL9" s="40"/>
      <c r="AM9" s="538"/>
      <c r="AN9" s="538"/>
      <c r="AO9" s="40"/>
      <c r="AP9" s="40"/>
      <c r="AQ9" s="40"/>
      <c r="AR9" s="40"/>
      <c r="AS9" s="40"/>
      <c r="AT9" s="538"/>
      <c r="AU9" s="538"/>
      <c r="AV9" s="40"/>
      <c r="AW9" s="40"/>
      <c r="AX9" s="40"/>
      <c r="AY9" s="40"/>
      <c r="AZ9" s="40"/>
      <c r="BA9" s="538"/>
      <c r="BB9" s="538"/>
      <c r="BC9" s="40"/>
      <c r="BD9" s="40"/>
      <c r="BE9" s="40"/>
      <c r="BF9" s="40"/>
      <c r="BG9" s="40"/>
      <c r="BH9" s="538"/>
      <c r="BI9" s="538"/>
    </row>
    <row r="10" spans="1:61" ht="15.75" x14ac:dyDescent="0.25">
      <c r="A10" s="547" t="s">
        <v>355</v>
      </c>
      <c r="B10" s="546" t="s">
        <v>0</v>
      </c>
      <c r="C10" s="546" t="s">
        <v>0</v>
      </c>
      <c r="D10" s="546"/>
      <c r="E10" s="540">
        <f t="shared" ca="1" si="2"/>
        <v>0</v>
      </c>
      <c r="F10" s="40"/>
      <c r="G10" s="40"/>
      <c r="H10" s="40"/>
      <c r="I10" s="40"/>
      <c r="J10" s="539"/>
      <c r="K10" s="537"/>
      <c r="L10" s="537"/>
      <c r="M10" s="40"/>
      <c r="N10" s="40"/>
      <c r="O10" s="40"/>
      <c r="P10" s="40"/>
      <c r="Q10" s="40"/>
      <c r="R10" s="538"/>
      <c r="S10" s="538"/>
      <c r="T10" s="40"/>
      <c r="U10" s="40"/>
      <c r="V10" s="40"/>
      <c r="W10" s="40"/>
      <c r="X10" s="40"/>
      <c r="Y10" s="538"/>
      <c r="Z10" s="538"/>
      <c r="AA10" s="40"/>
      <c r="AB10" s="40"/>
      <c r="AC10" s="40"/>
      <c r="AD10" s="40"/>
      <c r="AE10" s="40"/>
      <c r="AF10" s="538"/>
      <c r="AG10" s="538"/>
      <c r="AH10" s="40"/>
      <c r="AI10" s="40"/>
      <c r="AJ10" s="40"/>
      <c r="AK10" s="40"/>
      <c r="AL10" s="40"/>
      <c r="AM10" s="538"/>
      <c r="AN10" s="538"/>
      <c r="AO10" s="40"/>
      <c r="AP10" s="40"/>
      <c r="AQ10" s="40"/>
      <c r="AR10" s="40"/>
      <c r="AS10" s="40"/>
      <c r="AT10" s="538"/>
      <c r="AU10" s="538"/>
      <c r="AV10" s="40"/>
      <c r="AW10" s="40"/>
      <c r="AX10" s="40"/>
      <c r="AY10" s="40"/>
      <c r="AZ10" s="40"/>
      <c r="BA10" s="538"/>
      <c r="BB10" s="538"/>
      <c r="BC10" s="40"/>
      <c r="BD10" s="40"/>
      <c r="BE10" s="40"/>
      <c r="BF10" s="40"/>
      <c r="BG10" s="40"/>
      <c r="BH10" s="538"/>
      <c r="BI10" s="538"/>
    </row>
    <row r="11" spans="1:61" s="23" customFormat="1" ht="15.75" x14ac:dyDescent="0.25">
      <c r="A11" s="587" t="s">
        <v>356</v>
      </c>
      <c r="B11" s="546">
        <f>S.Planning.DraftWorkbooksStart</f>
        <v>41641</v>
      </c>
      <c r="C11" s="546">
        <f>S.Planning.DraftWorkbooksEnd</f>
        <v>41641</v>
      </c>
      <c r="D11" s="546"/>
      <c r="E11" s="540">
        <f t="shared" ca="1" si="2"/>
        <v>1</v>
      </c>
      <c r="F11" s="40"/>
      <c r="G11" s="40"/>
      <c r="H11" s="40"/>
      <c r="I11" s="40"/>
      <c r="J11" s="40"/>
      <c r="K11" s="537"/>
      <c r="L11" s="537"/>
      <c r="M11" s="40"/>
      <c r="N11" s="40"/>
      <c r="O11" s="40"/>
      <c r="P11" s="40"/>
      <c r="Q11" s="40"/>
      <c r="R11" s="538"/>
      <c r="S11" s="538"/>
      <c r="T11" s="40"/>
      <c r="U11" s="40"/>
      <c r="V11" s="40"/>
      <c r="W11" s="40"/>
      <c r="X11" s="40"/>
      <c r="Y11" s="538"/>
      <c r="Z11" s="538"/>
      <c r="AA11" s="40"/>
      <c r="AB11" s="40"/>
      <c r="AC11" s="40"/>
      <c r="AD11" s="40"/>
      <c r="AE11" s="40"/>
      <c r="AF11" s="538"/>
      <c r="AG11" s="538"/>
      <c r="AH11" s="40"/>
      <c r="AI11" s="40"/>
      <c r="AJ11" s="40"/>
      <c r="AK11" s="40"/>
      <c r="AL11" s="40"/>
      <c r="AM11" s="538"/>
      <c r="AN11" s="538"/>
      <c r="AO11" s="40"/>
      <c r="AP11" s="40"/>
      <c r="AQ11" s="40"/>
      <c r="AR11" s="40"/>
      <c r="AS11" s="40"/>
      <c r="AT11" s="538"/>
      <c r="AU11" s="538"/>
      <c r="AV11" s="40"/>
      <c r="AW11" s="40"/>
      <c r="AX11" s="40"/>
      <c r="AY11" s="40"/>
      <c r="AZ11" s="40"/>
      <c r="BA11" s="538"/>
      <c r="BB11" s="538"/>
      <c r="BC11" s="40"/>
      <c r="BD11" s="40"/>
      <c r="BE11" s="40"/>
      <c r="BF11" s="40"/>
      <c r="BG11" s="40"/>
      <c r="BH11" s="538"/>
      <c r="BI11" s="538"/>
    </row>
    <row r="12" spans="1:61" ht="15.75" x14ac:dyDescent="0.25">
      <c r="A12" s="587" t="s">
        <v>357</v>
      </c>
      <c r="B12" s="546">
        <f>S.Planning.CommunicationMeeting</f>
        <v>41641</v>
      </c>
      <c r="C12" s="546">
        <f>B12</f>
        <v>41641</v>
      </c>
      <c r="D12" s="546"/>
      <c r="E12" s="540">
        <f t="shared" ca="1" si="2"/>
        <v>1</v>
      </c>
      <c r="F12" s="40"/>
      <c r="G12" s="40"/>
      <c r="H12" s="40"/>
      <c r="I12" s="40"/>
      <c r="J12" s="40"/>
      <c r="K12" s="537"/>
      <c r="L12" s="537"/>
      <c r="M12" s="40"/>
      <c r="N12" s="40"/>
      <c r="O12" s="40"/>
      <c r="P12" s="40"/>
      <c r="Q12" s="40"/>
      <c r="R12" s="538"/>
      <c r="S12" s="538"/>
      <c r="T12" s="40"/>
      <c r="U12" s="40"/>
      <c r="V12" s="40"/>
      <c r="W12" s="40"/>
      <c r="X12" s="40"/>
      <c r="Y12" s="538"/>
      <c r="Z12" s="538"/>
      <c r="AA12" s="40"/>
      <c r="AB12" s="40"/>
      <c r="AC12" s="40"/>
      <c r="AD12" s="40"/>
      <c r="AE12" s="40"/>
      <c r="AF12" s="538"/>
      <c r="AG12" s="538"/>
      <c r="AH12" s="40"/>
      <c r="AI12" s="40"/>
      <c r="AJ12" s="40"/>
      <c r="AK12" s="40"/>
      <c r="AL12" s="40"/>
      <c r="AM12" s="538"/>
      <c r="AN12" s="538"/>
      <c r="AO12" s="40"/>
      <c r="AP12" s="40"/>
      <c r="AQ12" s="40"/>
      <c r="AR12" s="40"/>
      <c r="AS12" s="40"/>
      <c r="AT12" s="538"/>
      <c r="AU12" s="538"/>
      <c r="AV12" s="40"/>
      <c r="AW12" s="40"/>
      <c r="AX12" s="40"/>
      <c r="AY12" s="40"/>
      <c r="AZ12" s="40"/>
      <c r="BA12" s="538"/>
      <c r="BB12" s="538"/>
      <c r="BC12" s="40"/>
      <c r="BD12" s="40"/>
      <c r="BE12" s="40"/>
      <c r="BF12" s="40"/>
      <c r="BG12" s="40"/>
      <c r="BH12" s="538"/>
      <c r="BI12" s="538"/>
    </row>
    <row r="13" spans="1:61" s="23" customFormat="1" ht="15.75" x14ac:dyDescent="0.25">
      <c r="A13" s="544" t="s">
        <v>394</v>
      </c>
      <c r="B13" s="546">
        <f>S.DIRECTOR.Approves.ForDEQRulemakingPlan</f>
        <v>41641</v>
      </c>
      <c r="C13" s="546">
        <f>S.Overview.BANNER.End</f>
        <v>42164</v>
      </c>
      <c r="D13" s="546"/>
      <c r="E13" s="540">
        <f t="shared" ca="1" si="2"/>
        <v>0</v>
      </c>
      <c r="F13" s="40"/>
      <c r="G13" s="40"/>
      <c r="H13" s="40"/>
      <c r="I13" s="40"/>
      <c r="J13" s="40"/>
      <c r="K13" s="537"/>
      <c r="L13" s="537"/>
      <c r="M13" s="40"/>
      <c r="N13" s="40"/>
      <c r="O13" s="40"/>
      <c r="P13" s="40"/>
      <c r="Q13" s="40"/>
      <c r="R13" s="538"/>
      <c r="S13" s="538"/>
      <c r="T13" s="40"/>
      <c r="U13" s="40"/>
      <c r="V13" s="40"/>
      <c r="W13" s="40"/>
      <c r="X13" s="40"/>
      <c r="Y13" s="538"/>
      <c r="Z13" s="538"/>
      <c r="AA13" s="40"/>
      <c r="AB13" s="40"/>
      <c r="AC13" s="40"/>
      <c r="AD13" s="40"/>
      <c r="AE13" s="40"/>
      <c r="AF13" s="538"/>
      <c r="AG13" s="538"/>
      <c r="AH13" s="40"/>
      <c r="AI13" s="40"/>
      <c r="AJ13" s="40"/>
      <c r="AK13" s="40"/>
      <c r="AL13" s="40"/>
      <c r="AM13" s="538"/>
      <c r="AN13" s="538"/>
      <c r="AO13" s="40"/>
      <c r="AP13" s="40"/>
      <c r="AQ13" s="40"/>
      <c r="AR13" s="40"/>
      <c r="AS13" s="40"/>
      <c r="AT13" s="538"/>
      <c r="AU13" s="538"/>
      <c r="AV13" s="40"/>
      <c r="AW13" s="40"/>
      <c r="AX13" s="40"/>
      <c r="AY13" s="40"/>
      <c r="AZ13" s="40"/>
      <c r="BA13" s="538"/>
      <c r="BB13" s="538"/>
      <c r="BC13" s="40"/>
      <c r="BD13" s="40"/>
      <c r="BE13" s="40"/>
      <c r="BF13" s="40"/>
      <c r="BG13" s="40"/>
      <c r="BH13" s="538"/>
      <c r="BI13" s="538"/>
    </row>
    <row r="14" spans="1:61" s="23" customFormat="1" ht="15.75" x14ac:dyDescent="0.25">
      <c r="A14" s="587" t="s">
        <v>395</v>
      </c>
      <c r="B14" s="546">
        <f>AQPerm.ScheduleOfTasks!G272</f>
        <v>0</v>
      </c>
      <c r="C14" s="546">
        <f>AQPerm.ScheduleOfTasks!H272</f>
        <v>0</v>
      </c>
      <c r="D14" s="546"/>
      <c r="E14" s="540">
        <f t="shared" ca="1" si="2"/>
        <v>1</v>
      </c>
      <c r="F14" s="40"/>
      <c r="G14" s="40"/>
      <c r="H14" s="40"/>
      <c r="I14" s="40"/>
      <c r="J14" s="40"/>
      <c r="K14" s="537"/>
      <c r="L14" s="537"/>
      <c r="M14" s="40"/>
      <c r="N14" s="40"/>
      <c r="O14" s="40"/>
      <c r="P14" s="40"/>
      <c r="Q14" s="40"/>
      <c r="R14" s="538"/>
      <c r="S14" s="538"/>
      <c r="T14" s="40"/>
      <c r="U14" s="40"/>
      <c r="V14" s="40"/>
      <c r="W14" s="40"/>
      <c r="X14" s="40"/>
      <c r="Y14" s="538"/>
      <c r="Z14" s="538"/>
      <c r="AA14" s="40"/>
      <c r="AB14" s="40"/>
      <c r="AC14" s="40"/>
      <c r="AD14" s="40"/>
      <c r="AE14" s="40"/>
      <c r="AF14" s="538"/>
      <c r="AG14" s="538"/>
      <c r="AH14" s="40"/>
      <c r="AI14" s="40"/>
      <c r="AJ14" s="40"/>
      <c r="AK14" s="40"/>
      <c r="AL14" s="40"/>
      <c r="AM14" s="538"/>
      <c r="AN14" s="538"/>
      <c r="AO14" s="40"/>
      <c r="AP14" s="40"/>
      <c r="AQ14" s="40"/>
      <c r="AR14" s="40"/>
      <c r="AS14" s="40"/>
      <c r="AT14" s="538"/>
      <c r="AU14" s="538"/>
      <c r="AV14" s="40"/>
      <c r="AW14" s="40"/>
      <c r="AX14" s="40"/>
      <c r="AY14" s="40"/>
      <c r="AZ14" s="40"/>
      <c r="BA14" s="538"/>
      <c r="BB14" s="538"/>
      <c r="BC14" s="40"/>
      <c r="BD14" s="40"/>
      <c r="BE14" s="40"/>
      <c r="BF14" s="40"/>
      <c r="BG14" s="40"/>
      <c r="BH14" s="538"/>
      <c r="BI14" s="538"/>
    </row>
    <row r="15" spans="1:61" s="23" customFormat="1" ht="15.75" x14ac:dyDescent="0.25">
      <c r="A15" s="587" t="s">
        <v>396</v>
      </c>
      <c r="B15" s="546">
        <f>S.Notice.StartDraft</f>
        <v>41641</v>
      </c>
      <c r="C15" s="546">
        <f>AQPerm.ScheduleOfTasks!H634</f>
        <v>0</v>
      </c>
      <c r="D15" s="546"/>
      <c r="E15" s="540">
        <f t="shared" ca="1" si="2"/>
        <v>1</v>
      </c>
      <c r="F15" s="40"/>
      <c r="G15" s="40"/>
      <c r="H15" s="40"/>
      <c r="I15" s="40"/>
      <c r="J15" s="40"/>
      <c r="K15" s="537"/>
      <c r="L15" s="537"/>
      <c r="M15" s="40"/>
      <c r="N15" s="40"/>
      <c r="O15" s="40"/>
      <c r="P15" s="40"/>
      <c r="Q15" s="40"/>
      <c r="R15" s="538"/>
      <c r="S15" s="538"/>
      <c r="T15" s="40"/>
      <c r="U15" s="40"/>
      <c r="V15" s="40"/>
      <c r="W15" s="40"/>
      <c r="X15" s="40"/>
      <c r="Y15" s="538"/>
      <c r="Z15" s="538"/>
      <c r="AA15" s="40"/>
      <c r="AB15" s="40"/>
      <c r="AC15" s="40"/>
      <c r="AD15" s="40"/>
      <c r="AE15" s="40"/>
      <c r="AF15" s="538"/>
      <c r="AG15" s="538"/>
      <c r="AH15" s="40"/>
      <c r="AI15" s="40"/>
      <c r="AJ15" s="40"/>
      <c r="AK15" s="40"/>
      <c r="AL15" s="40"/>
      <c r="AM15" s="538"/>
      <c r="AN15" s="538"/>
      <c r="AO15" s="40"/>
      <c r="AP15" s="40"/>
      <c r="AQ15" s="40"/>
      <c r="AR15" s="40"/>
      <c r="AS15" s="40"/>
      <c r="AT15" s="538"/>
      <c r="AU15" s="538"/>
      <c r="AV15" s="40"/>
      <c r="AW15" s="40"/>
      <c r="AX15" s="40"/>
      <c r="AY15" s="40"/>
      <c r="AZ15" s="40"/>
      <c r="BA15" s="538"/>
      <c r="BB15" s="538"/>
      <c r="BC15" s="40"/>
      <c r="BD15" s="40"/>
      <c r="BE15" s="40"/>
      <c r="BF15" s="40"/>
      <c r="BG15" s="40"/>
      <c r="BH15" s="538"/>
      <c r="BI15" s="538"/>
    </row>
    <row r="16" spans="1:61" s="23" customFormat="1" ht="15.75" x14ac:dyDescent="0.25">
      <c r="A16" s="587" t="s">
        <v>397</v>
      </c>
      <c r="B16" s="546">
        <f>AQPerm.ScheduleOfTasks!G784</f>
        <v>0</v>
      </c>
      <c r="C16" s="546">
        <f>AQPerm.ScheduleOfTasks!H784</f>
        <v>0</v>
      </c>
      <c r="D16" s="546"/>
      <c r="E16" s="540">
        <f t="shared" ca="1" si="2"/>
        <v>1</v>
      </c>
      <c r="F16" s="40"/>
      <c r="G16" s="40"/>
      <c r="H16" s="40"/>
      <c r="I16" s="40"/>
      <c r="J16" s="40"/>
      <c r="K16" s="537"/>
      <c r="L16" s="537"/>
      <c r="M16" s="40"/>
      <c r="N16" s="40"/>
      <c r="O16" s="40"/>
      <c r="P16" s="40"/>
      <c r="Q16" s="40"/>
      <c r="R16" s="538"/>
      <c r="S16" s="538"/>
      <c r="T16" s="40"/>
      <c r="U16" s="40"/>
      <c r="V16" s="40"/>
      <c r="W16" s="40"/>
      <c r="X16" s="40"/>
      <c r="Y16" s="538"/>
      <c r="Z16" s="538"/>
      <c r="AA16" s="40"/>
      <c r="AB16" s="40"/>
      <c r="AC16" s="40"/>
      <c r="AD16" s="40"/>
      <c r="AE16" s="40"/>
      <c r="AF16" s="538"/>
      <c r="AG16" s="538"/>
      <c r="AH16" s="40"/>
      <c r="AI16" s="40"/>
      <c r="AJ16" s="40"/>
      <c r="AK16" s="40"/>
      <c r="AL16" s="40"/>
      <c r="AM16" s="538"/>
      <c r="AN16" s="538"/>
      <c r="AO16" s="40"/>
      <c r="AP16" s="40"/>
      <c r="AQ16" s="40"/>
      <c r="AR16" s="40"/>
      <c r="AS16" s="40"/>
      <c r="AT16" s="538"/>
      <c r="AU16" s="538"/>
      <c r="AV16" s="40"/>
      <c r="AW16" s="40"/>
      <c r="AX16" s="40"/>
      <c r="AY16" s="40"/>
      <c r="AZ16" s="40"/>
      <c r="BA16" s="538"/>
      <c r="BB16" s="538"/>
      <c r="BC16" s="40"/>
      <c r="BD16" s="40"/>
      <c r="BE16" s="40"/>
      <c r="BF16" s="40"/>
      <c r="BG16" s="40"/>
      <c r="BH16" s="538"/>
      <c r="BI16" s="538"/>
    </row>
    <row r="17" spans="1:61" s="23" customFormat="1" ht="15.75" x14ac:dyDescent="0.25">
      <c r="A17" s="587" t="s">
        <v>398</v>
      </c>
      <c r="B17" s="546">
        <f>AQPerm.ScheduleOfTasks!H854</f>
        <v>0</v>
      </c>
      <c r="C17" s="546">
        <f>B17</f>
        <v>0</v>
      </c>
      <c r="D17" s="546"/>
      <c r="E17" s="540">
        <f t="shared" ca="1" si="2"/>
        <v>1</v>
      </c>
      <c r="F17" s="40"/>
      <c r="G17" s="40"/>
      <c r="H17" s="40"/>
      <c r="I17" s="40"/>
      <c r="J17" s="40"/>
      <c r="K17" s="537"/>
      <c r="L17" s="537"/>
      <c r="M17" s="40"/>
      <c r="N17" s="40"/>
      <c r="O17" s="40"/>
      <c r="P17" s="40"/>
      <c r="Q17" s="40"/>
      <c r="R17" s="538"/>
      <c r="S17" s="538"/>
      <c r="T17" s="40"/>
      <c r="U17" s="40"/>
      <c r="V17" s="40"/>
      <c r="W17" s="40"/>
      <c r="X17" s="40"/>
      <c r="Y17" s="538"/>
      <c r="Z17" s="538"/>
      <c r="AA17" s="40"/>
      <c r="AB17" s="40"/>
      <c r="AC17" s="40"/>
      <c r="AD17" s="40"/>
      <c r="AE17" s="40"/>
      <c r="AF17" s="538"/>
      <c r="AG17" s="538"/>
      <c r="AH17" s="40"/>
      <c r="AI17" s="40"/>
      <c r="AJ17" s="40"/>
      <c r="AK17" s="40"/>
      <c r="AL17" s="40"/>
      <c r="AM17" s="538"/>
      <c r="AN17" s="538"/>
      <c r="AO17" s="40"/>
      <c r="AP17" s="40"/>
      <c r="AQ17" s="40"/>
      <c r="AR17" s="40"/>
      <c r="AS17" s="40"/>
      <c r="AT17" s="538"/>
      <c r="AU17" s="538"/>
      <c r="AV17" s="40"/>
      <c r="AW17" s="40"/>
      <c r="AX17" s="40"/>
      <c r="AY17" s="40"/>
      <c r="AZ17" s="40"/>
      <c r="BA17" s="538"/>
      <c r="BB17" s="538"/>
      <c r="BC17" s="40"/>
      <c r="BD17" s="40"/>
      <c r="BE17" s="40"/>
      <c r="BF17" s="40"/>
      <c r="BG17" s="40"/>
      <c r="BH17" s="538"/>
      <c r="BI17" s="538"/>
    </row>
    <row r="18" spans="1:61" ht="15.75" x14ac:dyDescent="0.25">
      <c r="A18" s="544" t="s">
        <v>358</v>
      </c>
      <c r="B18"/>
      <c r="C18"/>
      <c r="E18" s="540">
        <f t="shared" ca="1" si="2"/>
        <v>1</v>
      </c>
      <c r="F18" s="40"/>
      <c r="G18" s="40"/>
      <c r="H18" s="40"/>
      <c r="I18" s="40"/>
      <c r="J18" s="40"/>
      <c r="K18" s="537"/>
      <c r="L18" s="537"/>
      <c r="M18" s="40"/>
      <c r="N18" s="40"/>
      <c r="O18" s="40"/>
      <c r="P18" s="40"/>
      <c r="Q18" s="40"/>
      <c r="R18" s="538"/>
      <c r="S18" s="538"/>
      <c r="T18" s="40"/>
      <c r="U18" s="40"/>
      <c r="V18" s="40"/>
      <c r="W18" s="40"/>
      <c r="X18" s="40"/>
      <c r="Y18" s="538"/>
      <c r="Z18" s="538"/>
      <c r="AA18" s="40"/>
      <c r="AB18" s="40"/>
      <c r="AC18" s="40"/>
      <c r="AD18" s="40"/>
      <c r="AE18" s="40"/>
      <c r="AF18" s="538"/>
      <c r="AG18" s="538"/>
      <c r="AH18" s="40"/>
      <c r="AI18" s="40"/>
      <c r="AJ18" s="40"/>
      <c r="AK18" s="40"/>
      <c r="AL18" s="40"/>
      <c r="AM18" s="538"/>
      <c r="AN18" s="538"/>
      <c r="AO18" s="40"/>
      <c r="AP18" s="40"/>
      <c r="AQ18" s="40"/>
      <c r="AR18" s="40"/>
      <c r="AS18" s="40"/>
      <c r="AT18" s="538"/>
      <c r="AU18" s="538"/>
      <c r="AV18" s="40"/>
      <c r="AW18" s="40"/>
      <c r="AX18" s="40"/>
      <c r="AY18" s="40"/>
      <c r="AZ18" s="40"/>
      <c r="BA18" s="538"/>
      <c r="BB18" s="538"/>
      <c r="BC18" s="40"/>
      <c r="BD18" s="40"/>
      <c r="BE18" s="40"/>
      <c r="BF18" s="40"/>
      <c r="BG18" s="40"/>
      <c r="BH18" s="538"/>
      <c r="BI18" s="538"/>
    </row>
    <row r="19" spans="1:61" ht="15.75" x14ac:dyDescent="0.25">
      <c r="A19" s="587" t="s">
        <v>359</v>
      </c>
      <c r="B19" s="546">
        <f>S.Notice.EPA.180days</f>
        <v>41624</v>
      </c>
      <c r="C19" s="546">
        <f>B19</f>
        <v>41624</v>
      </c>
      <c r="D19" s="590"/>
      <c r="E19" s="540">
        <f t="shared" ca="1" si="2"/>
        <v>1</v>
      </c>
      <c r="F19" s="40"/>
      <c r="G19" s="40"/>
      <c r="H19" s="40"/>
      <c r="I19" s="40"/>
      <c r="J19" s="40"/>
      <c r="K19" s="537"/>
      <c r="L19" s="537"/>
      <c r="M19" s="40"/>
      <c r="N19" s="40"/>
      <c r="O19" s="40"/>
      <c r="P19" s="40"/>
      <c r="Q19" s="40"/>
      <c r="R19" s="538"/>
      <c r="S19" s="538"/>
      <c r="T19" s="40"/>
      <c r="U19" s="40"/>
      <c r="V19" s="40"/>
      <c r="W19" s="40"/>
      <c r="X19" s="40"/>
      <c r="Y19" s="538"/>
      <c r="Z19" s="538"/>
      <c r="AA19" s="40"/>
      <c r="AB19" s="40"/>
      <c r="AC19" s="40"/>
      <c r="AD19" s="40"/>
      <c r="AE19" s="40"/>
      <c r="AF19" s="538"/>
      <c r="AG19" s="538"/>
      <c r="AH19" s="40"/>
      <c r="AI19" s="40"/>
      <c r="AJ19" s="40"/>
      <c r="AK19" s="40"/>
      <c r="AL19" s="40"/>
      <c r="AM19" s="538"/>
      <c r="AN19" s="538"/>
      <c r="AO19" s="40"/>
      <c r="AP19" s="40"/>
      <c r="AQ19" s="40"/>
      <c r="AR19" s="40"/>
      <c r="AS19" s="40"/>
      <c r="AT19" s="538"/>
      <c r="AU19" s="538"/>
      <c r="AV19" s="40"/>
      <c r="AW19" s="40"/>
      <c r="AX19" s="40"/>
      <c r="AY19" s="40"/>
      <c r="AZ19" s="40"/>
      <c r="BA19" s="538"/>
      <c r="BB19" s="538"/>
      <c r="BC19" s="40"/>
      <c r="BD19" s="40"/>
      <c r="BE19" s="40"/>
      <c r="BF19" s="40"/>
      <c r="BG19" s="40"/>
      <c r="BH19" s="538"/>
      <c r="BI19" s="538"/>
    </row>
    <row r="20" spans="1:61" ht="15.75" x14ac:dyDescent="0.25">
      <c r="A20" s="587" t="s">
        <v>360</v>
      </c>
      <c r="B20" s="546" t="e">
        <f>S.Notice.EPA.45day</f>
        <v>#NAME?</v>
      </c>
      <c r="C20" s="546" t="e">
        <f>B20</f>
        <v>#NAME?</v>
      </c>
      <c r="D20" s="546"/>
      <c r="E20" s="540" t="e">
        <f t="shared" ca="1" si="2"/>
        <v>#NAME?</v>
      </c>
      <c r="F20" s="40"/>
      <c r="G20" s="40"/>
      <c r="H20" s="40"/>
      <c r="I20" s="40"/>
      <c r="J20" s="40"/>
      <c r="K20" s="537"/>
      <c r="L20" s="537"/>
      <c r="M20" s="40"/>
      <c r="N20" s="40"/>
      <c r="O20" s="40"/>
      <c r="P20" s="40"/>
      <c r="Q20" s="40"/>
      <c r="R20" s="538"/>
      <c r="S20" s="538"/>
      <c r="T20" s="40"/>
      <c r="U20" s="40"/>
      <c r="V20" s="40"/>
      <c r="W20" s="40"/>
      <c r="X20" s="40"/>
      <c r="Y20" s="538"/>
      <c r="Z20" s="538"/>
      <c r="AA20" s="40"/>
      <c r="AB20" s="40"/>
      <c r="AC20" s="40"/>
      <c r="AD20" s="40"/>
      <c r="AE20" s="40"/>
      <c r="AF20" s="538"/>
      <c r="AG20" s="538"/>
      <c r="AH20" s="40"/>
      <c r="AI20" s="40"/>
      <c r="AJ20" s="40"/>
      <c r="AK20" s="40"/>
      <c r="AL20" s="40"/>
      <c r="AM20" s="538"/>
      <c r="AN20" s="538"/>
      <c r="AO20" s="40"/>
      <c r="AP20" s="40"/>
      <c r="AQ20" s="40"/>
      <c r="AR20" s="40"/>
      <c r="AS20" s="40"/>
      <c r="AT20" s="538"/>
      <c r="AU20" s="538"/>
      <c r="AV20" s="40"/>
      <c r="AW20" s="40"/>
      <c r="AX20" s="40"/>
      <c r="AY20" s="40"/>
      <c r="AZ20" s="40"/>
      <c r="BA20" s="538"/>
      <c r="BB20" s="538"/>
      <c r="BC20" s="40"/>
      <c r="BD20" s="40"/>
      <c r="BE20" s="40"/>
      <c r="BF20" s="40"/>
      <c r="BG20" s="40"/>
      <c r="BH20" s="538"/>
      <c r="BI20" s="538"/>
    </row>
    <row r="21" spans="1:61" ht="15.75" x14ac:dyDescent="0.25">
      <c r="A21" s="587" t="s">
        <v>361</v>
      </c>
      <c r="B21" s="546">
        <f>S.PostEQC.SubmitSIPToEPA</f>
        <v>42135</v>
      </c>
      <c r="C21" s="546">
        <f>B21</f>
        <v>42135</v>
      </c>
      <c r="D21" s="546"/>
      <c r="E21" s="540">
        <f t="shared" ca="1" si="2"/>
        <v>0</v>
      </c>
      <c r="F21" s="40"/>
      <c r="G21" s="40"/>
      <c r="H21" s="40"/>
      <c r="I21" s="40"/>
      <c r="J21" s="40"/>
      <c r="K21" s="537"/>
      <c r="L21" s="537"/>
      <c r="M21" s="40"/>
      <c r="N21" s="40"/>
      <c r="O21" s="40"/>
      <c r="P21" s="40"/>
      <c r="Q21" s="40"/>
      <c r="R21" s="538"/>
      <c r="S21" s="538"/>
      <c r="T21" s="40"/>
      <c r="U21" s="40"/>
      <c r="V21" s="40"/>
      <c r="W21" s="40"/>
      <c r="X21" s="40"/>
      <c r="Y21" s="538"/>
      <c r="Z21" s="538"/>
      <c r="AA21" s="40"/>
      <c r="AB21" s="40"/>
      <c r="AC21" s="40"/>
      <c r="AD21" s="40"/>
      <c r="AE21" s="40"/>
      <c r="AF21" s="538"/>
      <c r="AG21" s="538"/>
      <c r="AH21" s="40"/>
      <c r="AI21" s="40"/>
      <c r="AJ21" s="40"/>
      <c r="AK21" s="40"/>
      <c r="AL21" s="40"/>
      <c r="AM21" s="538"/>
      <c r="AN21" s="538"/>
      <c r="AO21" s="40"/>
      <c r="AP21" s="40"/>
      <c r="AQ21" s="40"/>
      <c r="AR21" s="40"/>
      <c r="AS21" s="40"/>
      <c r="AT21" s="538"/>
      <c r="AU21" s="538"/>
      <c r="AV21" s="40"/>
      <c r="AW21" s="40"/>
      <c r="AX21" s="40"/>
      <c r="AY21" s="40"/>
      <c r="AZ21" s="40"/>
      <c r="BA21" s="538"/>
      <c r="BB21" s="538"/>
      <c r="BC21" s="40"/>
      <c r="BD21" s="40"/>
      <c r="BE21" s="40"/>
      <c r="BF21" s="40"/>
      <c r="BG21" s="40"/>
      <c r="BH21" s="538"/>
      <c r="BI21" s="538"/>
    </row>
    <row r="22" spans="1:61" ht="15.75" x14ac:dyDescent="0.25">
      <c r="A22" s="544" t="s">
        <v>362</v>
      </c>
      <c r="B22" s="546" t="s">
        <v>0</v>
      </c>
      <c r="C22" s="546" t="s">
        <v>0</v>
      </c>
      <c r="D22" s="546"/>
      <c r="E22" s="540">
        <f t="shared" ca="1" si="2"/>
        <v>0</v>
      </c>
      <c r="F22" s="40"/>
      <c r="G22" s="40"/>
      <c r="H22" s="40"/>
      <c r="I22" s="40"/>
      <c r="J22" s="40"/>
      <c r="K22" s="537"/>
      <c r="L22" s="537"/>
      <c r="M22" s="40"/>
      <c r="N22" s="40"/>
      <c r="O22" s="40"/>
      <c r="P22" s="40"/>
      <c r="Q22" s="40"/>
      <c r="R22" s="538"/>
      <c r="S22" s="538"/>
      <c r="T22" s="40"/>
      <c r="U22" s="40"/>
      <c r="V22" s="40"/>
      <c r="W22" s="40"/>
      <c r="X22" s="40"/>
      <c r="Y22" s="538"/>
      <c r="Z22" s="538"/>
      <c r="AA22" s="40"/>
      <c r="AB22" s="40"/>
      <c r="AC22" s="40"/>
      <c r="AD22" s="40"/>
      <c r="AE22" s="40"/>
      <c r="AF22" s="538"/>
      <c r="AG22" s="538"/>
      <c r="AH22" s="40"/>
      <c r="AI22" s="40"/>
      <c r="AJ22" s="40"/>
      <c r="AK22" s="40"/>
      <c r="AL22" s="40"/>
      <c r="AM22" s="538"/>
      <c r="AN22" s="538"/>
      <c r="AO22" s="40"/>
      <c r="AP22" s="40"/>
      <c r="AQ22" s="40"/>
      <c r="AR22" s="40"/>
      <c r="AS22" s="40"/>
      <c r="AT22" s="538"/>
      <c r="AU22" s="538"/>
      <c r="AV22" s="40"/>
      <c r="AW22" s="40"/>
      <c r="AX22" s="40"/>
      <c r="AY22" s="40"/>
      <c r="AZ22" s="40"/>
      <c r="BA22" s="538"/>
      <c r="BB22" s="538"/>
      <c r="BC22" s="40"/>
      <c r="BD22" s="40"/>
      <c r="BE22" s="40"/>
      <c r="BF22" s="40"/>
      <c r="BG22" s="40"/>
      <c r="BH22" s="538"/>
      <c r="BI22" s="538"/>
    </row>
    <row r="23" spans="1:61" ht="15.75" x14ac:dyDescent="0.25">
      <c r="A23" s="587" t="s">
        <v>363</v>
      </c>
      <c r="B23" s="546">
        <f>S.Fee.SubmitToDAS</f>
        <v>0</v>
      </c>
      <c r="C23" s="546">
        <f>B23</f>
        <v>0</v>
      </c>
      <c r="D23" s="546"/>
      <c r="E23" s="540">
        <f t="shared" ca="1" si="2"/>
        <v>1</v>
      </c>
      <c r="F23" s="40"/>
      <c r="G23" s="40"/>
      <c r="H23" s="40"/>
      <c r="I23" s="40"/>
      <c r="J23" s="40"/>
      <c r="K23" s="537"/>
      <c r="L23" s="537"/>
      <c r="M23" s="40"/>
      <c r="N23" s="40"/>
      <c r="O23" s="40"/>
      <c r="P23" s="40"/>
      <c r="Q23" s="40"/>
      <c r="R23" s="538"/>
      <c r="S23" s="538"/>
      <c r="T23" s="40"/>
      <c r="U23" s="40"/>
      <c r="V23" s="40"/>
      <c r="W23" s="40"/>
      <c r="X23" s="40"/>
      <c r="Y23" s="538"/>
      <c r="Z23" s="538"/>
      <c r="AA23" s="40"/>
      <c r="AB23" s="40"/>
      <c r="AC23" s="40"/>
      <c r="AD23" s="40"/>
      <c r="AE23" s="40"/>
      <c r="AF23" s="538"/>
      <c r="AG23" s="538"/>
      <c r="AH23" s="40"/>
      <c r="AI23" s="40"/>
      <c r="AJ23" s="40"/>
      <c r="AK23" s="40"/>
      <c r="AL23" s="40"/>
      <c r="AM23" s="538"/>
      <c r="AN23" s="538"/>
      <c r="AO23" s="40"/>
      <c r="AP23" s="40"/>
      <c r="AQ23" s="40"/>
      <c r="AR23" s="40"/>
      <c r="AS23" s="40"/>
      <c r="AT23" s="538"/>
      <c r="AU23" s="538"/>
      <c r="AV23" s="40"/>
      <c r="AW23" s="40"/>
      <c r="AX23" s="40"/>
      <c r="AY23" s="40"/>
      <c r="AZ23" s="40"/>
      <c r="BA23" s="538"/>
      <c r="BB23" s="538"/>
      <c r="BC23" s="40"/>
      <c r="BD23" s="40"/>
      <c r="BE23" s="40"/>
      <c r="BF23" s="40"/>
      <c r="BG23" s="40"/>
      <c r="BH23" s="538"/>
      <c r="BI23" s="538"/>
    </row>
    <row r="24" spans="1:61" ht="15.75" x14ac:dyDescent="0.25">
      <c r="A24" s="587" t="s">
        <v>393</v>
      </c>
      <c r="B24" s="546">
        <f>S.PostEQC.SubmitDASPart2</f>
        <v>42079</v>
      </c>
      <c r="C24" s="546">
        <f>B24</f>
        <v>42079</v>
      </c>
      <c r="D24" s="546"/>
      <c r="E24" s="540">
        <f t="shared" ca="1" si="2"/>
        <v>0</v>
      </c>
      <c r="F24" s="40"/>
      <c r="G24" s="40"/>
      <c r="H24" s="40"/>
      <c r="I24" s="40"/>
      <c r="J24" s="40"/>
      <c r="K24" s="537"/>
      <c r="L24" s="537"/>
      <c r="M24" s="40"/>
      <c r="N24" s="40"/>
      <c r="O24" s="40"/>
      <c r="P24" s="40"/>
      <c r="Q24" s="40"/>
      <c r="R24" s="538"/>
      <c r="S24" s="538"/>
      <c r="T24" s="40"/>
      <c r="U24" s="40"/>
      <c r="V24" s="40"/>
      <c r="W24" s="40"/>
      <c r="X24" s="40"/>
      <c r="Y24" s="538"/>
      <c r="Z24" s="538"/>
      <c r="AA24" s="40"/>
      <c r="AB24" s="40"/>
      <c r="AC24" s="40"/>
      <c r="AD24" s="40"/>
      <c r="AE24" s="40"/>
      <c r="AF24" s="538"/>
      <c r="AG24" s="538"/>
      <c r="AH24" s="40"/>
      <c r="AI24" s="40"/>
      <c r="AJ24" s="40"/>
      <c r="AK24" s="40"/>
      <c r="AL24" s="40"/>
      <c r="AM24" s="538"/>
      <c r="AN24" s="538"/>
      <c r="AO24" s="40"/>
      <c r="AP24" s="40"/>
      <c r="AQ24" s="40"/>
      <c r="AR24" s="40"/>
      <c r="AS24" s="40"/>
      <c r="AT24" s="538"/>
      <c r="AU24" s="538"/>
      <c r="AV24" s="40"/>
      <c r="AW24" s="40"/>
      <c r="AX24" s="40"/>
      <c r="AY24" s="40"/>
      <c r="AZ24" s="40"/>
      <c r="BA24" s="538"/>
      <c r="BB24" s="538"/>
      <c r="BC24" s="40"/>
      <c r="BD24" s="40"/>
      <c r="BE24" s="40"/>
      <c r="BF24" s="40"/>
      <c r="BG24" s="40"/>
      <c r="BH24" s="538"/>
      <c r="BI24" s="538"/>
    </row>
    <row r="25" spans="1:61" ht="15.75" x14ac:dyDescent="0.25">
      <c r="A25" s="587" t="s">
        <v>364</v>
      </c>
      <c r="B25" s="546">
        <f>S.Notice.DASNotification</f>
        <v>0</v>
      </c>
      <c r="C25" s="546">
        <f>B25</f>
        <v>0</v>
      </c>
      <c r="D25" s="546"/>
      <c r="E25" s="540">
        <f t="shared" ca="1" si="2"/>
        <v>1</v>
      </c>
      <c r="F25" s="40"/>
      <c r="G25" s="40"/>
      <c r="H25" s="40"/>
      <c r="I25" s="40"/>
      <c r="J25" s="40"/>
      <c r="K25" s="537"/>
      <c r="L25" s="537"/>
      <c r="M25" s="40"/>
      <c r="N25" s="40"/>
      <c r="O25" s="40"/>
      <c r="P25" s="40"/>
      <c r="Q25" s="40"/>
      <c r="R25" s="538"/>
      <c r="S25" s="538"/>
      <c r="T25" s="40"/>
      <c r="U25" s="40"/>
      <c r="V25" s="40"/>
      <c r="W25" s="40"/>
      <c r="X25" s="40"/>
      <c r="Y25" s="538"/>
      <c r="Z25" s="538"/>
      <c r="AA25" s="40"/>
      <c r="AB25" s="40"/>
      <c r="AC25" s="40"/>
      <c r="AD25" s="40"/>
      <c r="AE25" s="40"/>
      <c r="AF25" s="538"/>
      <c r="AG25" s="538"/>
      <c r="AH25" s="40"/>
      <c r="AI25" s="40"/>
      <c r="AJ25" s="40"/>
      <c r="AK25" s="40"/>
      <c r="AL25" s="40"/>
      <c r="AM25" s="538"/>
      <c r="AN25" s="538"/>
      <c r="AO25" s="40"/>
      <c r="AP25" s="40"/>
      <c r="AQ25" s="40"/>
      <c r="AR25" s="40"/>
      <c r="AS25" s="40"/>
      <c r="AT25" s="538"/>
      <c r="AU25" s="538"/>
      <c r="AV25" s="40"/>
      <c r="AW25" s="40"/>
      <c r="AX25" s="40"/>
      <c r="AY25" s="40"/>
      <c r="AZ25" s="40"/>
      <c r="BA25" s="538"/>
      <c r="BB25" s="538"/>
      <c r="BC25" s="40"/>
      <c r="BD25" s="40"/>
      <c r="BE25" s="40"/>
      <c r="BF25" s="40"/>
      <c r="BG25" s="40"/>
      <c r="BH25" s="538"/>
      <c r="BI25" s="538"/>
    </row>
    <row r="26" spans="1:61" ht="15.75" x14ac:dyDescent="0.25">
      <c r="A26" s="544" t="s">
        <v>365</v>
      </c>
      <c r="B26" s="545" t="s">
        <v>0</v>
      </c>
      <c r="C26" s="545" t="s">
        <v>0</v>
      </c>
      <c r="D26" s="545"/>
      <c r="E26" s="540">
        <f t="shared" ca="1" si="2"/>
        <v>0</v>
      </c>
      <c r="F26" s="40"/>
      <c r="G26" s="40"/>
      <c r="H26" s="40"/>
      <c r="I26" s="40"/>
      <c r="J26" s="40"/>
      <c r="K26" s="537"/>
      <c r="L26" s="537"/>
      <c r="M26" s="40"/>
      <c r="N26" s="40"/>
      <c r="O26" s="40"/>
      <c r="P26" s="40"/>
      <c r="Q26" s="40"/>
      <c r="R26" s="538"/>
      <c r="S26" s="538"/>
      <c r="T26" s="40"/>
      <c r="U26" s="40"/>
      <c r="V26" s="40"/>
      <c r="W26" s="40"/>
      <c r="X26" s="40"/>
      <c r="Y26" s="538"/>
      <c r="Z26" s="538"/>
      <c r="AA26" s="40"/>
      <c r="AB26" s="40"/>
      <c r="AC26" s="40"/>
      <c r="AD26" s="40"/>
      <c r="AE26" s="40"/>
      <c r="AF26" s="538"/>
      <c r="AG26" s="538"/>
      <c r="AH26" s="40"/>
      <c r="AI26" s="40"/>
      <c r="AJ26" s="40"/>
      <c r="AK26" s="40"/>
      <c r="AL26" s="40"/>
      <c r="AM26" s="538"/>
      <c r="AN26" s="538"/>
      <c r="AO26" s="40"/>
      <c r="AP26" s="40"/>
      <c r="AQ26" s="40"/>
      <c r="AR26" s="40"/>
      <c r="AS26" s="40"/>
      <c r="AT26" s="538"/>
      <c r="AU26" s="538"/>
      <c r="AV26" s="40"/>
      <c r="AW26" s="40"/>
      <c r="AX26" s="40"/>
      <c r="AY26" s="40"/>
      <c r="AZ26" s="40"/>
      <c r="BA26" s="538"/>
      <c r="BB26" s="538"/>
      <c r="BC26" s="40"/>
      <c r="BD26" s="40"/>
      <c r="BE26" s="40"/>
      <c r="BF26" s="40"/>
      <c r="BG26" s="40"/>
      <c r="BH26" s="538"/>
      <c r="BI26" s="538"/>
    </row>
    <row r="27" spans="1:61" ht="15.75" x14ac:dyDescent="0.25">
      <c r="A27" s="588" t="s">
        <v>390</v>
      </c>
      <c r="B27" s="546">
        <f>S.AC.SendInvitation</f>
        <v>41641</v>
      </c>
      <c r="C27" s="546">
        <f>B27</f>
        <v>41641</v>
      </c>
      <c r="D27" s="546"/>
      <c r="E27" s="540">
        <f ca="1">IF($C27&gt;=$A$3,0,1)</f>
        <v>1</v>
      </c>
      <c r="F27" s="40"/>
      <c r="G27" s="40"/>
      <c r="H27" s="40"/>
      <c r="I27" s="40"/>
      <c r="J27" s="40"/>
      <c r="K27" s="537"/>
      <c r="L27" s="537"/>
      <c r="M27" s="40"/>
      <c r="N27" s="40"/>
      <c r="O27" s="40"/>
      <c r="P27" s="40"/>
      <c r="Q27" s="40"/>
      <c r="R27" s="538"/>
      <c r="S27" s="538"/>
      <c r="T27" s="40"/>
      <c r="U27" s="40"/>
      <c r="V27" s="40"/>
      <c r="W27" s="40"/>
      <c r="X27" s="40"/>
      <c r="Y27" s="538"/>
      <c r="Z27" s="538"/>
      <c r="AA27" s="40"/>
      <c r="AB27" s="40"/>
      <c r="AC27" s="40"/>
      <c r="AD27" s="40"/>
      <c r="AE27" s="40"/>
      <c r="AF27" s="538"/>
      <c r="AG27" s="538"/>
      <c r="AH27" s="40"/>
      <c r="AI27" s="40"/>
      <c r="AJ27" s="40"/>
      <c r="AK27" s="40"/>
      <c r="AL27" s="40"/>
      <c r="AM27" s="538"/>
      <c r="AN27" s="538"/>
      <c r="AO27" s="40"/>
      <c r="AP27" s="40"/>
      <c r="AQ27" s="40"/>
      <c r="AR27" s="40"/>
      <c r="AS27" s="40"/>
      <c r="AT27" s="538"/>
      <c r="AU27" s="538"/>
      <c r="AV27" s="40"/>
      <c r="AW27" s="40"/>
      <c r="AX27" s="40"/>
      <c r="AY27" s="40"/>
      <c r="AZ27" s="40"/>
      <c r="BA27" s="538"/>
      <c r="BB27" s="538"/>
      <c r="BC27" s="40"/>
      <c r="BD27" s="40"/>
      <c r="BE27" s="40"/>
      <c r="BF27" s="40"/>
      <c r="BG27" s="40"/>
      <c r="BH27" s="538"/>
      <c r="BI27" s="538"/>
    </row>
    <row r="28" spans="1:61" ht="15.75" x14ac:dyDescent="0.25">
      <c r="A28" s="588" t="s">
        <v>24</v>
      </c>
      <c r="B28" s="546">
        <f>S.AC.DateMeeting1</f>
        <v>41795</v>
      </c>
      <c r="C28" s="546">
        <f t="shared" ref="C28:C32" si="3">B28</f>
        <v>41795</v>
      </c>
      <c r="D28" s="546"/>
      <c r="E28" s="540">
        <f t="shared" ca="1" si="2"/>
        <v>1</v>
      </c>
      <c r="F28" s="40"/>
      <c r="G28" s="40"/>
      <c r="H28" s="40"/>
      <c r="I28" s="40"/>
      <c r="J28" s="40"/>
      <c r="K28" s="537"/>
      <c r="L28" s="537"/>
      <c r="M28" s="40"/>
      <c r="N28" s="40"/>
      <c r="O28" s="40"/>
      <c r="P28" s="40"/>
      <c r="Q28" s="40"/>
      <c r="R28" s="538"/>
      <c r="S28" s="538"/>
      <c r="T28" s="40"/>
      <c r="U28" s="40"/>
      <c r="V28" s="40"/>
      <c r="W28" s="40"/>
      <c r="X28" s="40"/>
      <c r="Y28" s="538"/>
      <c r="Z28" s="538"/>
      <c r="AA28" s="40"/>
      <c r="AB28" s="40"/>
      <c r="AC28" s="40"/>
      <c r="AD28" s="40"/>
      <c r="AE28" s="40"/>
      <c r="AF28" s="538"/>
      <c r="AG28" s="538"/>
      <c r="AH28" s="40"/>
      <c r="AI28" s="40"/>
      <c r="AJ28" s="40"/>
      <c r="AK28" s="40"/>
      <c r="AL28" s="40"/>
      <c r="AM28" s="538"/>
      <c r="AN28" s="538"/>
      <c r="AO28" s="40"/>
      <c r="AP28" s="40"/>
      <c r="AQ28" s="40"/>
      <c r="AR28" s="40"/>
      <c r="AS28" s="40"/>
      <c r="AT28" s="538"/>
      <c r="AU28" s="538"/>
      <c r="AV28" s="40"/>
      <c r="AW28" s="40"/>
      <c r="AX28" s="40"/>
      <c r="AY28" s="40"/>
      <c r="AZ28" s="40"/>
      <c r="BA28" s="538"/>
      <c r="BB28" s="538"/>
      <c r="BC28" s="40"/>
      <c r="BD28" s="40"/>
      <c r="BE28" s="40"/>
      <c r="BF28" s="40"/>
      <c r="BG28" s="40"/>
      <c r="BH28" s="538"/>
      <c r="BI28" s="538"/>
    </row>
    <row r="29" spans="1:61" ht="15.75" x14ac:dyDescent="0.25">
      <c r="A29" s="588" t="s">
        <v>23</v>
      </c>
      <c r="B29" s="546">
        <f>S.AC.DateMeeting2</f>
        <v>41816</v>
      </c>
      <c r="C29" s="546">
        <f t="shared" si="3"/>
        <v>41816</v>
      </c>
      <c r="D29" s="546"/>
      <c r="E29" s="540">
        <f t="shared" ca="1" si="2"/>
        <v>1</v>
      </c>
      <c r="F29" s="40"/>
      <c r="G29" s="40"/>
      <c r="H29" s="40"/>
      <c r="I29" s="40"/>
      <c r="J29" s="40"/>
      <c r="K29" s="537"/>
      <c r="L29" s="537"/>
      <c r="M29" s="40"/>
      <c r="N29" s="40"/>
      <c r="O29" s="40"/>
      <c r="P29" s="40"/>
      <c r="Q29" s="40"/>
      <c r="R29" s="538"/>
      <c r="S29" s="538"/>
      <c r="T29" s="40"/>
      <c r="U29" s="40"/>
      <c r="V29" s="40"/>
      <c r="W29" s="40"/>
      <c r="X29" s="40"/>
      <c r="Y29" s="538"/>
      <c r="Z29" s="538"/>
      <c r="AA29" s="40"/>
      <c r="AB29" s="40"/>
      <c r="AC29" s="40"/>
      <c r="AD29" s="40"/>
      <c r="AE29" s="40"/>
      <c r="AF29" s="538"/>
      <c r="AG29" s="538"/>
      <c r="AH29" s="40"/>
      <c r="AI29" s="40"/>
      <c r="AJ29" s="40"/>
      <c r="AK29" s="40"/>
      <c r="AL29" s="40"/>
      <c r="AM29" s="538"/>
      <c r="AN29" s="538"/>
      <c r="AO29" s="40"/>
      <c r="AP29" s="40"/>
      <c r="AQ29" s="40"/>
      <c r="AR29" s="40"/>
      <c r="AS29" s="40"/>
      <c r="AT29" s="538"/>
      <c r="AU29" s="538"/>
      <c r="AV29" s="40"/>
      <c r="AW29" s="40"/>
      <c r="AX29" s="40"/>
      <c r="AY29" s="40"/>
      <c r="AZ29" s="40"/>
      <c r="BA29" s="538"/>
      <c r="BB29" s="538"/>
      <c r="BC29" s="40"/>
      <c r="BD29" s="40"/>
      <c r="BE29" s="40"/>
      <c r="BF29" s="40"/>
      <c r="BG29" s="40"/>
      <c r="BH29" s="538"/>
      <c r="BI29" s="538"/>
    </row>
    <row r="30" spans="1:61" ht="15.75" x14ac:dyDescent="0.25">
      <c r="A30" s="588" t="s">
        <v>22</v>
      </c>
      <c r="B30" s="546">
        <f>S.AC.DateMeeting3</f>
        <v>41850</v>
      </c>
      <c r="C30" s="546">
        <f t="shared" si="3"/>
        <v>41850</v>
      </c>
      <c r="D30" s="546"/>
      <c r="E30" s="540">
        <f t="shared" ca="1" si="2"/>
        <v>1</v>
      </c>
      <c r="F30" s="40"/>
      <c r="G30" s="40"/>
      <c r="H30" s="40"/>
      <c r="I30" s="40"/>
      <c r="J30" s="40"/>
      <c r="K30" s="537"/>
      <c r="L30" s="537"/>
      <c r="M30" s="40"/>
      <c r="N30" s="40"/>
      <c r="O30" s="40"/>
      <c r="P30" s="40"/>
      <c r="Q30" s="40"/>
      <c r="R30" s="538"/>
      <c r="S30" s="538"/>
      <c r="T30" s="40"/>
      <c r="U30" s="40"/>
      <c r="V30" s="40"/>
      <c r="W30" s="40"/>
      <c r="X30" s="40"/>
      <c r="Y30" s="538"/>
      <c r="Z30" s="538"/>
      <c r="AA30" s="40"/>
      <c r="AB30" s="40"/>
      <c r="AC30" s="40"/>
      <c r="AD30" s="40"/>
      <c r="AE30" s="40"/>
      <c r="AF30" s="538"/>
      <c r="AG30" s="538"/>
      <c r="AH30" s="40"/>
      <c r="AI30" s="40"/>
      <c r="AJ30" s="40"/>
      <c r="AK30" s="40"/>
      <c r="AL30" s="40"/>
      <c r="AM30" s="538"/>
      <c r="AN30" s="538"/>
      <c r="AO30" s="40"/>
      <c r="AP30" s="40"/>
      <c r="AQ30" s="40"/>
      <c r="AR30" s="40"/>
      <c r="AS30" s="40"/>
      <c r="AT30" s="538"/>
      <c r="AU30" s="538"/>
      <c r="AV30" s="40"/>
      <c r="AW30" s="40"/>
      <c r="AX30" s="40"/>
      <c r="AY30" s="40"/>
      <c r="AZ30" s="40"/>
      <c r="BA30" s="538"/>
      <c r="BB30" s="538"/>
      <c r="BC30" s="40"/>
      <c r="BD30" s="40"/>
      <c r="BE30" s="40"/>
      <c r="BF30" s="40"/>
      <c r="BG30" s="40"/>
      <c r="BH30" s="538"/>
      <c r="BI30" s="538"/>
    </row>
    <row r="31" spans="1:61" ht="15.75" x14ac:dyDescent="0.25">
      <c r="A31" s="588" t="s">
        <v>29</v>
      </c>
      <c r="B31" s="546">
        <f>S.AC.DateMeeting4</f>
        <v>41850</v>
      </c>
      <c r="C31" s="546">
        <f t="shared" si="3"/>
        <v>41850</v>
      </c>
      <c r="D31" s="546"/>
      <c r="E31" s="540">
        <f t="shared" ca="1" si="2"/>
        <v>1</v>
      </c>
      <c r="F31" s="40"/>
      <c r="G31" s="40"/>
      <c r="H31" s="40"/>
      <c r="I31" s="40"/>
      <c r="J31" s="40"/>
      <c r="K31" s="537"/>
      <c r="L31" s="537"/>
      <c r="M31" s="40"/>
      <c r="N31" s="40"/>
      <c r="O31" s="40"/>
      <c r="P31" s="40"/>
      <c r="Q31" s="40"/>
      <c r="R31" s="538"/>
      <c r="S31" s="538"/>
      <c r="T31" s="40"/>
      <c r="U31" s="40"/>
      <c r="V31" s="40"/>
      <c r="W31" s="40"/>
      <c r="X31" s="40"/>
      <c r="Y31" s="538"/>
      <c r="Z31" s="538"/>
      <c r="AA31" s="40"/>
      <c r="AB31" s="40"/>
      <c r="AC31" s="40"/>
      <c r="AD31" s="40"/>
      <c r="AE31" s="40"/>
      <c r="AF31" s="538"/>
      <c r="AG31" s="538"/>
      <c r="AH31" s="40"/>
      <c r="AI31" s="40"/>
      <c r="AJ31" s="40"/>
      <c r="AK31" s="40"/>
      <c r="AL31" s="40"/>
      <c r="AM31" s="538"/>
      <c r="AN31" s="538"/>
      <c r="AO31" s="40"/>
      <c r="AP31" s="40"/>
      <c r="AQ31" s="40"/>
      <c r="AR31" s="40"/>
      <c r="AS31" s="40"/>
      <c r="AT31" s="538"/>
      <c r="AU31" s="538"/>
      <c r="AV31" s="40"/>
      <c r="AW31" s="40"/>
      <c r="AX31" s="40"/>
      <c r="AY31" s="40"/>
      <c r="AZ31" s="40"/>
      <c r="BA31" s="538"/>
      <c r="BB31" s="538"/>
      <c r="BC31" s="40"/>
      <c r="BD31" s="40"/>
      <c r="BE31" s="40"/>
      <c r="BF31" s="40"/>
      <c r="BG31" s="40"/>
      <c r="BH31" s="538"/>
      <c r="BI31" s="538"/>
    </row>
    <row r="32" spans="1:61" ht="15.75" x14ac:dyDescent="0.25">
      <c r="A32" s="588" t="s">
        <v>389</v>
      </c>
      <c r="B32" s="546">
        <f>S.AC.DateMeeting5</f>
        <v>41850</v>
      </c>
      <c r="C32" s="546">
        <f t="shared" si="3"/>
        <v>41850</v>
      </c>
      <c r="D32" s="546"/>
      <c r="E32" s="540">
        <f t="shared" ca="1" si="2"/>
        <v>1</v>
      </c>
      <c r="F32" s="40"/>
      <c r="G32" s="40"/>
      <c r="H32" s="40"/>
      <c r="I32" s="40"/>
      <c r="J32" s="40"/>
      <c r="K32" s="537"/>
      <c r="L32" s="537"/>
      <c r="M32" s="40"/>
      <c r="N32" s="40"/>
      <c r="O32" s="40"/>
      <c r="P32" s="40"/>
      <c r="Q32" s="40"/>
      <c r="R32" s="538"/>
      <c r="S32" s="538"/>
      <c r="T32" s="40"/>
      <c r="U32" s="40"/>
      <c r="V32" s="40"/>
      <c r="W32" s="40"/>
      <c r="X32" s="40"/>
      <c r="Y32" s="538"/>
      <c r="Z32" s="538"/>
      <c r="AA32" s="40"/>
      <c r="AB32" s="40"/>
      <c r="AC32" s="40"/>
      <c r="AD32" s="40"/>
      <c r="AE32" s="40"/>
      <c r="AF32" s="538"/>
      <c r="AG32" s="538"/>
      <c r="AH32" s="40"/>
      <c r="AI32" s="40"/>
      <c r="AJ32" s="40"/>
      <c r="AK32" s="40"/>
      <c r="AL32" s="40"/>
      <c r="AM32" s="538"/>
      <c r="AN32" s="538"/>
      <c r="AO32" s="40"/>
      <c r="AP32" s="40"/>
      <c r="AQ32" s="40"/>
      <c r="AR32" s="40"/>
      <c r="AS32" s="40"/>
      <c r="AT32" s="538"/>
      <c r="AU32" s="538"/>
      <c r="AV32" s="40"/>
      <c r="AW32" s="40"/>
      <c r="AX32" s="40"/>
      <c r="AY32" s="40"/>
      <c r="AZ32" s="40"/>
      <c r="BA32" s="538"/>
      <c r="BB32" s="538"/>
      <c r="BC32" s="40"/>
      <c r="BD32" s="40"/>
      <c r="BE32" s="40"/>
      <c r="BF32" s="40"/>
      <c r="BG32" s="40"/>
      <c r="BH32" s="538"/>
      <c r="BI32" s="538"/>
    </row>
    <row r="33" spans="1:61" ht="15.75" x14ac:dyDescent="0.25">
      <c r="A33" s="547" t="s">
        <v>366</v>
      </c>
      <c r="B33" s="546" t="s">
        <v>0</v>
      </c>
      <c r="C33" s="546" t="s">
        <v>0</v>
      </c>
      <c r="D33" s="546"/>
      <c r="E33" s="540">
        <f t="shared" ca="1" si="2"/>
        <v>0</v>
      </c>
      <c r="F33" s="40"/>
      <c r="G33" s="40"/>
      <c r="H33" s="40"/>
      <c r="I33" s="40"/>
      <c r="J33" s="40"/>
      <c r="K33" s="537"/>
      <c r="L33" s="537"/>
      <c r="M33" s="40"/>
      <c r="N33" s="40"/>
      <c r="O33" s="40"/>
      <c r="P33" s="40"/>
      <c r="Q33" s="40"/>
      <c r="R33" s="538"/>
      <c r="S33" s="538"/>
      <c r="T33" s="40"/>
      <c r="U33" s="40"/>
      <c r="V33" s="40"/>
      <c r="W33" s="40"/>
      <c r="X33" s="40"/>
      <c r="Y33" s="538"/>
      <c r="Z33" s="538"/>
      <c r="AA33" s="40"/>
      <c r="AB33" s="40"/>
      <c r="AC33" s="40"/>
      <c r="AD33" s="40"/>
      <c r="AE33" s="40"/>
      <c r="AF33" s="538"/>
      <c r="AG33" s="538"/>
      <c r="AH33" s="40"/>
      <c r="AI33" s="40"/>
      <c r="AJ33" s="40"/>
      <c r="AK33" s="40"/>
      <c r="AL33" s="40"/>
      <c r="AM33" s="538"/>
      <c r="AN33" s="538"/>
      <c r="AO33" s="40"/>
      <c r="AP33" s="40"/>
      <c r="AQ33" s="40"/>
      <c r="AR33" s="40"/>
      <c r="AS33" s="40"/>
      <c r="AT33" s="538"/>
      <c r="AU33" s="538"/>
      <c r="AV33" s="40"/>
      <c r="AW33" s="40"/>
      <c r="AX33" s="40"/>
      <c r="AY33" s="40"/>
      <c r="AZ33" s="40"/>
      <c r="BA33" s="538"/>
      <c r="BB33" s="538"/>
      <c r="BC33" s="40"/>
      <c r="BD33" s="40"/>
      <c r="BE33" s="40"/>
      <c r="BF33" s="40"/>
      <c r="BG33" s="40"/>
      <c r="BH33" s="538"/>
      <c r="BI33" s="538"/>
    </row>
    <row r="34" spans="1:61" ht="15.75" x14ac:dyDescent="0.25">
      <c r="A34" s="587" t="s">
        <v>367</v>
      </c>
      <c r="B34" s="546">
        <f>S.EQC.DirectorsReport1</f>
        <v>41641</v>
      </c>
      <c r="C34" s="546">
        <f>B34</f>
        <v>41641</v>
      </c>
      <c r="D34" s="546"/>
      <c r="E34" s="540">
        <f t="shared" ca="1" si="2"/>
        <v>1</v>
      </c>
      <c r="F34" s="40"/>
      <c r="G34" s="40"/>
      <c r="H34" s="40"/>
      <c r="I34" s="40"/>
      <c r="J34" s="40"/>
      <c r="K34" s="537"/>
      <c r="L34" s="537"/>
      <c r="M34" s="40"/>
      <c r="N34" s="40"/>
      <c r="O34" s="40"/>
      <c r="P34" s="40"/>
      <c r="Q34" s="40"/>
      <c r="R34" s="538"/>
      <c r="S34" s="538"/>
      <c r="T34" s="40"/>
      <c r="U34" s="40"/>
      <c r="V34" s="40"/>
      <c r="W34" s="40"/>
      <c r="X34" s="40"/>
      <c r="Y34" s="538"/>
      <c r="Z34" s="538"/>
      <c r="AA34" s="40"/>
      <c r="AB34" s="40"/>
      <c r="AC34" s="40"/>
      <c r="AD34" s="40"/>
      <c r="AE34" s="40"/>
      <c r="AF34" s="538"/>
      <c r="AG34" s="538"/>
      <c r="AH34" s="40"/>
      <c r="AI34" s="40"/>
      <c r="AJ34" s="40"/>
      <c r="AK34" s="40"/>
      <c r="AL34" s="40"/>
      <c r="AM34" s="538"/>
      <c r="AN34" s="538"/>
      <c r="AO34" s="40"/>
      <c r="AP34" s="40"/>
      <c r="AQ34" s="40"/>
      <c r="AR34" s="40"/>
      <c r="AS34" s="40"/>
      <c r="AT34" s="538"/>
      <c r="AU34" s="538"/>
      <c r="AV34" s="40"/>
      <c r="AW34" s="40"/>
      <c r="AX34" s="40"/>
      <c r="AY34" s="40"/>
      <c r="AZ34" s="40"/>
      <c r="BA34" s="538"/>
      <c r="BB34" s="538"/>
      <c r="BC34" s="40"/>
      <c r="BD34" s="40"/>
      <c r="BE34" s="40"/>
      <c r="BF34" s="40"/>
      <c r="BG34" s="40"/>
      <c r="BH34" s="538"/>
      <c r="BI34" s="538"/>
    </row>
    <row r="35" spans="1:61" ht="15.75" x14ac:dyDescent="0.25">
      <c r="A35" s="587" t="s">
        <v>368</v>
      </c>
      <c r="B35" s="546">
        <f>S.EQC.DirectorsReport2</f>
        <v>41641</v>
      </c>
      <c r="C35" s="546">
        <f>B35</f>
        <v>41641</v>
      </c>
      <c r="D35" s="546"/>
      <c r="E35" s="540">
        <f t="shared" ca="1" si="2"/>
        <v>1</v>
      </c>
      <c r="F35" s="40"/>
      <c r="G35" s="40"/>
      <c r="H35" s="40"/>
      <c r="I35" s="40"/>
      <c r="J35" s="40"/>
      <c r="K35" s="537"/>
      <c r="L35" s="537"/>
      <c r="M35" s="40"/>
      <c r="N35" s="40"/>
      <c r="O35" s="40"/>
      <c r="P35" s="40"/>
      <c r="Q35" s="40"/>
      <c r="R35" s="538"/>
      <c r="S35" s="538"/>
      <c r="T35" s="40"/>
      <c r="U35" s="40"/>
      <c r="V35" s="40"/>
      <c r="W35" s="40"/>
      <c r="X35" s="40"/>
      <c r="Y35" s="538"/>
      <c r="Z35" s="538"/>
      <c r="AA35" s="40"/>
      <c r="AB35" s="40"/>
      <c r="AC35" s="40"/>
      <c r="AD35" s="40"/>
      <c r="AE35" s="40"/>
      <c r="AF35" s="538"/>
      <c r="AG35" s="538"/>
      <c r="AH35" s="40"/>
      <c r="AI35" s="40"/>
      <c r="AJ35" s="40"/>
      <c r="AK35" s="40"/>
      <c r="AL35" s="40"/>
      <c r="AM35" s="538"/>
      <c r="AN35" s="538"/>
      <c r="AO35" s="40"/>
      <c r="AP35" s="40"/>
      <c r="AQ35" s="40"/>
      <c r="AR35" s="40"/>
      <c r="AS35" s="40"/>
      <c r="AT35" s="538"/>
      <c r="AU35" s="538"/>
      <c r="AV35" s="40"/>
      <c r="AW35" s="40"/>
      <c r="AX35" s="40"/>
      <c r="AY35" s="40"/>
      <c r="AZ35" s="40"/>
      <c r="BA35" s="538"/>
      <c r="BB35" s="538"/>
      <c r="BC35" s="40"/>
      <c r="BD35" s="40"/>
      <c r="BE35" s="40"/>
      <c r="BF35" s="40"/>
      <c r="BG35" s="40"/>
      <c r="BH35" s="538"/>
      <c r="BI35" s="538"/>
    </row>
    <row r="36" spans="1:61" ht="15.75" x14ac:dyDescent="0.25">
      <c r="A36" s="587" t="s">
        <v>369</v>
      </c>
      <c r="B36" s="546">
        <f>S.EQC.InfoItem1</f>
        <v>42011</v>
      </c>
      <c r="C36" s="546">
        <f>B36</f>
        <v>42011</v>
      </c>
      <c r="D36" s="546"/>
      <c r="E36" s="540">
        <f t="shared" ca="1" si="2"/>
        <v>0</v>
      </c>
      <c r="F36" s="40"/>
      <c r="G36" s="40"/>
      <c r="H36" s="40"/>
      <c r="I36" s="40"/>
      <c r="J36" s="40"/>
      <c r="K36" s="537"/>
      <c r="L36" s="537"/>
      <c r="M36" s="40"/>
      <c r="N36" s="40"/>
      <c r="O36" s="40"/>
      <c r="P36" s="40"/>
      <c r="Q36" s="40"/>
      <c r="R36" s="538"/>
      <c r="S36" s="538"/>
      <c r="T36" s="40"/>
      <c r="U36" s="40"/>
      <c r="V36" s="40"/>
      <c r="W36" s="40"/>
      <c r="X36" s="40"/>
      <c r="Y36" s="538"/>
      <c r="Z36" s="538"/>
      <c r="AA36" s="40"/>
      <c r="AB36" s="40"/>
      <c r="AC36" s="40"/>
      <c r="AD36" s="40"/>
      <c r="AE36" s="40"/>
      <c r="AF36" s="538"/>
      <c r="AG36" s="538"/>
      <c r="AH36" s="40"/>
      <c r="AI36" s="40"/>
      <c r="AJ36" s="40"/>
      <c r="AK36" s="40"/>
      <c r="AL36" s="40"/>
      <c r="AM36" s="538"/>
      <c r="AN36" s="538"/>
      <c r="AO36" s="40"/>
      <c r="AP36" s="40"/>
      <c r="AQ36" s="40"/>
      <c r="AR36" s="40"/>
      <c r="AS36" s="40"/>
      <c r="AT36" s="538"/>
      <c r="AU36" s="538"/>
      <c r="AV36" s="40"/>
      <c r="AW36" s="40"/>
      <c r="AX36" s="40"/>
      <c r="AY36" s="40"/>
      <c r="AZ36" s="40"/>
      <c r="BA36" s="538"/>
      <c r="BB36" s="538"/>
      <c r="BC36" s="40"/>
      <c r="BD36" s="40"/>
      <c r="BE36" s="40"/>
      <c r="BF36" s="40"/>
      <c r="BG36" s="40"/>
      <c r="BH36" s="538"/>
      <c r="BI36" s="538"/>
    </row>
    <row r="37" spans="1:61" ht="15.75" x14ac:dyDescent="0.25">
      <c r="A37" s="587" t="s">
        <v>370</v>
      </c>
      <c r="B37" s="546">
        <f>S.EQC.InfoItem2</f>
        <v>42011</v>
      </c>
      <c r="C37" s="546">
        <f>B37</f>
        <v>42011</v>
      </c>
      <c r="D37" s="546"/>
      <c r="E37" s="540">
        <f t="shared" ca="1" si="2"/>
        <v>0</v>
      </c>
      <c r="F37" s="40"/>
      <c r="G37" s="40"/>
      <c r="H37" s="40"/>
      <c r="I37" s="40"/>
      <c r="J37" s="40"/>
      <c r="K37" s="537"/>
      <c r="L37" s="537"/>
      <c r="M37" s="40"/>
      <c r="N37" s="40"/>
      <c r="O37" s="40"/>
      <c r="P37" s="40"/>
      <c r="Q37" s="40"/>
      <c r="R37" s="538"/>
      <c r="S37" s="538"/>
      <c r="T37" s="40"/>
      <c r="U37" s="40"/>
      <c r="V37" s="40"/>
      <c r="W37" s="40"/>
      <c r="X37" s="40"/>
      <c r="Y37" s="538"/>
      <c r="Z37" s="538"/>
      <c r="AA37" s="40"/>
      <c r="AB37" s="40"/>
      <c r="AC37" s="40"/>
      <c r="AD37" s="40"/>
      <c r="AE37" s="40"/>
      <c r="AF37" s="538"/>
      <c r="AG37" s="538"/>
      <c r="AH37" s="40"/>
      <c r="AI37" s="40"/>
      <c r="AJ37" s="40"/>
      <c r="AK37" s="40"/>
      <c r="AL37" s="40"/>
      <c r="AM37" s="538"/>
      <c r="AN37" s="538"/>
      <c r="AO37" s="40"/>
      <c r="AP37" s="40"/>
      <c r="AQ37" s="40"/>
      <c r="AR37" s="40"/>
      <c r="AS37" s="40"/>
      <c r="AT37" s="538"/>
      <c r="AU37" s="538"/>
      <c r="AV37" s="40"/>
      <c r="AW37" s="40"/>
      <c r="AX37" s="40"/>
      <c r="AY37" s="40"/>
      <c r="AZ37" s="40"/>
      <c r="BA37" s="538"/>
      <c r="BB37" s="538"/>
      <c r="BC37" s="40"/>
      <c r="BD37" s="40"/>
      <c r="BE37" s="40"/>
      <c r="BF37" s="40"/>
      <c r="BG37" s="40"/>
      <c r="BH37" s="538"/>
      <c r="BI37" s="538"/>
    </row>
    <row r="38" spans="1:61" ht="15.75" x14ac:dyDescent="0.25">
      <c r="A38" s="547" t="s">
        <v>371</v>
      </c>
      <c r="B38" s="546" t="s">
        <v>0</v>
      </c>
      <c r="C38" s="546" t="s">
        <v>0</v>
      </c>
      <c r="D38" s="546"/>
      <c r="E38" s="540">
        <f t="shared" ca="1" si="2"/>
        <v>0</v>
      </c>
      <c r="F38" s="40"/>
      <c r="G38" s="40"/>
      <c r="H38" s="40"/>
      <c r="I38" s="40"/>
      <c r="J38" s="40"/>
      <c r="K38" s="537"/>
      <c r="L38" s="537"/>
      <c r="M38" s="40"/>
      <c r="N38" s="40"/>
      <c r="O38" s="40"/>
      <c r="P38" s="40"/>
      <c r="Q38" s="40"/>
      <c r="R38" s="538"/>
      <c r="S38" s="538"/>
      <c r="T38" s="40"/>
      <c r="U38" s="40"/>
      <c r="V38" s="40"/>
      <c r="W38" s="40"/>
      <c r="X38" s="40"/>
      <c r="Y38" s="538"/>
      <c r="Z38" s="538"/>
      <c r="AA38" s="40"/>
      <c r="AB38" s="40"/>
      <c r="AC38" s="40"/>
      <c r="AD38" s="40"/>
      <c r="AE38" s="40"/>
      <c r="AF38" s="538"/>
      <c r="AG38" s="538"/>
      <c r="AH38" s="40"/>
      <c r="AI38" s="40"/>
      <c r="AJ38" s="40"/>
      <c r="AK38" s="40"/>
      <c r="AL38" s="40"/>
      <c r="AM38" s="538"/>
      <c r="AN38" s="538"/>
      <c r="AO38" s="40"/>
      <c r="AP38" s="40"/>
      <c r="AQ38" s="40"/>
      <c r="AR38" s="40"/>
      <c r="AS38" s="40"/>
      <c r="AT38" s="538"/>
      <c r="AU38" s="538"/>
      <c r="AV38" s="40"/>
      <c r="AW38" s="40"/>
      <c r="AX38" s="40"/>
      <c r="AY38" s="40"/>
      <c r="AZ38" s="40"/>
      <c r="BA38" s="538"/>
      <c r="BB38" s="538"/>
      <c r="BC38" s="40"/>
      <c r="BD38" s="40"/>
      <c r="BE38" s="40"/>
      <c r="BF38" s="40"/>
      <c r="BG38" s="40"/>
      <c r="BH38" s="538"/>
      <c r="BI38" s="538"/>
    </row>
    <row r="39" spans="1:61" ht="15.75" x14ac:dyDescent="0.25">
      <c r="A39" s="587" t="s">
        <v>372</v>
      </c>
      <c r="B39" s="546">
        <f>S.Notice.EPA.180days</f>
        <v>41624</v>
      </c>
      <c r="C39" s="546">
        <f>B39</f>
        <v>41624</v>
      </c>
      <c r="D39" s="546"/>
      <c r="E39" s="540">
        <f t="shared" ca="1" si="2"/>
        <v>1</v>
      </c>
      <c r="F39" s="40"/>
      <c r="G39" s="40"/>
      <c r="H39" s="40"/>
      <c r="I39" s="40"/>
      <c r="J39" s="40"/>
      <c r="K39" s="537"/>
      <c r="L39" s="537"/>
      <c r="M39" s="40"/>
      <c r="N39" s="40"/>
      <c r="O39" s="40"/>
      <c r="P39" s="40"/>
      <c r="Q39" s="40"/>
      <c r="R39" s="538"/>
      <c r="S39" s="538"/>
      <c r="T39" s="40"/>
      <c r="U39" s="40"/>
      <c r="V39" s="40"/>
      <c r="W39" s="40"/>
      <c r="X39" s="40"/>
      <c r="Y39" s="538"/>
      <c r="Z39" s="538"/>
      <c r="AA39" s="40"/>
      <c r="AB39" s="40"/>
      <c r="AC39" s="40"/>
      <c r="AD39" s="40"/>
      <c r="AE39" s="40"/>
      <c r="AF39" s="538"/>
      <c r="AG39" s="538"/>
      <c r="AH39" s="40"/>
      <c r="AI39" s="40"/>
      <c r="AJ39" s="40"/>
      <c r="AK39" s="40"/>
      <c r="AL39" s="40"/>
      <c r="AM39" s="538"/>
      <c r="AN39" s="538"/>
      <c r="AO39" s="40"/>
      <c r="AP39" s="40"/>
      <c r="AQ39" s="40"/>
      <c r="AR39" s="40"/>
      <c r="AS39" s="40"/>
      <c r="AT39" s="538"/>
      <c r="AU39" s="538"/>
      <c r="AV39" s="40"/>
      <c r="AW39" s="40"/>
      <c r="AX39" s="40"/>
      <c r="AY39" s="40"/>
      <c r="AZ39" s="40"/>
      <c r="BA39" s="538"/>
      <c r="BB39" s="538"/>
      <c r="BC39" s="40"/>
      <c r="BD39" s="40"/>
      <c r="BE39" s="40"/>
      <c r="BF39" s="40"/>
      <c r="BG39" s="40"/>
      <c r="BH39" s="538"/>
      <c r="BI39" s="538"/>
    </row>
    <row r="40" spans="1:61" ht="15.75" x14ac:dyDescent="0.25">
      <c r="A40" s="587" t="s">
        <v>373</v>
      </c>
      <c r="B40" s="546" t="e">
        <f>S.Notice.EPA.45day</f>
        <v>#NAME?</v>
      </c>
      <c r="C40" s="546" t="e">
        <f>B40</f>
        <v>#NAME?</v>
      </c>
      <c r="D40" s="546"/>
      <c r="E40" s="540" t="e">
        <f t="shared" ca="1" si="2"/>
        <v>#NAME?</v>
      </c>
      <c r="F40" s="40"/>
      <c r="G40" s="40"/>
      <c r="H40" s="40"/>
      <c r="I40" s="40"/>
      <c r="J40" s="40"/>
      <c r="K40" s="537"/>
      <c r="L40" s="537"/>
      <c r="M40" s="40"/>
      <c r="N40" s="40"/>
      <c r="O40" s="40"/>
      <c r="P40" s="40"/>
      <c r="Q40" s="40"/>
      <c r="R40" s="538"/>
      <c r="S40" s="538"/>
      <c r="T40" s="40"/>
      <c r="U40" s="40"/>
      <c r="V40" s="40"/>
      <c r="W40" s="40"/>
      <c r="X40" s="40"/>
      <c r="Y40" s="538"/>
      <c r="Z40" s="538"/>
      <c r="AA40" s="40"/>
      <c r="AB40" s="40"/>
      <c r="AC40" s="40"/>
      <c r="AD40" s="40"/>
      <c r="AE40" s="40"/>
      <c r="AF40" s="538"/>
      <c r="AG40" s="538"/>
      <c r="AH40" s="40"/>
      <c r="AI40" s="40"/>
      <c r="AJ40" s="40"/>
      <c r="AK40" s="40"/>
      <c r="AL40" s="40"/>
      <c r="AM40" s="538"/>
      <c r="AN40" s="538"/>
      <c r="AO40" s="40"/>
      <c r="AP40" s="40"/>
      <c r="AQ40" s="40"/>
      <c r="AR40" s="40"/>
      <c r="AS40" s="40"/>
      <c r="AT40" s="538"/>
      <c r="AU40" s="538"/>
      <c r="AV40" s="40"/>
      <c r="AW40" s="40"/>
      <c r="AX40" s="40"/>
      <c r="AY40" s="40"/>
      <c r="AZ40" s="40"/>
      <c r="BA40" s="538"/>
      <c r="BB40" s="538"/>
      <c r="BC40" s="40"/>
      <c r="BD40" s="40"/>
      <c r="BE40" s="40"/>
      <c r="BF40" s="40"/>
      <c r="BG40" s="40"/>
      <c r="BH40" s="538"/>
      <c r="BI40" s="538"/>
    </row>
    <row r="41" spans="1:61" s="23" customFormat="1" ht="15.75" x14ac:dyDescent="0.25">
      <c r="A41" s="587" t="s">
        <v>374</v>
      </c>
      <c r="B41" s="546" t="e">
        <f>S.Notice.StartInvolveResources</f>
        <v>#REF!</v>
      </c>
      <c r="C41" s="546" t="e">
        <f>S.Notice.EndInvolveResources</f>
        <v>#REF!</v>
      </c>
      <c r="D41" s="546"/>
      <c r="E41" s="540" t="e">
        <f t="shared" ca="1" si="2"/>
        <v>#REF!</v>
      </c>
      <c r="F41" s="40"/>
      <c r="G41" s="40"/>
      <c r="H41" s="40"/>
      <c r="I41" s="40"/>
      <c r="J41" s="40"/>
      <c r="K41" s="537"/>
      <c r="L41" s="537"/>
      <c r="M41" s="40"/>
      <c r="N41" s="40"/>
      <c r="O41" s="40"/>
      <c r="P41" s="40"/>
      <c r="Q41" s="40"/>
      <c r="R41" s="538"/>
      <c r="S41" s="538"/>
      <c r="T41" s="40"/>
      <c r="U41" s="40"/>
      <c r="V41" s="40"/>
      <c r="W41" s="40"/>
      <c r="X41" s="40"/>
      <c r="Y41" s="538"/>
      <c r="Z41" s="538"/>
      <c r="AA41" s="40"/>
      <c r="AB41" s="40"/>
      <c r="AC41" s="40"/>
      <c r="AD41" s="40"/>
      <c r="AE41" s="40"/>
      <c r="AF41" s="538"/>
      <c r="AG41" s="538"/>
      <c r="AH41" s="40"/>
      <c r="AI41" s="40"/>
      <c r="AJ41" s="40"/>
      <c r="AK41" s="40"/>
      <c r="AL41" s="40"/>
      <c r="AM41" s="538"/>
      <c r="AN41" s="538"/>
      <c r="AO41" s="40"/>
      <c r="AP41" s="40"/>
      <c r="AQ41" s="40"/>
      <c r="AR41" s="40"/>
      <c r="AS41" s="40"/>
      <c r="AT41" s="538"/>
      <c r="AU41" s="538"/>
      <c r="AV41" s="40"/>
      <c r="AW41" s="40"/>
      <c r="AX41" s="40"/>
      <c r="AY41" s="40"/>
      <c r="AZ41" s="40"/>
      <c r="BA41" s="538"/>
      <c r="BB41" s="538"/>
      <c r="BC41" s="40"/>
      <c r="BD41" s="40"/>
      <c r="BE41" s="40"/>
      <c r="BF41" s="40"/>
      <c r="BG41" s="40"/>
      <c r="BH41" s="538"/>
      <c r="BI41" s="538"/>
    </row>
    <row r="42" spans="1:61" ht="15.75" x14ac:dyDescent="0.25">
      <c r="A42" s="587" t="s">
        <v>375</v>
      </c>
      <c r="B42" s="546">
        <f>S.Notice.AD.ToContractServices</f>
        <v>41792</v>
      </c>
      <c r="C42" s="546">
        <f>B42</f>
        <v>41792</v>
      </c>
      <c r="D42" s="546"/>
      <c r="E42" s="540">
        <f t="shared" ca="1" si="2"/>
        <v>1</v>
      </c>
      <c r="F42" s="40"/>
      <c r="G42" s="40"/>
      <c r="H42" s="40"/>
      <c r="I42" s="40"/>
      <c r="J42" s="40"/>
      <c r="K42" s="537"/>
      <c r="L42" s="537"/>
      <c r="M42" s="40"/>
      <c r="N42" s="40"/>
      <c r="O42" s="40"/>
      <c r="P42" s="40"/>
      <c r="Q42" s="40"/>
      <c r="R42" s="538"/>
      <c r="S42" s="538"/>
      <c r="T42" s="40"/>
      <c r="U42" s="40"/>
      <c r="V42" s="40"/>
      <c r="W42" s="40"/>
      <c r="X42" s="40"/>
      <c r="Y42" s="538"/>
      <c r="Z42" s="538"/>
      <c r="AA42" s="40"/>
      <c r="AB42" s="40"/>
      <c r="AC42" s="40"/>
      <c r="AD42" s="40"/>
      <c r="AE42" s="40"/>
      <c r="AF42" s="538"/>
      <c r="AG42" s="538"/>
      <c r="AH42" s="40"/>
      <c r="AI42" s="40"/>
      <c r="AJ42" s="40"/>
      <c r="AK42" s="40"/>
      <c r="AL42" s="40"/>
      <c r="AM42" s="538"/>
      <c r="AN42" s="538"/>
      <c r="AO42" s="40"/>
      <c r="AP42" s="40"/>
      <c r="AQ42" s="40"/>
      <c r="AR42" s="40"/>
      <c r="AS42" s="40"/>
      <c r="AT42" s="538"/>
      <c r="AU42" s="538"/>
      <c r="AV42" s="40"/>
      <c r="AW42" s="40"/>
      <c r="AX42" s="40"/>
      <c r="AY42" s="40"/>
      <c r="AZ42" s="40"/>
      <c r="BA42" s="538"/>
      <c r="BB42" s="538"/>
      <c r="BC42" s="40"/>
      <c r="BD42" s="40"/>
      <c r="BE42" s="40"/>
      <c r="BF42" s="40"/>
      <c r="BG42" s="40"/>
      <c r="BH42" s="538"/>
      <c r="BI42" s="538"/>
    </row>
    <row r="43" spans="1:61" ht="15.75" x14ac:dyDescent="0.25">
      <c r="A43" s="587" t="s">
        <v>376</v>
      </c>
      <c r="B43" s="546">
        <f>S.Notice.MgrNoticeApproval</f>
        <v>41795</v>
      </c>
      <c r="C43" s="546">
        <f>B43</f>
        <v>41795</v>
      </c>
      <c r="D43" s="546"/>
      <c r="E43" s="540">
        <f t="shared" ca="1" si="2"/>
        <v>1</v>
      </c>
      <c r="F43" s="40"/>
      <c r="G43" s="40"/>
      <c r="H43" s="40"/>
      <c r="I43" s="40"/>
      <c r="J43" s="40"/>
      <c r="K43" s="537"/>
      <c r="L43" s="537"/>
      <c r="M43" s="40"/>
      <c r="N43" s="40"/>
      <c r="O43" s="40"/>
      <c r="P43" s="40"/>
      <c r="Q43" s="40"/>
      <c r="R43" s="538"/>
      <c r="S43" s="538"/>
      <c r="T43" s="40"/>
      <c r="U43" s="40"/>
      <c r="V43" s="40"/>
      <c r="W43" s="40"/>
      <c r="X43" s="40"/>
      <c r="Y43" s="538"/>
      <c r="Z43" s="538"/>
      <c r="AA43" s="40"/>
      <c r="AB43" s="40"/>
      <c r="AC43" s="40"/>
      <c r="AD43" s="40"/>
      <c r="AE43" s="40"/>
      <c r="AF43" s="538"/>
      <c r="AG43" s="538"/>
      <c r="AH43" s="40"/>
      <c r="AI43" s="40"/>
      <c r="AJ43" s="40"/>
      <c r="AK43" s="40"/>
      <c r="AL43" s="40"/>
      <c r="AM43" s="538"/>
      <c r="AN43" s="538"/>
      <c r="AO43" s="40"/>
      <c r="AP43" s="40"/>
      <c r="AQ43" s="40"/>
      <c r="AR43" s="40"/>
      <c r="AS43" s="40"/>
      <c r="AT43" s="538"/>
      <c r="AU43" s="538"/>
      <c r="AV43" s="40"/>
      <c r="AW43" s="40"/>
      <c r="AX43" s="40"/>
      <c r="AY43" s="40"/>
      <c r="AZ43" s="40"/>
      <c r="BA43" s="538"/>
      <c r="BB43" s="538"/>
      <c r="BC43" s="40"/>
      <c r="BD43" s="40"/>
      <c r="BE43" s="40"/>
      <c r="BF43" s="40"/>
      <c r="BG43" s="40"/>
      <c r="BH43" s="538"/>
      <c r="BI43" s="538"/>
    </row>
    <row r="44" spans="1:61" ht="15.75" x14ac:dyDescent="0.25">
      <c r="A44" s="587" t="s">
        <v>377</v>
      </c>
      <c r="B44" s="546">
        <f>S.Notice.OpenComment</f>
        <v>41806</v>
      </c>
      <c r="C44" s="546">
        <f>S.Notice.CloseComment</f>
        <v>41897</v>
      </c>
      <c r="D44" s="546"/>
      <c r="E44" s="540">
        <f t="shared" ca="1" si="2"/>
        <v>1</v>
      </c>
      <c r="F44" s="40"/>
      <c r="G44" s="40"/>
      <c r="H44" s="40"/>
      <c r="I44" s="40"/>
      <c r="J44" s="40"/>
      <c r="K44" s="537"/>
      <c r="L44" s="537"/>
      <c r="M44" s="40"/>
      <c r="N44" s="40"/>
      <c r="O44" s="40"/>
      <c r="P44" s="40"/>
      <c r="Q44" s="40"/>
      <c r="R44" s="538"/>
      <c r="S44" s="538"/>
      <c r="T44" s="40"/>
      <c r="U44" s="40"/>
      <c r="V44" s="40"/>
      <c r="W44" s="40"/>
      <c r="X44" s="40"/>
      <c r="Y44" s="538"/>
      <c r="Z44" s="538"/>
      <c r="AA44" s="40"/>
      <c r="AB44" s="40"/>
      <c r="AC44" s="40"/>
      <c r="AD44" s="40"/>
      <c r="AE44" s="40"/>
      <c r="AF44" s="538"/>
      <c r="AG44" s="538"/>
      <c r="AH44" s="40"/>
      <c r="AI44" s="40"/>
      <c r="AJ44" s="40"/>
      <c r="AK44" s="40"/>
      <c r="AL44" s="40"/>
      <c r="AM44" s="538"/>
      <c r="AN44" s="538"/>
      <c r="AO44" s="40"/>
      <c r="AP44" s="40"/>
      <c r="AQ44" s="40"/>
      <c r="AR44" s="40"/>
      <c r="AS44" s="40"/>
      <c r="AT44" s="538"/>
      <c r="AU44" s="538"/>
      <c r="AV44" s="40"/>
      <c r="AW44" s="40"/>
      <c r="AX44" s="40"/>
      <c r="AY44" s="40"/>
      <c r="AZ44" s="40"/>
      <c r="BA44" s="538"/>
      <c r="BB44" s="538"/>
      <c r="BC44" s="40"/>
      <c r="BD44" s="40"/>
      <c r="BE44" s="40"/>
      <c r="BF44" s="40"/>
      <c r="BG44" s="40"/>
      <c r="BH44" s="538"/>
      <c r="BI44" s="538"/>
    </row>
    <row r="45" spans="1:61" ht="15.75" x14ac:dyDescent="0.25">
      <c r="A45" s="587" t="s">
        <v>378</v>
      </c>
      <c r="B45" s="546">
        <f>C45</f>
        <v>41781</v>
      </c>
      <c r="C45" s="546">
        <f>S.Notice.ADABriefing</f>
        <v>41781</v>
      </c>
      <c r="D45" s="546"/>
      <c r="E45" s="540">
        <f t="shared" ca="1" si="2"/>
        <v>1</v>
      </c>
      <c r="F45" s="40"/>
      <c r="G45" s="40"/>
      <c r="H45" s="40"/>
      <c r="I45" s="40"/>
      <c r="J45" s="40"/>
      <c r="K45" s="537"/>
      <c r="L45" s="537"/>
      <c r="M45" s="40"/>
      <c r="N45" s="40"/>
      <c r="O45" s="40"/>
      <c r="P45" s="40"/>
      <c r="Q45" s="40"/>
      <c r="R45" s="538"/>
      <c r="S45" s="538"/>
      <c r="T45" s="40"/>
      <c r="U45" s="40"/>
      <c r="V45" s="40"/>
      <c r="W45" s="40"/>
      <c r="X45" s="40"/>
      <c r="Y45" s="538"/>
      <c r="Z45" s="538"/>
      <c r="AA45" s="40"/>
      <c r="AB45" s="40"/>
      <c r="AC45" s="40"/>
      <c r="AD45" s="40"/>
      <c r="AE45" s="40"/>
      <c r="AF45" s="538"/>
      <c r="AG45" s="538"/>
      <c r="AH45" s="40"/>
      <c r="AI45" s="40"/>
      <c r="AJ45" s="40"/>
      <c r="AK45" s="40"/>
      <c r="AL45" s="40"/>
      <c r="AM45" s="538"/>
      <c r="AN45" s="538"/>
      <c r="AO45" s="40"/>
      <c r="AP45" s="40"/>
      <c r="AQ45" s="40"/>
      <c r="AR45" s="40"/>
      <c r="AS45" s="40"/>
      <c r="AT45" s="538"/>
      <c r="AU45" s="538"/>
      <c r="AV45" s="40"/>
      <c r="AW45" s="40"/>
      <c r="AX45" s="40"/>
      <c r="AY45" s="40"/>
      <c r="AZ45" s="40"/>
      <c r="BA45" s="538"/>
      <c r="BB45" s="538"/>
      <c r="BC45" s="40"/>
      <c r="BD45" s="40"/>
      <c r="BE45" s="40"/>
      <c r="BF45" s="40"/>
      <c r="BG45" s="40"/>
      <c r="BH45" s="538"/>
      <c r="BI45" s="538"/>
    </row>
    <row r="46" spans="1:61" ht="15.75" x14ac:dyDescent="0.25">
      <c r="A46" s="587" t="s">
        <v>379</v>
      </c>
      <c r="B46" s="546">
        <f>S.Notice.DASNotification</f>
        <v>0</v>
      </c>
      <c r="C46" s="546">
        <f>B46</f>
        <v>0</v>
      </c>
      <c r="D46" s="546"/>
      <c r="E46" s="540">
        <f t="shared" ca="1" si="2"/>
        <v>1</v>
      </c>
      <c r="F46" s="40"/>
      <c r="G46" s="40"/>
      <c r="H46" s="40"/>
      <c r="I46" s="40"/>
      <c r="J46" s="40"/>
      <c r="K46" s="537"/>
      <c r="L46" s="537"/>
      <c r="M46" s="40"/>
      <c r="N46" s="40"/>
      <c r="O46" s="40"/>
      <c r="P46" s="40"/>
      <c r="Q46" s="40"/>
      <c r="R46" s="538"/>
      <c r="S46" s="538"/>
      <c r="T46" s="40"/>
      <c r="U46" s="40"/>
      <c r="V46" s="40"/>
      <c r="W46" s="40"/>
      <c r="X46" s="40"/>
      <c r="Y46" s="538"/>
      <c r="Z46" s="538"/>
      <c r="AA46" s="40"/>
      <c r="AB46" s="40"/>
      <c r="AC46" s="40"/>
      <c r="AD46" s="40"/>
      <c r="AE46" s="40"/>
      <c r="AF46" s="538"/>
      <c r="AG46" s="538"/>
      <c r="AH46" s="40"/>
      <c r="AI46" s="40"/>
      <c r="AJ46" s="40"/>
      <c r="AK46" s="40"/>
      <c r="AL46" s="40"/>
      <c r="AM46" s="538"/>
      <c r="AN46" s="538"/>
      <c r="AO46" s="40"/>
      <c r="AP46" s="40"/>
      <c r="AQ46" s="40"/>
      <c r="AR46" s="40"/>
      <c r="AS46" s="40"/>
      <c r="AT46" s="538"/>
      <c r="AU46" s="538"/>
      <c r="AV46" s="40"/>
      <c r="AW46" s="40"/>
      <c r="AX46" s="40"/>
      <c r="AY46" s="40"/>
      <c r="AZ46" s="40"/>
      <c r="BA46" s="538"/>
      <c r="BB46" s="538"/>
      <c r="BC46" s="40"/>
      <c r="BD46" s="40"/>
      <c r="BE46" s="40"/>
      <c r="BF46" s="40"/>
      <c r="BG46" s="40"/>
      <c r="BH46" s="538"/>
      <c r="BI46" s="538"/>
    </row>
    <row r="47" spans="1:61" ht="15.75" x14ac:dyDescent="0.25">
      <c r="A47" s="587" t="s">
        <v>380</v>
      </c>
      <c r="B47" s="546">
        <f>S.Notice.PreviewBegin</f>
        <v>41786</v>
      </c>
      <c r="C47" s="546">
        <f>S.Notice.PreviewEnd</f>
        <v>41789</v>
      </c>
      <c r="D47" s="546"/>
      <c r="E47" s="540">
        <f t="shared" ca="1" si="2"/>
        <v>1</v>
      </c>
      <c r="F47" s="40"/>
      <c r="G47" s="40"/>
      <c r="H47" s="40"/>
      <c r="I47" s="40"/>
      <c r="J47" s="40"/>
      <c r="K47" s="537"/>
      <c r="L47" s="537"/>
      <c r="M47" s="40"/>
      <c r="N47" s="40"/>
      <c r="O47" s="40"/>
      <c r="P47" s="40"/>
      <c r="Q47" s="40"/>
      <c r="R47" s="538"/>
      <c r="S47" s="538"/>
      <c r="T47" s="40"/>
      <c r="U47" s="40"/>
      <c r="V47" s="40"/>
      <c r="W47" s="40"/>
      <c r="X47" s="40"/>
      <c r="Y47" s="538"/>
      <c r="Z47" s="538"/>
      <c r="AA47" s="40"/>
      <c r="AB47" s="40"/>
      <c r="AC47" s="40"/>
      <c r="AD47" s="40"/>
      <c r="AE47" s="40"/>
      <c r="AF47" s="538"/>
      <c r="AG47" s="538"/>
      <c r="AH47" s="40"/>
      <c r="AI47" s="40"/>
      <c r="AJ47" s="40"/>
      <c r="AK47" s="40"/>
      <c r="AL47" s="40"/>
      <c r="AM47" s="538"/>
      <c r="AN47" s="538"/>
      <c r="AO47" s="40"/>
      <c r="AP47" s="40"/>
      <c r="AQ47" s="40"/>
      <c r="AR47" s="40"/>
      <c r="AS47" s="40"/>
      <c r="AT47" s="538"/>
      <c r="AU47" s="538"/>
      <c r="AV47" s="40"/>
      <c r="AW47" s="40"/>
      <c r="AX47" s="40"/>
      <c r="AY47" s="40"/>
      <c r="AZ47" s="40"/>
      <c r="BA47" s="538"/>
      <c r="BB47" s="538"/>
      <c r="BC47" s="40"/>
      <c r="BD47" s="40"/>
      <c r="BE47" s="40"/>
      <c r="BF47" s="40"/>
      <c r="BG47" s="40"/>
      <c r="BH47" s="538"/>
      <c r="BI47" s="538"/>
    </row>
    <row r="48" spans="1:61" ht="15.75" x14ac:dyDescent="0.25">
      <c r="A48" s="587" t="s">
        <v>381</v>
      </c>
      <c r="B48" s="546">
        <f>S.Notice.SubmitToSOS</f>
        <v>41803</v>
      </c>
      <c r="C48" s="546">
        <f>S.Notice.InOregonBulletin</f>
        <v>41821</v>
      </c>
      <c r="D48" s="546"/>
      <c r="E48" s="540">
        <f t="shared" ca="1" si="2"/>
        <v>1</v>
      </c>
      <c r="F48" s="40"/>
      <c r="G48" s="40"/>
      <c r="H48" s="40"/>
      <c r="I48" s="40"/>
      <c r="J48" s="40"/>
      <c r="K48" s="537"/>
      <c r="L48" s="537"/>
      <c r="M48" s="40"/>
      <c r="N48" s="40"/>
      <c r="O48" s="40"/>
      <c r="P48" s="40"/>
      <c r="Q48" s="40"/>
      <c r="R48" s="538"/>
      <c r="S48" s="538"/>
      <c r="T48" s="40"/>
      <c r="U48" s="40"/>
      <c r="V48" s="40"/>
      <c r="W48" s="40"/>
      <c r="X48" s="40"/>
      <c r="Y48" s="538"/>
      <c r="Z48" s="538"/>
      <c r="AA48" s="40"/>
      <c r="AB48" s="40"/>
      <c r="AC48" s="40"/>
      <c r="AD48" s="40"/>
      <c r="AE48" s="40"/>
      <c r="AF48" s="538"/>
      <c r="AG48" s="538"/>
      <c r="AH48" s="40"/>
      <c r="AI48" s="40"/>
      <c r="AJ48" s="40"/>
      <c r="AK48" s="40"/>
      <c r="AL48" s="40"/>
      <c r="AM48" s="538"/>
      <c r="AN48" s="538"/>
      <c r="AO48" s="40"/>
      <c r="AP48" s="40"/>
      <c r="AQ48" s="40"/>
      <c r="AR48" s="40"/>
      <c r="AS48" s="40"/>
      <c r="AT48" s="538"/>
      <c r="AU48" s="538"/>
      <c r="AV48" s="40"/>
      <c r="AW48" s="40"/>
      <c r="AX48" s="40"/>
      <c r="AY48" s="40"/>
      <c r="AZ48" s="40"/>
      <c r="BA48" s="538"/>
      <c r="BB48" s="538"/>
      <c r="BC48" s="40"/>
      <c r="BD48" s="40"/>
      <c r="BE48" s="40"/>
      <c r="BF48" s="40"/>
      <c r="BG48" s="40"/>
      <c r="BH48" s="538"/>
      <c r="BI48" s="538"/>
    </row>
    <row r="49" spans="1:61" ht="15.75" x14ac:dyDescent="0.25">
      <c r="A49" s="587" t="s">
        <v>382</v>
      </c>
      <c r="B49" s="546">
        <f>S.Hearing.1stDate</f>
        <v>41836</v>
      </c>
      <c r="C49" s="546">
        <f>S.Notice.LastHearingDate</f>
        <v>41836</v>
      </c>
      <c r="D49" s="546"/>
      <c r="E49" s="540">
        <f t="shared" ca="1" si="2"/>
        <v>1</v>
      </c>
      <c r="F49" s="40"/>
      <c r="G49" s="40"/>
      <c r="H49" s="40"/>
      <c r="I49" s="40"/>
      <c r="J49" s="40"/>
      <c r="K49" s="537"/>
      <c r="L49" s="537"/>
      <c r="M49" s="40"/>
      <c r="N49" s="40"/>
      <c r="O49" s="40"/>
      <c r="P49" s="40"/>
      <c r="Q49" s="40"/>
      <c r="R49" s="538"/>
      <c r="S49" s="538"/>
      <c r="T49" s="40"/>
      <c r="U49" s="40"/>
      <c r="V49" s="40"/>
      <c r="W49" s="40"/>
      <c r="X49" s="40"/>
      <c r="Y49" s="538"/>
      <c r="Z49" s="538"/>
      <c r="AA49" s="40"/>
      <c r="AB49" s="40"/>
      <c r="AC49" s="40"/>
      <c r="AD49" s="40"/>
      <c r="AE49" s="40"/>
      <c r="AF49" s="538"/>
      <c r="AG49" s="538"/>
      <c r="AH49" s="40"/>
      <c r="AI49" s="40"/>
      <c r="AJ49" s="40"/>
      <c r="AK49" s="40"/>
      <c r="AL49" s="40"/>
      <c r="AM49" s="538"/>
      <c r="AN49" s="538"/>
      <c r="AO49" s="40"/>
      <c r="AP49" s="40"/>
      <c r="AQ49" s="40"/>
      <c r="AR49" s="40"/>
      <c r="AS49" s="40"/>
      <c r="AT49" s="538"/>
      <c r="AU49" s="538"/>
      <c r="AV49" s="40"/>
      <c r="AW49" s="40"/>
      <c r="AX49" s="40"/>
      <c r="AY49" s="40"/>
      <c r="AZ49" s="40"/>
      <c r="BA49" s="538"/>
      <c r="BB49" s="538"/>
      <c r="BC49" s="40"/>
      <c r="BD49" s="40"/>
      <c r="BE49" s="40"/>
      <c r="BF49" s="40"/>
      <c r="BG49" s="40"/>
      <c r="BH49" s="538"/>
      <c r="BI49" s="538"/>
    </row>
    <row r="50" spans="1:61" ht="15.75" x14ac:dyDescent="0.25">
      <c r="A50" s="544" t="s">
        <v>383</v>
      </c>
      <c r="B50" s="546" t="s">
        <v>0</v>
      </c>
      <c r="C50" s="546" t="s">
        <v>0</v>
      </c>
      <c r="D50" s="546"/>
      <c r="E50" s="540">
        <f t="shared" ca="1" si="2"/>
        <v>0</v>
      </c>
      <c r="F50" s="40"/>
      <c r="G50" s="40"/>
      <c r="H50" s="40"/>
      <c r="I50" s="40"/>
      <c r="J50" s="40"/>
      <c r="K50" s="537"/>
      <c r="L50" s="537"/>
      <c r="M50" s="40"/>
      <c r="N50" s="40"/>
      <c r="O50" s="40"/>
      <c r="P50" s="40"/>
      <c r="Q50" s="40"/>
      <c r="R50" s="538"/>
      <c r="S50" s="538"/>
      <c r="T50" s="40"/>
      <c r="U50" s="40"/>
      <c r="V50" s="40"/>
      <c r="W50" s="40"/>
      <c r="X50" s="40"/>
      <c r="Y50" s="538"/>
      <c r="Z50" s="538"/>
      <c r="AA50" s="40"/>
      <c r="AB50" s="40"/>
      <c r="AC50" s="40"/>
      <c r="AD50" s="40"/>
      <c r="AE50" s="40"/>
      <c r="AF50" s="538"/>
      <c r="AG50" s="538"/>
      <c r="AH50" s="40"/>
      <c r="AI50" s="40"/>
      <c r="AJ50" s="40"/>
      <c r="AK50" s="40"/>
      <c r="AL50" s="40"/>
      <c r="AM50" s="538"/>
      <c r="AN50" s="538"/>
      <c r="AO50" s="40"/>
      <c r="AP50" s="40"/>
      <c r="AQ50" s="40"/>
      <c r="AR50" s="40"/>
      <c r="AS50" s="40"/>
      <c r="AT50" s="538"/>
      <c r="AU50" s="538"/>
      <c r="AV50" s="40"/>
      <c r="AW50" s="40"/>
      <c r="AX50" s="40"/>
      <c r="AY50" s="40"/>
      <c r="AZ50" s="40"/>
      <c r="BA50" s="538"/>
      <c r="BB50" s="538"/>
      <c r="BC50" s="40"/>
      <c r="BD50" s="40"/>
      <c r="BE50" s="40"/>
      <c r="BF50" s="40"/>
      <c r="BG50" s="40"/>
      <c r="BH50" s="538"/>
      <c r="BI50" s="538"/>
    </row>
    <row r="51" spans="1:61" ht="15.75" x14ac:dyDescent="0.25">
      <c r="A51" s="589" t="s">
        <v>384</v>
      </c>
      <c r="B51" s="546">
        <f>S.EQC.Meeting</f>
        <v>42074</v>
      </c>
      <c r="C51" s="546">
        <f>B51</f>
        <v>42074</v>
      </c>
      <c r="D51" s="546"/>
      <c r="E51" s="540">
        <f t="shared" ca="1" si="2"/>
        <v>0</v>
      </c>
      <c r="F51" s="40"/>
      <c r="G51" s="40"/>
      <c r="H51" s="40"/>
      <c r="I51" s="40"/>
      <c r="J51" s="40"/>
      <c r="K51" s="537"/>
      <c r="L51" s="537"/>
      <c r="M51" s="40"/>
      <c r="N51" s="40"/>
      <c r="O51" s="40"/>
      <c r="P51" s="40"/>
      <c r="Q51" s="40"/>
      <c r="R51" s="538"/>
      <c r="S51" s="538"/>
      <c r="T51" s="40"/>
      <c r="U51" s="40"/>
      <c r="V51" s="40"/>
      <c r="W51" s="40"/>
      <c r="X51" s="40"/>
      <c r="Y51" s="538"/>
      <c r="Z51" s="538"/>
      <c r="AA51" s="40"/>
      <c r="AB51" s="40"/>
      <c r="AC51" s="40"/>
      <c r="AD51" s="40"/>
      <c r="AE51" s="40"/>
      <c r="AF51" s="538"/>
      <c r="AG51" s="538"/>
      <c r="AH51" s="40"/>
      <c r="AI51" s="40"/>
      <c r="AJ51" s="40"/>
      <c r="AK51" s="40"/>
      <c r="AL51" s="40"/>
      <c r="AM51" s="538"/>
      <c r="AN51" s="538"/>
      <c r="AO51" s="40"/>
      <c r="AP51" s="40"/>
      <c r="AQ51" s="40"/>
      <c r="AR51" s="40"/>
      <c r="AS51" s="40"/>
      <c r="AT51" s="538"/>
      <c r="AU51" s="538"/>
      <c r="AV51" s="40"/>
      <c r="AW51" s="40"/>
      <c r="AX51" s="40"/>
      <c r="AY51" s="40"/>
      <c r="AZ51" s="40"/>
      <c r="BA51" s="538"/>
      <c r="BB51" s="538"/>
      <c r="BC51" s="40"/>
      <c r="BD51" s="40"/>
      <c r="BE51" s="40"/>
      <c r="BF51" s="40"/>
      <c r="BG51" s="40"/>
      <c r="BH51" s="538"/>
      <c r="BI51" s="538"/>
    </row>
    <row r="52" spans="1:61" ht="15.75" x14ac:dyDescent="0.25">
      <c r="A52" s="547" t="s">
        <v>385</v>
      </c>
      <c r="B52" s="546" t="s">
        <v>0</v>
      </c>
      <c r="C52" s="546" t="s">
        <v>0</v>
      </c>
      <c r="D52" s="546"/>
      <c r="E52" s="540">
        <f t="shared" ca="1" si="2"/>
        <v>0</v>
      </c>
      <c r="F52" s="40"/>
      <c r="G52" s="40"/>
      <c r="H52" s="40"/>
      <c r="I52" s="40"/>
      <c r="J52" s="40"/>
      <c r="K52" s="537"/>
      <c r="L52" s="537"/>
      <c r="M52" s="40"/>
      <c r="N52" s="40"/>
      <c r="O52" s="40"/>
      <c r="P52" s="40"/>
      <c r="Q52" s="40"/>
      <c r="R52" s="538"/>
      <c r="S52" s="538"/>
      <c r="T52" s="40"/>
      <c r="U52" s="40"/>
      <c r="V52" s="40"/>
      <c r="W52" s="40"/>
      <c r="X52" s="40"/>
      <c r="Y52" s="538"/>
      <c r="Z52" s="538"/>
      <c r="AA52" s="40"/>
      <c r="AB52" s="40"/>
      <c r="AC52" s="40"/>
      <c r="AD52" s="40"/>
      <c r="AE52" s="40"/>
      <c r="AF52" s="538"/>
      <c r="AG52" s="538"/>
      <c r="AH52" s="40"/>
      <c r="AI52" s="40"/>
      <c r="AJ52" s="40"/>
      <c r="AK52" s="40"/>
      <c r="AL52" s="40"/>
      <c r="AM52" s="538"/>
      <c r="AN52" s="538"/>
      <c r="AO52" s="40"/>
      <c r="AP52" s="40"/>
      <c r="AQ52" s="40"/>
      <c r="AR52" s="40"/>
      <c r="AS52" s="40"/>
      <c r="AT52" s="538"/>
      <c r="AU52" s="538"/>
      <c r="AV52" s="40"/>
      <c r="AW52" s="40"/>
      <c r="AX52" s="40"/>
      <c r="AY52" s="40"/>
      <c r="AZ52" s="40"/>
      <c r="BA52" s="538"/>
      <c r="BB52" s="538"/>
      <c r="BC52" s="40"/>
      <c r="BD52" s="40"/>
      <c r="BE52" s="40"/>
      <c r="BF52" s="40"/>
      <c r="BG52" s="40"/>
      <c r="BH52" s="538"/>
      <c r="BI52" s="538"/>
    </row>
    <row r="53" spans="1:61" ht="15.75" x14ac:dyDescent="0.25">
      <c r="A53" s="587" t="s">
        <v>386</v>
      </c>
      <c r="B53" s="546">
        <f>S.PostEQC.FileRuleWithSOS</f>
        <v>42076</v>
      </c>
      <c r="C53" s="546">
        <f>S.PostEQC.RuleEffective</f>
        <v>42076</v>
      </c>
      <c r="D53" s="546"/>
      <c r="E53" s="540">
        <f t="shared" ca="1" si="2"/>
        <v>0</v>
      </c>
      <c r="F53" s="40"/>
      <c r="G53" s="40"/>
      <c r="H53" s="40"/>
      <c r="I53" s="40"/>
      <c r="J53" s="40"/>
      <c r="K53" s="537"/>
      <c r="L53" s="537"/>
      <c r="M53" s="40"/>
      <c r="N53" s="40"/>
      <c r="O53" s="40"/>
      <c r="P53" s="40"/>
      <c r="Q53" s="40"/>
      <c r="R53" s="538"/>
      <c r="S53" s="538"/>
      <c r="T53" s="40"/>
      <c r="U53" s="40"/>
      <c r="V53" s="40"/>
      <c r="W53" s="40"/>
      <c r="X53" s="40"/>
      <c r="Y53" s="538"/>
      <c r="Z53" s="538"/>
      <c r="AA53" s="40"/>
      <c r="AB53" s="40"/>
      <c r="AC53" s="40"/>
      <c r="AD53" s="40"/>
      <c r="AE53" s="40"/>
      <c r="AF53" s="538"/>
      <c r="AG53" s="538"/>
      <c r="AH53" s="40"/>
      <c r="AI53" s="40"/>
      <c r="AJ53" s="40"/>
      <c r="AK53" s="40"/>
      <c r="AL53" s="40"/>
      <c r="AM53" s="538"/>
      <c r="AN53" s="538"/>
      <c r="AO53" s="40"/>
      <c r="AP53" s="40"/>
      <c r="AQ53" s="40"/>
      <c r="AR53" s="40"/>
      <c r="AS53" s="40"/>
      <c r="AT53" s="538"/>
      <c r="AU53" s="538"/>
      <c r="AV53" s="40"/>
      <c r="AW53" s="40"/>
      <c r="AX53" s="40"/>
      <c r="AY53" s="40"/>
      <c r="AZ53" s="40"/>
      <c r="BA53" s="538"/>
      <c r="BB53" s="538"/>
      <c r="BC53" s="40"/>
      <c r="BD53" s="40"/>
      <c r="BE53" s="40"/>
      <c r="BF53" s="40"/>
      <c r="BG53" s="40"/>
      <c r="BH53" s="538"/>
      <c r="BI53" s="538"/>
    </row>
    <row r="54" spans="1:61" ht="15.75" x14ac:dyDescent="0.25">
      <c r="A54" s="587" t="s">
        <v>387</v>
      </c>
      <c r="B54" s="546">
        <f>S.PostEQC.SubmitDASPart2</f>
        <v>42079</v>
      </c>
      <c r="C54" s="546">
        <f>B54</f>
        <v>42079</v>
      </c>
      <c r="D54" s="546"/>
      <c r="E54" s="540">
        <f t="shared" ca="1" si="2"/>
        <v>0</v>
      </c>
      <c r="F54" s="40"/>
      <c r="G54" s="40"/>
      <c r="H54" s="40"/>
      <c r="I54" s="40"/>
      <c r="J54" s="40"/>
      <c r="K54" s="537"/>
      <c r="L54" s="537"/>
      <c r="M54" s="40"/>
      <c r="N54" s="40"/>
      <c r="O54" s="40"/>
      <c r="P54" s="40"/>
      <c r="Q54" s="40"/>
      <c r="R54" s="538"/>
      <c r="S54" s="538"/>
      <c r="T54" s="40"/>
      <c r="U54" s="40"/>
      <c r="V54" s="40"/>
      <c r="W54" s="40"/>
      <c r="X54" s="40"/>
      <c r="Y54" s="538"/>
      <c r="Z54" s="538"/>
      <c r="AA54" s="40"/>
      <c r="AB54" s="40"/>
      <c r="AC54" s="40"/>
      <c r="AD54" s="40"/>
      <c r="AE54" s="40"/>
      <c r="AF54" s="538"/>
      <c r="AG54" s="538"/>
      <c r="AH54" s="40"/>
      <c r="AI54" s="40"/>
      <c r="AJ54" s="40"/>
      <c r="AK54" s="40"/>
      <c r="AL54" s="40"/>
      <c r="AM54" s="538"/>
      <c r="AN54" s="538"/>
      <c r="AO54" s="40"/>
      <c r="AP54" s="40"/>
      <c r="AQ54" s="40"/>
      <c r="AR54" s="40"/>
      <c r="AS54" s="40"/>
      <c r="AT54" s="538"/>
      <c r="AU54" s="538"/>
      <c r="AV54" s="40"/>
      <c r="AW54" s="40"/>
      <c r="AX54" s="40"/>
      <c r="AY54" s="40"/>
      <c r="AZ54" s="40"/>
      <c r="BA54" s="538"/>
      <c r="BB54" s="538"/>
      <c r="BC54" s="40"/>
      <c r="BD54" s="40"/>
      <c r="BE54" s="40"/>
      <c r="BF54" s="40"/>
      <c r="BG54" s="40"/>
      <c r="BH54" s="538"/>
      <c r="BI54" s="538"/>
    </row>
    <row r="55" spans="1:61" ht="15.75" x14ac:dyDescent="0.25">
      <c r="A55" s="587" t="s">
        <v>388</v>
      </c>
      <c r="B55" s="546">
        <f>S.PostEQC.SubmitSIPToEPA</f>
        <v>42135</v>
      </c>
      <c r="C55" s="546">
        <f>B55</f>
        <v>42135</v>
      </c>
      <c r="D55" s="546"/>
      <c r="E55" s="540">
        <f t="shared" ca="1" si="2"/>
        <v>0</v>
      </c>
      <c r="F55" s="40"/>
      <c r="G55" s="40"/>
      <c r="H55" s="40"/>
      <c r="I55" s="40"/>
      <c r="J55" s="40"/>
      <c r="K55" s="537"/>
      <c r="L55" s="537"/>
      <c r="M55" s="40"/>
      <c r="N55" s="40"/>
      <c r="O55" s="40"/>
      <c r="P55" s="40"/>
      <c r="Q55" s="40"/>
      <c r="R55" s="538"/>
      <c r="S55" s="538"/>
      <c r="T55" s="40"/>
      <c r="U55" s="40"/>
      <c r="V55" s="40"/>
      <c r="W55" s="40"/>
      <c r="X55" s="40"/>
      <c r="Y55" s="538"/>
      <c r="Z55" s="538"/>
      <c r="AA55" s="40"/>
      <c r="AB55" s="40"/>
      <c r="AC55" s="40"/>
      <c r="AD55" s="40"/>
      <c r="AE55" s="40"/>
      <c r="AF55" s="538"/>
      <c r="AG55" s="538"/>
      <c r="AH55" s="40"/>
      <c r="AI55" s="40"/>
      <c r="AJ55" s="40"/>
      <c r="AK55" s="40"/>
      <c r="AL55" s="40"/>
      <c r="AM55" s="538"/>
      <c r="AN55" s="538"/>
      <c r="AO55" s="40"/>
      <c r="AP55" s="40"/>
      <c r="AQ55" s="40"/>
      <c r="AR55" s="40"/>
      <c r="AS55" s="40"/>
      <c r="AT55" s="538"/>
      <c r="AU55" s="538"/>
      <c r="AV55" s="40"/>
      <c r="AW55" s="40"/>
      <c r="AX55" s="40"/>
      <c r="AY55" s="40"/>
      <c r="AZ55" s="40"/>
      <c r="BA55" s="538"/>
      <c r="BB55" s="538"/>
      <c r="BC55" s="40"/>
      <c r="BD55" s="40"/>
      <c r="BE55" s="40"/>
      <c r="BF55" s="40"/>
      <c r="BG55" s="40"/>
      <c r="BH55" s="538"/>
      <c r="BI55" s="538"/>
    </row>
    <row r="56" spans="1:61" x14ac:dyDescent="0.2">
      <c r="A56" s="533"/>
      <c r="B56" s="533"/>
      <c r="C56" s="533"/>
      <c r="D56" s="533"/>
      <c r="E56" s="540">
        <f t="shared" ca="1" si="2"/>
        <v>1</v>
      </c>
      <c r="F56" s="40"/>
      <c r="G56" s="40"/>
      <c r="H56" s="40"/>
      <c r="I56" s="40"/>
      <c r="J56" s="40"/>
      <c r="K56" s="537"/>
      <c r="L56" s="537"/>
      <c r="M56" s="40"/>
      <c r="N56" s="40"/>
      <c r="O56" s="40"/>
      <c r="P56" s="40"/>
      <c r="Q56" s="40"/>
      <c r="R56" s="538"/>
      <c r="S56" s="538"/>
      <c r="T56" s="40"/>
      <c r="U56" s="40"/>
      <c r="V56" s="40"/>
      <c r="W56" s="40"/>
      <c r="X56" s="40"/>
      <c r="Y56" s="538"/>
      <c r="Z56" s="538"/>
      <c r="AA56" s="40"/>
      <c r="AB56" s="40"/>
      <c r="AC56" s="40"/>
      <c r="AD56" s="40"/>
      <c r="AE56" s="40"/>
      <c r="AF56" s="538"/>
      <c r="AG56" s="538"/>
      <c r="AH56" s="40"/>
      <c r="AI56" s="40"/>
      <c r="AJ56" s="40"/>
      <c r="AK56" s="40"/>
      <c r="AL56" s="40"/>
      <c r="AM56" s="538"/>
      <c r="AN56" s="538"/>
      <c r="AO56" s="40"/>
      <c r="AP56" s="40"/>
      <c r="AQ56" s="40"/>
      <c r="AR56" s="40"/>
      <c r="AS56" s="40"/>
      <c r="AT56" s="538"/>
      <c r="AU56" s="538"/>
      <c r="AV56" s="40"/>
      <c r="AW56" s="40"/>
      <c r="AX56" s="40"/>
      <c r="AY56" s="40"/>
      <c r="AZ56" s="40"/>
      <c r="BA56" s="538"/>
      <c r="BB56" s="538"/>
      <c r="BC56" s="40"/>
      <c r="BD56" s="40"/>
      <c r="BE56" s="40"/>
      <c r="BF56" s="40"/>
      <c r="BG56" s="40"/>
      <c r="BH56" s="538"/>
      <c r="BI56" s="538"/>
    </row>
    <row r="57" spans="1:61" x14ac:dyDescent="0.2">
      <c r="A57" s="541"/>
      <c r="B57" s="541"/>
      <c r="C57" s="541"/>
      <c r="D57" s="541"/>
      <c r="E57" s="540">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x14ac:dyDescent="0.2">
      <c r="A58" s="541"/>
      <c r="B58" s="541"/>
      <c r="C58" s="541"/>
      <c r="D58" s="541"/>
      <c r="E58" s="75"/>
      <c r="F58" s="75"/>
      <c r="G58" s="75"/>
      <c r="H58" s="75"/>
      <c r="I58" s="75"/>
      <c r="J58" s="75"/>
      <c r="K58" s="535"/>
      <c r="L58" s="535"/>
      <c r="M58" s="75"/>
      <c r="N58" s="75"/>
      <c r="O58" s="75"/>
      <c r="P58" s="75"/>
      <c r="Q58" s="75"/>
      <c r="R58" s="536"/>
      <c r="S58" s="536"/>
      <c r="T58" s="75"/>
      <c r="U58" s="75"/>
      <c r="V58" s="75"/>
      <c r="W58" s="75"/>
      <c r="X58" s="75"/>
      <c r="Y58" s="75"/>
      <c r="Z58" s="75"/>
      <c r="AA58" s="75"/>
      <c r="AB58" s="75"/>
      <c r="AC58" s="75"/>
      <c r="AD58" s="75"/>
      <c r="AE58" s="75"/>
      <c r="AF58" s="536"/>
      <c r="AG58" s="536"/>
      <c r="AH58" s="75"/>
      <c r="AI58" s="75"/>
      <c r="AJ58" s="75"/>
      <c r="AK58" s="75"/>
      <c r="AL58" s="75"/>
      <c r="AM58" s="75"/>
      <c r="AN58" s="75"/>
      <c r="AO58" s="75"/>
      <c r="AP58" s="75"/>
      <c r="AQ58" s="75"/>
      <c r="AR58" s="75"/>
      <c r="AS58" s="75"/>
      <c r="AT58" s="536"/>
      <c r="AU58" s="536"/>
      <c r="AV58" s="75"/>
      <c r="AW58" s="75"/>
      <c r="AX58" s="75"/>
      <c r="AY58" s="75"/>
      <c r="AZ58" s="75"/>
      <c r="BA58" s="75"/>
      <c r="BB58" s="75"/>
      <c r="BC58" s="75"/>
      <c r="BD58" s="75"/>
      <c r="BE58" s="75"/>
      <c r="BF58" s="75"/>
      <c r="BG58" s="75"/>
      <c r="BH58" s="536"/>
      <c r="BI58" s="536"/>
    </row>
    <row r="59" spans="1:61" x14ac:dyDescent="0.2">
      <c r="A59" s="541"/>
      <c r="B59" s="541"/>
      <c r="C59" s="541"/>
      <c r="D59" s="541"/>
      <c r="E59" s="75"/>
      <c r="F59" s="75"/>
      <c r="G59" s="75"/>
      <c r="H59" s="75"/>
      <c r="I59" s="75"/>
      <c r="J59" s="75"/>
      <c r="K59" s="535"/>
      <c r="L59" s="535"/>
      <c r="M59" s="75"/>
      <c r="N59" s="75"/>
      <c r="O59" s="75"/>
      <c r="P59" s="75"/>
      <c r="Q59" s="75"/>
      <c r="R59" s="536"/>
      <c r="S59" s="536"/>
      <c r="T59" s="75"/>
      <c r="U59" s="75"/>
      <c r="V59" s="75"/>
      <c r="W59" s="75"/>
      <c r="X59" s="75"/>
      <c r="Y59" s="75"/>
      <c r="Z59" s="75"/>
      <c r="AA59" s="75"/>
      <c r="AB59" s="75"/>
      <c r="AC59" s="75"/>
      <c r="AD59" s="75"/>
      <c r="AE59" s="75"/>
      <c r="AF59" s="536"/>
      <c r="AG59" s="536"/>
      <c r="AH59" s="75"/>
      <c r="AI59" s="75"/>
      <c r="AJ59" s="75"/>
      <c r="AK59" s="75"/>
      <c r="AL59" s="75"/>
      <c r="AM59" s="75"/>
      <c r="AN59" s="75"/>
      <c r="AO59" s="75"/>
      <c r="AP59" s="75"/>
      <c r="AQ59" s="75"/>
      <c r="AR59" s="75"/>
      <c r="AS59" s="75"/>
      <c r="AT59" s="536"/>
      <c r="AU59" s="536"/>
      <c r="AV59" s="75"/>
      <c r="AW59" s="75"/>
      <c r="AX59" s="75"/>
      <c r="AY59" s="75"/>
      <c r="AZ59" s="75"/>
      <c r="BA59" s="75"/>
      <c r="BB59" s="75"/>
      <c r="BC59" s="75"/>
      <c r="BD59" s="75"/>
      <c r="BE59" s="75"/>
      <c r="BF59" s="75"/>
      <c r="BG59" s="75"/>
      <c r="BH59" s="536"/>
      <c r="BI59" s="536"/>
    </row>
    <row r="60" spans="1:61" x14ac:dyDescent="0.2">
      <c r="A60" s="75"/>
      <c r="B60" s="75"/>
      <c r="C60" s="75"/>
      <c r="D60" s="75"/>
      <c r="E60" s="75"/>
      <c r="F60" s="75"/>
      <c r="G60" s="75"/>
      <c r="H60" s="75"/>
      <c r="I60" s="75"/>
      <c r="J60" s="75"/>
      <c r="K60" s="535"/>
      <c r="L60" s="535"/>
      <c r="M60" s="75"/>
      <c r="N60" s="75"/>
      <c r="O60" s="75"/>
      <c r="P60" s="75"/>
      <c r="Q60" s="75"/>
      <c r="R60" s="536"/>
      <c r="S60" s="536"/>
      <c r="T60" s="75"/>
      <c r="U60" s="75"/>
      <c r="V60" s="75"/>
      <c r="W60" s="75"/>
      <c r="X60" s="75"/>
      <c r="Y60" s="75"/>
      <c r="Z60" s="75"/>
      <c r="AA60" s="75"/>
      <c r="AB60" s="75"/>
      <c r="AC60" s="75"/>
      <c r="AD60" s="75"/>
      <c r="AE60" s="75"/>
      <c r="AF60" s="536"/>
      <c r="AG60" s="536"/>
      <c r="AH60" s="75"/>
      <c r="AI60" s="75"/>
      <c r="AJ60" s="75"/>
      <c r="AK60" s="75"/>
      <c r="AL60" s="75"/>
      <c r="AM60" s="75"/>
      <c r="AN60" s="75"/>
      <c r="AO60" s="75"/>
      <c r="AP60" s="75"/>
      <c r="AQ60" s="75"/>
      <c r="AR60" s="75"/>
      <c r="AS60" s="75"/>
      <c r="AT60" s="536"/>
      <c r="AU60" s="536"/>
      <c r="AV60" s="75"/>
      <c r="AW60" s="75"/>
      <c r="AX60" s="75"/>
      <c r="AY60" s="75"/>
      <c r="AZ60" s="75"/>
      <c r="BA60" s="75"/>
      <c r="BB60" s="75"/>
      <c r="BC60" s="75"/>
      <c r="BD60" s="75"/>
      <c r="BE60" s="75"/>
      <c r="BF60" s="75"/>
      <c r="BG60" s="75"/>
      <c r="BH60" s="536"/>
      <c r="BI60" s="536"/>
    </row>
    <row r="61" spans="1:61" x14ac:dyDescent="0.2">
      <c r="A61" s="75"/>
      <c r="B61" s="75"/>
      <c r="C61" s="75"/>
      <c r="D61" s="75"/>
      <c r="E61" s="75"/>
      <c r="F61" s="75"/>
      <c r="G61" s="75"/>
      <c r="H61" s="75"/>
      <c r="I61" s="75"/>
      <c r="J61" s="75"/>
      <c r="K61" s="535"/>
      <c r="L61" s="535"/>
      <c r="M61" s="75"/>
      <c r="N61" s="75"/>
      <c r="O61" s="75"/>
      <c r="P61" s="75"/>
      <c r="Q61" s="75"/>
      <c r="R61" s="536"/>
      <c r="S61" s="536"/>
      <c r="T61" s="75"/>
      <c r="U61" s="75"/>
      <c r="V61" s="75"/>
      <c r="W61" s="75"/>
      <c r="X61" s="75"/>
      <c r="Y61" s="75"/>
      <c r="Z61" s="75"/>
      <c r="AA61" s="75"/>
      <c r="AB61" s="75"/>
      <c r="AC61" s="75"/>
      <c r="AD61" s="75"/>
      <c r="AE61" s="75"/>
      <c r="AF61" s="536"/>
      <c r="AG61" s="536"/>
      <c r="AH61" s="75"/>
      <c r="AI61" s="75"/>
      <c r="AJ61" s="75"/>
      <c r="AK61" s="75"/>
      <c r="AL61" s="75"/>
      <c r="AM61" s="75"/>
      <c r="AN61" s="75"/>
      <c r="AO61" s="75"/>
      <c r="AP61" s="75"/>
      <c r="AQ61" s="75"/>
      <c r="AR61" s="75"/>
      <c r="AS61" s="75"/>
      <c r="AT61" s="536"/>
      <c r="AU61" s="536"/>
      <c r="AV61" s="75"/>
      <c r="AW61" s="75"/>
      <c r="AX61" s="75"/>
      <c r="AY61" s="75"/>
      <c r="AZ61" s="75"/>
      <c r="BA61" s="75"/>
      <c r="BB61" s="75"/>
      <c r="BC61" s="75"/>
      <c r="BD61" s="75"/>
      <c r="BE61" s="75"/>
      <c r="BF61" s="75"/>
      <c r="BG61" s="75"/>
      <c r="BH61" s="536"/>
      <c r="BI61" s="536"/>
    </row>
    <row r="62" spans="1:61" x14ac:dyDescent="0.2">
      <c r="A62" s="75"/>
      <c r="B62" s="75"/>
      <c r="C62" s="75"/>
      <c r="D62" s="75"/>
      <c r="E62" s="75"/>
      <c r="F62" s="75"/>
      <c r="G62" s="75"/>
      <c r="H62" s="75"/>
      <c r="I62" s="75"/>
      <c r="J62" s="75"/>
      <c r="K62" s="535"/>
      <c r="L62" s="535"/>
      <c r="M62" s="75"/>
      <c r="N62" s="75"/>
      <c r="O62" s="75"/>
      <c r="P62" s="75"/>
      <c r="Q62" s="75"/>
      <c r="R62" s="536"/>
      <c r="S62" s="536"/>
      <c r="T62" s="75"/>
      <c r="U62" s="75"/>
      <c r="V62" s="75"/>
      <c r="W62" s="75"/>
      <c r="X62" s="75"/>
      <c r="Y62" s="75"/>
      <c r="Z62" s="75"/>
      <c r="AA62" s="75"/>
      <c r="AB62" s="75"/>
      <c r="AC62" s="75"/>
      <c r="AD62" s="75"/>
      <c r="AE62" s="75"/>
      <c r="AF62" s="536"/>
      <c r="AG62" s="536"/>
      <c r="AH62" s="75"/>
      <c r="AI62" s="75"/>
      <c r="AJ62" s="75"/>
      <c r="AK62" s="75"/>
      <c r="AL62" s="75"/>
      <c r="AM62" s="75"/>
      <c r="AN62" s="75"/>
      <c r="AO62" s="75"/>
      <c r="AP62" s="75"/>
      <c r="AQ62" s="75"/>
      <c r="AR62" s="75"/>
      <c r="AS62" s="75"/>
      <c r="AT62" s="536"/>
      <c r="AU62" s="536"/>
      <c r="AV62" s="75"/>
      <c r="AW62" s="75"/>
      <c r="AX62" s="75"/>
      <c r="AY62" s="75"/>
      <c r="AZ62" s="75"/>
      <c r="BA62" s="75"/>
      <c r="BB62" s="75"/>
      <c r="BC62" s="75"/>
      <c r="BD62" s="75"/>
      <c r="BE62" s="75"/>
      <c r="BF62" s="75"/>
      <c r="BG62" s="75"/>
      <c r="BH62" s="536"/>
      <c r="BI62" s="536"/>
    </row>
    <row r="63" spans="1:61" x14ac:dyDescent="0.2">
      <c r="A63" s="75"/>
      <c r="B63" s="75"/>
      <c r="C63" s="75"/>
      <c r="D63" s="75"/>
      <c r="E63" s="75"/>
      <c r="F63" s="75"/>
      <c r="G63" s="75"/>
      <c r="H63" s="75"/>
      <c r="I63" s="75"/>
      <c r="J63" s="75"/>
      <c r="K63" s="535"/>
      <c r="L63" s="535"/>
      <c r="M63" s="75"/>
      <c r="N63" s="75"/>
      <c r="O63" s="75"/>
      <c r="P63" s="75"/>
      <c r="Q63" s="75"/>
      <c r="R63" s="536"/>
      <c r="S63" s="536"/>
      <c r="T63" s="75"/>
      <c r="U63" s="75"/>
      <c r="V63" s="75"/>
      <c r="W63" s="75"/>
      <c r="X63" s="75"/>
      <c r="Y63" s="75"/>
      <c r="Z63" s="75"/>
      <c r="AA63" s="75"/>
      <c r="AB63" s="75"/>
      <c r="AC63" s="75"/>
      <c r="AD63" s="75"/>
      <c r="AE63" s="75"/>
      <c r="AF63" s="536"/>
      <c r="AG63" s="536"/>
      <c r="AH63" s="75"/>
      <c r="AI63" s="75"/>
      <c r="AJ63" s="75"/>
      <c r="AK63" s="75"/>
      <c r="AL63" s="75"/>
      <c r="AM63" s="75"/>
      <c r="AN63" s="75"/>
      <c r="AO63" s="75"/>
      <c r="AP63" s="75"/>
      <c r="AQ63" s="75"/>
      <c r="AR63" s="75"/>
      <c r="AS63" s="75"/>
      <c r="AT63" s="536"/>
      <c r="AU63" s="536"/>
      <c r="AV63" s="75"/>
      <c r="AW63" s="75"/>
      <c r="AX63" s="75"/>
      <c r="AY63" s="75"/>
      <c r="AZ63" s="75"/>
      <c r="BA63" s="75"/>
      <c r="BB63" s="75"/>
      <c r="BC63" s="75"/>
      <c r="BD63" s="75"/>
      <c r="BE63" s="75"/>
      <c r="BF63" s="75"/>
      <c r="BG63" s="75"/>
      <c r="BH63" s="536"/>
      <c r="BI63" s="536"/>
    </row>
    <row r="64" spans="1:61" x14ac:dyDescent="0.2">
      <c r="A64" s="75"/>
      <c r="B64" s="75"/>
      <c r="C64" s="75"/>
      <c r="D64" s="75"/>
      <c r="E64" s="75"/>
      <c r="F64" s="75"/>
      <c r="G64" s="75"/>
      <c r="H64" s="75"/>
      <c r="I64" s="75"/>
      <c r="J64" s="75"/>
      <c r="K64" s="535"/>
      <c r="L64" s="535"/>
      <c r="M64" s="75"/>
      <c r="N64" s="75"/>
      <c r="O64" s="75"/>
      <c r="P64" s="75"/>
      <c r="Q64" s="75"/>
      <c r="R64" s="536"/>
      <c r="S64" s="536"/>
      <c r="T64" s="75"/>
      <c r="U64" s="75"/>
      <c r="V64" s="75"/>
      <c r="W64" s="75"/>
      <c r="X64" s="75"/>
      <c r="Y64" s="75"/>
      <c r="Z64" s="75"/>
      <c r="AA64" s="75"/>
      <c r="AB64" s="75"/>
      <c r="AC64" s="75"/>
      <c r="AD64" s="75"/>
      <c r="AE64" s="75"/>
      <c r="AF64" s="536"/>
      <c r="AG64" s="536"/>
      <c r="AH64" s="75"/>
      <c r="AI64" s="75"/>
      <c r="AJ64" s="75"/>
      <c r="AK64" s="75"/>
      <c r="AL64" s="75"/>
      <c r="AM64" s="75"/>
      <c r="AN64" s="75"/>
      <c r="AO64" s="75"/>
      <c r="AP64" s="75"/>
      <c r="AQ64" s="75"/>
      <c r="AR64" s="75"/>
      <c r="AS64" s="75"/>
      <c r="AT64" s="536"/>
      <c r="AU64" s="536"/>
      <c r="AV64" s="75"/>
      <c r="AW64" s="75"/>
      <c r="AX64" s="75"/>
      <c r="AY64" s="75"/>
      <c r="AZ64" s="75"/>
      <c r="BA64" s="75"/>
      <c r="BB64" s="75"/>
      <c r="BC64" s="75"/>
      <c r="BD64" s="75"/>
      <c r="BE64" s="75"/>
      <c r="BF64" s="75"/>
      <c r="BG64" s="75"/>
      <c r="BH64" s="536"/>
      <c r="BI64" s="536"/>
    </row>
    <row r="65" spans="1:61" x14ac:dyDescent="0.2">
      <c r="A65" s="75"/>
      <c r="B65" s="75"/>
      <c r="C65" s="75"/>
      <c r="D65" s="75"/>
      <c r="E65" s="75"/>
      <c r="F65" s="75"/>
      <c r="G65" s="75"/>
      <c r="H65" s="75"/>
      <c r="I65" s="75"/>
      <c r="J65" s="75"/>
      <c r="K65" s="535"/>
      <c r="L65" s="535"/>
      <c r="M65" s="75"/>
      <c r="N65" s="75"/>
      <c r="O65" s="75"/>
      <c r="P65" s="75"/>
      <c r="Q65" s="75"/>
      <c r="R65" s="536"/>
      <c r="S65" s="536"/>
      <c r="T65" s="75"/>
      <c r="U65" s="75"/>
      <c r="V65" s="75"/>
      <c r="W65" s="75"/>
      <c r="X65" s="75"/>
      <c r="Y65" s="75"/>
      <c r="Z65" s="75"/>
      <c r="AA65" s="75"/>
      <c r="AB65" s="75"/>
      <c r="AC65" s="75"/>
      <c r="AD65" s="75"/>
      <c r="AE65" s="75"/>
      <c r="AF65" s="536"/>
      <c r="AG65" s="536"/>
      <c r="AH65" s="75"/>
      <c r="AI65" s="75"/>
      <c r="AJ65" s="75"/>
      <c r="AK65" s="75"/>
      <c r="AL65" s="75"/>
      <c r="AM65" s="75"/>
      <c r="AN65" s="75"/>
      <c r="AO65" s="75"/>
      <c r="AP65" s="75"/>
      <c r="AQ65" s="75"/>
      <c r="AR65" s="75"/>
      <c r="AS65" s="75"/>
      <c r="AT65" s="536"/>
      <c r="AU65" s="536"/>
      <c r="AV65" s="75"/>
      <c r="AW65" s="75"/>
      <c r="AX65" s="75"/>
      <c r="AY65" s="75"/>
      <c r="AZ65" s="75"/>
      <c r="BA65" s="75"/>
      <c r="BB65" s="75"/>
      <c r="BC65" s="75"/>
      <c r="BD65" s="75"/>
      <c r="BE65" s="75"/>
      <c r="BF65" s="75"/>
      <c r="BG65" s="75"/>
      <c r="BH65" s="536"/>
      <c r="BI65" s="536"/>
    </row>
    <row r="66" spans="1:61" x14ac:dyDescent="0.2">
      <c r="A66" s="75"/>
      <c r="B66" s="75"/>
      <c r="C66" s="75"/>
      <c r="D66" s="75"/>
      <c r="E66" s="75"/>
      <c r="F66" s="75"/>
      <c r="G66" s="75"/>
      <c r="H66" s="75"/>
      <c r="I66" s="75"/>
      <c r="J66" s="75"/>
      <c r="K66" s="535"/>
      <c r="L66" s="535"/>
      <c r="M66" s="75"/>
      <c r="N66" s="75"/>
      <c r="O66" s="75"/>
      <c r="P66" s="75"/>
      <c r="Q66" s="75"/>
      <c r="R66" s="536"/>
      <c r="S66" s="536"/>
      <c r="T66" s="75"/>
      <c r="U66" s="75"/>
      <c r="V66" s="75"/>
      <c r="W66" s="75"/>
      <c r="X66" s="75"/>
      <c r="Y66" s="75"/>
      <c r="Z66" s="75"/>
      <c r="AA66" s="75"/>
      <c r="AB66" s="75"/>
      <c r="AC66" s="75"/>
      <c r="AD66" s="75"/>
      <c r="AE66" s="75"/>
      <c r="AF66" s="536"/>
      <c r="AG66" s="536"/>
      <c r="AH66" s="75"/>
      <c r="AI66" s="75"/>
      <c r="AJ66" s="75"/>
      <c r="AK66" s="75"/>
      <c r="AL66" s="75"/>
      <c r="AM66" s="75"/>
      <c r="AN66" s="75"/>
      <c r="AO66" s="75"/>
      <c r="AP66" s="75"/>
      <c r="AQ66" s="75"/>
      <c r="AR66" s="75"/>
      <c r="AS66" s="75"/>
      <c r="AT66" s="536"/>
      <c r="AU66" s="536"/>
      <c r="AV66" s="75"/>
      <c r="AW66" s="75"/>
      <c r="AX66" s="75"/>
      <c r="AY66" s="75"/>
      <c r="AZ66" s="75"/>
      <c r="BA66" s="75"/>
      <c r="BB66" s="75"/>
      <c r="BC66" s="75"/>
      <c r="BD66" s="75"/>
      <c r="BE66" s="75"/>
      <c r="BF66" s="75"/>
      <c r="BG66" s="75"/>
      <c r="BH66" s="536"/>
      <c r="BI66" s="536"/>
    </row>
    <row r="67" spans="1:61" x14ac:dyDescent="0.2">
      <c r="A67" s="75"/>
      <c r="B67" s="75"/>
      <c r="C67" s="75"/>
      <c r="D67" s="75"/>
      <c r="E67" s="75"/>
      <c r="F67" s="75"/>
      <c r="G67" s="75"/>
      <c r="H67" s="75"/>
      <c r="I67" s="75"/>
      <c r="J67" s="75"/>
      <c r="K67" s="535"/>
      <c r="L67" s="535"/>
      <c r="M67" s="75"/>
      <c r="N67" s="75"/>
      <c r="O67" s="75"/>
      <c r="P67" s="75"/>
      <c r="Q67" s="75"/>
      <c r="R67" s="536"/>
      <c r="S67" s="536"/>
      <c r="T67" s="75"/>
      <c r="U67" s="75"/>
      <c r="V67" s="75"/>
      <c r="W67" s="75"/>
      <c r="X67" s="75"/>
      <c r="Y67" s="75"/>
      <c r="Z67" s="75"/>
      <c r="AA67" s="75"/>
      <c r="AB67" s="75"/>
      <c r="AC67" s="75"/>
      <c r="AD67" s="75"/>
      <c r="AE67" s="75"/>
      <c r="AF67" s="536"/>
      <c r="AG67" s="536"/>
      <c r="AH67" s="75"/>
      <c r="AI67" s="75"/>
      <c r="AJ67" s="75"/>
      <c r="AK67" s="75"/>
      <c r="AL67" s="75"/>
      <c r="AM67" s="75"/>
      <c r="AN67" s="75"/>
      <c r="AO67" s="75"/>
      <c r="AP67" s="75"/>
      <c r="AQ67" s="75"/>
      <c r="AR67" s="75"/>
      <c r="AS67" s="75"/>
      <c r="AT67" s="536"/>
      <c r="AU67" s="536"/>
      <c r="AV67" s="75"/>
      <c r="AW67" s="75"/>
      <c r="AX67" s="75"/>
      <c r="AY67" s="75"/>
      <c r="AZ67" s="75"/>
      <c r="BA67" s="75"/>
      <c r="BB67" s="75"/>
      <c r="BC67" s="75"/>
      <c r="BD67" s="75"/>
      <c r="BE67" s="75"/>
      <c r="BF67" s="75"/>
      <c r="BG67" s="75"/>
      <c r="BH67" s="536"/>
      <c r="BI67" s="75"/>
    </row>
    <row r="68" spans="1:61" x14ac:dyDescent="0.2">
      <c r="A68" s="75"/>
      <c r="B68" s="75"/>
      <c r="C68" s="75"/>
      <c r="D68" s="75"/>
      <c r="E68" s="75"/>
      <c r="F68" s="75"/>
      <c r="G68" s="75"/>
      <c r="H68" s="75"/>
      <c r="I68" s="75"/>
      <c r="J68" s="75"/>
      <c r="K68" s="535"/>
      <c r="L68" s="53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x14ac:dyDescent="0.2">
      <c r="A69" s="75"/>
      <c r="B69" s="75"/>
      <c r="C69" s="75"/>
      <c r="D69" s="75"/>
      <c r="E69" s="75"/>
      <c r="F69" s="75"/>
      <c r="G69" s="75"/>
      <c r="H69" s="75"/>
      <c r="I69" s="75"/>
      <c r="J69" s="75"/>
      <c r="K69" s="535"/>
      <c r="L69" s="53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x14ac:dyDescent="0.2">
      <c r="A70" s="75"/>
      <c r="B70" s="75"/>
      <c r="C70" s="75"/>
      <c r="D70" s="75"/>
      <c r="E70" s="75"/>
      <c r="F70" s="75"/>
      <c r="G70" s="75"/>
      <c r="H70" s="75"/>
      <c r="I70" s="75"/>
      <c r="J70" s="75"/>
      <c r="K70" s="535"/>
      <c r="L70" s="53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x14ac:dyDescent="0.2">
      <c r="A71" s="75"/>
      <c r="B71" s="75"/>
      <c r="C71" s="75"/>
      <c r="D71" s="75"/>
      <c r="E71" s="75"/>
      <c r="F71" s="75"/>
      <c r="G71" s="75"/>
      <c r="H71" s="75"/>
      <c r="I71" s="75"/>
      <c r="J71" s="75"/>
      <c r="K71" s="535"/>
      <c r="L71" s="53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x14ac:dyDescent="0.2">
      <c r="A72" s="75"/>
      <c r="B72" s="75"/>
      <c r="C72" s="75"/>
      <c r="D72" s="75"/>
      <c r="E72" s="75"/>
      <c r="F72" s="75"/>
      <c r="G72" s="75"/>
      <c r="H72" s="75"/>
      <c r="I72" s="75"/>
      <c r="J72" s="75"/>
      <c r="K72" s="535"/>
      <c r="L72" s="53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x14ac:dyDescent="0.2">
      <c r="A73" s="75"/>
      <c r="B73" s="75"/>
      <c r="C73" s="75"/>
      <c r="D73" s="75"/>
      <c r="E73" s="75"/>
      <c r="F73" s="75"/>
      <c r="G73" s="75"/>
      <c r="H73" s="75"/>
      <c r="I73" s="75"/>
      <c r="J73" s="75"/>
      <c r="K73" s="535"/>
      <c r="L73" s="53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x14ac:dyDescent="0.2">
      <c r="A74" s="75"/>
      <c r="B74" s="75"/>
      <c r="C74" s="75"/>
      <c r="D74" s="75"/>
      <c r="E74" s="75"/>
      <c r="F74" s="75"/>
      <c r="G74" s="75"/>
      <c r="H74" s="75"/>
      <c r="I74" s="75"/>
      <c r="J74" s="75"/>
      <c r="K74" s="535"/>
      <c r="L74" s="53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x14ac:dyDescent="0.2">
      <c r="A75" s="75"/>
      <c r="B75" s="75"/>
      <c r="C75" s="75"/>
      <c r="D75" s="75"/>
      <c r="E75" s="75"/>
      <c r="F75" s="75"/>
      <c r="G75" s="75"/>
      <c r="H75" s="75"/>
      <c r="I75" s="75"/>
      <c r="J75" s="75"/>
      <c r="K75" s="535"/>
      <c r="L75" s="53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x14ac:dyDescent="0.2">
      <c r="A76" s="75"/>
      <c r="B76" s="75"/>
      <c r="C76" s="75"/>
      <c r="D76" s="75"/>
      <c r="E76" s="75"/>
      <c r="F76" s="75"/>
      <c r="G76" s="75"/>
      <c r="H76" s="75"/>
      <c r="I76" s="75"/>
      <c r="J76" s="75"/>
      <c r="K76" s="535"/>
      <c r="L76" s="53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x14ac:dyDescent="0.2">
      <c r="A77" s="75"/>
      <c r="B77" s="75"/>
      <c r="C77" s="75"/>
      <c r="D77" s="75"/>
      <c r="E77" s="75"/>
      <c r="F77" s="75"/>
      <c r="G77" s="75"/>
      <c r="H77" s="75"/>
      <c r="I77" s="75"/>
      <c r="J77" s="75"/>
      <c r="K77" s="535"/>
      <c r="L77" s="53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x14ac:dyDescent="0.2">
      <c r="A78" s="75"/>
      <c r="B78" s="75"/>
      <c r="C78" s="75"/>
      <c r="D78" s="75"/>
      <c r="E78" s="75"/>
      <c r="F78" s="75"/>
      <c r="G78" s="75"/>
      <c r="H78" s="75"/>
      <c r="I78" s="75"/>
      <c r="J78" s="75"/>
      <c r="K78" s="535"/>
      <c r="L78" s="53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x14ac:dyDescent="0.2">
      <c r="A79" s="75"/>
      <c r="B79" s="75"/>
      <c r="C79" s="75"/>
      <c r="D79" s="75"/>
      <c r="E79" s="75"/>
      <c r="F79" s="75"/>
      <c r="G79" s="75"/>
      <c r="H79" s="75"/>
      <c r="I79" s="75"/>
      <c r="J79" s="75"/>
      <c r="K79" s="535"/>
      <c r="L79" s="53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x14ac:dyDescent="0.2">
      <c r="A80" s="75"/>
      <c r="B80" s="75"/>
      <c r="C80" s="75"/>
      <c r="D80" s="75"/>
      <c r="E80" s="75"/>
      <c r="F80" s="75"/>
      <c r="G80" s="75"/>
      <c r="H80" s="75"/>
      <c r="I80" s="75"/>
      <c r="J80" s="75"/>
      <c r="K80" s="535"/>
      <c r="L80" s="53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x14ac:dyDescent="0.2">
      <c r="A81" s="75"/>
      <c r="B81" s="75"/>
      <c r="C81" s="75"/>
      <c r="D81" s="75"/>
      <c r="E81" s="75"/>
      <c r="F81" s="75"/>
      <c r="G81" s="75"/>
      <c r="H81" s="75"/>
      <c r="I81" s="75"/>
      <c r="J81" s="75"/>
      <c r="K81" s="535"/>
      <c r="L81" s="535"/>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x14ac:dyDescent="0.2">
      <c r="A82" s="75"/>
      <c r="B82" s="75"/>
      <c r="C82" s="75"/>
      <c r="D82" s="75"/>
      <c r="E82" s="75"/>
      <c r="F82" s="75"/>
      <c r="G82" s="75"/>
      <c r="H82" s="75"/>
      <c r="I82" s="75"/>
      <c r="J82" s="75"/>
      <c r="K82" s="535"/>
      <c r="L82" s="535"/>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x14ac:dyDescent="0.2">
      <c r="A83" s="75"/>
      <c r="B83" s="75"/>
      <c r="C83" s="75"/>
      <c r="D83" s="75"/>
      <c r="E83" s="75"/>
      <c r="F83" s="75"/>
      <c r="G83" s="75"/>
      <c r="H83" s="75"/>
      <c r="I83" s="75"/>
      <c r="J83" s="75"/>
      <c r="K83" s="535"/>
      <c r="L83" s="535"/>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x14ac:dyDescent="0.2">
      <c r="A84" s="75"/>
      <c r="B84" s="75"/>
      <c r="C84" s="75"/>
      <c r="D84" s="75"/>
      <c r="E84" s="75"/>
      <c r="F84" s="75"/>
      <c r="G84" s="75"/>
      <c r="H84" s="75"/>
      <c r="I84" s="75"/>
      <c r="J84" s="75"/>
      <c r="K84" s="535"/>
      <c r="L84" s="53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x14ac:dyDescent="0.2">
      <c r="A85" s="75"/>
      <c r="B85" s="75"/>
      <c r="C85" s="75"/>
      <c r="D85" s="75"/>
      <c r="E85" s="75"/>
      <c r="F85" s="75"/>
      <c r="G85" s="75"/>
      <c r="H85" s="75"/>
      <c r="I85" s="75"/>
      <c r="J85" s="75"/>
      <c r="K85" s="535"/>
      <c r="L85" s="53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x14ac:dyDescent="0.2">
      <c r="A86" s="75"/>
      <c r="B86" s="75"/>
      <c r="C86" s="75"/>
      <c r="D86" s="75"/>
      <c r="E86" s="75"/>
      <c r="F86" s="75"/>
      <c r="G86" s="75"/>
      <c r="H86" s="75"/>
      <c r="I86" s="75"/>
      <c r="J86" s="75"/>
      <c r="K86" s="535"/>
      <c r="L86" s="535"/>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x14ac:dyDescent="0.2">
      <c r="A87" s="75"/>
      <c r="B87" s="75"/>
      <c r="C87" s="75"/>
      <c r="D87" s="75"/>
      <c r="E87" s="75"/>
      <c r="F87" s="75"/>
      <c r="G87" s="75"/>
      <c r="H87" s="75"/>
      <c r="I87" s="75"/>
      <c r="J87" s="75"/>
      <c r="K87" s="535"/>
      <c r="L87" s="535"/>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x14ac:dyDescent="0.2">
      <c r="A88" s="75"/>
      <c r="B88" s="75"/>
      <c r="C88" s="75"/>
      <c r="D88" s="75"/>
      <c r="E88" s="75"/>
      <c r="F88" s="75"/>
      <c r="G88" s="75"/>
      <c r="H88" s="75"/>
      <c r="I88" s="75"/>
      <c r="J88" s="75"/>
      <c r="K88" s="535"/>
      <c r="L88" s="535"/>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x14ac:dyDescent="0.2">
      <c r="A89" s="75"/>
      <c r="B89" s="75"/>
      <c r="C89" s="75"/>
      <c r="D89" s="75"/>
      <c r="E89" s="75"/>
      <c r="F89" s="75"/>
      <c r="G89" s="75"/>
      <c r="H89" s="75"/>
      <c r="I89" s="75"/>
      <c r="J89" s="75"/>
      <c r="K89" s="535"/>
      <c r="L89" s="535"/>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x14ac:dyDescent="0.2">
      <c r="A90" s="75"/>
      <c r="B90" s="75"/>
      <c r="C90" s="75"/>
      <c r="D90" s="75"/>
      <c r="E90" s="75"/>
      <c r="F90" s="75"/>
      <c r="G90" s="75"/>
      <c r="H90" s="75"/>
      <c r="I90" s="75"/>
      <c r="J90" s="75"/>
      <c r="K90" s="535"/>
      <c r="L90" s="53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x14ac:dyDescent="0.2">
      <c r="A91" s="75"/>
      <c r="B91" s="75"/>
      <c r="C91" s="75"/>
      <c r="D91" s="75"/>
      <c r="E91" s="75"/>
      <c r="F91" s="75"/>
      <c r="G91" s="75"/>
      <c r="H91" s="75"/>
      <c r="I91" s="75"/>
      <c r="J91" s="75"/>
      <c r="K91" s="535"/>
      <c r="L91" s="53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x14ac:dyDescent="0.2">
      <c r="A92" s="75"/>
      <c r="B92" s="75"/>
      <c r="C92" s="75"/>
      <c r="D92" s="75"/>
      <c r="E92" s="75"/>
      <c r="F92" s="75"/>
      <c r="G92" s="75"/>
      <c r="H92" s="75"/>
      <c r="I92" s="75"/>
      <c r="J92" s="75"/>
      <c r="K92" s="535"/>
      <c r="L92" s="53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x14ac:dyDescent="0.2">
      <c r="A93" s="75"/>
      <c r="B93" s="75"/>
      <c r="C93" s="75"/>
      <c r="D93" s="75"/>
      <c r="E93" s="75"/>
      <c r="F93" s="75"/>
      <c r="G93" s="75"/>
      <c r="H93" s="75"/>
      <c r="I93" s="75"/>
      <c r="J93" s="75"/>
      <c r="K93" s="535"/>
      <c r="L93" s="535"/>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x14ac:dyDescent="0.2">
      <c r="A94" s="75"/>
      <c r="B94" s="75"/>
      <c r="C94" s="75"/>
      <c r="D94" s="75"/>
      <c r="E94" s="75"/>
      <c r="F94" s="75"/>
      <c r="G94" s="75"/>
      <c r="H94" s="75"/>
      <c r="I94" s="75"/>
      <c r="J94" s="75"/>
      <c r="K94" s="535"/>
      <c r="L94" s="53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x14ac:dyDescent="0.2">
      <c r="A95" s="75"/>
      <c r="B95" s="75"/>
      <c r="C95" s="75"/>
      <c r="D95" s="75"/>
      <c r="E95" s="75"/>
      <c r="F95" s="75"/>
      <c r="G95" s="75"/>
      <c r="H95" s="75"/>
      <c r="I95" s="75"/>
      <c r="J95" s="75"/>
      <c r="K95" s="535"/>
      <c r="L95" s="53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x14ac:dyDescent="0.2">
      <c r="A96" s="75"/>
      <c r="B96" s="75"/>
      <c r="C96" s="75"/>
      <c r="D96" s="75"/>
      <c r="E96" s="75"/>
      <c r="F96" s="75"/>
      <c r="G96" s="75"/>
      <c r="H96" s="75"/>
      <c r="I96" s="75"/>
      <c r="J96" s="75"/>
      <c r="K96" s="535"/>
      <c r="L96" s="53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x14ac:dyDescent="0.2">
      <c r="A97" s="75"/>
      <c r="B97" s="75"/>
      <c r="C97" s="75"/>
      <c r="D97" s="75"/>
      <c r="E97" s="75"/>
      <c r="F97" s="75"/>
      <c r="G97" s="75"/>
      <c r="H97" s="75"/>
      <c r="I97" s="75"/>
      <c r="J97" s="75"/>
      <c r="K97" s="535"/>
      <c r="L97" s="53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x14ac:dyDescent="0.2">
      <c r="A98" s="75"/>
      <c r="B98" s="75"/>
      <c r="C98" s="75"/>
      <c r="D98" s="75"/>
      <c r="E98" s="75"/>
      <c r="F98" s="75"/>
      <c r="G98" s="75"/>
      <c r="H98" s="75"/>
      <c r="I98" s="75"/>
      <c r="J98" s="75"/>
      <c r="K98" s="535"/>
      <c r="L98" s="53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x14ac:dyDescent="0.2">
      <c r="A99" s="75"/>
      <c r="B99" s="75"/>
      <c r="C99" s="75"/>
      <c r="D99" s="75"/>
      <c r="E99" s="75"/>
      <c r="F99" s="75"/>
      <c r="G99" s="75"/>
      <c r="H99" s="75"/>
      <c r="I99" s="75"/>
      <c r="J99" s="75"/>
      <c r="K99" s="535"/>
      <c r="L99" s="53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x14ac:dyDescent="0.2">
      <c r="A100" s="75"/>
      <c r="B100" s="75"/>
      <c r="C100" s="75"/>
      <c r="D100" s="75"/>
      <c r="E100" s="75"/>
      <c r="F100" s="75"/>
      <c r="G100" s="75"/>
      <c r="H100" s="75"/>
      <c r="I100" s="75"/>
      <c r="J100" s="75"/>
      <c r="K100" s="535"/>
      <c r="L100" s="53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x14ac:dyDescent="0.2">
      <c r="A101" s="75"/>
      <c r="B101" s="75"/>
      <c r="C101" s="75"/>
      <c r="D101" s="75"/>
      <c r="E101" s="75"/>
      <c r="F101" s="75"/>
      <c r="G101" s="75"/>
      <c r="H101" s="75"/>
      <c r="I101" s="75"/>
      <c r="J101" s="75"/>
      <c r="K101" s="535"/>
      <c r="L101" s="53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x14ac:dyDescent="0.2">
      <c r="A102" s="75"/>
      <c r="B102" s="75"/>
      <c r="C102" s="75"/>
      <c r="D102" s="75"/>
      <c r="E102" s="75"/>
      <c r="F102" s="75"/>
      <c r="G102" s="75"/>
      <c r="H102" s="75"/>
      <c r="I102" s="75"/>
      <c r="J102" s="75"/>
      <c r="K102" s="535"/>
      <c r="L102" s="53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x14ac:dyDescent="0.2">
      <c r="A103" s="75"/>
      <c r="B103" s="75"/>
      <c r="C103" s="75"/>
      <c r="D103" s="75"/>
      <c r="E103" s="75"/>
      <c r="F103" s="75"/>
      <c r="G103" s="75"/>
      <c r="H103" s="75"/>
      <c r="I103" s="75"/>
      <c r="J103" s="75"/>
      <c r="K103" s="535"/>
      <c r="L103" s="53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x14ac:dyDescent="0.2">
      <c r="A104" s="75"/>
      <c r="B104" s="75"/>
      <c r="C104" s="75"/>
      <c r="D104" s="75"/>
      <c r="E104" s="75"/>
      <c r="F104" s="75"/>
      <c r="G104" s="75"/>
      <c r="H104" s="75"/>
      <c r="I104" s="75"/>
      <c r="J104" s="75"/>
      <c r="K104" s="535"/>
      <c r="L104" s="53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x14ac:dyDescent="0.2">
      <c r="A105" s="75"/>
      <c r="B105" s="75"/>
      <c r="C105" s="75"/>
      <c r="D105" s="75"/>
      <c r="E105" s="75"/>
      <c r="F105" s="75"/>
      <c r="G105" s="75"/>
      <c r="H105" s="75"/>
      <c r="I105" s="75"/>
      <c r="J105" s="75"/>
      <c r="K105" s="535"/>
      <c r="L105" s="53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x14ac:dyDescent="0.2">
      <c r="A106" s="75"/>
      <c r="B106" s="75"/>
      <c r="C106" s="75"/>
      <c r="D106" s="75"/>
      <c r="E106" s="75"/>
      <c r="F106" s="75"/>
      <c r="G106" s="75"/>
      <c r="H106" s="75"/>
      <c r="I106" s="75"/>
      <c r="J106" s="75"/>
      <c r="K106" s="535"/>
      <c r="L106" s="53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x14ac:dyDescent="0.2">
      <c r="A107" s="75"/>
      <c r="B107" s="75"/>
      <c r="C107" s="75"/>
      <c r="D107" s="75"/>
      <c r="E107" s="75"/>
      <c r="F107" s="75"/>
      <c r="G107" s="75"/>
      <c r="H107" s="75"/>
      <c r="I107" s="75"/>
      <c r="J107" s="75"/>
      <c r="K107" s="535"/>
      <c r="L107" s="53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x14ac:dyDescent="0.2">
      <c r="A108" s="75"/>
      <c r="B108" s="75"/>
      <c r="C108" s="75"/>
      <c r="D108" s="75"/>
      <c r="E108" s="75"/>
      <c r="F108" s="75"/>
      <c r="G108" s="75"/>
      <c r="H108" s="75"/>
      <c r="I108" s="75"/>
      <c r="J108" s="75"/>
      <c r="K108" s="535"/>
      <c r="L108" s="53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x14ac:dyDescent="0.2">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x14ac:dyDescent="0.2">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71" priority="2">
      <formula>AND($B6&lt;=G$4,$C6&gt;=F$4)</formula>
    </cfRule>
  </conditionalFormatting>
  <pageMargins left="0.7" right="0.7" top="0.75" bottom="0.75" header="0.3" footer="0.3"/>
  <pageSetup paperSize="5"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52"/>
  <sheetViews>
    <sheetView workbookViewId="0">
      <selection activeCell="C3" sqref="C3"/>
    </sheetView>
  </sheetViews>
  <sheetFormatPr defaultRowHeight="14.25" x14ac:dyDescent="0.2"/>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x14ac:dyDescent="0.2">
      <c r="A1" s="75"/>
      <c r="B1" s="436" t="s">
        <v>212</v>
      </c>
      <c r="C1" s="199" t="s">
        <v>155</v>
      </c>
      <c r="D1" s="75"/>
      <c r="E1" s="75"/>
      <c r="F1" s="75"/>
      <c r="G1" s="75"/>
      <c r="H1" s="75"/>
      <c r="I1" s="75"/>
      <c r="J1" s="75"/>
      <c r="K1" s="75"/>
      <c r="L1" s="75"/>
      <c r="M1" s="75"/>
      <c r="N1" s="75"/>
    </row>
    <row r="2" spans="1:22" s="23" customFormat="1" ht="18.75" x14ac:dyDescent="0.3">
      <c r="A2" s="75"/>
      <c r="B2" s="197" t="s">
        <v>728</v>
      </c>
      <c r="C2" s="197" t="s">
        <v>729</v>
      </c>
      <c r="D2" s="462" t="str">
        <f>HYPERLINK("\\deqhq1\Rule_Resources\i\4-Caption.pdf","i")</f>
        <v>i</v>
      </c>
      <c r="E2" s="75"/>
      <c r="F2" s="75"/>
      <c r="G2" s="75"/>
      <c r="H2" s="75"/>
      <c r="I2" s="75"/>
      <c r="J2" s="75"/>
      <c r="K2" s="75"/>
      <c r="L2" s="75"/>
      <c r="M2" s="75"/>
      <c r="N2" s="75"/>
    </row>
    <row r="3" spans="1:22" x14ac:dyDescent="0.2">
      <c r="A3" s="75"/>
      <c r="B3" s="75"/>
      <c r="C3" s="75"/>
      <c r="D3" s="75"/>
      <c r="E3" s="75"/>
      <c r="F3" s="75"/>
      <c r="G3" s="75"/>
      <c r="H3" s="75"/>
      <c r="I3" s="75"/>
      <c r="J3" s="75"/>
      <c r="K3" s="75"/>
      <c r="L3" s="75"/>
      <c r="M3" s="75"/>
      <c r="N3" s="75"/>
    </row>
    <row r="4" spans="1:22" s="23" customFormat="1" ht="54.75" customHeight="1" x14ac:dyDescent="0.2">
      <c r="A4" s="75"/>
      <c r="B4" s="1033" t="s">
        <v>409</v>
      </c>
      <c r="C4" s="1033"/>
      <c r="D4" s="1033"/>
      <c r="E4" s="1033"/>
      <c r="F4" s="1033"/>
      <c r="G4" s="1033"/>
      <c r="H4" s="1033"/>
      <c r="I4" s="75"/>
      <c r="J4" s="75"/>
      <c r="K4" s="75"/>
      <c r="L4"/>
      <c r="M4"/>
      <c r="N4"/>
      <c r="O4"/>
      <c r="P4"/>
      <c r="Q4"/>
      <c r="R4"/>
      <c r="S4"/>
      <c r="T4"/>
      <c r="U4"/>
      <c r="V4"/>
    </row>
    <row r="5" spans="1:22" ht="36" customHeight="1" x14ac:dyDescent="0.2">
      <c r="A5" s="75"/>
      <c r="B5" s="75"/>
      <c r="C5" s="599" t="s">
        <v>404</v>
      </c>
      <c r="D5" s="599" t="s">
        <v>405</v>
      </c>
      <c r="E5" s="199" t="s">
        <v>288</v>
      </c>
      <c r="F5" s="199" t="s">
        <v>289</v>
      </c>
      <c r="G5" s="199" t="s">
        <v>533</v>
      </c>
      <c r="H5" s="75"/>
      <c r="I5" s="75"/>
      <c r="J5" s="75"/>
      <c r="K5" s="75"/>
    </row>
    <row r="6" spans="1:22" ht="18.75" x14ac:dyDescent="0.3">
      <c r="A6" s="75"/>
      <c r="B6" s="198" t="s">
        <v>402</v>
      </c>
      <c r="C6" s="197" t="s">
        <v>725</v>
      </c>
      <c r="D6" s="197"/>
      <c r="E6" s="509"/>
      <c r="F6" s="509"/>
      <c r="G6" s="509"/>
      <c r="H6" s="75"/>
      <c r="I6" s="75"/>
      <c r="J6" s="75"/>
      <c r="K6" s="75"/>
    </row>
    <row r="7" spans="1:22" ht="18.75" x14ac:dyDescent="0.3">
      <c r="A7" s="75"/>
      <c r="B7" s="198" t="s">
        <v>287</v>
      </c>
      <c r="C7" s="509" t="s">
        <v>726</v>
      </c>
      <c r="D7" s="509"/>
      <c r="E7" s="509"/>
      <c r="F7" s="197"/>
      <c r="G7" s="509"/>
      <c r="H7" s="75"/>
      <c r="I7" s="75"/>
      <c r="J7" s="75"/>
      <c r="K7" s="75"/>
    </row>
    <row r="8" spans="1:22" s="23" customFormat="1" ht="18.75" x14ac:dyDescent="0.3">
      <c r="A8" s="75"/>
      <c r="B8" s="198" t="s">
        <v>669</v>
      </c>
      <c r="C8" s="197" t="s">
        <v>685</v>
      </c>
      <c r="D8" s="197"/>
      <c r="E8" s="197"/>
      <c r="F8" s="197"/>
      <c r="G8" s="197"/>
      <c r="H8" s="75"/>
      <c r="I8" s="75"/>
      <c r="J8" s="75"/>
      <c r="K8" s="75"/>
      <c r="L8"/>
      <c r="M8"/>
      <c r="N8"/>
      <c r="O8"/>
      <c r="P8"/>
      <c r="Q8"/>
      <c r="R8"/>
      <c r="S8"/>
      <c r="T8"/>
      <c r="U8"/>
      <c r="V8"/>
    </row>
    <row r="9" spans="1:22" ht="18.75" x14ac:dyDescent="0.3">
      <c r="A9" s="75"/>
      <c r="B9" s="198" t="s">
        <v>406</v>
      </c>
      <c r="C9" s="509" t="s">
        <v>512</v>
      </c>
      <c r="D9" s="509"/>
      <c r="E9" s="509"/>
      <c r="F9" s="509"/>
      <c r="G9" s="509"/>
      <c r="H9" s="75"/>
      <c r="I9" s="75"/>
      <c r="J9" s="75"/>
      <c r="K9" s="75"/>
    </row>
    <row r="10" spans="1:22" ht="18.75" x14ac:dyDescent="0.3">
      <c r="A10" s="75"/>
      <c r="B10" s="198" t="s">
        <v>407</v>
      </c>
      <c r="C10" s="197" t="s">
        <v>60</v>
      </c>
      <c r="D10" s="75"/>
      <c r="E10" s="75"/>
      <c r="F10" s="758"/>
      <c r="G10" s="75"/>
      <c r="H10" s="75"/>
      <c r="I10" s="75"/>
      <c r="J10" s="75"/>
    </row>
    <row r="11" spans="1:22" ht="19.5" thickBot="1" x14ac:dyDescent="0.35">
      <c r="A11" s="75"/>
      <c r="B11" s="198" t="s">
        <v>530</v>
      </c>
      <c r="C11" s="509" t="s">
        <v>258</v>
      </c>
      <c r="D11" s="75"/>
      <c r="E11" s="75"/>
      <c r="F11" s="758"/>
      <c r="G11" s="75"/>
      <c r="H11" s="75"/>
      <c r="I11" s="75"/>
      <c r="J11" s="75"/>
      <c r="K11" s="75"/>
      <c r="L11" s="75"/>
      <c r="M11" s="75"/>
      <c r="N11" s="75"/>
    </row>
    <row r="12" spans="1:22" ht="18.75" x14ac:dyDescent="0.3">
      <c r="A12" s="75"/>
      <c r="B12" s="198" t="s">
        <v>59</v>
      </c>
      <c r="C12" s="197" t="s">
        <v>511</v>
      </c>
      <c r="D12" s="75"/>
      <c r="E12" s="75"/>
      <c r="F12" s="759" t="s">
        <v>566</v>
      </c>
      <c r="G12" s="75"/>
      <c r="H12" s="75"/>
      <c r="I12" s="75"/>
      <c r="J12" s="75"/>
      <c r="K12" s="75"/>
      <c r="L12" s="75"/>
      <c r="M12" s="75"/>
      <c r="N12" s="75"/>
    </row>
    <row r="13" spans="1:22" ht="18.75" x14ac:dyDescent="0.3">
      <c r="A13" s="75"/>
      <c r="B13" s="198" t="s">
        <v>229</v>
      </c>
      <c r="C13" s="509" t="s">
        <v>512</v>
      </c>
      <c r="D13" s="75"/>
      <c r="E13" s="75"/>
      <c r="F13" s="760" t="s">
        <v>568</v>
      </c>
      <c r="G13" s="75"/>
      <c r="H13" s="75"/>
      <c r="I13" s="75"/>
      <c r="J13" s="75"/>
      <c r="K13" s="75"/>
      <c r="L13" s="75"/>
      <c r="M13" s="75"/>
      <c r="N13" s="75"/>
    </row>
    <row r="14" spans="1:22" ht="18.75" x14ac:dyDescent="0.3">
      <c r="A14" s="75"/>
      <c r="B14" s="198" t="s">
        <v>58</v>
      </c>
      <c r="C14" s="197" t="s">
        <v>221</v>
      </c>
      <c r="D14" s="75"/>
      <c r="E14" s="75"/>
      <c r="F14" s="761"/>
      <c r="G14" s="75"/>
      <c r="H14" s="75"/>
      <c r="I14" s="75"/>
      <c r="J14" s="75"/>
      <c r="K14" s="75"/>
      <c r="L14" s="75"/>
      <c r="M14" s="75"/>
      <c r="N14" s="75"/>
    </row>
    <row r="15" spans="1:22" ht="18.75" x14ac:dyDescent="0.3">
      <c r="A15" s="75"/>
      <c r="B15" s="198" t="s">
        <v>271</v>
      </c>
      <c r="C15" s="509" t="s">
        <v>60</v>
      </c>
      <c r="D15" s="75"/>
      <c r="E15" s="75"/>
      <c r="F15" s="761" t="s">
        <v>567</v>
      </c>
      <c r="G15" s="75"/>
      <c r="H15" s="75"/>
      <c r="I15" s="75"/>
      <c r="J15" s="75"/>
      <c r="K15" s="75"/>
      <c r="L15" s="75"/>
      <c r="M15" s="75"/>
      <c r="N15" s="75"/>
    </row>
    <row r="16" spans="1:22" s="23" customFormat="1" ht="18.75" x14ac:dyDescent="0.3">
      <c r="A16" s="75"/>
      <c r="B16" s="198" t="s">
        <v>101</v>
      </c>
      <c r="C16" s="197" t="s">
        <v>60</v>
      </c>
      <c r="D16" s="75"/>
      <c r="E16" s="75"/>
      <c r="F16" s="760" t="s">
        <v>577</v>
      </c>
      <c r="G16" s="75"/>
      <c r="H16" s="75"/>
      <c r="I16" s="75"/>
      <c r="J16" s="75"/>
      <c r="K16" s="75"/>
      <c r="L16" s="75"/>
      <c r="M16" s="75"/>
      <c r="N16" s="75"/>
    </row>
    <row r="17" spans="1:14" ht="18.75" x14ac:dyDescent="0.3">
      <c r="A17" s="75"/>
      <c r="B17" s="198" t="s">
        <v>61</v>
      </c>
      <c r="C17" s="509" t="s">
        <v>727</v>
      </c>
      <c r="D17" s="75"/>
      <c r="E17" s="75"/>
      <c r="F17" s="760" t="s">
        <v>569</v>
      </c>
      <c r="G17" s="75"/>
      <c r="H17" s="75"/>
      <c r="I17" s="75"/>
      <c r="J17" s="75"/>
      <c r="K17" s="75"/>
      <c r="L17" s="75"/>
      <c r="M17" s="75"/>
      <c r="N17" s="75"/>
    </row>
    <row r="18" spans="1:14" ht="18.75" x14ac:dyDescent="0.3">
      <c r="A18" s="75"/>
      <c r="B18" s="198" t="s">
        <v>230</v>
      </c>
      <c r="C18" s="197" t="s">
        <v>269</v>
      </c>
      <c r="D18" s="75"/>
      <c r="E18" s="23"/>
      <c r="F18" s="760" t="s">
        <v>572</v>
      </c>
      <c r="G18" s="75"/>
      <c r="H18" s="75"/>
      <c r="I18" s="75"/>
      <c r="J18" s="75"/>
      <c r="K18" s="75"/>
      <c r="L18" s="75"/>
      <c r="M18" s="75"/>
      <c r="N18" s="75"/>
    </row>
    <row r="19" spans="1:14" ht="18.75" customHeight="1" x14ac:dyDescent="0.3">
      <c r="A19" s="75"/>
      <c r="B19" s="198" t="s">
        <v>62</v>
      </c>
      <c r="C19" s="509" t="s">
        <v>725</v>
      </c>
      <c r="D19" s="753" t="s">
        <v>408</v>
      </c>
      <c r="E19" s="754"/>
      <c r="F19" s="762" t="s">
        <v>570</v>
      </c>
      <c r="G19" s="75"/>
      <c r="H19" s="75"/>
      <c r="I19" s="75"/>
      <c r="J19" s="75"/>
      <c r="K19" s="75"/>
      <c r="L19" s="75"/>
      <c r="M19" s="75"/>
      <c r="N19" s="75"/>
    </row>
    <row r="20" spans="1:14" s="23" customFormat="1" ht="18.75" x14ac:dyDescent="0.3">
      <c r="A20" s="75"/>
      <c r="B20" s="198" t="s">
        <v>63</v>
      </c>
      <c r="C20" s="197" t="s">
        <v>85</v>
      </c>
      <c r="D20" s="75"/>
      <c r="E20" s="578"/>
      <c r="F20" s="763" t="s">
        <v>571</v>
      </c>
      <c r="G20" s="75"/>
      <c r="H20" s="75"/>
      <c r="I20" s="75"/>
      <c r="J20" s="75"/>
      <c r="K20" s="75"/>
      <c r="L20" s="75"/>
      <c r="M20" s="75"/>
      <c r="N20" s="75"/>
    </row>
    <row r="21" spans="1:14" ht="18.75" x14ac:dyDescent="0.3">
      <c r="A21" s="75"/>
      <c r="B21" s="198" t="s">
        <v>69</v>
      </c>
      <c r="C21" s="509" t="s">
        <v>70</v>
      </c>
      <c r="D21" s="75"/>
      <c r="E21" s="578"/>
      <c r="F21" s="762" t="s">
        <v>573</v>
      </c>
      <c r="G21" s="75"/>
      <c r="H21" s="75"/>
      <c r="I21" s="75"/>
      <c r="J21" s="75"/>
      <c r="K21" s="75"/>
      <c r="L21" s="75"/>
      <c r="M21" s="75"/>
      <c r="N21" s="75"/>
    </row>
    <row r="22" spans="1:14" ht="18.75" x14ac:dyDescent="0.3">
      <c r="A22" s="75"/>
      <c r="B22" s="198" t="s">
        <v>84</v>
      </c>
      <c r="C22" s="197" t="s">
        <v>417</v>
      </c>
      <c r="D22" s="75"/>
      <c r="E22" s="75"/>
      <c r="F22" s="764" t="s">
        <v>576</v>
      </c>
      <c r="G22" s="75"/>
      <c r="H22" s="75"/>
      <c r="I22" s="75"/>
      <c r="J22" s="75"/>
      <c r="K22" s="75"/>
      <c r="L22" s="75"/>
      <c r="M22" s="75"/>
      <c r="N22" s="75"/>
    </row>
    <row r="23" spans="1:14" s="23" customFormat="1" ht="18.75" x14ac:dyDescent="0.3">
      <c r="A23" s="75"/>
      <c r="B23" s="198" t="s">
        <v>435</v>
      </c>
      <c r="C23" s="509" t="s">
        <v>685</v>
      </c>
      <c r="D23" s="75"/>
      <c r="E23" s="75"/>
      <c r="F23" s="765" t="s">
        <v>574</v>
      </c>
      <c r="G23" s="75"/>
      <c r="H23" s="75"/>
      <c r="I23" s="75"/>
      <c r="J23" s="75"/>
      <c r="K23" s="75"/>
      <c r="L23" s="75"/>
      <c r="M23" s="75"/>
      <c r="N23" s="75"/>
    </row>
    <row r="24" spans="1:14" s="23" customFormat="1" ht="18.75" x14ac:dyDescent="0.3">
      <c r="A24" s="75"/>
      <c r="B24" s="198" t="s">
        <v>434</v>
      </c>
      <c r="C24" s="509" t="s">
        <v>685</v>
      </c>
      <c r="D24" s="75"/>
      <c r="E24" s="75"/>
      <c r="F24" s="765" t="s">
        <v>575</v>
      </c>
      <c r="G24" s="75"/>
      <c r="H24" s="75"/>
      <c r="I24" s="75"/>
      <c r="J24" s="75"/>
      <c r="K24" s="75"/>
      <c r="L24" s="75"/>
      <c r="M24" s="75"/>
      <c r="N24" s="75"/>
    </row>
    <row r="25" spans="1:14" ht="18.75" x14ac:dyDescent="0.3">
      <c r="A25" s="75"/>
      <c r="B25" s="198" t="s">
        <v>228</v>
      </c>
      <c r="C25" s="509" t="s">
        <v>418</v>
      </c>
      <c r="D25" s="75"/>
      <c r="E25" s="75"/>
      <c r="F25" s="761"/>
      <c r="G25" s="75"/>
      <c r="H25" s="75"/>
      <c r="I25" s="75"/>
      <c r="J25" s="75"/>
      <c r="K25" s="75"/>
      <c r="L25" s="75"/>
      <c r="M25" s="75"/>
      <c r="N25" s="75"/>
    </row>
    <row r="26" spans="1:14" ht="19.5" thickBot="1" x14ac:dyDescent="0.35">
      <c r="A26" s="75"/>
      <c r="B26" s="198" t="s">
        <v>213</v>
      </c>
      <c r="C26" s="197" t="s">
        <v>279</v>
      </c>
      <c r="D26" s="75"/>
      <c r="E26" s="75"/>
      <c r="F26" s="766"/>
      <c r="G26" s="75"/>
      <c r="H26" s="75"/>
      <c r="I26" s="75"/>
      <c r="J26" s="75"/>
      <c r="K26" s="75"/>
      <c r="L26" s="75"/>
      <c r="M26" s="75"/>
      <c r="N26" s="75"/>
    </row>
    <row r="27" spans="1:14" ht="18.75" x14ac:dyDescent="0.3">
      <c r="A27" s="75"/>
      <c r="B27" s="75"/>
      <c r="C27" s="75"/>
      <c r="D27" s="75"/>
      <c r="E27" s="75"/>
      <c r="F27" s="758"/>
      <c r="G27" s="75"/>
      <c r="H27" s="75"/>
      <c r="I27" s="75"/>
      <c r="J27" s="75"/>
      <c r="K27" s="75"/>
      <c r="L27" s="75"/>
      <c r="M27" s="75"/>
      <c r="N27" s="75"/>
    </row>
    <row r="28" spans="1:14" ht="18.75" x14ac:dyDescent="0.3">
      <c r="A28" s="75"/>
      <c r="B28" s="75"/>
      <c r="C28" s="75"/>
      <c r="D28" s="75"/>
      <c r="E28" s="75"/>
      <c r="F28" s="758"/>
      <c r="G28" s="75"/>
      <c r="H28" s="75"/>
      <c r="I28" s="75"/>
      <c r="J28" s="75"/>
      <c r="K28" s="75"/>
      <c r="L28" s="75"/>
      <c r="M28" s="75"/>
      <c r="N28" s="75"/>
    </row>
    <row r="29" spans="1:14" s="23" customFormat="1" ht="18.75" x14ac:dyDescent="0.3">
      <c r="A29" s="75"/>
      <c r="C29" s="75"/>
      <c r="D29" s="75"/>
      <c r="E29" s="75"/>
      <c r="F29" s="758"/>
      <c r="G29" s="75"/>
      <c r="H29" s="75"/>
      <c r="I29" s="75"/>
      <c r="J29" s="75"/>
      <c r="K29" s="75"/>
      <c r="L29" s="75"/>
      <c r="M29" s="75"/>
      <c r="N29" s="75"/>
    </row>
    <row r="30" spans="1:14" s="23" customFormat="1" ht="15" thickBot="1" x14ac:dyDescent="0.25">
      <c r="A30" s="75"/>
      <c r="B30" s="75"/>
      <c r="C30" s="75"/>
      <c r="D30" s="75"/>
      <c r="E30" s="75"/>
      <c r="F30" s="75"/>
      <c r="G30" s="75"/>
      <c r="H30" s="75"/>
      <c r="I30" s="75"/>
      <c r="J30" s="75"/>
      <c r="K30" s="75"/>
      <c r="L30" s="75"/>
      <c r="M30" s="75"/>
      <c r="N30" s="75"/>
    </row>
    <row r="31" spans="1:14" ht="28.5" customHeight="1" x14ac:dyDescent="0.2">
      <c r="A31" s="75"/>
      <c r="B31" s="1031" t="s">
        <v>270</v>
      </c>
      <c r="C31" s="1032"/>
      <c r="D31" s="75"/>
      <c r="E31" s="75"/>
      <c r="F31" s="75"/>
      <c r="G31" s="75"/>
      <c r="H31" s="75"/>
      <c r="I31" s="75"/>
      <c r="J31" s="75"/>
      <c r="K31" s="75"/>
      <c r="L31" s="752"/>
    </row>
    <row r="32" spans="1:14" ht="15.75" x14ac:dyDescent="0.25">
      <c r="A32" s="75"/>
      <c r="B32" s="767" t="s">
        <v>411</v>
      </c>
      <c r="C32" s="768" t="s">
        <v>265</v>
      </c>
      <c r="D32" s="75"/>
      <c r="E32" s="75"/>
      <c r="F32" s="75"/>
      <c r="G32" s="75"/>
      <c r="H32" s="75"/>
      <c r="I32" s="75"/>
      <c r="J32" s="75"/>
      <c r="K32" s="75"/>
      <c r="L32" s="75"/>
    </row>
    <row r="33" spans="1:12" ht="15.75" x14ac:dyDescent="0.25">
      <c r="A33" s="75"/>
      <c r="B33" s="767" t="s">
        <v>412</v>
      </c>
      <c r="C33" s="768" t="s">
        <v>267</v>
      </c>
      <c r="D33" s="75"/>
      <c r="E33" s="75"/>
      <c r="F33" s="75"/>
      <c r="G33" s="75"/>
      <c r="H33" s="75"/>
      <c r="I33" s="75"/>
      <c r="J33" s="75"/>
      <c r="K33" s="75"/>
      <c r="L33" s="75"/>
    </row>
    <row r="34" spans="1:12" ht="16.5" thickBot="1" x14ac:dyDescent="0.3">
      <c r="A34" s="75"/>
      <c r="B34" s="769" t="s">
        <v>413</v>
      </c>
      <c r="C34" s="770" t="s">
        <v>268</v>
      </c>
      <c r="D34" s="75"/>
      <c r="E34" s="75"/>
      <c r="F34" s="75"/>
      <c r="G34" s="75"/>
      <c r="H34" s="75"/>
      <c r="I34" s="75"/>
      <c r="J34" s="75"/>
      <c r="K34" s="75"/>
    </row>
    <row r="35" spans="1:12" ht="15" thickBot="1" x14ac:dyDescent="0.25">
      <c r="A35" s="75"/>
      <c r="B35" s="75"/>
      <c r="C35" s="75"/>
      <c r="D35" s="75"/>
      <c r="E35" s="75"/>
      <c r="F35" s="75"/>
      <c r="G35" s="75"/>
      <c r="H35" s="75"/>
      <c r="I35" s="75"/>
      <c r="J35" s="75"/>
      <c r="K35" s="75"/>
    </row>
    <row r="36" spans="1:12" x14ac:dyDescent="0.2">
      <c r="A36" s="75"/>
      <c r="B36" s="1031" t="s">
        <v>272</v>
      </c>
      <c r="C36" s="1032"/>
      <c r="D36" s="75"/>
      <c r="E36" s="75"/>
      <c r="F36" s="75"/>
      <c r="G36" s="75"/>
      <c r="H36" s="75"/>
      <c r="I36" s="75"/>
      <c r="J36" s="75"/>
      <c r="K36" s="75"/>
    </row>
    <row r="37" spans="1:12" ht="15.75" x14ac:dyDescent="0.25">
      <c r="A37" s="75"/>
      <c r="B37" s="767" t="s">
        <v>256</v>
      </c>
      <c r="C37" s="768" t="s">
        <v>265</v>
      </c>
      <c r="D37" s="75"/>
      <c r="E37" s="75"/>
      <c r="F37" s="75"/>
      <c r="G37" s="75"/>
      <c r="H37" s="75"/>
      <c r="I37" s="75"/>
      <c r="J37" s="75"/>
      <c r="K37" s="75"/>
    </row>
    <row r="38" spans="1:12" ht="15.75" x14ac:dyDescent="0.25">
      <c r="A38" s="75"/>
      <c r="B38" s="767" t="s">
        <v>273</v>
      </c>
      <c r="C38" s="768" t="s">
        <v>267</v>
      </c>
      <c r="D38" s="75"/>
      <c r="E38" s="75"/>
      <c r="F38" s="75"/>
      <c r="G38" s="75"/>
      <c r="H38" s="75"/>
      <c r="I38" s="75"/>
      <c r="J38" s="75"/>
      <c r="K38" s="75"/>
    </row>
    <row r="39" spans="1:12" ht="16.5" thickBot="1" x14ac:dyDescent="0.3">
      <c r="A39" s="75"/>
      <c r="B39" s="769" t="s">
        <v>269</v>
      </c>
      <c r="C39" s="770" t="s">
        <v>268</v>
      </c>
      <c r="D39" s="75"/>
      <c r="E39" s="75"/>
      <c r="F39" s="75"/>
      <c r="G39" s="75"/>
      <c r="H39" s="75"/>
      <c r="I39" s="75"/>
      <c r="J39" s="75"/>
      <c r="K39" s="75"/>
    </row>
    <row r="40" spans="1:12" ht="15" thickBot="1" x14ac:dyDescent="0.25">
      <c r="A40" s="75"/>
      <c r="C40" s="75"/>
      <c r="D40" s="75"/>
      <c r="E40" s="75"/>
      <c r="F40" s="75"/>
      <c r="G40" s="75"/>
      <c r="H40" s="75"/>
      <c r="I40" s="75"/>
      <c r="J40" s="75"/>
      <c r="K40" s="75"/>
    </row>
    <row r="41" spans="1:12" x14ac:dyDescent="0.2">
      <c r="A41" s="75"/>
      <c r="B41" s="771" t="s">
        <v>264</v>
      </c>
      <c r="C41" s="772"/>
      <c r="D41" s="75"/>
      <c r="E41" s="75"/>
      <c r="F41" s="75"/>
      <c r="G41" s="75"/>
      <c r="H41" s="75"/>
      <c r="I41" s="75"/>
      <c r="J41" s="75"/>
      <c r="K41" s="75"/>
    </row>
    <row r="42" spans="1:12" ht="15.75" x14ac:dyDescent="0.25">
      <c r="A42" s="75"/>
      <c r="B42" s="767" t="s">
        <v>255</v>
      </c>
      <c r="C42" s="768" t="s">
        <v>265</v>
      </c>
      <c r="D42" s="75"/>
      <c r="E42" s="75"/>
      <c r="F42" s="75"/>
      <c r="G42" s="75"/>
      <c r="H42" s="75"/>
      <c r="I42" s="75"/>
      <c r="J42" s="75"/>
      <c r="K42" s="75"/>
    </row>
    <row r="43" spans="1:12" ht="15.75" x14ac:dyDescent="0.25">
      <c r="A43" s="75"/>
      <c r="B43" s="767" t="s">
        <v>266</v>
      </c>
      <c r="C43" s="768" t="s">
        <v>267</v>
      </c>
      <c r="D43" s="75"/>
      <c r="E43" s="75"/>
      <c r="F43" s="75"/>
      <c r="G43" s="75"/>
      <c r="H43" s="75"/>
      <c r="I43" s="75"/>
      <c r="J43" s="75"/>
      <c r="K43" s="75"/>
    </row>
    <row r="44" spans="1:12" ht="16.5" thickBot="1" x14ac:dyDescent="0.3">
      <c r="A44" s="75"/>
      <c r="B44" s="769" t="s">
        <v>269</v>
      </c>
      <c r="C44" s="770" t="s">
        <v>268</v>
      </c>
      <c r="D44" s="75"/>
      <c r="E44" s="75"/>
      <c r="F44" s="75"/>
      <c r="G44" s="75"/>
      <c r="H44" s="75"/>
      <c r="I44" s="75"/>
      <c r="J44" s="75"/>
      <c r="K44" s="75"/>
    </row>
    <row r="45" spans="1:12" x14ac:dyDescent="0.2">
      <c r="A45" s="75"/>
      <c r="D45" s="75"/>
      <c r="E45" s="75"/>
      <c r="F45" s="75"/>
      <c r="G45" s="75"/>
      <c r="H45" s="75"/>
      <c r="I45" s="75"/>
      <c r="J45" s="75"/>
      <c r="K45" s="75"/>
    </row>
    <row r="46" spans="1:12" x14ac:dyDescent="0.2">
      <c r="A46" s="75"/>
      <c r="B46" s="75"/>
      <c r="C46" s="75"/>
      <c r="D46" s="75"/>
      <c r="E46" s="75"/>
      <c r="F46" s="75"/>
      <c r="G46" s="75"/>
      <c r="H46" s="75"/>
      <c r="I46" s="75"/>
      <c r="J46" s="75"/>
      <c r="K46" s="75"/>
    </row>
    <row r="47" spans="1:12" x14ac:dyDescent="0.2">
      <c r="A47" s="75"/>
      <c r="B47" s="75"/>
      <c r="C47" s="75"/>
      <c r="D47" s="75"/>
      <c r="E47" s="75"/>
      <c r="F47" s="75"/>
      <c r="G47" s="75"/>
      <c r="H47" s="75"/>
      <c r="I47" s="75"/>
      <c r="J47" s="75"/>
      <c r="K47" s="75"/>
    </row>
    <row r="48" spans="1:12" x14ac:dyDescent="0.2">
      <c r="A48" s="75"/>
      <c r="B48" s="75"/>
      <c r="C48" s="75"/>
      <c r="D48" s="75"/>
      <c r="E48" s="75"/>
      <c r="F48" s="75"/>
      <c r="G48" s="75"/>
      <c r="H48" s="75"/>
      <c r="I48" s="75"/>
      <c r="J48" s="75"/>
      <c r="K48" s="75"/>
    </row>
    <row r="49" spans="2:11" x14ac:dyDescent="0.2">
      <c r="B49" s="75"/>
      <c r="C49" s="75"/>
      <c r="D49" s="75"/>
      <c r="E49" s="75"/>
      <c r="F49" s="75"/>
      <c r="G49" s="75"/>
      <c r="H49" s="75"/>
      <c r="I49" s="75"/>
      <c r="J49" s="75"/>
      <c r="K49" s="75"/>
    </row>
    <row r="50" spans="2:11" x14ac:dyDescent="0.2">
      <c r="B50" s="75"/>
      <c r="C50" s="75"/>
      <c r="D50" s="75"/>
      <c r="E50" s="75"/>
      <c r="F50" s="75"/>
      <c r="G50" s="75"/>
      <c r="H50" s="75"/>
      <c r="I50" s="75"/>
      <c r="J50" s="75"/>
      <c r="K50" s="75"/>
    </row>
    <row r="51" spans="2:11" x14ac:dyDescent="0.2">
      <c r="F51" s="75"/>
      <c r="G51" s="75"/>
      <c r="H51" s="75"/>
      <c r="I51" s="75"/>
      <c r="J51" s="75"/>
      <c r="K51" s="75"/>
    </row>
    <row r="52" spans="2:11" x14ac:dyDescent="0.2">
      <c r="F52" s="75"/>
    </row>
  </sheetData>
  <mergeCells count="3">
    <mergeCell ref="B36:C36"/>
    <mergeCell ref="B4:H4"/>
    <mergeCell ref="B31:C31"/>
  </mergeCells>
  <dataValidations xWindow="699" yWindow="635" count="3">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allowBlank="1" showInputMessage="1" showErrorMessage="1" promptTitle="DROP DOWN LIST" prompt="Select a name from the droipdown list." sqref="C16"/>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69"/>
  <sheetViews>
    <sheetView workbookViewId="0"/>
  </sheetViews>
  <sheetFormatPr defaultRowHeight="14.25" x14ac:dyDescent="0.2"/>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x14ac:dyDescent="0.2">
      <c r="A1" s="75"/>
      <c r="B1" s="75"/>
      <c r="C1" s="75"/>
      <c r="D1" s="75"/>
      <c r="E1" s="75"/>
      <c r="F1" s="75"/>
      <c r="G1" s="75"/>
      <c r="H1" s="75"/>
      <c r="I1" s="75"/>
      <c r="J1" s="75"/>
      <c r="K1" s="75"/>
      <c r="L1" s="75"/>
      <c r="M1" s="75"/>
      <c r="N1" s="75"/>
      <c r="O1" s="75"/>
    </row>
    <row r="2" spans="1:15" s="23" customFormat="1" ht="33.75" customHeight="1" x14ac:dyDescent="0.2">
      <c r="A2" s="75"/>
      <c r="B2" s="1037" t="str">
        <f>S.General.RulemakingTitle</f>
        <v>AQ Permitting</v>
      </c>
      <c r="C2" s="1037"/>
      <c r="D2" s="1037"/>
      <c r="E2" s="1037"/>
      <c r="F2" s="75"/>
      <c r="G2" s="465">
        <f ca="1">TODAY()</f>
        <v>41914</v>
      </c>
      <c r="H2" s="75"/>
      <c r="I2" s="75"/>
      <c r="J2" s="75"/>
      <c r="K2" s="75"/>
      <c r="L2" s="75"/>
      <c r="M2" s="75"/>
      <c r="N2" s="75"/>
      <c r="O2" s="75"/>
    </row>
    <row r="3" spans="1:15" s="23" customFormat="1" ht="33.75" customHeight="1" x14ac:dyDescent="0.25">
      <c r="A3" s="75"/>
      <c r="B3" s="727" t="s">
        <v>159</v>
      </c>
      <c r="C3" s="723"/>
      <c r="D3" s="723"/>
      <c r="E3" s="75"/>
      <c r="F3" s="75"/>
      <c r="G3" s="465"/>
      <c r="H3" s="75"/>
      <c r="I3" s="75"/>
      <c r="J3" s="75"/>
      <c r="K3" s="75"/>
      <c r="L3" s="75"/>
      <c r="M3" s="75"/>
      <c r="N3" s="75"/>
      <c r="O3" s="75"/>
    </row>
    <row r="4" spans="1:15" ht="18.75" thickBot="1" x14ac:dyDescent="0.3">
      <c r="A4" s="75"/>
      <c r="B4" s="37"/>
      <c r="C4" s="715"/>
      <c r="D4" s="715"/>
      <c r="E4" s="1034" t="s">
        <v>84</v>
      </c>
      <c r="F4" s="75"/>
      <c r="G4" s="395" t="s">
        <v>160</v>
      </c>
      <c r="H4" s="75"/>
      <c r="I4" s="75"/>
      <c r="J4" s="75"/>
      <c r="K4" s="75"/>
      <c r="L4" s="75"/>
      <c r="M4" s="75"/>
      <c r="N4" s="75"/>
      <c r="O4" s="75"/>
    </row>
    <row r="5" spans="1:15" s="23" customFormat="1" ht="18.75" thickBot="1" x14ac:dyDescent="0.3">
      <c r="A5" s="75"/>
      <c r="B5" s="728" t="s">
        <v>545</v>
      </c>
      <c r="C5" s="728" t="s">
        <v>470</v>
      </c>
      <c r="D5" s="728" t="s">
        <v>471</v>
      </c>
      <c r="E5" s="1035"/>
      <c r="F5" s="75"/>
      <c r="G5" s="716"/>
      <c r="H5" s="75"/>
      <c r="I5" s="75"/>
      <c r="J5" s="75"/>
      <c r="K5" s="75"/>
      <c r="L5" s="75"/>
      <c r="M5" s="75"/>
      <c r="N5" s="75"/>
      <c r="O5" s="75"/>
    </row>
    <row r="6" spans="1:15" ht="15" thickTop="1" x14ac:dyDescent="0.2">
      <c r="A6" s="75"/>
      <c r="B6" s="393" t="str">
        <f>S.Hearing.1stCity</f>
        <v>Portland</v>
      </c>
      <c r="C6" s="724">
        <f>S.Hearing.1stDate</f>
        <v>41836</v>
      </c>
      <c r="D6" s="726" t="str">
        <f>S.Hearing.1stTime</f>
        <v>6 p.m.</v>
      </c>
      <c r="E6" s="726" t="str">
        <f>S.Hearing.1stTime</f>
        <v>6 p.m.</v>
      </c>
      <c r="F6" s="75"/>
      <c r="G6" s="437"/>
      <c r="H6" s="75"/>
      <c r="I6" s="75"/>
      <c r="J6" s="75"/>
      <c r="K6" s="75"/>
      <c r="L6" s="75"/>
      <c r="M6" s="75"/>
      <c r="N6" s="75"/>
      <c r="O6" s="75"/>
    </row>
    <row r="7" spans="1:15" x14ac:dyDescent="0.2">
      <c r="A7" s="75"/>
      <c r="B7" s="393" t="str">
        <f>IF(S.Hearing.2ndInvolve="N","-blank -",S.Hearing.2ndCity)</f>
        <v>-blank -</v>
      </c>
      <c r="C7" s="725" t="str">
        <f>IF(S.Hearing.2ndInvolve="N","-blank -",S.Hearing.2ndDate)</f>
        <v>-blank -</v>
      </c>
      <c r="D7" s="725" t="str">
        <f>IF(S.Hearing.2ndInvolve="N","-blank -",S.Hearing.2ndTime)</f>
        <v>-blank -</v>
      </c>
      <c r="E7" s="725" t="str">
        <f>IF(S.Hearing.2ndInvolve="N","-blank -","DEQ Staff")</f>
        <v>-blank -</v>
      </c>
      <c r="F7" s="75"/>
      <c r="G7" s="437"/>
      <c r="H7" s="75"/>
      <c r="I7" s="75"/>
      <c r="J7" s="75"/>
      <c r="K7" s="75"/>
      <c r="L7" s="75"/>
      <c r="M7" s="75"/>
      <c r="N7" s="75"/>
      <c r="O7" s="75"/>
    </row>
    <row r="8" spans="1:15" x14ac:dyDescent="0.2">
      <c r="A8" s="75"/>
      <c r="B8" s="393" t="str">
        <f>IF(S.Hearing.3rdInvolve="N","-blank -",S.Hearing.3rdCity)</f>
        <v>-blank -</v>
      </c>
      <c r="C8" s="725" t="str">
        <f>IF(S.Hearing.3rdInvolve="N","-blank -",S.Hearing.3rdDate)</f>
        <v>-blank -</v>
      </c>
      <c r="D8" s="725" t="str">
        <f>IF(S.Hearing.3rdInvolve="N","-blank -",S.Hearing.3rdTime)</f>
        <v>-blank -</v>
      </c>
      <c r="E8" s="725" t="str">
        <f>IF(S.Hearing.3rdInvolve="N","-blank -","DEQ staff")</f>
        <v>-blank -</v>
      </c>
      <c r="F8" s="75"/>
      <c r="G8" s="437"/>
      <c r="H8" s="75"/>
      <c r="I8" s="75"/>
      <c r="J8" s="75"/>
      <c r="K8" s="75"/>
      <c r="L8" s="75"/>
      <c r="M8" s="75"/>
      <c r="N8" s="75"/>
      <c r="O8" s="75"/>
    </row>
    <row r="9" spans="1:15" x14ac:dyDescent="0.2">
      <c r="A9" s="75"/>
      <c r="B9" s="393" t="str">
        <f>IF(S.Hearing.4thInvolve="N","-blank -",S.Hearing.4thCity)</f>
        <v>-blank -</v>
      </c>
      <c r="C9" s="725" t="str">
        <f>IF(S.Hearing.4thInvolve="N","-blank -",S.Hearing.4thDate)</f>
        <v>-blank -</v>
      </c>
      <c r="D9" s="725" t="str">
        <f>IF(S.Hearing.4thInvolve="N","-blank -",S.Hearing.4thTime)</f>
        <v>-blank -</v>
      </c>
      <c r="E9" s="725" t="str">
        <f>IF(S.Hearing.4thInvolve="N","-blank -","DEQ staff")</f>
        <v>-blank -</v>
      </c>
      <c r="F9" s="75"/>
      <c r="G9" s="437"/>
      <c r="H9" s="75"/>
      <c r="I9" s="75"/>
      <c r="J9" s="75"/>
      <c r="K9" s="75"/>
      <c r="L9" s="75"/>
      <c r="M9" s="75"/>
      <c r="N9" s="75"/>
      <c r="O9" s="75"/>
    </row>
    <row r="10" spans="1:15" x14ac:dyDescent="0.2">
      <c r="A10" s="75"/>
      <c r="B10" s="393" t="str">
        <f>IF(S.Hearing.5thInvolve="N","-blank -",S.Hearing.5thCity)</f>
        <v>-blank -</v>
      </c>
      <c r="C10" s="725" t="str">
        <f>IF(S.Hearing.5thInvolve="N","-blank -",S.Hearing.5thDate)</f>
        <v>-blank -</v>
      </c>
      <c r="D10" s="725" t="str">
        <f>IF(S.Hearing.5thInvolve="N","-blank -",S.Hearing.5thTime)</f>
        <v>-blank -</v>
      </c>
      <c r="E10" s="725" t="str">
        <f>IF(S.Hearing.5thInvolve="N","-blank -","DEQ Staff")</f>
        <v>-blank -</v>
      </c>
      <c r="F10" s="75"/>
      <c r="G10" s="437"/>
      <c r="H10" s="75"/>
      <c r="I10" s="75"/>
      <c r="J10" s="75"/>
      <c r="K10" s="75"/>
      <c r="L10" s="75"/>
      <c r="M10" s="75"/>
      <c r="N10" s="75"/>
      <c r="O10" s="75"/>
    </row>
    <row r="11" spans="1:15" x14ac:dyDescent="0.2">
      <c r="A11" s="75"/>
      <c r="B11" s="393" t="str">
        <f>IF(S.Hearing.6thInvolve="N","-blank -",S.Hearing.6thCity)</f>
        <v>-blank -</v>
      </c>
      <c r="C11" s="725" t="str">
        <f>IF(S.Hearing.6thInvolve="N","-blank -",S.Hearing.6thDate)</f>
        <v>-blank -</v>
      </c>
      <c r="D11" s="725" t="str">
        <f>IF(S.Hearing.6thInvolve="N","-blank -",S.Hearing.6thTime)</f>
        <v>-blank -</v>
      </c>
      <c r="E11" s="725" t="str">
        <f>IF(S.Hearing.6thInvolve="N","-blank -","DEQ Staff")</f>
        <v>-blank -</v>
      </c>
      <c r="F11" s="75"/>
      <c r="G11" s="437"/>
      <c r="H11" s="75"/>
      <c r="I11" s="75"/>
      <c r="J11" s="75"/>
      <c r="K11" s="75"/>
      <c r="L11" s="75"/>
      <c r="M11" s="75"/>
      <c r="N11" s="75"/>
      <c r="O11" s="75"/>
    </row>
    <row r="12" spans="1:15" x14ac:dyDescent="0.2">
      <c r="A12" s="75"/>
      <c r="B12" s="393" t="str">
        <f>IF(S.Hearing.7thInvolve="N","-blank -",S.Hearing.7thCity)</f>
        <v>-blank -</v>
      </c>
      <c r="C12" s="725" t="str">
        <f>IF(S.Hearing.7thInvolve="N","-blank -",S.Hearing.7thDate)</f>
        <v>-blank -</v>
      </c>
      <c r="D12" s="725" t="str">
        <f>IF(S.Hearing.7thInvolve="N","-blank -",S.Hearing.7thTime)</f>
        <v>-blank -</v>
      </c>
      <c r="E12" s="725" t="str">
        <f>IF(S.Hearing.7thInvolve="N","-blank -","DEQ staff")</f>
        <v>-blank -</v>
      </c>
      <c r="F12" s="75"/>
      <c r="G12" s="437"/>
      <c r="H12" s="75"/>
      <c r="I12" s="75"/>
      <c r="J12" s="75"/>
      <c r="K12" s="75"/>
      <c r="L12" s="75"/>
      <c r="M12" s="75"/>
      <c r="N12" s="75"/>
      <c r="O12" s="75"/>
    </row>
    <row r="13" spans="1:15" x14ac:dyDescent="0.2">
      <c r="A13" s="75"/>
      <c r="B13" s="393" t="str">
        <f>IF(S.Hearing.8thtInvolve="N","-blank -",S.Hearing.8thCity)</f>
        <v>-blank -</v>
      </c>
      <c r="C13" s="725" t="str">
        <f>IF(S.Hearing.8thtInvolve="N","-blank -",S.Hearing.8thDate)</f>
        <v>-blank -</v>
      </c>
      <c r="D13" s="725" t="str">
        <f>IF(S.Hearing.8thtInvolve="N","-blank -",S.Hearing.8thTime)</f>
        <v>-blank -</v>
      </c>
      <c r="E13" s="725" t="str">
        <f>IF(S.Hearing.8thtInvolve="N","-blank -","DEQ Staff")</f>
        <v>-blank -</v>
      </c>
      <c r="F13" s="75"/>
      <c r="G13" s="437"/>
      <c r="H13" s="75"/>
      <c r="I13" s="75"/>
      <c r="J13" s="75"/>
      <c r="K13" s="75"/>
      <c r="L13" s="75"/>
      <c r="M13" s="75"/>
      <c r="N13" s="75"/>
      <c r="O13" s="75"/>
    </row>
    <row r="14" spans="1:15" x14ac:dyDescent="0.2">
      <c r="A14" s="75"/>
      <c r="B14" s="393"/>
      <c r="C14" s="393"/>
      <c r="D14" s="393"/>
      <c r="E14" s="75"/>
      <c r="F14" s="75"/>
      <c r="G14" s="396"/>
      <c r="H14" s="75"/>
      <c r="I14" s="75"/>
      <c r="J14" s="75"/>
      <c r="K14" s="75"/>
      <c r="L14" s="75"/>
      <c r="M14" s="75"/>
      <c r="N14" s="75"/>
      <c r="O14" s="75"/>
    </row>
    <row r="15" spans="1:15" x14ac:dyDescent="0.2">
      <c r="A15" s="75"/>
      <c r="B15" s="393"/>
      <c r="C15" s="393"/>
      <c r="D15" s="393"/>
      <c r="E15" s="75"/>
      <c r="F15" s="75"/>
      <c r="G15" s="396"/>
      <c r="H15" s="75"/>
      <c r="I15" s="75"/>
      <c r="J15" s="75"/>
      <c r="K15" s="75"/>
      <c r="L15" s="75"/>
      <c r="M15" s="75"/>
      <c r="N15" s="75"/>
      <c r="O15" s="75"/>
    </row>
    <row r="16" spans="1:15" x14ac:dyDescent="0.2">
      <c r="A16" s="75"/>
      <c r="B16" s="393"/>
      <c r="C16" s="393"/>
      <c r="D16" s="393"/>
      <c r="E16" s="75"/>
      <c r="F16" s="75"/>
      <c r="G16" s="396"/>
      <c r="H16" s="75"/>
      <c r="I16" s="75"/>
      <c r="J16" s="75"/>
      <c r="K16" s="75"/>
      <c r="L16" s="75"/>
      <c r="M16" s="75"/>
      <c r="N16" s="75"/>
      <c r="O16" s="75"/>
    </row>
    <row r="17" spans="1:15" ht="18.75" thickBot="1" x14ac:dyDescent="0.3">
      <c r="A17" s="75"/>
      <c r="B17" s="1036" t="s">
        <v>158</v>
      </c>
      <c r="C17" s="1036"/>
      <c r="D17" s="716"/>
      <c r="E17" s="75"/>
      <c r="F17" s="75"/>
      <c r="G17" s="396"/>
      <c r="H17" s="75"/>
      <c r="I17" s="75"/>
      <c r="J17" s="75"/>
      <c r="K17" s="75"/>
      <c r="L17" s="75"/>
      <c r="M17" s="75"/>
      <c r="N17" s="75"/>
      <c r="O17" s="75"/>
    </row>
    <row r="18" spans="1:15" x14ac:dyDescent="0.2">
      <c r="A18" s="75"/>
      <c r="B18" s="393" t="str">
        <f>S.Notice.AD.PubID1</f>
        <v>NOTICE.AD1Oregonian</v>
      </c>
      <c r="C18" s="724">
        <f>S.Notice.AD.PubDate1</f>
        <v>41806</v>
      </c>
      <c r="D18" s="394"/>
      <c r="E18" s="75"/>
      <c r="F18" s="75"/>
      <c r="G18" s="437"/>
      <c r="H18" s="75"/>
      <c r="I18" s="75"/>
      <c r="J18" s="75"/>
      <c r="K18" s="75"/>
      <c r="L18" s="75"/>
      <c r="M18" s="75"/>
      <c r="N18" s="75"/>
      <c r="O18" s="75"/>
    </row>
    <row r="19" spans="1:15" x14ac:dyDescent="0.2">
      <c r="A19" s="75"/>
      <c r="B19" s="393" t="str">
        <f>S.Notice.AD.PubID2</f>
        <v>NOTICE.AD2None</v>
      </c>
      <c r="C19" s="724">
        <f>S.Notice.AD.PubDate2</f>
        <v>41806</v>
      </c>
      <c r="D19" s="394"/>
      <c r="E19" s="75"/>
      <c r="F19" s="75"/>
      <c r="G19" s="437"/>
      <c r="H19" s="75"/>
      <c r="I19" s="75"/>
      <c r="J19" s="75"/>
      <c r="K19" s="75"/>
      <c r="L19" s="75"/>
      <c r="M19" s="75"/>
      <c r="N19" s="75"/>
      <c r="O19" s="75"/>
    </row>
    <row r="20" spans="1:15" x14ac:dyDescent="0.2">
      <c r="A20" s="75"/>
      <c r="B20" s="393" t="str">
        <f>S.Notice.AD.PubID3</f>
        <v>NOTICE.AD3None</v>
      </c>
      <c r="C20" s="724">
        <f>S.Notice.AD.PubDate3</f>
        <v>41806</v>
      </c>
      <c r="D20" s="394"/>
      <c r="E20" s="75"/>
      <c r="F20" s="75"/>
      <c r="G20" s="437"/>
      <c r="H20" s="75"/>
      <c r="I20" s="75"/>
      <c r="J20" s="75"/>
      <c r="K20" s="75"/>
      <c r="L20" s="75"/>
      <c r="M20" s="75"/>
      <c r="N20" s="75"/>
      <c r="O20" s="75"/>
    </row>
    <row r="21" spans="1:15" x14ac:dyDescent="0.2">
      <c r="A21" s="75"/>
      <c r="B21" s="393" t="str">
        <f>S.Notice.AD.PubID4</f>
        <v>NOTICE.AD4None</v>
      </c>
      <c r="C21" s="724">
        <f>S.Notice.AD.PubDate4</f>
        <v>41806</v>
      </c>
      <c r="D21" s="394"/>
      <c r="E21" s="75"/>
      <c r="F21" s="75"/>
      <c r="G21" s="437"/>
      <c r="H21" s="75"/>
      <c r="I21" s="75"/>
      <c r="J21" s="75"/>
      <c r="K21" s="75"/>
      <c r="L21" s="75"/>
      <c r="M21" s="75"/>
      <c r="N21" s="75"/>
      <c r="O21" s="75"/>
    </row>
    <row r="22" spans="1:15" x14ac:dyDescent="0.2">
      <c r="A22" s="75"/>
      <c r="B22" s="393" t="str">
        <f>S.Notice.AD.PubID5</f>
        <v>NOTICE.AD5None</v>
      </c>
      <c r="C22" s="724">
        <f>S.Notice.AD.PubDate5</f>
        <v>41806</v>
      </c>
      <c r="D22" s="394"/>
      <c r="E22" s="75"/>
      <c r="F22" s="75"/>
      <c r="G22" s="437"/>
      <c r="H22" s="75"/>
      <c r="I22" s="75"/>
      <c r="J22" s="75"/>
      <c r="K22" s="75"/>
      <c r="L22" s="75"/>
      <c r="M22" s="75"/>
      <c r="N22" s="75"/>
      <c r="O22" s="75"/>
    </row>
    <row r="23" spans="1:15" x14ac:dyDescent="0.2">
      <c r="A23" s="75"/>
      <c r="B23" s="393" t="str">
        <f>S.Notice.AD.PubID6</f>
        <v>NOTICE.AD6None</v>
      </c>
      <c r="C23" s="724">
        <f>S.Notice.AD.PubDate6</f>
        <v>41806</v>
      </c>
      <c r="D23" s="394"/>
      <c r="E23" s="75"/>
      <c r="F23" s="75"/>
      <c r="G23" s="437"/>
      <c r="H23" s="75"/>
      <c r="I23" s="75"/>
      <c r="J23" s="75"/>
      <c r="K23" s="75"/>
      <c r="L23" s="75"/>
      <c r="M23" s="75"/>
      <c r="N23" s="75"/>
      <c r="O23" s="75"/>
    </row>
    <row r="24" spans="1:15" x14ac:dyDescent="0.2">
      <c r="A24" s="75"/>
      <c r="B24" s="393" t="str">
        <f>S.Notice.AD.PubID7</f>
        <v>NOTICE.AD7None</v>
      </c>
      <c r="C24" s="724">
        <f>S.Notice.AD.PubDate7</f>
        <v>41806</v>
      </c>
      <c r="D24" s="394"/>
      <c r="E24" s="75"/>
      <c r="F24" s="75"/>
      <c r="G24" s="437"/>
      <c r="H24" s="75"/>
      <c r="I24" s="75"/>
      <c r="J24" s="75"/>
      <c r="K24" s="75"/>
      <c r="L24" s="75"/>
      <c r="M24" s="75"/>
      <c r="N24" s="75"/>
      <c r="O24" s="75"/>
    </row>
    <row r="25" spans="1:15" x14ac:dyDescent="0.2">
      <c r="A25" s="75"/>
      <c r="B25" s="393" t="str">
        <f>S.Notice.AD.PubID8</f>
        <v>NOTICE.AD8None</v>
      </c>
      <c r="C25" s="724">
        <f>S.Notice.AD.PubDate8</f>
        <v>41806</v>
      </c>
      <c r="D25" s="394"/>
      <c r="E25" s="75"/>
      <c r="F25" s="75"/>
      <c r="G25" s="437"/>
      <c r="H25" s="75"/>
      <c r="I25" s="75"/>
      <c r="J25" s="75"/>
      <c r="K25" s="75"/>
      <c r="L25" s="75"/>
      <c r="M25" s="75"/>
      <c r="N25" s="75"/>
      <c r="O25" s="75"/>
    </row>
    <row r="26" spans="1:15" x14ac:dyDescent="0.2">
      <c r="A26" s="75"/>
      <c r="B26" s="75"/>
      <c r="C26" s="75"/>
      <c r="D26" s="75"/>
      <c r="E26" s="75"/>
      <c r="F26" s="75"/>
      <c r="G26" s="75"/>
      <c r="H26" s="75"/>
      <c r="I26" s="75"/>
      <c r="J26" s="75"/>
      <c r="K26" s="75"/>
      <c r="L26" s="75"/>
      <c r="M26" s="75"/>
      <c r="N26" s="75"/>
      <c r="O26" s="75"/>
    </row>
    <row r="27" spans="1:15" x14ac:dyDescent="0.2">
      <c r="A27" s="75"/>
      <c r="B27" s="75"/>
      <c r="C27" s="75"/>
      <c r="D27" s="75"/>
      <c r="E27" s="75"/>
      <c r="F27" s="75"/>
      <c r="G27" s="75"/>
      <c r="H27" s="75"/>
      <c r="I27" s="75"/>
      <c r="J27" s="75"/>
      <c r="K27" s="75"/>
      <c r="L27" s="75"/>
      <c r="M27" s="75"/>
      <c r="N27" s="75"/>
      <c r="O27" s="75"/>
    </row>
    <row r="28" spans="1:15" x14ac:dyDescent="0.2">
      <c r="A28" s="75"/>
      <c r="B28" s="75"/>
      <c r="C28" s="75"/>
      <c r="D28" s="75"/>
      <c r="E28" s="75"/>
      <c r="F28" s="75"/>
      <c r="G28" s="75"/>
      <c r="H28" s="75"/>
      <c r="I28" s="75"/>
      <c r="J28" s="75"/>
      <c r="K28" s="75"/>
      <c r="L28" s="75"/>
      <c r="M28" s="75"/>
      <c r="N28" s="75"/>
      <c r="O28" s="75"/>
    </row>
    <row r="29" spans="1:15" x14ac:dyDescent="0.2">
      <c r="A29" s="75"/>
      <c r="B29" s="75"/>
      <c r="C29" s="75"/>
      <c r="D29" s="75"/>
      <c r="E29" s="75"/>
      <c r="F29" s="75"/>
      <c r="G29" s="75"/>
      <c r="H29" s="75"/>
      <c r="I29" s="75"/>
      <c r="J29" s="75"/>
      <c r="K29" s="75"/>
      <c r="L29" s="75"/>
      <c r="M29" s="75"/>
      <c r="N29" s="75"/>
      <c r="O29" s="75"/>
    </row>
    <row r="30" spans="1:15" x14ac:dyDescent="0.2">
      <c r="A30" s="75"/>
      <c r="B30" s="75"/>
      <c r="C30" s="75"/>
      <c r="D30" s="75"/>
      <c r="E30" s="75"/>
      <c r="F30" s="75"/>
      <c r="G30" s="75"/>
      <c r="H30" s="75"/>
      <c r="I30" s="75"/>
      <c r="J30" s="75"/>
      <c r="K30" s="75"/>
      <c r="L30" s="75"/>
      <c r="M30" s="75"/>
      <c r="N30" s="75"/>
      <c r="O30" s="75"/>
    </row>
    <row r="31" spans="1:15" x14ac:dyDescent="0.2">
      <c r="A31" s="75"/>
      <c r="B31" s="75"/>
      <c r="C31" s="75"/>
      <c r="D31" s="75"/>
      <c r="E31" s="75"/>
      <c r="F31" s="75"/>
      <c r="G31" s="75"/>
      <c r="H31" s="75"/>
      <c r="I31" s="75"/>
      <c r="J31" s="75"/>
      <c r="K31" s="75"/>
      <c r="L31" s="75"/>
      <c r="M31" s="75"/>
      <c r="N31" s="75"/>
      <c r="O31" s="75"/>
    </row>
    <row r="32" spans="1:15" x14ac:dyDescent="0.2">
      <c r="A32" s="75"/>
      <c r="B32" s="75"/>
      <c r="C32" s="75"/>
      <c r="D32" s="75"/>
      <c r="E32" s="75"/>
      <c r="F32" s="75"/>
      <c r="G32" s="75"/>
      <c r="H32" s="75"/>
      <c r="I32" s="75"/>
      <c r="J32" s="75"/>
      <c r="K32" s="75"/>
      <c r="L32" s="75"/>
      <c r="M32" s="75"/>
      <c r="N32" s="75"/>
      <c r="O32" s="75"/>
    </row>
    <row r="33" spans="1:15" x14ac:dyDescent="0.2">
      <c r="A33" s="75"/>
      <c r="B33" s="75"/>
      <c r="C33" s="75"/>
      <c r="D33" s="75"/>
      <c r="E33" s="75"/>
      <c r="F33" s="75"/>
      <c r="G33" s="75"/>
      <c r="H33" s="75"/>
      <c r="I33" s="75"/>
      <c r="J33" s="75"/>
      <c r="K33" s="75"/>
      <c r="L33" s="75"/>
      <c r="M33" s="75"/>
      <c r="N33" s="75"/>
      <c r="O33" s="75"/>
    </row>
    <row r="34" spans="1:15" x14ac:dyDescent="0.2">
      <c r="A34" s="75"/>
      <c r="B34" s="75"/>
      <c r="C34" s="75"/>
      <c r="D34" s="75"/>
      <c r="E34" s="75"/>
      <c r="F34" s="75"/>
      <c r="G34" s="75"/>
      <c r="H34" s="75"/>
      <c r="I34" s="75"/>
      <c r="J34" s="75"/>
      <c r="K34" s="75"/>
      <c r="L34" s="75"/>
      <c r="M34" s="75"/>
      <c r="N34" s="75"/>
      <c r="O34" s="75"/>
    </row>
    <row r="35" spans="1:15" x14ac:dyDescent="0.2">
      <c r="A35" s="75"/>
      <c r="B35" s="75"/>
      <c r="C35" s="75"/>
      <c r="D35" s="75"/>
      <c r="E35" s="75"/>
      <c r="F35" s="75"/>
      <c r="G35" s="75"/>
      <c r="H35" s="75"/>
      <c r="I35" s="75"/>
      <c r="J35" s="75"/>
      <c r="K35" s="75"/>
      <c r="L35" s="75"/>
      <c r="M35" s="75"/>
      <c r="N35" s="75"/>
      <c r="O35" s="75"/>
    </row>
    <row r="36" spans="1:15" x14ac:dyDescent="0.2">
      <c r="A36" s="75"/>
      <c r="B36" s="75"/>
      <c r="C36" s="75"/>
      <c r="D36" s="75"/>
      <c r="E36" s="75"/>
      <c r="F36" s="75"/>
      <c r="G36" s="75"/>
      <c r="H36" s="75"/>
      <c r="I36" s="75"/>
      <c r="J36" s="75"/>
      <c r="K36" s="75"/>
      <c r="L36" s="75"/>
      <c r="M36" s="75"/>
      <c r="N36" s="75"/>
      <c r="O36" s="75"/>
    </row>
    <row r="37" spans="1:15" x14ac:dyDescent="0.2">
      <c r="A37" s="75"/>
      <c r="B37" s="75"/>
      <c r="C37" s="75"/>
      <c r="D37" s="75"/>
      <c r="E37" s="75"/>
      <c r="F37" s="75"/>
      <c r="G37" s="75"/>
      <c r="H37" s="75"/>
      <c r="I37" s="75"/>
      <c r="J37" s="75"/>
      <c r="K37" s="75"/>
      <c r="L37" s="75"/>
      <c r="M37" s="75"/>
      <c r="N37" s="75"/>
      <c r="O37" s="75"/>
    </row>
    <row r="38" spans="1:15" x14ac:dyDescent="0.2">
      <c r="A38" s="75"/>
      <c r="B38" s="75"/>
      <c r="C38" s="75"/>
      <c r="D38" s="75"/>
      <c r="E38" s="75"/>
      <c r="F38" s="75"/>
      <c r="G38" s="75"/>
      <c r="H38" s="75"/>
      <c r="I38" s="75"/>
      <c r="J38" s="75"/>
      <c r="K38" s="75"/>
      <c r="L38" s="75"/>
      <c r="M38" s="75"/>
      <c r="N38" s="75"/>
      <c r="O38" s="75"/>
    </row>
    <row r="39" spans="1:15" x14ac:dyDescent="0.2">
      <c r="A39" s="75"/>
      <c r="B39" s="75"/>
      <c r="C39" s="75"/>
      <c r="D39" s="75"/>
      <c r="E39" s="75"/>
      <c r="F39" s="75"/>
      <c r="G39" s="75"/>
      <c r="H39" s="75"/>
      <c r="I39" s="75"/>
      <c r="J39" s="75"/>
      <c r="K39" s="75"/>
      <c r="L39" s="75"/>
      <c r="M39" s="75"/>
      <c r="N39" s="75"/>
      <c r="O39" s="75"/>
    </row>
    <row r="40" spans="1:15" x14ac:dyDescent="0.2">
      <c r="A40" s="75"/>
      <c r="B40" s="75"/>
      <c r="C40" s="75"/>
      <c r="D40" s="75"/>
      <c r="E40" s="75"/>
      <c r="F40" s="75"/>
      <c r="G40" s="75"/>
      <c r="H40" s="75"/>
      <c r="I40" s="75"/>
      <c r="J40" s="75"/>
      <c r="K40" s="75"/>
      <c r="L40" s="75"/>
      <c r="M40" s="75"/>
      <c r="N40" s="75"/>
      <c r="O40" s="75"/>
    </row>
    <row r="41" spans="1:15" x14ac:dyDescent="0.2">
      <c r="A41" s="75"/>
      <c r="B41" s="75"/>
      <c r="C41" s="75"/>
      <c r="D41" s="75"/>
      <c r="E41" s="75"/>
      <c r="F41" s="75"/>
      <c r="G41" s="75"/>
      <c r="H41" s="75"/>
      <c r="I41" s="75"/>
      <c r="J41" s="75"/>
      <c r="K41" s="75"/>
      <c r="L41" s="75"/>
      <c r="M41" s="75"/>
      <c r="N41" s="75"/>
      <c r="O41" s="75"/>
    </row>
    <row r="42" spans="1:15" x14ac:dyDescent="0.2">
      <c r="A42" s="75"/>
      <c r="B42" s="75"/>
      <c r="C42" s="75"/>
      <c r="D42" s="75"/>
      <c r="E42" s="75"/>
      <c r="F42" s="75"/>
      <c r="G42" s="75"/>
      <c r="H42" s="75"/>
      <c r="I42" s="75"/>
      <c r="J42" s="75"/>
      <c r="K42" s="75"/>
      <c r="L42" s="75"/>
      <c r="M42" s="75"/>
      <c r="N42" s="75"/>
      <c r="O42" s="75"/>
    </row>
    <row r="43" spans="1:15" x14ac:dyDescent="0.2">
      <c r="A43" s="75"/>
      <c r="B43" s="75"/>
      <c r="C43" s="75"/>
      <c r="D43" s="75"/>
      <c r="E43" s="75"/>
      <c r="F43" s="75"/>
      <c r="G43" s="75"/>
      <c r="H43" s="75"/>
      <c r="I43" s="75"/>
      <c r="J43" s="75"/>
      <c r="K43" s="75"/>
      <c r="L43" s="75"/>
      <c r="M43" s="75"/>
      <c r="N43" s="75"/>
      <c r="O43" s="75"/>
    </row>
    <row r="44" spans="1:15" x14ac:dyDescent="0.2">
      <c r="A44" s="75"/>
      <c r="B44" s="75"/>
      <c r="C44" s="75"/>
      <c r="D44" s="75"/>
      <c r="E44" s="75"/>
      <c r="F44" s="75"/>
      <c r="G44" s="75"/>
      <c r="H44" s="75"/>
      <c r="I44" s="75"/>
      <c r="J44" s="75"/>
      <c r="K44" s="75"/>
      <c r="L44" s="75"/>
      <c r="M44" s="75"/>
      <c r="N44" s="75"/>
      <c r="O44" s="75"/>
    </row>
    <row r="45" spans="1:15" x14ac:dyDescent="0.2">
      <c r="A45" s="75"/>
      <c r="B45" s="75"/>
      <c r="C45" s="75"/>
      <c r="D45" s="75"/>
      <c r="E45" s="75"/>
      <c r="F45" s="75"/>
      <c r="G45" s="75"/>
      <c r="H45" s="75"/>
      <c r="I45" s="75"/>
      <c r="J45" s="75"/>
      <c r="K45" s="75"/>
      <c r="L45" s="75"/>
      <c r="M45" s="75"/>
      <c r="N45" s="75"/>
      <c r="O45" s="75"/>
    </row>
    <row r="46" spans="1:15" x14ac:dyDescent="0.2">
      <c r="A46" s="75"/>
      <c r="B46" s="75"/>
      <c r="C46" s="75"/>
      <c r="D46" s="75"/>
      <c r="E46" s="75"/>
      <c r="F46" s="75"/>
      <c r="G46" s="75"/>
      <c r="H46" s="75"/>
      <c r="I46" s="75"/>
      <c r="J46" s="75"/>
      <c r="K46" s="75"/>
      <c r="L46" s="75"/>
      <c r="M46" s="75"/>
      <c r="N46" s="75"/>
      <c r="O46" s="75"/>
    </row>
    <row r="47" spans="1:15" x14ac:dyDescent="0.2">
      <c r="A47" s="75"/>
      <c r="B47" s="75"/>
      <c r="C47" s="75"/>
      <c r="D47" s="75"/>
      <c r="E47" s="75"/>
      <c r="F47" s="75"/>
      <c r="G47" s="75"/>
      <c r="H47" s="75"/>
      <c r="I47" s="75"/>
      <c r="J47" s="75"/>
      <c r="K47" s="75"/>
      <c r="L47" s="75"/>
      <c r="M47" s="75"/>
      <c r="N47" s="75"/>
      <c r="O47" s="75"/>
    </row>
    <row r="48" spans="1:15" x14ac:dyDescent="0.2">
      <c r="A48" s="75"/>
      <c r="B48" s="75"/>
      <c r="C48" s="75"/>
      <c r="D48" s="75"/>
      <c r="E48" s="75"/>
      <c r="F48" s="75"/>
      <c r="G48" s="75"/>
      <c r="H48" s="75"/>
      <c r="I48" s="75"/>
      <c r="J48" s="75"/>
      <c r="K48" s="75"/>
      <c r="L48" s="75"/>
      <c r="M48" s="75"/>
      <c r="N48" s="75"/>
      <c r="O48" s="75"/>
    </row>
    <row r="49" spans="1:15" x14ac:dyDescent="0.2">
      <c r="A49" s="75"/>
      <c r="B49" s="75"/>
      <c r="C49" s="75"/>
      <c r="D49" s="75"/>
      <c r="E49" s="75"/>
      <c r="F49" s="75"/>
      <c r="G49" s="75"/>
      <c r="H49" s="75"/>
      <c r="I49" s="75"/>
      <c r="J49" s="75"/>
      <c r="K49" s="75"/>
      <c r="L49" s="75"/>
      <c r="M49" s="75"/>
      <c r="N49" s="75"/>
      <c r="O49" s="75"/>
    </row>
    <row r="50" spans="1:15" x14ac:dyDescent="0.2">
      <c r="A50" s="75"/>
      <c r="B50" s="75"/>
      <c r="C50" s="75"/>
      <c r="D50" s="75"/>
      <c r="E50" s="75"/>
      <c r="F50" s="75"/>
      <c r="G50" s="75"/>
      <c r="H50" s="75"/>
      <c r="I50" s="75"/>
      <c r="J50" s="75"/>
      <c r="K50" s="75"/>
      <c r="L50" s="75"/>
      <c r="M50" s="75"/>
      <c r="N50" s="75"/>
      <c r="O50" s="75"/>
    </row>
    <row r="51" spans="1:15" x14ac:dyDescent="0.2">
      <c r="A51" s="75"/>
      <c r="B51" s="75"/>
      <c r="C51" s="75"/>
      <c r="D51" s="75"/>
      <c r="E51" s="75"/>
      <c r="F51" s="75"/>
      <c r="G51" s="75"/>
      <c r="H51" s="75"/>
      <c r="I51" s="75"/>
      <c r="J51" s="75"/>
      <c r="K51" s="75"/>
      <c r="L51" s="75"/>
      <c r="M51" s="75"/>
      <c r="N51" s="75"/>
      <c r="O51" s="75"/>
    </row>
    <row r="52" spans="1:15" x14ac:dyDescent="0.2">
      <c r="A52" s="75"/>
      <c r="B52" s="75"/>
      <c r="C52" s="75"/>
      <c r="D52" s="75"/>
      <c r="E52" s="75"/>
      <c r="F52" s="75"/>
      <c r="G52" s="75"/>
      <c r="H52" s="75"/>
      <c r="I52" s="75"/>
      <c r="J52" s="75"/>
      <c r="K52" s="75"/>
      <c r="L52" s="75"/>
      <c r="M52" s="75"/>
      <c r="N52" s="75"/>
      <c r="O52" s="75"/>
    </row>
    <row r="53" spans="1:15" x14ac:dyDescent="0.2">
      <c r="A53" s="75"/>
      <c r="B53" s="75"/>
      <c r="C53" s="75"/>
      <c r="D53" s="75"/>
      <c r="E53" s="75"/>
      <c r="F53" s="75"/>
      <c r="G53" s="75"/>
      <c r="H53" s="75"/>
      <c r="I53" s="75"/>
      <c r="J53" s="75"/>
      <c r="K53" s="75"/>
      <c r="L53" s="75"/>
      <c r="M53" s="75"/>
      <c r="N53" s="75"/>
      <c r="O53" s="75"/>
    </row>
    <row r="54" spans="1:15" x14ac:dyDescent="0.2">
      <c r="A54" s="75"/>
      <c r="B54" s="75"/>
      <c r="C54" s="75"/>
      <c r="D54" s="75"/>
      <c r="E54" s="75"/>
      <c r="F54" s="75"/>
      <c r="G54" s="75"/>
      <c r="H54" s="75"/>
      <c r="I54" s="75"/>
      <c r="J54" s="75"/>
      <c r="K54" s="75"/>
      <c r="L54" s="75"/>
      <c r="M54" s="75"/>
      <c r="N54" s="75"/>
      <c r="O54" s="75"/>
    </row>
    <row r="55" spans="1:15" x14ac:dyDescent="0.2">
      <c r="A55" s="75"/>
      <c r="B55" s="75"/>
      <c r="C55" s="75"/>
      <c r="D55" s="75"/>
      <c r="E55" s="75"/>
      <c r="F55" s="75"/>
      <c r="G55" s="75"/>
      <c r="H55" s="75"/>
      <c r="I55" s="75"/>
      <c r="J55" s="75"/>
      <c r="K55" s="75"/>
      <c r="L55" s="75"/>
      <c r="M55" s="75"/>
      <c r="N55" s="75"/>
      <c r="O55" s="75"/>
    </row>
    <row r="56" spans="1:15" x14ac:dyDescent="0.2">
      <c r="A56" s="75"/>
      <c r="B56" s="75"/>
      <c r="C56" s="75"/>
      <c r="D56" s="75"/>
      <c r="E56" s="75"/>
      <c r="F56" s="75"/>
      <c r="G56" s="75"/>
      <c r="H56" s="75"/>
      <c r="I56" s="75"/>
      <c r="J56" s="75"/>
      <c r="K56" s="75"/>
      <c r="L56" s="75"/>
      <c r="M56" s="75"/>
      <c r="N56" s="75"/>
      <c r="O56" s="75"/>
    </row>
    <row r="57" spans="1:15" x14ac:dyDescent="0.2">
      <c r="A57" s="75"/>
      <c r="B57" s="75"/>
      <c r="C57" s="75"/>
      <c r="D57" s="75"/>
      <c r="E57" s="75"/>
      <c r="F57" s="75"/>
      <c r="G57" s="75"/>
      <c r="H57" s="75"/>
      <c r="I57" s="75"/>
      <c r="J57" s="75"/>
      <c r="K57" s="75"/>
      <c r="L57" s="75"/>
      <c r="M57" s="75"/>
      <c r="N57" s="75"/>
      <c r="O57" s="75"/>
    </row>
    <row r="58" spans="1:15" x14ac:dyDescent="0.2">
      <c r="A58" s="75"/>
      <c r="B58" s="75"/>
      <c r="C58" s="75"/>
      <c r="D58" s="75"/>
      <c r="E58" s="75"/>
      <c r="F58" s="75"/>
      <c r="G58" s="75"/>
      <c r="H58" s="75"/>
      <c r="I58" s="75"/>
      <c r="J58" s="75"/>
      <c r="K58" s="75"/>
      <c r="L58" s="75"/>
      <c r="M58" s="75"/>
      <c r="N58" s="75"/>
      <c r="O58" s="75"/>
    </row>
    <row r="59" spans="1:15" x14ac:dyDescent="0.2">
      <c r="A59" s="75"/>
      <c r="B59" s="75"/>
      <c r="C59" s="75"/>
      <c r="D59" s="75"/>
      <c r="E59" s="75"/>
      <c r="F59" s="75"/>
      <c r="G59" s="75"/>
      <c r="H59" s="75"/>
      <c r="I59" s="75"/>
      <c r="J59" s="75"/>
      <c r="K59" s="75"/>
      <c r="L59" s="75"/>
      <c r="M59" s="75"/>
      <c r="N59" s="75"/>
      <c r="O59" s="75"/>
    </row>
    <row r="60" spans="1:15" x14ac:dyDescent="0.2">
      <c r="A60" s="75"/>
      <c r="B60" s="75"/>
      <c r="C60" s="75"/>
      <c r="D60" s="75"/>
      <c r="E60" s="75"/>
      <c r="F60" s="75"/>
      <c r="G60" s="75"/>
      <c r="H60" s="75"/>
      <c r="I60" s="75"/>
      <c r="J60" s="75"/>
      <c r="K60" s="75"/>
      <c r="L60" s="75"/>
      <c r="M60" s="75"/>
      <c r="N60" s="75"/>
      <c r="O60" s="75"/>
    </row>
    <row r="61" spans="1:15" x14ac:dyDescent="0.2">
      <c r="A61" s="75"/>
      <c r="B61" s="75"/>
      <c r="C61" s="75"/>
      <c r="D61" s="75"/>
      <c r="E61" s="75"/>
      <c r="F61" s="75"/>
      <c r="G61" s="75"/>
      <c r="H61" s="75"/>
      <c r="I61" s="75"/>
      <c r="J61" s="75"/>
      <c r="K61" s="75"/>
      <c r="L61" s="75"/>
      <c r="M61" s="75"/>
      <c r="N61" s="75"/>
      <c r="O61" s="75"/>
    </row>
    <row r="62" spans="1:15" x14ac:dyDescent="0.2">
      <c r="A62" s="75"/>
      <c r="B62" s="75"/>
      <c r="C62" s="75"/>
      <c r="D62" s="75"/>
      <c r="E62" s="75"/>
      <c r="F62" s="75"/>
      <c r="G62" s="75"/>
      <c r="H62" s="75"/>
      <c r="I62" s="75"/>
      <c r="J62" s="75"/>
      <c r="K62" s="75"/>
      <c r="L62" s="75"/>
      <c r="M62" s="75"/>
      <c r="N62" s="75"/>
      <c r="O62" s="75"/>
    </row>
    <row r="63" spans="1:15" x14ac:dyDescent="0.2">
      <c r="A63" s="75"/>
      <c r="B63" s="75"/>
      <c r="C63" s="75"/>
      <c r="D63" s="75"/>
      <c r="E63" s="75"/>
      <c r="F63" s="75"/>
      <c r="G63" s="75"/>
      <c r="H63" s="75"/>
      <c r="I63" s="75"/>
      <c r="J63" s="75"/>
      <c r="K63" s="75"/>
      <c r="L63" s="75"/>
      <c r="M63" s="75"/>
      <c r="N63" s="75"/>
      <c r="O63" s="75"/>
    </row>
    <row r="64" spans="1:15" x14ac:dyDescent="0.2">
      <c r="A64" s="75"/>
      <c r="B64" s="75"/>
      <c r="C64" s="75"/>
      <c r="D64" s="75"/>
      <c r="E64" s="75"/>
      <c r="F64" s="75"/>
      <c r="G64" s="75"/>
      <c r="H64" s="75"/>
      <c r="I64" s="75"/>
      <c r="J64" s="75"/>
      <c r="K64" s="75"/>
      <c r="L64" s="75"/>
      <c r="M64" s="75"/>
      <c r="N64" s="75"/>
      <c r="O64" s="75"/>
    </row>
    <row r="65" spans="1:15" x14ac:dyDescent="0.2">
      <c r="A65" s="75"/>
      <c r="B65" s="75"/>
      <c r="C65" s="75"/>
      <c r="D65" s="75"/>
      <c r="E65" s="75"/>
      <c r="F65" s="75"/>
      <c r="G65" s="75"/>
      <c r="H65" s="75"/>
      <c r="I65" s="75"/>
      <c r="J65" s="75"/>
      <c r="K65" s="75"/>
      <c r="L65" s="75"/>
      <c r="M65" s="75"/>
      <c r="N65" s="75"/>
      <c r="O65" s="75"/>
    </row>
    <row r="66" spans="1:15" x14ac:dyDescent="0.2">
      <c r="A66" s="75"/>
      <c r="B66" s="75"/>
      <c r="C66" s="75"/>
      <c r="D66" s="75"/>
      <c r="E66" s="75"/>
      <c r="F66" s="75"/>
      <c r="G66" s="75"/>
      <c r="H66" s="75"/>
      <c r="I66" s="75"/>
      <c r="J66" s="75"/>
      <c r="K66" s="75"/>
      <c r="L66" s="75"/>
      <c r="M66" s="75"/>
      <c r="N66" s="75"/>
      <c r="O66" s="75"/>
    </row>
    <row r="67" spans="1:15" x14ac:dyDescent="0.2">
      <c r="A67" s="75"/>
      <c r="B67" s="75"/>
      <c r="C67" s="75"/>
      <c r="D67" s="75"/>
      <c r="E67" s="75"/>
      <c r="F67" s="75"/>
      <c r="G67" s="75"/>
      <c r="H67" s="75"/>
      <c r="I67" s="75"/>
      <c r="J67" s="75"/>
      <c r="K67" s="75"/>
      <c r="L67" s="75"/>
      <c r="M67" s="75"/>
      <c r="N67" s="75"/>
      <c r="O67" s="75"/>
    </row>
    <row r="68" spans="1:15" x14ac:dyDescent="0.2">
      <c r="A68" s="75"/>
      <c r="B68" s="75"/>
      <c r="C68" s="75"/>
      <c r="D68" s="75"/>
      <c r="E68" s="75"/>
      <c r="F68" s="75"/>
      <c r="G68" s="75"/>
      <c r="H68" s="75"/>
      <c r="I68" s="75"/>
      <c r="J68" s="75"/>
      <c r="K68" s="75"/>
      <c r="L68" s="75"/>
      <c r="M68" s="75"/>
      <c r="N68" s="75"/>
      <c r="O68" s="75"/>
    </row>
    <row r="69" spans="1:15" x14ac:dyDescent="0.2">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1307"/>
  <sheetViews>
    <sheetView workbookViewId="0">
      <selection activeCell="A15" sqref="A15"/>
    </sheetView>
  </sheetViews>
  <sheetFormatPr defaultColWidth="9" defaultRowHeight="15.75" x14ac:dyDescent="0.2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x14ac:dyDescent="0.3">
      <c r="A1" s="16" t="s">
        <v>18</v>
      </c>
      <c r="B1" s="3"/>
      <c r="C1" s="2"/>
      <c r="D1" s="514" t="s">
        <v>0</v>
      </c>
      <c r="E1" s="51"/>
      <c r="F1" s="51"/>
      <c r="G1" s="51"/>
      <c r="H1" s="51"/>
      <c r="I1" s="2"/>
      <c r="J1" s="2"/>
      <c r="K1" s="2"/>
      <c r="L1" s="2"/>
      <c r="M1" s="2"/>
      <c r="N1" s="2"/>
      <c r="O1" s="2"/>
      <c r="P1" s="53"/>
      <c r="Q1" s="53"/>
      <c r="R1" s="2"/>
      <c r="S1" s="2"/>
      <c r="T1" s="2"/>
    </row>
    <row r="2" spans="1:20" x14ac:dyDescent="0.25">
      <c r="A2" s="50">
        <v>1</v>
      </c>
      <c r="B2" s="50">
        <v>2</v>
      </c>
      <c r="C2" s="111">
        <v>3</v>
      </c>
      <c r="D2" s="50">
        <v>4</v>
      </c>
      <c r="E2" s="50">
        <v>5</v>
      </c>
      <c r="F2" s="50">
        <v>6</v>
      </c>
      <c r="G2" s="48"/>
      <c r="H2" s="48"/>
      <c r="I2" s="48"/>
      <c r="J2" s="48"/>
      <c r="K2" s="48"/>
      <c r="L2" s="48"/>
      <c r="M2" s="2"/>
      <c r="N2" s="2"/>
      <c r="O2" s="2"/>
      <c r="P2" s="1"/>
      <c r="Q2" s="1"/>
    </row>
    <row r="3" spans="1:20" x14ac:dyDescent="0.25">
      <c r="A3" s="4" t="s">
        <v>11</v>
      </c>
      <c r="B3" s="4" t="s">
        <v>14</v>
      </c>
      <c r="C3" s="4" t="s">
        <v>15</v>
      </c>
      <c r="D3" s="109" t="s">
        <v>48</v>
      </c>
      <c r="E3" s="132" t="s">
        <v>44</v>
      </c>
      <c r="F3" s="132" t="s">
        <v>53</v>
      </c>
      <c r="G3" s="48"/>
      <c r="H3" s="48"/>
      <c r="I3" s="48"/>
      <c r="J3" s="48"/>
      <c r="K3" s="48"/>
      <c r="L3" s="48"/>
      <c r="M3" s="2"/>
      <c r="N3" s="2"/>
      <c r="O3" s="2"/>
      <c r="P3"/>
      <c r="Q3"/>
      <c r="R3"/>
      <c r="S3"/>
    </row>
    <row r="4" spans="1:20" ht="18.75" customHeight="1" x14ac:dyDescent="0.25">
      <c r="A4" s="106">
        <v>41353</v>
      </c>
      <c r="B4" s="106">
        <v>41316</v>
      </c>
      <c r="C4" s="106">
        <v>41346</v>
      </c>
      <c r="D4" s="110">
        <f>A5-A4</f>
        <v>91</v>
      </c>
      <c r="E4" s="106">
        <f>A4+D4</f>
        <v>41444</v>
      </c>
      <c r="F4" s="106">
        <v>41259</v>
      </c>
      <c r="G4" s="1039" t="s">
        <v>277</v>
      </c>
      <c r="H4" s="1039"/>
      <c r="I4" s="1039"/>
      <c r="J4" s="48"/>
      <c r="K4" s="48"/>
      <c r="L4" s="48"/>
      <c r="M4" s="48"/>
      <c r="N4" s="48"/>
      <c r="O4" s="48"/>
      <c r="P4" s="23"/>
      <c r="Q4" s="23"/>
      <c r="R4" s="23"/>
      <c r="S4" s="23"/>
    </row>
    <row r="5" spans="1:20" ht="18.75" customHeight="1" x14ac:dyDescent="0.25">
      <c r="A5" s="106">
        <v>41444</v>
      </c>
      <c r="B5" s="106">
        <v>41404</v>
      </c>
      <c r="C5" s="106">
        <v>41437</v>
      </c>
      <c r="D5" s="110">
        <f t="shared" ref="D5:D7" si="0">A6-A5</f>
        <v>63</v>
      </c>
      <c r="E5" s="106">
        <f t="shared" ref="E5:E8" si="1">A5+D5</f>
        <v>41507</v>
      </c>
      <c r="F5" s="106">
        <f>A5-D4</f>
        <v>41353</v>
      </c>
      <c r="G5" s="1039"/>
      <c r="H5" s="1039"/>
      <c r="I5" s="1039"/>
      <c r="J5" s="48"/>
      <c r="K5" s="48"/>
      <c r="L5" s="48"/>
      <c r="M5" s="48"/>
      <c r="N5" s="48"/>
      <c r="O5" s="48"/>
      <c r="P5" s="23"/>
      <c r="Q5" s="23"/>
      <c r="R5" s="23"/>
      <c r="S5" s="23"/>
    </row>
    <row r="6" spans="1:20" ht="18.75" customHeight="1" x14ac:dyDescent="0.25">
      <c r="A6" s="106">
        <v>41507</v>
      </c>
      <c r="B6" s="106">
        <v>41471</v>
      </c>
      <c r="C6" s="106">
        <v>41500</v>
      </c>
      <c r="D6" s="110">
        <f t="shared" si="0"/>
        <v>56</v>
      </c>
      <c r="E6" s="106">
        <f t="shared" si="1"/>
        <v>41563</v>
      </c>
      <c r="F6" s="106">
        <f t="shared" ref="F6:F8" si="2">A6-D5</f>
        <v>41444</v>
      </c>
      <c r="G6" s="1039"/>
      <c r="H6" s="1039"/>
      <c r="I6" s="1039"/>
      <c r="J6" s="48"/>
      <c r="K6" s="48"/>
      <c r="L6" s="48"/>
      <c r="M6" s="48"/>
      <c r="N6" s="48"/>
      <c r="O6" s="48"/>
      <c r="P6" s="23"/>
      <c r="Q6" s="23"/>
      <c r="R6" s="23"/>
      <c r="S6" s="23"/>
    </row>
    <row r="7" spans="1:20" x14ac:dyDescent="0.25">
      <c r="A7" s="106">
        <v>41563</v>
      </c>
      <c r="B7" s="106">
        <v>41527</v>
      </c>
      <c r="C7" s="106">
        <v>41556</v>
      </c>
      <c r="D7" s="110">
        <f t="shared" si="0"/>
        <v>56</v>
      </c>
      <c r="E7" s="106">
        <f t="shared" si="1"/>
        <v>41619</v>
      </c>
      <c r="F7" s="106">
        <f t="shared" si="2"/>
        <v>41507</v>
      </c>
      <c r="G7" s="1039"/>
      <c r="H7" s="1039"/>
      <c r="I7" s="1039"/>
      <c r="J7" s="48"/>
      <c r="K7" s="48"/>
      <c r="L7" s="48"/>
      <c r="M7" s="48"/>
      <c r="N7" s="48"/>
      <c r="O7" s="48"/>
      <c r="P7" s="23"/>
      <c r="Q7" s="23"/>
      <c r="R7" s="23"/>
      <c r="S7" s="23"/>
    </row>
    <row r="8" spans="1:20" x14ac:dyDescent="0.25">
      <c r="A8" s="106">
        <v>41619</v>
      </c>
      <c r="B8" s="106">
        <v>41579</v>
      </c>
      <c r="C8" s="106">
        <v>41612</v>
      </c>
      <c r="D8" s="110">
        <f>A9-A8</f>
        <v>99</v>
      </c>
      <c r="E8" s="106">
        <f t="shared" si="1"/>
        <v>41718</v>
      </c>
      <c r="F8" s="106">
        <f t="shared" si="2"/>
        <v>41563</v>
      </c>
      <c r="G8" s="48"/>
      <c r="H8" s="48"/>
      <c r="I8" s="48"/>
      <c r="J8" s="48"/>
      <c r="K8" s="48"/>
      <c r="L8" s="48"/>
      <c r="M8" s="48"/>
      <c r="N8" s="48"/>
      <c r="O8" s="48"/>
      <c r="P8" s="23"/>
      <c r="Q8" s="23"/>
      <c r="R8" s="23"/>
      <c r="S8" s="23"/>
    </row>
    <row r="9" spans="1:20" ht="18.75" customHeight="1" x14ac:dyDescent="0.25">
      <c r="A9" s="106">
        <v>41718</v>
      </c>
      <c r="B9" s="106">
        <v>41683</v>
      </c>
      <c r="C9" s="106">
        <v>41694</v>
      </c>
      <c r="D9" s="110">
        <f>A13-A9</f>
        <v>293</v>
      </c>
      <c r="E9" s="106">
        <f>A9+D9</f>
        <v>42011</v>
      </c>
      <c r="F9" s="106">
        <v>41259</v>
      </c>
      <c r="G9" s="48"/>
      <c r="H9" s="506">
        <v>41663</v>
      </c>
      <c r="I9" s="48"/>
      <c r="J9" s="48"/>
      <c r="K9" s="48"/>
      <c r="L9" s="48"/>
      <c r="M9" s="48"/>
      <c r="N9" s="48"/>
      <c r="O9" s="48"/>
      <c r="P9" s="23"/>
      <c r="Q9" s="23"/>
      <c r="R9" s="23"/>
      <c r="S9" s="23"/>
    </row>
    <row r="10" spans="1:20" ht="18.75" customHeight="1" x14ac:dyDescent="0.25">
      <c r="A10" s="106">
        <v>41808</v>
      </c>
      <c r="B10" s="106">
        <v>41771</v>
      </c>
      <c r="C10" s="106">
        <v>41785</v>
      </c>
      <c r="D10" s="110">
        <f t="shared" ref="D10:D19" si="3">A11-A10</f>
        <v>70</v>
      </c>
      <c r="E10" s="106">
        <f t="shared" ref="E10:E24" si="4">A10+D10</f>
        <v>41878</v>
      </c>
      <c r="F10" s="106">
        <f>A10-D9</f>
        <v>41515</v>
      </c>
      <c r="G10" s="48"/>
      <c r="H10" s="506">
        <v>41718</v>
      </c>
      <c r="I10" s="48"/>
      <c r="J10" s="48"/>
      <c r="K10" s="48"/>
      <c r="L10" s="48"/>
      <c r="M10" s="48"/>
      <c r="N10" s="48"/>
      <c r="O10" s="48"/>
      <c r="P10"/>
      <c r="Q10"/>
      <c r="R10"/>
      <c r="S10"/>
    </row>
    <row r="11" spans="1:20" ht="18.75" customHeight="1" x14ac:dyDescent="0.25">
      <c r="A11" s="106">
        <v>41878</v>
      </c>
      <c r="B11" s="106">
        <v>41844</v>
      </c>
      <c r="C11" s="106">
        <v>41855</v>
      </c>
      <c r="D11" s="110">
        <f t="shared" si="3"/>
        <v>70</v>
      </c>
      <c r="E11" s="106">
        <f t="shared" si="4"/>
        <v>41948</v>
      </c>
      <c r="F11" s="106">
        <f t="shared" ref="F11:F24" si="5">A11-D10</f>
        <v>41808</v>
      </c>
      <c r="G11" s="48"/>
      <c r="H11" s="506">
        <v>41808</v>
      </c>
      <c r="I11" s="48"/>
      <c r="J11" s="48"/>
      <c r="K11" s="48"/>
      <c r="L11" s="48"/>
      <c r="M11" s="48"/>
      <c r="N11" s="48"/>
      <c r="O11" s="48"/>
      <c r="P11"/>
      <c r="Q11"/>
      <c r="R11"/>
      <c r="S11"/>
    </row>
    <row r="12" spans="1:20" x14ac:dyDescent="0.25">
      <c r="A12" s="106">
        <v>41948</v>
      </c>
      <c r="B12" s="106">
        <v>41911</v>
      </c>
      <c r="C12" s="106">
        <v>41925</v>
      </c>
      <c r="D12" s="110">
        <f t="shared" si="3"/>
        <v>63</v>
      </c>
      <c r="E12" s="106">
        <f t="shared" si="4"/>
        <v>42011</v>
      </c>
      <c r="F12" s="106">
        <f t="shared" si="5"/>
        <v>41878</v>
      </c>
      <c r="G12" s="48"/>
      <c r="H12" s="506">
        <v>41871</v>
      </c>
      <c r="I12" s="48"/>
      <c r="J12" s="48"/>
      <c r="K12" s="48"/>
      <c r="L12" s="48"/>
      <c r="M12" s="48"/>
      <c r="N12" s="48"/>
      <c r="O12" s="48"/>
      <c r="P12"/>
      <c r="Q12"/>
      <c r="R12"/>
      <c r="S12"/>
    </row>
    <row r="13" spans="1:20" x14ac:dyDescent="0.25">
      <c r="A13" s="106">
        <v>42011</v>
      </c>
      <c r="B13" s="106">
        <v>41975</v>
      </c>
      <c r="C13" s="106">
        <v>41983</v>
      </c>
      <c r="D13" s="110">
        <f t="shared" si="3"/>
        <v>63</v>
      </c>
      <c r="E13" s="106">
        <f t="shared" si="4"/>
        <v>42074</v>
      </c>
      <c r="F13" s="106">
        <f t="shared" si="5"/>
        <v>41948</v>
      </c>
      <c r="G13" s="48"/>
      <c r="H13" s="506">
        <v>41934</v>
      </c>
      <c r="I13" s="48"/>
      <c r="J13" s="48"/>
      <c r="K13" s="48"/>
      <c r="L13" s="48"/>
      <c r="M13" s="48"/>
      <c r="N13" s="48"/>
      <c r="O13" s="48"/>
      <c r="P13"/>
      <c r="Q13"/>
      <c r="R13"/>
      <c r="S13"/>
    </row>
    <row r="14" spans="1:20" x14ac:dyDescent="0.25">
      <c r="A14" s="108">
        <v>42074</v>
      </c>
      <c r="B14" s="108">
        <f t="shared" ref="B14:B25" si="6">WORKDAY(A14-40,-1,S.DDL_DEQClosed)</f>
        <v>42033</v>
      </c>
      <c r="C14" s="108">
        <f t="shared" ref="C14:C25" si="7">WORKDAY(A14-9,-1,S.DDL_DEQClosed)</f>
        <v>42062</v>
      </c>
      <c r="D14" s="110">
        <f t="shared" si="3"/>
        <v>98</v>
      </c>
      <c r="E14" s="106">
        <f t="shared" si="4"/>
        <v>42172</v>
      </c>
      <c r="F14" s="106">
        <f t="shared" si="5"/>
        <v>42011</v>
      </c>
      <c r="G14" s="48"/>
      <c r="H14" s="506">
        <v>41990</v>
      </c>
      <c r="I14" s="48"/>
      <c r="J14" s="48"/>
      <c r="K14" s="48"/>
      <c r="L14" s="48"/>
      <c r="M14" s="48"/>
      <c r="N14" s="48"/>
      <c r="O14" s="48"/>
      <c r="P14"/>
      <c r="Q14"/>
      <c r="R14"/>
      <c r="S14"/>
    </row>
    <row r="15" spans="1:20" x14ac:dyDescent="0.25">
      <c r="A15" s="108">
        <v>42172</v>
      </c>
      <c r="B15" s="108">
        <f t="shared" si="6"/>
        <v>42131</v>
      </c>
      <c r="C15" s="108">
        <f t="shared" si="7"/>
        <v>42160</v>
      </c>
      <c r="D15" s="110">
        <f t="shared" si="3"/>
        <v>63</v>
      </c>
      <c r="E15" s="106">
        <f t="shared" si="4"/>
        <v>42235</v>
      </c>
      <c r="F15" s="106">
        <f t="shared" si="5"/>
        <v>42074</v>
      </c>
      <c r="G15" s="48"/>
      <c r="H15" s="506">
        <v>42081</v>
      </c>
      <c r="I15" s="48"/>
      <c r="J15" s="48"/>
      <c r="K15" s="48"/>
      <c r="L15" s="48"/>
      <c r="M15" s="48"/>
      <c r="N15" s="48"/>
      <c r="O15" s="48"/>
      <c r="P15"/>
      <c r="Q15"/>
      <c r="R15"/>
      <c r="S15"/>
    </row>
    <row r="16" spans="1:20" x14ac:dyDescent="0.25">
      <c r="A16" s="108">
        <v>42235</v>
      </c>
      <c r="B16" s="108">
        <f t="shared" si="6"/>
        <v>42194</v>
      </c>
      <c r="C16" s="108">
        <f t="shared" si="7"/>
        <v>42223</v>
      </c>
      <c r="D16" s="110">
        <f t="shared" si="3"/>
        <v>63</v>
      </c>
      <c r="E16" s="106">
        <f t="shared" si="4"/>
        <v>42298</v>
      </c>
      <c r="F16" s="106">
        <f t="shared" si="5"/>
        <v>42172</v>
      </c>
      <c r="G16" s="48"/>
      <c r="H16" s="506">
        <v>42172</v>
      </c>
      <c r="I16" s="48"/>
      <c r="J16" s="48"/>
      <c r="K16" s="48"/>
      <c r="L16" s="48"/>
      <c r="M16" s="48"/>
      <c r="N16" s="48"/>
      <c r="O16" s="48"/>
      <c r="P16"/>
      <c r="Q16"/>
      <c r="R16"/>
      <c r="S16"/>
    </row>
    <row r="17" spans="1:20" x14ac:dyDescent="0.25">
      <c r="A17" s="108">
        <v>42298</v>
      </c>
      <c r="B17" s="108">
        <f t="shared" si="6"/>
        <v>42257</v>
      </c>
      <c r="C17" s="108">
        <f t="shared" si="7"/>
        <v>42286</v>
      </c>
      <c r="D17" s="110">
        <f t="shared" si="3"/>
        <v>56</v>
      </c>
      <c r="E17" s="106">
        <f t="shared" si="4"/>
        <v>42354</v>
      </c>
      <c r="F17" s="106">
        <f t="shared" si="5"/>
        <v>42235</v>
      </c>
      <c r="G17" s="48"/>
      <c r="H17" s="506">
        <v>42235</v>
      </c>
      <c r="I17" s="48"/>
      <c r="J17" s="48"/>
      <c r="K17" s="48"/>
      <c r="L17" s="48"/>
      <c r="M17" s="48"/>
      <c r="N17" s="48"/>
      <c r="O17" s="48"/>
      <c r="P17"/>
      <c r="Q17"/>
      <c r="R17"/>
      <c r="S17"/>
    </row>
    <row r="18" spans="1:20" x14ac:dyDescent="0.25">
      <c r="A18" s="108">
        <v>42354</v>
      </c>
      <c r="B18" s="108">
        <f t="shared" si="6"/>
        <v>42313</v>
      </c>
      <c r="C18" s="108">
        <f t="shared" si="7"/>
        <v>42342</v>
      </c>
      <c r="D18" s="110">
        <f t="shared" si="3"/>
        <v>98</v>
      </c>
      <c r="E18" s="106">
        <f t="shared" si="4"/>
        <v>42452</v>
      </c>
      <c r="F18" s="106">
        <f t="shared" si="5"/>
        <v>42298</v>
      </c>
      <c r="G18" s="48"/>
      <c r="H18" s="506">
        <v>42298</v>
      </c>
      <c r="I18" s="48"/>
      <c r="J18" s="48"/>
      <c r="K18" s="48"/>
      <c r="L18" s="48"/>
      <c r="M18" s="48"/>
      <c r="N18" s="48"/>
      <c r="O18" s="48"/>
      <c r="P18"/>
      <c r="Q18"/>
      <c r="R18"/>
      <c r="S18"/>
    </row>
    <row r="19" spans="1:20" x14ac:dyDescent="0.25">
      <c r="A19" s="108">
        <v>42452</v>
      </c>
      <c r="B19" s="108">
        <f t="shared" si="6"/>
        <v>42411</v>
      </c>
      <c r="C19" s="108">
        <f t="shared" si="7"/>
        <v>42440</v>
      </c>
      <c r="D19" s="110">
        <f t="shared" si="3"/>
        <v>91</v>
      </c>
      <c r="E19" s="106">
        <f t="shared" si="4"/>
        <v>42543</v>
      </c>
      <c r="F19" s="106">
        <f t="shared" si="5"/>
        <v>42354</v>
      </c>
      <c r="G19" s="2"/>
      <c r="H19" s="506">
        <v>42354</v>
      </c>
      <c r="I19" s="48"/>
      <c r="J19" s="48"/>
      <c r="K19" s="48"/>
      <c r="L19" s="48"/>
      <c r="M19" s="48"/>
      <c r="N19" s="48"/>
      <c r="O19" s="48"/>
      <c r="P19"/>
      <c r="Q19"/>
      <c r="R19"/>
      <c r="S19"/>
    </row>
    <row r="20" spans="1:20" x14ac:dyDescent="0.25">
      <c r="A20" s="108">
        <v>42543</v>
      </c>
      <c r="B20" s="108">
        <f t="shared" si="6"/>
        <v>42502</v>
      </c>
      <c r="C20" s="108">
        <f t="shared" si="7"/>
        <v>42531</v>
      </c>
      <c r="D20" s="110">
        <f>A21-A20</f>
        <v>56</v>
      </c>
      <c r="E20" s="106">
        <f t="shared" si="4"/>
        <v>42599</v>
      </c>
      <c r="F20" s="106">
        <f t="shared" si="5"/>
        <v>42452</v>
      </c>
      <c r="G20" s="2"/>
      <c r="H20" s="506">
        <v>42452</v>
      </c>
      <c r="I20" s="2"/>
      <c r="J20" s="2"/>
      <c r="K20" s="53"/>
      <c r="L20" s="53"/>
      <c r="M20" s="2"/>
      <c r="N20" s="2"/>
      <c r="O20" s="2"/>
      <c r="P20" s="1"/>
      <c r="Q20" s="1"/>
    </row>
    <row r="21" spans="1:20" x14ac:dyDescent="0.25">
      <c r="A21" s="108">
        <v>42599</v>
      </c>
      <c r="B21" s="108">
        <f t="shared" si="6"/>
        <v>42558</v>
      </c>
      <c r="C21" s="108">
        <f t="shared" si="7"/>
        <v>42587</v>
      </c>
      <c r="D21" s="110">
        <f>A22-A21</f>
        <v>63</v>
      </c>
      <c r="E21" s="106">
        <f t="shared" si="4"/>
        <v>42662</v>
      </c>
      <c r="F21" s="106">
        <f t="shared" si="5"/>
        <v>42543</v>
      </c>
      <c r="G21" s="2"/>
      <c r="H21" s="506">
        <v>42543</v>
      </c>
      <c r="I21" s="2"/>
      <c r="J21" s="2"/>
      <c r="K21" s="53"/>
      <c r="L21" s="53"/>
      <c r="M21" s="2"/>
      <c r="N21" s="2"/>
      <c r="O21" s="2"/>
      <c r="P21" s="1"/>
      <c r="Q21" s="1"/>
    </row>
    <row r="22" spans="1:20" x14ac:dyDescent="0.25">
      <c r="A22" s="108">
        <v>42662</v>
      </c>
      <c r="B22" s="108">
        <f t="shared" si="6"/>
        <v>42621</v>
      </c>
      <c r="C22" s="108">
        <f t="shared" si="7"/>
        <v>42650</v>
      </c>
      <c r="D22" s="110">
        <f>A23-A22</f>
        <v>63</v>
      </c>
      <c r="E22" s="106">
        <f t="shared" si="4"/>
        <v>42725</v>
      </c>
      <c r="F22" s="106">
        <f t="shared" si="5"/>
        <v>42599</v>
      </c>
      <c r="G22" s="2"/>
      <c r="H22" s="2"/>
      <c r="I22" s="2"/>
      <c r="J22" s="2"/>
      <c r="K22" s="53"/>
      <c r="L22" s="53"/>
      <c r="M22" s="2"/>
      <c r="N22" s="2"/>
      <c r="O22" s="2"/>
      <c r="P22" s="1"/>
      <c r="Q22" s="1"/>
    </row>
    <row r="23" spans="1:20" x14ac:dyDescent="0.25">
      <c r="A23" s="108">
        <v>42725</v>
      </c>
      <c r="B23" s="108">
        <f t="shared" si="6"/>
        <v>42684</v>
      </c>
      <c r="C23" s="108">
        <f t="shared" si="7"/>
        <v>42713</v>
      </c>
      <c r="D23" s="110">
        <f>A24-A23</f>
        <v>91</v>
      </c>
      <c r="E23" s="106">
        <f t="shared" si="4"/>
        <v>42816</v>
      </c>
      <c r="F23" s="106">
        <f t="shared" si="5"/>
        <v>42662</v>
      </c>
      <c r="G23" s="2"/>
      <c r="H23" s="2"/>
      <c r="I23" s="2"/>
      <c r="J23" s="2"/>
      <c r="K23" s="53"/>
      <c r="L23" s="53"/>
      <c r="M23" s="2"/>
      <c r="N23" s="2"/>
      <c r="O23" s="2"/>
      <c r="P23" s="1"/>
      <c r="Q23" s="1"/>
    </row>
    <row r="24" spans="1:20" x14ac:dyDescent="0.25">
      <c r="A24" s="108">
        <v>42816</v>
      </c>
      <c r="B24" s="108">
        <f t="shared" si="6"/>
        <v>42775</v>
      </c>
      <c r="C24" s="108">
        <f t="shared" si="7"/>
        <v>42804</v>
      </c>
      <c r="D24" s="110">
        <f>A25-A24</f>
        <v>91</v>
      </c>
      <c r="E24" s="106">
        <f t="shared" si="4"/>
        <v>42907</v>
      </c>
      <c r="F24" s="106">
        <f t="shared" si="5"/>
        <v>42725</v>
      </c>
      <c r="G24" s="2"/>
      <c r="H24" s="2"/>
      <c r="I24" s="2"/>
      <c r="J24" s="2"/>
      <c r="K24" s="53"/>
      <c r="L24" s="53"/>
      <c r="M24" s="2"/>
      <c r="N24" s="2"/>
      <c r="O24" s="2"/>
      <c r="P24" s="1"/>
      <c r="Q24" s="1"/>
    </row>
    <row r="25" spans="1:20" x14ac:dyDescent="0.25">
      <c r="A25" s="108">
        <v>42907</v>
      </c>
      <c r="B25" s="108">
        <f t="shared" si="6"/>
        <v>42866</v>
      </c>
      <c r="C25" s="108">
        <f t="shared" si="7"/>
        <v>42895</v>
      </c>
      <c r="D25" s="129">
        <f>D24</f>
        <v>91</v>
      </c>
      <c r="E25" s="2"/>
      <c r="F25" s="2"/>
      <c r="G25" s="2"/>
      <c r="H25" s="2"/>
      <c r="I25" s="2"/>
      <c r="J25" s="2"/>
      <c r="K25" s="53"/>
      <c r="L25" s="53"/>
      <c r="M25" s="2"/>
      <c r="N25" s="2"/>
      <c r="O25" s="2"/>
      <c r="P25" s="1"/>
      <c r="Q25" s="1"/>
    </row>
    <row r="26" spans="1:20" x14ac:dyDescent="0.25">
      <c r="A26" s="8"/>
      <c r="B26" s="8"/>
      <c r="C26" s="9"/>
      <c r="D26" s="9"/>
      <c r="E26" s="55"/>
      <c r="F26" s="55"/>
      <c r="G26" s="55"/>
      <c r="H26" s="55"/>
      <c r="I26" s="2"/>
      <c r="J26" s="31" t="s">
        <v>32</v>
      </c>
      <c r="K26" s="2"/>
      <c r="L26" s="9"/>
      <c r="M26" s="9"/>
      <c r="N26" s="48"/>
      <c r="O26" s="48"/>
      <c r="P26" s="53"/>
      <c r="Q26" s="53"/>
      <c r="R26" s="2"/>
      <c r="S26" s="2"/>
      <c r="T26" s="2"/>
    </row>
    <row r="27" spans="1:20" x14ac:dyDescent="0.25">
      <c r="A27" s="10" t="s">
        <v>19</v>
      </c>
      <c r="B27" s="10"/>
      <c r="C27" s="9"/>
      <c r="D27" s="9"/>
      <c r="E27" s="55"/>
      <c r="F27" s="55"/>
      <c r="G27" s="55"/>
      <c r="H27" s="55"/>
      <c r="I27" s="2"/>
      <c r="J27" s="1038" t="s">
        <v>31</v>
      </c>
      <c r="K27" s="1038"/>
      <c r="L27" s="1038"/>
      <c r="M27" s="1038"/>
      <c r="N27" s="1038"/>
      <c r="O27" s="1038"/>
      <c r="P27" s="1038"/>
      <c r="Q27" s="53"/>
      <c r="R27" s="2"/>
      <c r="S27" s="2"/>
      <c r="T27" s="2"/>
    </row>
    <row r="28" spans="1:20" x14ac:dyDescent="0.25">
      <c r="A28" s="22">
        <v>41275</v>
      </c>
      <c r="B28" s="20" t="s">
        <v>5</v>
      </c>
      <c r="C28" s="30">
        <f>A28</f>
        <v>41275</v>
      </c>
      <c r="D28" s="30"/>
      <c r="E28" s="55"/>
      <c r="F28" s="55"/>
      <c r="G28" s="55"/>
      <c r="H28" s="55"/>
      <c r="I28" s="2"/>
      <c r="J28" s="1038"/>
      <c r="K28" s="1038"/>
      <c r="L28" s="1038"/>
      <c r="M28" s="1038"/>
      <c r="N28" s="1038"/>
      <c r="O28" s="1038"/>
      <c r="P28" s="1038"/>
      <c r="Q28" s="53"/>
      <c r="R28" s="2"/>
      <c r="S28" s="2"/>
      <c r="T28" s="2"/>
    </row>
    <row r="29" spans="1:20" x14ac:dyDescent="0.25">
      <c r="A29" s="22">
        <v>41292</v>
      </c>
      <c r="B29" s="20" t="s">
        <v>3</v>
      </c>
      <c r="C29" s="30">
        <f t="shared" ref="C29:C76" si="8">A29</f>
        <v>41292</v>
      </c>
      <c r="D29" s="30"/>
      <c r="E29" s="55"/>
      <c r="F29" s="55"/>
      <c r="G29" s="55"/>
      <c r="H29" s="55"/>
      <c r="I29" s="2"/>
      <c r="J29" s="1038"/>
      <c r="K29" s="1038"/>
      <c r="L29" s="1038"/>
      <c r="M29" s="1038"/>
      <c r="N29" s="1038"/>
      <c r="O29" s="1038"/>
      <c r="P29" s="1038"/>
      <c r="Q29" s="53"/>
      <c r="R29" s="2"/>
      <c r="S29" s="2"/>
      <c r="T29" s="2"/>
    </row>
    <row r="30" spans="1:20" x14ac:dyDescent="0.25">
      <c r="A30" s="22">
        <v>41295</v>
      </c>
      <c r="B30" s="20" t="s">
        <v>6</v>
      </c>
      <c r="C30" s="30">
        <f t="shared" si="8"/>
        <v>41295</v>
      </c>
      <c r="D30" s="30"/>
      <c r="E30" s="55"/>
      <c r="F30" s="55"/>
      <c r="G30" s="55"/>
      <c r="H30" s="55"/>
      <c r="I30" s="2"/>
      <c r="J30" s="1038"/>
      <c r="K30" s="1038"/>
      <c r="L30" s="1038"/>
      <c r="M30" s="1038"/>
      <c r="N30" s="1038"/>
      <c r="O30" s="1038"/>
      <c r="P30" s="1038"/>
      <c r="Q30" s="53"/>
      <c r="R30" s="2"/>
      <c r="S30" s="2"/>
      <c r="T30" s="2"/>
    </row>
    <row r="31" spans="1:20" x14ac:dyDescent="0.25">
      <c r="A31" s="22">
        <v>41323</v>
      </c>
      <c r="B31" s="20" t="s">
        <v>7</v>
      </c>
      <c r="C31" s="30">
        <f t="shared" si="8"/>
        <v>41323</v>
      </c>
      <c r="D31" s="30"/>
      <c r="E31" s="55"/>
      <c r="F31" s="55"/>
      <c r="G31" s="55"/>
      <c r="H31" s="55"/>
      <c r="I31" s="2"/>
      <c r="J31" s="1038"/>
      <c r="K31" s="1038"/>
      <c r="L31" s="1038"/>
      <c r="M31" s="1038"/>
      <c r="N31" s="1038"/>
      <c r="O31" s="1038"/>
      <c r="P31" s="1038"/>
      <c r="Q31" s="53"/>
      <c r="R31" s="2"/>
      <c r="S31" s="2"/>
      <c r="T31" s="2"/>
    </row>
    <row r="32" spans="1:20" x14ac:dyDescent="0.25">
      <c r="A32" s="22">
        <v>41383</v>
      </c>
      <c r="B32" s="20" t="s">
        <v>3</v>
      </c>
      <c r="C32" s="30">
        <f t="shared" si="8"/>
        <v>41383</v>
      </c>
      <c r="D32" s="30"/>
      <c r="E32" s="55"/>
      <c r="F32" s="55"/>
      <c r="G32" s="55"/>
      <c r="H32" s="55"/>
      <c r="I32" s="2"/>
      <c r="J32" s="1038"/>
      <c r="K32" s="1038"/>
      <c r="L32" s="1038"/>
      <c r="M32" s="1038"/>
      <c r="N32" s="1038"/>
      <c r="O32" s="1038"/>
      <c r="P32" s="1038"/>
      <c r="Q32" s="53"/>
      <c r="R32" s="2"/>
      <c r="S32" s="2"/>
      <c r="T32" s="2"/>
    </row>
    <row r="33" spans="1:20" x14ac:dyDescent="0.25">
      <c r="A33" s="22">
        <v>41418</v>
      </c>
      <c r="B33" s="20" t="s">
        <v>3</v>
      </c>
      <c r="C33" s="30">
        <f t="shared" si="8"/>
        <v>41418</v>
      </c>
      <c r="D33" s="30"/>
      <c r="E33" s="55"/>
      <c r="F33" s="55"/>
      <c r="G33" s="55"/>
      <c r="H33" s="55"/>
      <c r="I33" s="2"/>
      <c r="J33" s="1038"/>
      <c r="K33" s="1038"/>
      <c r="L33" s="1038"/>
      <c r="M33" s="1038"/>
      <c r="N33" s="1038"/>
      <c r="O33" s="1038"/>
      <c r="P33" s="1038"/>
      <c r="Q33" s="53"/>
      <c r="R33" s="2"/>
      <c r="S33" s="2"/>
      <c r="T33" s="2"/>
    </row>
    <row r="34" spans="1:20" x14ac:dyDescent="0.25">
      <c r="A34" s="22">
        <v>41421</v>
      </c>
      <c r="B34" s="20" t="s">
        <v>8</v>
      </c>
      <c r="C34" s="30">
        <f t="shared" si="8"/>
        <v>41421</v>
      </c>
      <c r="D34" s="30"/>
      <c r="E34" s="55"/>
      <c r="F34" s="55"/>
      <c r="G34" s="55"/>
      <c r="H34" s="55"/>
      <c r="I34" s="2"/>
      <c r="J34" s="1038"/>
      <c r="K34" s="1038"/>
      <c r="L34" s="1038"/>
      <c r="M34" s="1038"/>
      <c r="N34" s="1038"/>
      <c r="O34" s="1038"/>
      <c r="P34" s="1038"/>
      <c r="Q34" s="53"/>
      <c r="R34" s="2"/>
      <c r="S34" s="2"/>
      <c r="T34" s="2"/>
    </row>
    <row r="35" spans="1:20" x14ac:dyDescent="0.25">
      <c r="A35" s="22">
        <v>41459</v>
      </c>
      <c r="B35" s="20" t="s">
        <v>9</v>
      </c>
      <c r="C35" s="30">
        <f t="shared" si="8"/>
        <v>41459</v>
      </c>
      <c r="D35" s="30"/>
      <c r="E35" s="55"/>
      <c r="F35" s="55"/>
      <c r="G35" s="55"/>
      <c r="H35" s="55"/>
      <c r="I35" s="2"/>
      <c r="J35" s="1038"/>
      <c r="K35" s="1038"/>
      <c r="L35" s="1038"/>
      <c r="M35" s="1038"/>
      <c r="N35" s="1038"/>
      <c r="O35" s="1038"/>
      <c r="P35" s="1038"/>
      <c r="Q35" s="53"/>
      <c r="R35" s="2"/>
      <c r="S35" s="2"/>
      <c r="T35" s="2"/>
    </row>
    <row r="36" spans="1:20" x14ac:dyDescent="0.25">
      <c r="A36" s="22">
        <v>41519</v>
      </c>
      <c r="B36" s="20" t="s">
        <v>10</v>
      </c>
      <c r="C36" s="30">
        <f t="shared" si="8"/>
        <v>41519</v>
      </c>
      <c r="D36" s="30"/>
      <c r="E36" s="55"/>
      <c r="F36" s="55"/>
      <c r="G36" s="55"/>
      <c r="H36" s="55"/>
      <c r="I36" s="2"/>
      <c r="J36" s="1038"/>
      <c r="K36" s="1038"/>
      <c r="L36" s="1038"/>
      <c r="M36" s="1038"/>
      <c r="N36" s="1038"/>
      <c r="O36" s="1038"/>
      <c r="P36" s="1038"/>
      <c r="Q36" s="53"/>
      <c r="R36" s="2"/>
      <c r="S36" s="2"/>
      <c r="T36" s="2"/>
    </row>
    <row r="37" spans="1:20" x14ac:dyDescent="0.25">
      <c r="A37" s="22">
        <v>41589</v>
      </c>
      <c r="B37" s="20" t="s">
        <v>1</v>
      </c>
      <c r="C37" s="30">
        <f t="shared" si="8"/>
        <v>41589</v>
      </c>
      <c r="D37" s="30"/>
      <c r="E37" s="55"/>
      <c r="F37" s="55"/>
      <c r="G37" s="55"/>
      <c r="H37" s="55"/>
      <c r="I37" s="2"/>
      <c r="J37" s="1038"/>
      <c r="K37" s="1038"/>
      <c r="L37" s="1038"/>
      <c r="M37" s="1038"/>
      <c r="N37" s="1038"/>
      <c r="O37" s="1038"/>
      <c r="P37" s="1038"/>
      <c r="Q37" s="53"/>
      <c r="R37" s="2"/>
      <c r="S37" s="2"/>
      <c r="T37" s="2"/>
    </row>
    <row r="38" spans="1:20" x14ac:dyDescent="0.25">
      <c r="A38" s="22">
        <v>41606</v>
      </c>
      <c r="B38" s="20" t="s">
        <v>2</v>
      </c>
      <c r="C38" s="30">
        <f t="shared" si="8"/>
        <v>41606</v>
      </c>
      <c r="D38" s="30"/>
      <c r="E38" s="55"/>
      <c r="F38" s="55"/>
      <c r="G38" s="55"/>
      <c r="H38" s="55"/>
      <c r="I38" s="2"/>
      <c r="J38" s="1038"/>
      <c r="K38" s="1038"/>
      <c r="L38" s="1038"/>
      <c r="M38" s="1038"/>
      <c r="N38" s="1038"/>
      <c r="O38" s="1038"/>
      <c r="P38" s="1038"/>
      <c r="Q38" s="53"/>
      <c r="R38" s="2"/>
      <c r="S38" s="2"/>
      <c r="T38" s="2"/>
    </row>
    <row r="39" spans="1:20" x14ac:dyDescent="0.25">
      <c r="A39" s="22">
        <v>41633</v>
      </c>
      <c r="B39" s="20" t="s">
        <v>4</v>
      </c>
      <c r="C39" s="30">
        <f t="shared" si="8"/>
        <v>41633</v>
      </c>
      <c r="D39" s="30"/>
      <c r="E39" s="55"/>
      <c r="F39" s="55"/>
      <c r="G39" s="55"/>
      <c r="H39" s="55"/>
      <c r="I39" s="2"/>
      <c r="J39" s="1038"/>
      <c r="K39" s="1038"/>
      <c r="L39" s="1038"/>
      <c r="M39" s="1038"/>
      <c r="N39" s="1038"/>
      <c r="O39" s="1038"/>
      <c r="P39" s="1038"/>
      <c r="Q39" s="53"/>
      <c r="R39" s="2"/>
      <c r="S39" s="2"/>
      <c r="T39" s="2"/>
    </row>
    <row r="40" spans="1:20" x14ac:dyDescent="0.25">
      <c r="A40" s="22">
        <v>41640</v>
      </c>
      <c r="B40" s="20" t="s">
        <v>5</v>
      </c>
      <c r="C40" s="30">
        <f t="shared" si="8"/>
        <v>41640</v>
      </c>
      <c r="D40" s="30"/>
      <c r="E40" s="55"/>
      <c r="F40" s="55"/>
      <c r="G40" s="55"/>
      <c r="H40" s="55"/>
      <c r="I40" s="2"/>
      <c r="J40" s="1038"/>
      <c r="K40" s="1038"/>
      <c r="L40" s="1038"/>
      <c r="M40" s="1038"/>
      <c r="N40" s="1038"/>
      <c r="O40" s="1038"/>
      <c r="P40" s="1038"/>
      <c r="Q40" s="53"/>
      <c r="R40" s="2"/>
      <c r="S40" s="2"/>
      <c r="T40" s="2"/>
    </row>
    <row r="41" spans="1:20" x14ac:dyDescent="0.25">
      <c r="A41" s="22">
        <v>41659</v>
      </c>
      <c r="B41" s="20" t="s">
        <v>6</v>
      </c>
      <c r="C41" s="30">
        <f t="shared" si="8"/>
        <v>41659</v>
      </c>
      <c r="D41" s="30"/>
      <c r="E41" s="55"/>
      <c r="F41" s="55"/>
      <c r="G41" s="55"/>
      <c r="H41" s="55"/>
      <c r="I41" s="2"/>
      <c r="J41" s="1038"/>
      <c r="K41" s="1038"/>
      <c r="L41" s="1038"/>
      <c r="M41" s="1038"/>
      <c r="N41" s="1038"/>
      <c r="O41" s="1038"/>
      <c r="P41" s="1038"/>
      <c r="Q41" s="53"/>
      <c r="R41" s="2"/>
      <c r="S41" s="2"/>
      <c r="T41" s="2"/>
    </row>
    <row r="42" spans="1:20" x14ac:dyDescent="0.25">
      <c r="A42" s="22">
        <v>41687</v>
      </c>
      <c r="B42" s="20" t="s">
        <v>7</v>
      </c>
      <c r="C42" s="30">
        <f t="shared" si="8"/>
        <v>41687</v>
      </c>
      <c r="D42" s="30"/>
      <c r="E42" s="55"/>
      <c r="F42" s="55"/>
      <c r="G42" s="55"/>
      <c r="H42" s="55"/>
      <c r="I42" s="2"/>
      <c r="J42" s="1038"/>
      <c r="K42" s="1038"/>
      <c r="L42" s="1038"/>
      <c r="M42" s="1038"/>
      <c r="N42" s="1038"/>
      <c r="O42" s="1038"/>
      <c r="P42" s="1038"/>
      <c r="Q42" s="53"/>
      <c r="R42" s="2"/>
      <c r="S42" s="2"/>
      <c r="T42" s="2"/>
    </row>
    <row r="43" spans="1:20" x14ac:dyDescent="0.25">
      <c r="A43" s="22">
        <v>41785</v>
      </c>
      <c r="B43" s="20" t="s">
        <v>8</v>
      </c>
      <c r="C43" s="30">
        <f t="shared" si="8"/>
        <v>41785</v>
      </c>
      <c r="D43" s="30"/>
      <c r="E43" s="55"/>
      <c r="F43" s="55"/>
      <c r="G43" s="55"/>
      <c r="H43" s="55"/>
      <c r="I43" s="2"/>
      <c r="J43" s="1038"/>
      <c r="K43" s="1038"/>
      <c r="L43" s="1038"/>
      <c r="M43" s="1038"/>
      <c r="N43" s="1038"/>
      <c r="O43" s="1038"/>
      <c r="P43" s="1038"/>
      <c r="Q43" s="53"/>
      <c r="R43" s="2"/>
      <c r="S43" s="2"/>
      <c r="T43" s="2"/>
    </row>
    <row r="44" spans="1:20" x14ac:dyDescent="0.25">
      <c r="A44" s="22">
        <v>41824</v>
      </c>
      <c r="B44" s="20" t="s">
        <v>9</v>
      </c>
      <c r="C44" s="30">
        <f t="shared" si="8"/>
        <v>41824</v>
      </c>
      <c r="D44" s="30"/>
      <c r="E44" s="55"/>
      <c r="F44" s="55"/>
      <c r="G44" s="55"/>
      <c r="H44" s="55"/>
      <c r="I44" s="2"/>
      <c r="J44" s="1038"/>
      <c r="K44" s="1038"/>
      <c r="L44" s="1038"/>
      <c r="M44" s="1038"/>
      <c r="N44" s="1038"/>
      <c r="O44" s="1038"/>
      <c r="P44" s="1038"/>
      <c r="Q44" s="53"/>
      <c r="R44" s="2"/>
      <c r="S44" s="2"/>
      <c r="T44" s="2"/>
    </row>
    <row r="45" spans="1:20" x14ac:dyDescent="0.25">
      <c r="A45" s="22">
        <v>41884</v>
      </c>
      <c r="B45" s="20" t="s">
        <v>10</v>
      </c>
      <c r="C45" s="30">
        <f t="shared" si="8"/>
        <v>41884</v>
      </c>
      <c r="D45" s="30"/>
      <c r="E45" s="55"/>
      <c r="F45" s="55"/>
      <c r="G45" s="55"/>
      <c r="H45" s="55"/>
      <c r="I45" s="2"/>
      <c r="J45" s="1038"/>
      <c r="K45" s="1038"/>
      <c r="L45" s="1038"/>
      <c r="M45" s="1038"/>
      <c r="N45" s="1038"/>
      <c r="O45" s="1038"/>
      <c r="P45" s="1038"/>
      <c r="Q45" s="53"/>
      <c r="R45" s="2"/>
      <c r="S45" s="2"/>
      <c r="T45" s="2"/>
    </row>
    <row r="46" spans="1:20" x14ac:dyDescent="0.25">
      <c r="A46" s="22">
        <v>41954</v>
      </c>
      <c r="B46" s="20" t="s">
        <v>1</v>
      </c>
      <c r="C46" s="30">
        <f t="shared" si="8"/>
        <v>41954</v>
      </c>
      <c r="D46" s="30"/>
      <c r="E46" s="55"/>
      <c r="F46" s="55"/>
      <c r="G46" s="55"/>
      <c r="H46" s="55"/>
      <c r="I46" s="2"/>
      <c r="J46" s="1038"/>
      <c r="K46" s="1038"/>
      <c r="L46" s="1038"/>
      <c r="M46" s="1038"/>
      <c r="N46" s="1038"/>
      <c r="O46" s="1038"/>
      <c r="P46" s="1038"/>
      <c r="Q46" s="53"/>
      <c r="R46" s="2"/>
      <c r="S46" s="2"/>
      <c r="T46" s="2"/>
    </row>
    <row r="47" spans="1:20" x14ac:dyDescent="0.25">
      <c r="A47" s="22">
        <v>41970</v>
      </c>
      <c r="B47" s="20" t="s">
        <v>2</v>
      </c>
      <c r="C47" s="30">
        <f t="shared" si="8"/>
        <v>41970</v>
      </c>
      <c r="D47" s="30"/>
      <c r="E47" s="55"/>
      <c r="F47" s="55"/>
      <c r="G47" s="55"/>
      <c r="H47" s="55"/>
      <c r="I47" s="2"/>
      <c r="J47" s="1038"/>
      <c r="K47" s="1038"/>
      <c r="L47" s="1038"/>
      <c r="M47" s="1038"/>
      <c r="N47" s="1038"/>
      <c r="O47" s="1038"/>
      <c r="P47" s="1038"/>
      <c r="Q47" s="53"/>
      <c r="R47" s="2"/>
      <c r="S47" s="2"/>
      <c r="T47" s="2"/>
    </row>
    <row r="48" spans="1:20" x14ac:dyDescent="0.25">
      <c r="A48" s="22">
        <v>41998</v>
      </c>
      <c r="B48" s="20" t="s">
        <v>4</v>
      </c>
      <c r="C48" s="30">
        <f t="shared" si="8"/>
        <v>41998</v>
      </c>
      <c r="D48" s="30"/>
      <c r="E48" s="55"/>
      <c r="F48" s="55"/>
      <c r="G48" s="55"/>
      <c r="H48" s="55"/>
      <c r="I48" s="2"/>
      <c r="J48" s="1038"/>
      <c r="K48" s="1038"/>
      <c r="L48" s="1038"/>
      <c r="M48" s="1038"/>
      <c r="N48" s="1038"/>
      <c r="O48" s="1038"/>
      <c r="P48" s="1038"/>
      <c r="Q48" s="53"/>
      <c r="R48" s="2"/>
      <c r="S48" s="2"/>
      <c r="T48" s="2"/>
    </row>
    <row r="49" spans="1:20" x14ac:dyDescent="0.25">
      <c r="A49" s="22">
        <v>42005</v>
      </c>
      <c r="B49" s="20" t="s">
        <v>5</v>
      </c>
      <c r="C49" s="30">
        <f t="shared" si="8"/>
        <v>42005</v>
      </c>
      <c r="D49" s="30"/>
      <c r="E49" s="55"/>
      <c r="F49" s="55"/>
      <c r="G49" s="55"/>
      <c r="H49" s="55"/>
      <c r="I49" s="2"/>
      <c r="J49" s="1038"/>
      <c r="K49" s="1038"/>
      <c r="L49" s="1038"/>
      <c r="M49" s="1038"/>
      <c r="N49" s="1038"/>
      <c r="O49" s="1038"/>
      <c r="P49" s="1038"/>
      <c r="Q49" s="53"/>
      <c r="R49" s="2"/>
      <c r="S49" s="2"/>
      <c r="T49" s="2"/>
    </row>
    <row r="50" spans="1:20" x14ac:dyDescent="0.25">
      <c r="A50" s="22">
        <v>42023</v>
      </c>
      <c r="B50" s="20" t="s">
        <v>6</v>
      </c>
      <c r="C50" s="30">
        <f t="shared" si="8"/>
        <v>42023</v>
      </c>
      <c r="D50" s="30"/>
      <c r="E50" s="55"/>
      <c r="F50" s="55"/>
      <c r="G50" s="55"/>
      <c r="H50" s="55"/>
      <c r="I50" s="2"/>
      <c r="J50" s="1038"/>
      <c r="K50" s="1038"/>
      <c r="L50" s="1038"/>
      <c r="M50" s="1038"/>
      <c r="N50" s="1038"/>
      <c r="O50" s="1038"/>
      <c r="P50" s="1038"/>
      <c r="Q50" s="53"/>
      <c r="R50" s="2"/>
      <c r="S50" s="2"/>
      <c r="T50" s="2"/>
    </row>
    <row r="51" spans="1:20" x14ac:dyDescent="0.25">
      <c r="A51" s="22">
        <v>42051</v>
      </c>
      <c r="B51" s="20" t="s">
        <v>7</v>
      </c>
      <c r="C51" s="30">
        <f t="shared" si="8"/>
        <v>42051</v>
      </c>
      <c r="D51" s="30"/>
      <c r="E51" s="55"/>
      <c r="F51" s="55"/>
      <c r="G51" s="55"/>
      <c r="H51" s="55"/>
      <c r="I51" s="2"/>
      <c r="J51" s="1038"/>
      <c r="K51" s="1038"/>
      <c r="L51" s="1038"/>
      <c r="M51" s="1038"/>
      <c r="N51" s="1038"/>
      <c r="O51" s="1038"/>
      <c r="P51" s="1038"/>
      <c r="Q51" s="53"/>
      <c r="R51" s="2"/>
      <c r="S51" s="2"/>
      <c r="T51" s="2"/>
    </row>
    <row r="52" spans="1:20" x14ac:dyDescent="0.25">
      <c r="A52" s="22">
        <v>42149</v>
      </c>
      <c r="B52" s="20" t="s">
        <v>8</v>
      </c>
      <c r="C52" s="30">
        <f t="shared" si="8"/>
        <v>42149</v>
      </c>
      <c r="D52" s="30"/>
      <c r="E52" s="55"/>
      <c r="F52" s="55"/>
      <c r="G52" s="55"/>
      <c r="H52" s="55"/>
      <c r="I52" s="2"/>
      <c r="J52" s="1038"/>
      <c r="K52" s="1038"/>
      <c r="L52" s="1038"/>
      <c r="M52" s="1038"/>
      <c r="N52" s="1038"/>
      <c r="O52" s="1038"/>
      <c r="P52" s="1038"/>
      <c r="Q52" s="53"/>
      <c r="R52" s="2"/>
      <c r="S52" s="2"/>
      <c r="T52" s="2"/>
    </row>
    <row r="53" spans="1:20" x14ac:dyDescent="0.25">
      <c r="A53" s="22">
        <v>42188</v>
      </c>
      <c r="B53" s="20" t="s">
        <v>9</v>
      </c>
      <c r="C53" s="30">
        <f t="shared" si="8"/>
        <v>42188</v>
      </c>
      <c r="D53" s="30"/>
      <c r="E53" s="55"/>
      <c r="F53" s="55"/>
      <c r="G53" s="55"/>
      <c r="H53" s="55"/>
      <c r="I53" s="2"/>
      <c r="J53" s="1038"/>
      <c r="K53" s="1038"/>
      <c r="L53" s="1038"/>
      <c r="M53" s="1038"/>
      <c r="N53" s="1038"/>
      <c r="O53" s="1038"/>
      <c r="P53" s="1038"/>
      <c r="Q53" s="53"/>
      <c r="R53" s="2"/>
      <c r="S53" s="2"/>
      <c r="T53" s="2"/>
    </row>
    <row r="54" spans="1:20" x14ac:dyDescent="0.25">
      <c r="A54" s="22">
        <v>42254</v>
      </c>
      <c r="B54" s="20" t="s">
        <v>10</v>
      </c>
      <c r="C54" s="30">
        <f t="shared" si="8"/>
        <v>42254</v>
      </c>
      <c r="D54" s="30"/>
      <c r="E54" s="55"/>
      <c r="F54" s="55"/>
      <c r="G54" s="55"/>
      <c r="H54" s="55"/>
      <c r="I54" s="2"/>
      <c r="J54" s="1038"/>
      <c r="K54" s="1038"/>
      <c r="L54" s="1038"/>
      <c r="M54" s="1038"/>
      <c r="N54" s="1038"/>
      <c r="O54" s="1038"/>
      <c r="P54" s="1038"/>
      <c r="Q54" s="53"/>
      <c r="R54" s="2"/>
      <c r="S54" s="2"/>
      <c r="T54" s="2"/>
    </row>
    <row r="55" spans="1:20" x14ac:dyDescent="0.25">
      <c r="A55" s="22">
        <v>42319</v>
      </c>
      <c r="B55" s="20" t="s">
        <v>1</v>
      </c>
      <c r="C55" s="30">
        <f t="shared" si="8"/>
        <v>42319</v>
      </c>
      <c r="D55" s="30"/>
      <c r="E55" s="55"/>
      <c r="F55" s="55"/>
      <c r="G55" s="55"/>
      <c r="H55" s="55"/>
      <c r="I55" s="2"/>
      <c r="J55" s="1038"/>
      <c r="K55" s="1038"/>
      <c r="L55" s="1038"/>
      <c r="M55" s="1038"/>
      <c r="N55" s="1038"/>
      <c r="O55" s="1038"/>
      <c r="P55" s="1038"/>
      <c r="Q55" s="53"/>
      <c r="R55" s="2"/>
      <c r="S55" s="2"/>
      <c r="T55" s="2"/>
    </row>
    <row r="56" spans="1:20" x14ac:dyDescent="0.25">
      <c r="A56" s="22">
        <v>42334</v>
      </c>
      <c r="B56" s="20" t="s">
        <v>2</v>
      </c>
      <c r="C56" s="30">
        <f t="shared" si="8"/>
        <v>42334</v>
      </c>
      <c r="D56" s="30"/>
      <c r="E56" s="55"/>
      <c r="F56" s="55"/>
      <c r="G56" s="55"/>
      <c r="H56" s="55"/>
      <c r="I56" s="2"/>
      <c r="J56" s="1038"/>
      <c r="K56" s="1038"/>
      <c r="L56" s="1038"/>
      <c r="M56" s="1038"/>
      <c r="N56" s="1038"/>
      <c r="O56" s="1038"/>
      <c r="P56" s="1038"/>
      <c r="Q56" s="53"/>
      <c r="R56" s="2"/>
      <c r="S56" s="2"/>
      <c r="T56" s="2"/>
    </row>
    <row r="57" spans="1:20" x14ac:dyDescent="0.25">
      <c r="A57" s="22">
        <v>42363</v>
      </c>
      <c r="B57" s="20" t="s">
        <v>4</v>
      </c>
      <c r="C57" s="30">
        <f t="shared" si="8"/>
        <v>42363</v>
      </c>
      <c r="D57" s="30"/>
      <c r="E57" s="55"/>
      <c r="F57" s="55"/>
      <c r="G57" s="55"/>
      <c r="H57" s="55"/>
      <c r="I57" s="2"/>
      <c r="J57" s="1038"/>
      <c r="K57" s="1038"/>
      <c r="L57" s="1038"/>
      <c r="M57" s="1038"/>
      <c r="N57" s="1038"/>
      <c r="O57" s="1038"/>
      <c r="P57" s="1038"/>
      <c r="Q57" s="53"/>
      <c r="R57" s="2"/>
      <c r="S57" s="2"/>
      <c r="T57" s="2"/>
    </row>
    <row r="58" spans="1:20" x14ac:dyDescent="0.25">
      <c r="A58" s="22">
        <v>42370</v>
      </c>
      <c r="B58" s="20" t="s">
        <v>5</v>
      </c>
      <c r="C58" s="30">
        <f t="shared" ref="C58:C66" si="9">A58</f>
        <v>42370</v>
      </c>
      <c r="D58" s="30"/>
      <c r="E58" s="55"/>
      <c r="F58" s="55"/>
      <c r="G58" s="55"/>
      <c r="H58" s="55"/>
      <c r="I58" s="2"/>
      <c r="J58" s="1038"/>
      <c r="K58" s="1038"/>
      <c r="L58" s="1038"/>
      <c r="M58" s="1038"/>
      <c r="N58" s="1038"/>
      <c r="O58" s="1038"/>
      <c r="P58" s="1038"/>
      <c r="Q58" s="53"/>
      <c r="R58" s="2"/>
      <c r="S58" s="2"/>
      <c r="T58" s="2"/>
    </row>
    <row r="59" spans="1:20" x14ac:dyDescent="0.25">
      <c r="A59" s="22">
        <v>42387</v>
      </c>
      <c r="B59" s="20" t="s">
        <v>6</v>
      </c>
      <c r="C59" s="30">
        <f t="shared" si="9"/>
        <v>42387</v>
      </c>
      <c r="D59" s="30"/>
      <c r="E59" s="55"/>
      <c r="F59" s="55"/>
      <c r="G59" s="55"/>
      <c r="H59" s="55"/>
      <c r="I59" s="2"/>
      <c r="J59" s="1038"/>
      <c r="K59" s="1038"/>
      <c r="L59" s="1038"/>
      <c r="M59" s="1038"/>
      <c r="N59" s="1038"/>
      <c r="O59" s="1038"/>
      <c r="P59" s="1038"/>
      <c r="Q59" s="53"/>
      <c r="R59" s="2"/>
      <c r="S59" s="2"/>
      <c r="T59" s="2"/>
    </row>
    <row r="60" spans="1:20" x14ac:dyDescent="0.25">
      <c r="A60" s="22">
        <v>42415</v>
      </c>
      <c r="B60" s="20" t="s">
        <v>7</v>
      </c>
      <c r="C60" s="30">
        <f t="shared" si="9"/>
        <v>42415</v>
      </c>
      <c r="D60" s="30"/>
      <c r="E60" s="55"/>
      <c r="F60" s="55"/>
      <c r="G60" s="55"/>
      <c r="H60" s="55"/>
      <c r="I60" s="2"/>
      <c r="J60" s="1038"/>
      <c r="K60" s="1038"/>
      <c r="L60" s="1038"/>
      <c r="M60" s="1038"/>
      <c r="N60" s="1038"/>
      <c r="O60" s="1038"/>
      <c r="P60" s="1038"/>
      <c r="Q60" s="53"/>
      <c r="R60" s="2"/>
      <c r="S60" s="2"/>
      <c r="T60" s="2"/>
    </row>
    <row r="61" spans="1:20" x14ac:dyDescent="0.25">
      <c r="A61" s="22">
        <v>42520</v>
      </c>
      <c r="B61" s="20" t="s">
        <v>8</v>
      </c>
      <c r="C61" s="30">
        <f t="shared" si="9"/>
        <v>42520</v>
      </c>
      <c r="D61" s="30"/>
      <c r="E61" s="55"/>
      <c r="F61" s="55"/>
      <c r="G61" s="55"/>
      <c r="H61" s="55"/>
      <c r="I61" s="2"/>
      <c r="J61" s="1038"/>
      <c r="K61" s="1038"/>
      <c r="L61" s="1038"/>
      <c r="M61" s="1038"/>
      <c r="N61" s="1038"/>
      <c r="O61" s="1038"/>
      <c r="P61" s="1038"/>
      <c r="Q61" s="53"/>
      <c r="R61" s="2"/>
      <c r="S61" s="2"/>
      <c r="T61" s="2"/>
    </row>
    <row r="62" spans="1:20" x14ac:dyDescent="0.25">
      <c r="A62" s="22">
        <v>42555</v>
      </c>
      <c r="B62" s="20" t="s">
        <v>9</v>
      </c>
      <c r="C62" s="30">
        <f t="shared" si="9"/>
        <v>42555</v>
      </c>
      <c r="D62" s="30"/>
      <c r="E62" s="55"/>
      <c r="F62" s="55"/>
      <c r="G62" s="55"/>
      <c r="H62" s="55"/>
      <c r="I62" s="2"/>
      <c r="J62" s="1038"/>
      <c r="K62" s="1038"/>
      <c r="L62" s="1038"/>
      <c r="M62" s="1038"/>
      <c r="N62" s="1038"/>
      <c r="O62" s="1038"/>
      <c r="P62" s="1038"/>
      <c r="Q62" s="53"/>
      <c r="R62" s="2"/>
      <c r="S62" s="2"/>
      <c r="T62" s="2"/>
    </row>
    <row r="63" spans="1:20" x14ac:dyDescent="0.25">
      <c r="A63" s="22">
        <v>42618</v>
      </c>
      <c r="B63" s="20" t="s">
        <v>10</v>
      </c>
      <c r="C63" s="30">
        <f t="shared" si="9"/>
        <v>42618</v>
      </c>
      <c r="D63" s="30"/>
      <c r="E63" s="55"/>
      <c r="F63" s="55"/>
      <c r="G63" s="55"/>
      <c r="H63" s="55"/>
      <c r="I63" s="2"/>
      <c r="J63" s="1038"/>
      <c r="K63" s="1038"/>
      <c r="L63" s="1038"/>
      <c r="M63" s="1038"/>
      <c r="N63" s="1038"/>
      <c r="O63" s="1038"/>
      <c r="P63" s="1038"/>
      <c r="Q63" s="53"/>
      <c r="R63" s="2"/>
      <c r="S63" s="2"/>
      <c r="T63" s="2"/>
    </row>
    <row r="64" spans="1:20" x14ac:dyDescent="0.25">
      <c r="A64" s="22">
        <v>42685</v>
      </c>
      <c r="B64" s="20" t="s">
        <v>1</v>
      </c>
      <c r="C64" s="30">
        <f t="shared" si="9"/>
        <v>42685</v>
      </c>
      <c r="D64" s="30"/>
      <c r="E64" s="55"/>
      <c r="F64" s="55"/>
      <c r="G64" s="55"/>
      <c r="H64" s="55"/>
      <c r="I64" s="2"/>
      <c r="J64" s="1038"/>
      <c r="K64" s="1038"/>
      <c r="L64" s="1038"/>
      <c r="M64" s="1038"/>
      <c r="N64" s="1038"/>
      <c r="O64" s="1038"/>
      <c r="P64" s="1038"/>
      <c r="Q64" s="53"/>
      <c r="R64" s="2"/>
      <c r="S64" s="2"/>
      <c r="T64" s="2"/>
    </row>
    <row r="65" spans="1:20" x14ac:dyDescent="0.25">
      <c r="A65" s="22">
        <v>42698</v>
      </c>
      <c r="B65" s="20" t="s">
        <v>2</v>
      </c>
      <c r="C65" s="30">
        <f t="shared" si="9"/>
        <v>42698</v>
      </c>
      <c r="D65" s="30"/>
      <c r="E65" s="55"/>
      <c r="F65" s="55"/>
      <c r="G65" s="55"/>
      <c r="H65" s="55"/>
      <c r="I65" s="2"/>
      <c r="J65" s="1038"/>
      <c r="K65" s="1038"/>
      <c r="L65" s="1038"/>
      <c r="M65" s="1038"/>
      <c r="N65" s="1038"/>
      <c r="O65" s="1038"/>
      <c r="P65" s="1038"/>
      <c r="Q65" s="53"/>
      <c r="R65" s="2"/>
      <c r="S65" s="2"/>
      <c r="T65" s="2"/>
    </row>
    <row r="66" spans="1:20" x14ac:dyDescent="0.25">
      <c r="A66" s="22">
        <v>42730</v>
      </c>
      <c r="B66" s="20" t="s">
        <v>4</v>
      </c>
      <c r="C66" s="30">
        <f t="shared" si="9"/>
        <v>42730</v>
      </c>
      <c r="D66" s="30"/>
      <c r="E66" s="55"/>
      <c r="F66" s="55"/>
      <c r="G66" s="55"/>
      <c r="H66" s="55"/>
      <c r="I66" s="2"/>
      <c r="J66" s="1038"/>
      <c r="K66" s="1038"/>
      <c r="L66" s="1038"/>
      <c r="M66" s="1038"/>
      <c r="N66" s="1038"/>
      <c r="O66" s="1038"/>
      <c r="P66" s="1038"/>
      <c r="Q66" s="53"/>
      <c r="R66" s="2"/>
      <c r="S66" s="2"/>
      <c r="T66" s="2"/>
    </row>
    <row r="67" spans="1:20" x14ac:dyDescent="0.25">
      <c r="A67" s="22">
        <v>42737</v>
      </c>
      <c r="B67" s="20" t="s">
        <v>5</v>
      </c>
      <c r="C67" s="30">
        <f t="shared" ref="C67:C75" si="10">A67</f>
        <v>42737</v>
      </c>
      <c r="D67" s="30"/>
      <c r="E67" s="55"/>
      <c r="F67" s="55"/>
      <c r="G67" s="55"/>
      <c r="H67" s="55"/>
      <c r="I67" s="2"/>
      <c r="J67" s="1038"/>
      <c r="K67" s="1038"/>
      <c r="L67" s="1038"/>
      <c r="M67" s="1038"/>
      <c r="N67" s="1038"/>
      <c r="O67" s="1038"/>
      <c r="P67" s="1038"/>
      <c r="Q67" s="53"/>
      <c r="R67" s="2"/>
      <c r="S67" s="2"/>
      <c r="T67" s="2"/>
    </row>
    <row r="68" spans="1:20" x14ac:dyDescent="0.25">
      <c r="A68" s="22">
        <v>42751</v>
      </c>
      <c r="B68" s="20" t="s">
        <v>6</v>
      </c>
      <c r="C68" s="30">
        <f t="shared" si="10"/>
        <v>42751</v>
      </c>
      <c r="D68" s="30"/>
      <c r="E68" s="55"/>
      <c r="F68" s="55"/>
      <c r="G68" s="55"/>
      <c r="H68" s="55"/>
      <c r="I68" s="2"/>
      <c r="J68" s="1038"/>
      <c r="K68" s="1038"/>
      <c r="L68" s="1038"/>
      <c r="M68" s="1038"/>
      <c r="N68" s="1038"/>
      <c r="O68" s="1038"/>
      <c r="P68" s="1038"/>
      <c r="Q68" s="53"/>
      <c r="R68" s="2"/>
      <c r="S68" s="2"/>
      <c r="T68" s="2"/>
    </row>
    <row r="69" spans="1:20" x14ac:dyDescent="0.25">
      <c r="A69" s="22">
        <v>42786</v>
      </c>
      <c r="B69" s="20" t="s">
        <v>7</v>
      </c>
      <c r="C69" s="30">
        <f t="shared" si="10"/>
        <v>42786</v>
      </c>
      <c r="D69" s="30"/>
      <c r="E69" s="55"/>
      <c r="F69" s="55"/>
      <c r="G69" s="55"/>
      <c r="H69" s="55"/>
      <c r="I69" s="2"/>
      <c r="J69" s="1038"/>
      <c r="K69" s="1038"/>
      <c r="L69" s="1038"/>
      <c r="M69" s="1038"/>
      <c r="N69" s="1038"/>
      <c r="O69" s="1038"/>
      <c r="P69" s="1038"/>
      <c r="Q69" s="53"/>
      <c r="R69" s="2"/>
      <c r="S69" s="2"/>
      <c r="T69" s="2"/>
    </row>
    <row r="70" spans="1:20" x14ac:dyDescent="0.25">
      <c r="A70" s="22">
        <v>42884</v>
      </c>
      <c r="B70" s="20" t="s">
        <v>8</v>
      </c>
      <c r="C70" s="30">
        <f t="shared" si="10"/>
        <v>42884</v>
      </c>
      <c r="D70" s="30"/>
      <c r="E70" s="55"/>
      <c r="F70" s="55"/>
      <c r="G70" s="55"/>
      <c r="H70" s="55"/>
      <c r="I70" s="2"/>
      <c r="J70" s="1038"/>
      <c r="K70" s="1038"/>
      <c r="L70" s="1038"/>
      <c r="M70" s="1038"/>
      <c r="N70" s="1038"/>
      <c r="O70" s="1038"/>
      <c r="P70" s="1038"/>
      <c r="Q70" s="53"/>
      <c r="R70" s="2"/>
      <c r="S70" s="2"/>
      <c r="T70" s="2"/>
    </row>
    <row r="71" spans="1:20" x14ac:dyDescent="0.25">
      <c r="A71" s="22">
        <v>42920</v>
      </c>
      <c r="B71" s="20" t="s">
        <v>9</v>
      </c>
      <c r="C71" s="30">
        <f t="shared" si="10"/>
        <v>42920</v>
      </c>
      <c r="D71" s="30"/>
      <c r="E71" s="55"/>
      <c r="F71" s="55"/>
      <c r="G71" s="55"/>
      <c r="H71" s="55"/>
      <c r="I71" s="2"/>
      <c r="J71" s="1038"/>
      <c r="K71" s="1038"/>
      <c r="L71" s="1038"/>
      <c r="M71" s="1038"/>
      <c r="N71" s="1038"/>
      <c r="O71" s="1038"/>
      <c r="P71" s="1038"/>
      <c r="Q71" s="53"/>
      <c r="R71" s="2"/>
      <c r="S71" s="2"/>
      <c r="T71" s="2"/>
    </row>
    <row r="72" spans="1:20" x14ac:dyDescent="0.25">
      <c r="A72" s="22">
        <v>42982</v>
      </c>
      <c r="B72" s="20" t="s">
        <v>10</v>
      </c>
      <c r="C72" s="30">
        <f t="shared" si="10"/>
        <v>42982</v>
      </c>
      <c r="D72" s="30"/>
      <c r="E72" s="55"/>
      <c r="F72" s="55"/>
      <c r="G72" s="55"/>
      <c r="H72" s="55"/>
      <c r="I72" s="2"/>
      <c r="J72" s="1038"/>
      <c r="K72" s="1038"/>
      <c r="L72" s="1038"/>
      <c r="M72" s="1038"/>
      <c r="N72" s="1038"/>
      <c r="O72" s="1038"/>
      <c r="P72" s="1038"/>
      <c r="Q72" s="53"/>
      <c r="R72" s="2"/>
      <c r="S72" s="2"/>
      <c r="T72" s="2"/>
    </row>
    <row r="73" spans="1:20" x14ac:dyDescent="0.25">
      <c r="A73" s="22">
        <v>43049</v>
      </c>
      <c r="B73" s="20" t="s">
        <v>1</v>
      </c>
      <c r="C73" s="30">
        <f t="shared" si="10"/>
        <v>43049</v>
      </c>
      <c r="D73" s="30"/>
      <c r="E73" s="55"/>
      <c r="F73" s="55"/>
      <c r="G73" s="55"/>
      <c r="H73" s="55"/>
      <c r="I73" s="2"/>
      <c r="J73" s="1038"/>
      <c r="K73" s="1038"/>
      <c r="L73" s="1038"/>
      <c r="M73" s="1038"/>
      <c r="N73" s="1038"/>
      <c r="O73" s="1038"/>
      <c r="P73" s="1038"/>
      <c r="Q73" s="53"/>
      <c r="R73" s="2"/>
      <c r="S73" s="2"/>
      <c r="T73" s="2"/>
    </row>
    <row r="74" spans="1:20" x14ac:dyDescent="0.25">
      <c r="A74" s="22">
        <v>43062</v>
      </c>
      <c r="B74" s="20" t="s">
        <v>2</v>
      </c>
      <c r="C74" s="30">
        <f t="shared" si="10"/>
        <v>43062</v>
      </c>
      <c r="D74" s="30"/>
      <c r="E74" s="55"/>
      <c r="F74" s="55"/>
      <c r="G74" s="55"/>
      <c r="H74" s="55"/>
      <c r="I74" s="2"/>
      <c r="J74" s="1038"/>
      <c r="K74" s="1038"/>
      <c r="L74" s="1038"/>
      <c r="M74" s="1038"/>
      <c r="N74" s="1038"/>
      <c r="O74" s="1038"/>
      <c r="P74" s="1038"/>
      <c r="Q74" s="53"/>
      <c r="R74" s="2"/>
      <c r="S74" s="2"/>
      <c r="T74" s="2"/>
    </row>
    <row r="75" spans="1:20" x14ac:dyDescent="0.25">
      <c r="A75" s="22">
        <v>43094</v>
      </c>
      <c r="B75" s="20" t="s">
        <v>4</v>
      </c>
      <c r="C75" s="30">
        <f t="shared" si="10"/>
        <v>43094</v>
      </c>
      <c r="D75" s="30"/>
      <c r="E75" s="55"/>
      <c r="F75" s="55"/>
      <c r="G75" s="55"/>
      <c r="H75" s="55"/>
      <c r="I75" s="2"/>
      <c r="J75" s="1038"/>
      <c r="K75" s="1038"/>
      <c r="L75" s="1038"/>
      <c r="M75" s="1038"/>
      <c r="N75" s="1038"/>
      <c r="O75" s="1038"/>
      <c r="P75" s="1038"/>
      <c r="Q75" s="53"/>
      <c r="R75" s="2"/>
      <c r="S75" s="2"/>
      <c r="T75" s="2"/>
    </row>
    <row r="76" spans="1:20" x14ac:dyDescent="0.25">
      <c r="A76" s="22">
        <v>43101</v>
      </c>
      <c r="B76" s="20" t="s">
        <v>5</v>
      </c>
      <c r="C76" s="30">
        <f t="shared" si="8"/>
        <v>43101</v>
      </c>
      <c r="D76" s="30"/>
      <c r="E76" s="55"/>
      <c r="F76" s="55"/>
      <c r="G76" s="55"/>
      <c r="H76" s="55"/>
      <c r="I76" s="2"/>
      <c r="J76" s="1038"/>
      <c r="K76" s="1038"/>
      <c r="L76" s="1038"/>
      <c r="M76" s="1038"/>
      <c r="N76" s="1038"/>
      <c r="O76" s="1038"/>
      <c r="P76" s="1038"/>
      <c r="Q76" s="53"/>
      <c r="R76" s="2"/>
      <c r="S76" s="2"/>
      <c r="T76" s="2"/>
    </row>
    <row r="77" spans="1:20" x14ac:dyDescent="0.25">
      <c r="A77" s="18" t="s">
        <v>17</v>
      </c>
      <c r="B77" s="19"/>
      <c r="C77" s="7"/>
      <c r="D77" s="7"/>
      <c r="E77" s="56"/>
      <c r="F77" s="56"/>
      <c r="G77" s="56"/>
      <c r="H77" s="56"/>
      <c r="I77" s="2"/>
      <c r="J77" s="1038"/>
      <c r="K77" s="1038"/>
      <c r="L77" s="1038"/>
      <c r="M77" s="1038"/>
      <c r="N77" s="1038"/>
      <c r="O77" s="1038"/>
      <c r="P77" s="1038"/>
      <c r="Q77" s="53"/>
      <c r="R77" s="2"/>
      <c r="S77" s="2"/>
      <c r="T77" s="2"/>
    </row>
    <row r="78" spans="1:20" x14ac:dyDescent="0.25">
      <c r="A78" s="11"/>
      <c r="B78" s="11"/>
      <c r="C78" s="12"/>
      <c r="D78" s="12"/>
      <c r="E78" s="57"/>
      <c r="F78" s="57"/>
      <c r="G78" s="57"/>
      <c r="H78" s="57"/>
      <c r="I78" s="2"/>
      <c r="J78" s="2"/>
      <c r="K78" s="2"/>
      <c r="L78" s="12"/>
      <c r="M78" s="12"/>
      <c r="N78" s="2"/>
      <c r="O78" s="2"/>
      <c r="P78" s="53"/>
      <c r="Q78" s="53"/>
      <c r="R78" s="2"/>
      <c r="S78" s="2"/>
      <c r="T78" s="2"/>
    </row>
    <row r="79" spans="1:20" x14ac:dyDescent="0.25">
      <c r="A79" s="21" t="s">
        <v>12</v>
      </c>
      <c r="B79" s="21" t="s">
        <v>13</v>
      </c>
      <c r="C79" s="2"/>
      <c r="D79" s="2"/>
      <c r="E79" s="51"/>
      <c r="F79" s="51"/>
      <c r="G79" s="51"/>
      <c r="H79" s="51"/>
      <c r="I79" s="2"/>
      <c r="J79" s="2"/>
      <c r="K79" s="2"/>
      <c r="L79" s="2"/>
      <c r="M79" s="2"/>
      <c r="N79" s="2"/>
      <c r="O79" s="2"/>
      <c r="P79" s="53"/>
      <c r="Q79" s="53"/>
      <c r="R79" s="2"/>
      <c r="S79" s="2"/>
      <c r="T79" s="2"/>
    </row>
    <row r="80" spans="1:20" x14ac:dyDescent="0.25">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x14ac:dyDescent="0.25">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x14ac:dyDescent="0.25">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x14ac:dyDescent="0.25">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x14ac:dyDescent="0.25">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x14ac:dyDescent="0.25">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x14ac:dyDescent="0.25">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x14ac:dyDescent="0.25">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x14ac:dyDescent="0.25">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x14ac:dyDescent="0.25">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x14ac:dyDescent="0.25">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x14ac:dyDescent="0.25">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x14ac:dyDescent="0.25">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x14ac:dyDescent="0.25">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x14ac:dyDescent="0.25">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x14ac:dyDescent="0.25">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x14ac:dyDescent="0.25">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x14ac:dyDescent="0.25">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x14ac:dyDescent="0.25">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x14ac:dyDescent="0.25">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x14ac:dyDescent="0.25">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x14ac:dyDescent="0.25">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x14ac:dyDescent="0.25">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x14ac:dyDescent="0.25">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x14ac:dyDescent="0.25">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x14ac:dyDescent="0.25">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x14ac:dyDescent="0.25">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x14ac:dyDescent="0.25">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x14ac:dyDescent="0.25">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x14ac:dyDescent="0.25">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x14ac:dyDescent="0.25">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x14ac:dyDescent="0.25">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x14ac:dyDescent="0.25">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x14ac:dyDescent="0.25">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x14ac:dyDescent="0.25">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x14ac:dyDescent="0.25">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x14ac:dyDescent="0.25">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x14ac:dyDescent="0.25">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x14ac:dyDescent="0.25">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x14ac:dyDescent="0.25">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x14ac:dyDescent="0.25">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x14ac:dyDescent="0.25">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x14ac:dyDescent="0.25">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x14ac:dyDescent="0.25">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x14ac:dyDescent="0.25">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x14ac:dyDescent="0.25">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x14ac:dyDescent="0.25">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x14ac:dyDescent="0.25">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x14ac:dyDescent="0.25">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x14ac:dyDescent="0.25">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x14ac:dyDescent="0.25">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x14ac:dyDescent="0.25">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x14ac:dyDescent="0.25">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x14ac:dyDescent="0.25">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x14ac:dyDescent="0.25">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x14ac:dyDescent="0.25">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x14ac:dyDescent="0.25">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x14ac:dyDescent="0.25">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x14ac:dyDescent="0.25">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x14ac:dyDescent="0.25">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x14ac:dyDescent="0.25">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x14ac:dyDescent="0.25">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x14ac:dyDescent="0.25">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x14ac:dyDescent="0.25">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x14ac:dyDescent="0.25">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x14ac:dyDescent="0.25">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x14ac:dyDescent="0.25">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x14ac:dyDescent="0.25">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x14ac:dyDescent="0.25">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x14ac:dyDescent="0.25">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x14ac:dyDescent="0.25">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x14ac:dyDescent="0.25">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x14ac:dyDescent="0.25">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x14ac:dyDescent="0.25">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x14ac:dyDescent="0.25">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x14ac:dyDescent="0.25">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x14ac:dyDescent="0.25">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x14ac:dyDescent="0.25">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x14ac:dyDescent="0.25">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x14ac:dyDescent="0.25">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x14ac:dyDescent="0.25">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x14ac:dyDescent="0.25">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x14ac:dyDescent="0.25">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x14ac:dyDescent="0.25">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x14ac:dyDescent="0.25">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x14ac:dyDescent="0.25">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x14ac:dyDescent="0.25">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x14ac:dyDescent="0.25">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x14ac:dyDescent="0.25">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x14ac:dyDescent="0.25">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x14ac:dyDescent="0.25">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x14ac:dyDescent="0.25">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x14ac:dyDescent="0.25">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x14ac:dyDescent="0.25">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x14ac:dyDescent="0.25">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x14ac:dyDescent="0.25">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x14ac:dyDescent="0.25">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x14ac:dyDescent="0.25">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x14ac:dyDescent="0.25">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x14ac:dyDescent="0.25">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x14ac:dyDescent="0.25">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x14ac:dyDescent="0.25">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x14ac:dyDescent="0.25">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x14ac:dyDescent="0.25">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x14ac:dyDescent="0.25">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x14ac:dyDescent="0.25">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x14ac:dyDescent="0.25">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x14ac:dyDescent="0.25">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x14ac:dyDescent="0.25">
      <c r="A188" s="5" t="s">
        <v>17</v>
      </c>
      <c r="B188" s="6"/>
      <c r="C188" s="32"/>
      <c r="D188" s="32"/>
      <c r="E188" s="56"/>
      <c r="F188" s="56"/>
      <c r="G188" s="56"/>
      <c r="H188" s="56"/>
      <c r="I188" s="56"/>
      <c r="J188" s="2"/>
      <c r="K188" s="2"/>
      <c r="L188" s="7"/>
      <c r="M188" s="7"/>
      <c r="N188" s="2"/>
      <c r="O188" s="2"/>
      <c r="P188" s="53"/>
      <c r="Q188" s="53"/>
      <c r="R188" s="2"/>
      <c r="S188" s="2"/>
      <c r="T188" s="2"/>
    </row>
    <row r="189" spans="1:20" x14ac:dyDescent="0.25">
      <c r="A189" s="14"/>
      <c r="B189" s="14"/>
      <c r="C189" s="15"/>
      <c r="D189" s="15"/>
      <c r="E189" s="56"/>
      <c r="F189" s="56"/>
      <c r="G189" s="56"/>
      <c r="H189" s="56"/>
      <c r="I189" s="56"/>
      <c r="J189" s="2"/>
      <c r="K189" s="2"/>
      <c r="L189" s="15"/>
      <c r="M189" s="15"/>
      <c r="N189" s="2"/>
      <c r="O189" s="2"/>
      <c r="P189" s="53"/>
      <c r="Q189" s="53"/>
      <c r="R189" s="2"/>
      <c r="S189" s="2"/>
      <c r="T189" s="2"/>
    </row>
    <row r="190" spans="1:20" x14ac:dyDescent="0.25">
      <c r="A190" s="48"/>
      <c r="B190" s="14"/>
      <c r="C190" s="15"/>
      <c r="D190" s="15"/>
      <c r="E190" s="56"/>
      <c r="F190" s="56"/>
      <c r="G190" s="56"/>
      <c r="H190" s="56"/>
      <c r="I190" s="56"/>
      <c r="J190" s="2"/>
      <c r="K190" s="2"/>
      <c r="L190" s="15"/>
      <c r="M190" s="15"/>
      <c r="N190" s="2"/>
      <c r="O190" s="2"/>
      <c r="P190" s="53"/>
      <c r="Q190" s="53"/>
      <c r="R190" s="2"/>
      <c r="S190" s="2"/>
      <c r="T190" s="2"/>
    </row>
    <row r="191" spans="1:20" x14ac:dyDescent="0.25">
      <c r="A191" s="48"/>
      <c r="B191" s="14"/>
      <c r="C191" s="15"/>
      <c r="D191" s="15"/>
      <c r="E191" s="56"/>
      <c r="F191" s="56"/>
      <c r="G191" s="56"/>
      <c r="H191" s="56"/>
      <c r="I191" s="56"/>
      <c r="J191" s="2"/>
      <c r="K191" s="2"/>
      <c r="L191" s="15"/>
      <c r="M191" s="15"/>
      <c r="N191" s="2"/>
      <c r="O191" s="2"/>
      <c r="P191" s="53"/>
      <c r="Q191" s="53"/>
      <c r="R191" s="2"/>
      <c r="S191" s="2"/>
      <c r="T191" s="2"/>
    </row>
    <row r="192" spans="1:20" x14ac:dyDescent="0.25">
      <c r="A192" s="48" t="s">
        <v>0</v>
      </c>
      <c r="B192" s="14"/>
      <c r="C192" s="15"/>
      <c r="D192" s="15"/>
      <c r="E192" s="56"/>
      <c r="F192" s="56"/>
      <c r="G192" s="56"/>
      <c r="H192" s="56"/>
      <c r="I192" s="56"/>
      <c r="J192" s="2"/>
      <c r="K192" s="2"/>
      <c r="L192" s="15"/>
      <c r="M192" s="15"/>
      <c r="N192" s="2"/>
      <c r="O192" s="2"/>
      <c r="P192" s="53"/>
      <c r="Q192" s="53"/>
      <c r="R192" s="2"/>
      <c r="S192" s="2"/>
      <c r="T192" s="2"/>
    </row>
    <row r="193" spans="1:20" x14ac:dyDescent="0.25">
      <c r="A193" s="48" t="s">
        <v>0</v>
      </c>
      <c r="B193" s="21" t="s">
        <v>500</v>
      </c>
      <c r="C193" s="21" t="s">
        <v>651</v>
      </c>
      <c r="D193" s="15"/>
      <c r="E193" s="56"/>
      <c r="F193" s="56"/>
      <c r="G193" s="56"/>
      <c r="H193" s="56"/>
      <c r="I193" s="56"/>
      <c r="J193" s="2"/>
      <c r="K193" s="2"/>
      <c r="L193" s="15"/>
      <c r="M193" s="15"/>
      <c r="N193" s="2"/>
      <c r="O193" s="2"/>
      <c r="P193" s="53"/>
      <c r="Q193" s="53"/>
      <c r="R193" s="2"/>
      <c r="S193" s="2"/>
      <c r="T193" s="2"/>
    </row>
    <row r="194" spans="1:20" x14ac:dyDescent="0.25">
      <c r="A194" s="665" t="s">
        <v>0</v>
      </c>
      <c r="B194" s="695" t="s">
        <v>502</v>
      </c>
      <c r="C194" s="7"/>
      <c r="D194" s="7"/>
      <c r="E194" s="56"/>
      <c r="F194" s="56"/>
      <c r="G194" s="56"/>
      <c r="H194" s="56"/>
      <c r="I194" s="56"/>
      <c r="J194" s="2"/>
      <c r="K194" s="2"/>
      <c r="L194" s="7"/>
      <c r="M194" s="7"/>
      <c r="N194" s="2"/>
      <c r="O194" s="2"/>
      <c r="P194" s="53"/>
      <c r="Q194" s="53"/>
      <c r="R194" s="2"/>
      <c r="S194" s="2"/>
      <c r="T194" s="2"/>
    </row>
    <row r="195" spans="1:20" x14ac:dyDescent="0.25">
      <c r="A195" s="14"/>
      <c r="B195" s="695" t="s">
        <v>503</v>
      </c>
      <c r="C195" s="15"/>
      <c r="D195" s="15"/>
      <c r="E195" s="56"/>
      <c r="F195" s="56"/>
      <c r="G195" s="56"/>
      <c r="H195" s="56"/>
      <c r="I195" s="56"/>
      <c r="J195" s="2"/>
      <c r="K195" s="2"/>
      <c r="L195" s="15"/>
      <c r="M195" s="15"/>
      <c r="N195" s="2"/>
      <c r="O195" s="2"/>
      <c r="P195" s="53"/>
      <c r="Q195" s="53"/>
      <c r="R195" s="2"/>
      <c r="S195" s="2"/>
      <c r="T195" s="2"/>
    </row>
    <row r="196" spans="1:20" x14ac:dyDescent="0.25">
      <c r="A196" s="3"/>
      <c r="B196" s="695" t="s">
        <v>504</v>
      </c>
      <c r="C196" s="2"/>
      <c r="D196" s="2"/>
      <c r="E196" s="56"/>
      <c r="F196" s="56"/>
      <c r="G196" s="56"/>
      <c r="H196" s="56"/>
      <c r="I196" s="56"/>
      <c r="J196" s="2"/>
      <c r="K196" s="2"/>
      <c r="L196" s="2"/>
      <c r="M196" s="2"/>
      <c r="N196" s="2"/>
      <c r="O196" s="2"/>
      <c r="P196" s="53"/>
      <c r="Q196" s="53"/>
      <c r="R196" s="2"/>
      <c r="S196" s="2"/>
      <c r="T196" s="2"/>
    </row>
    <row r="197" spans="1:20" x14ac:dyDescent="0.25">
      <c r="A197" s="3"/>
      <c r="B197" s="695" t="s">
        <v>505</v>
      </c>
      <c r="C197" s="2"/>
      <c r="D197" s="2"/>
      <c r="E197" s="56"/>
      <c r="F197" s="56"/>
      <c r="G197" s="56"/>
      <c r="H197" s="56"/>
      <c r="I197" s="56"/>
      <c r="J197" s="2"/>
      <c r="K197" s="2"/>
      <c r="L197" s="2"/>
      <c r="M197" s="2"/>
      <c r="N197" s="2"/>
      <c r="O197" s="2"/>
      <c r="P197" s="53"/>
      <c r="Q197" s="53"/>
      <c r="R197" s="2"/>
      <c r="S197" s="2"/>
      <c r="T197" s="2"/>
    </row>
    <row r="198" spans="1:20" x14ac:dyDescent="0.25">
      <c r="A198" s="3"/>
      <c r="B198" s="695" t="s">
        <v>501</v>
      </c>
      <c r="C198" s="2"/>
      <c r="D198" s="2"/>
      <c r="E198" s="56"/>
      <c r="F198" s="56"/>
      <c r="G198" s="56"/>
      <c r="H198" s="56"/>
      <c r="I198" s="56"/>
      <c r="J198" s="2"/>
      <c r="K198" s="2"/>
      <c r="L198" s="2"/>
      <c r="M198" s="2"/>
      <c r="N198" s="2"/>
      <c r="O198" s="2"/>
      <c r="P198" s="53"/>
      <c r="Q198" s="53"/>
      <c r="R198" s="2"/>
      <c r="S198" s="2"/>
      <c r="T198" s="2"/>
    </row>
    <row r="199" spans="1:20" x14ac:dyDescent="0.25">
      <c r="A199" s="3"/>
      <c r="B199" s="695" t="s">
        <v>506</v>
      </c>
      <c r="C199" s="2"/>
      <c r="D199" s="2"/>
      <c r="E199" s="56"/>
      <c r="F199" s="56"/>
      <c r="G199" s="56"/>
      <c r="H199" s="56"/>
      <c r="I199" s="56"/>
      <c r="J199" s="2"/>
      <c r="K199" s="2"/>
      <c r="L199" s="2"/>
      <c r="M199" s="2"/>
      <c r="N199" s="2"/>
      <c r="O199" s="2"/>
      <c r="P199" s="53"/>
      <c r="Q199" s="53"/>
      <c r="R199" s="2"/>
      <c r="S199" s="2"/>
      <c r="T199" s="2"/>
    </row>
    <row r="200" spans="1:20" x14ac:dyDescent="0.25">
      <c r="A200" s="3"/>
      <c r="B200" s="694" t="s">
        <v>507</v>
      </c>
      <c r="C200" s="2"/>
      <c r="D200" s="2"/>
      <c r="E200" s="56"/>
      <c r="F200" s="56"/>
      <c r="G200" s="56"/>
      <c r="H200" s="56"/>
      <c r="I200" s="56"/>
      <c r="J200" s="2"/>
      <c r="K200" s="2"/>
      <c r="L200" s="2"/>
      <c r="M200" s="2"/>
      <c r="N200" s="2"/>
      <c r="O200" s="2"/>
      <c r="P200" s="53"/>
      <c r="Q200" s="53"/>
      <c r="R200" s="2"/>
      <c r="S200" s="2"/>
      <c r="T200" s="2"/>
    </row>
    <row r="201" spans="1:20" x14ac:dyDescent="0.25">
      <c r="A201" s="3"/>
      <c r="B201" s="694" t="s">
        <v>509</v>
      </c>
      <c r="C201" s="2"/>
      <c r="D201" s="2"/>
      <c r="E201" s="56"/>
      <c r="F201" s="56"/>
      <c r="G201" s="56"/>
      <c r="H201" s="56"/>
      <c r="I201" s="56"/>
      <c r="J201" s="2"/>
      <c r="K201" s="2"/>
      <c r="L201" s="2"/>
      <c r="M201" s="2"/>
      <c r="N201" s="2"/>
      <c r="O201" s="2"/>
      <c r="P201" s="53"/>
      <c r="Q201" s="53"/>
      <c r="R201" s="2"/>
      <c r="S201" s="2"/>
      <c r="T201" s="2"/>
    </row>
    <row r="202" spans="1:20" x14ac:dyDescent="0.25">
      <c r="A202" s="3"/>
      <c r="B202" s="694" t="s">
        <v>508</v>
      </c>
      <c r="C202" s="2"/>
      <c r="D202" s="2"/>
      <c r="E202" s="56"/>
      <c r="F202" s="56"/>
      <c r="G202" s="56"/>
      <c r="H202" s="56"/>
      <c r="I202" s="56"/>
      <c r="J202" s="2"/>
      <c r="K202" s="2"/>
      <c r="L202" s="2"/>
      <c r="M202" s="2"/>
      <c r="N202" s="2"/>
      <c r="O202" s="2"/>
      <c r="P202" s="53"/>
      <c r="Q202" s="53"/>
      <c r="R202" s="2"/>
      <c r="S202" s="2"/>
      <c r="T202" s="2"/>
    </row>
    <row r="203" spans="1:20" x14ac:dyDescent="0.25">
      <c r="A203" s="3"/>
      <c r="B203" s="3"/>
      <c r="C203" s="2"/>
      <c r="D203" s="2"/>
      <c r="E203" s="56"/>
      <c r="F203" s="56"/>
      <c r="G203" s="56"/>
      <c r="H203" s="56"/>
      <c r="I203" s="56"/>
      <c r="J203" s="2"/>
      <c r="K203" s="2"/>
      <c r="L203" s="2"/>
      <c r="M203" s="2"/>
      <c r="N203" s="2"/>
      <c r="O203" s="2"/>
      <c r="P203" s="53"/>
      <c r="Q203" s="53"/>
      <c r="R203" s="2"/>
      <c r="S203" s="2"/>
      <c r="T203" s="2"/>
    </row>
    <row r="204" spans="1:20" x14ac:dyDescent="0.25">
      <c r="A204" s="3"/>
      <c r="B204" s="3"/>
      <c r="C204" s="2"/>
      <c r="D204" s="2"/>
      <c r="E204" s="56"/>
      <c r="F204" s="56"/>
      <c r="G204" s="56"/>
      <c r="H204" s="56"/>
      <c r="I204" s="56"/>
      <c r="J204" s="2"/>
      <c r="K204" s="2"/>
      <c r="L204" s="2"/>
      <c r="M204" s="2"/>
      <c r="N204" s="2"/>
      <c r="O204" s="2"/>
      <c r="P204" s="53"/>
      <c r="Q204" s="53"/>
      <c r="R204" s="2"/>
      <c r="S204" s="2"/>
      <c r="T204" s="2"/>
    </row>
    <row r="205" spans="1:20" x14ac:dyDescent="0.25">
      <c r="A205" s="3"/>
      <c r="B205" s="3"/>
      <c r="C205" s="2"/>
      <c r="D205" s="2"/>
      <c r="E205" s="56"/>
      <c r="F205" s="56"/>
      <c r="G205" s="56"/>
      <c r="H205" s="56"/>
      <c r="I205" s="56"/>
      <c r="J205" s="2"/>
      <c r="K205" s="2"/>
      <c r="L205" s="2"/>
      <c r="M205" s="2"/>
      <c r="N205" s="2"/>
      <c r="O205" s="2"/>
      <c r="P205" s="53"/>
      <c r="Q205" s="53"/>
      <c r="R205" s="2"/>
      <c r="S205" s="2"/>
      <c r="T205" s="2"/>
    </row>
    <row r="206" spans="1:20" x14ac:dyDescent="0.25">
      <c r="A206" s="3"/>
      <c r="B206" s="3"/>
      <c r="C206" s="2"/>
      <c r="D206" s="2"/>
      <c r="E206" s="56"/>
      <c r="F206" s="56"/>
      <c r="G206" s="56"/>
      <c r="H206" s="56"/>
      <c r="I206" s="56"/>
      <c r="J206" s="2"/>
      <c r="K206" s="2"/>
      <c r="L206" s="2"/>
      <c r="M206" s="2"/>
      <c r="N206" s="2"/>
      <c r="O206" s="2"/>
      <c r="P206" s="53"/>
      <c r="Q206" s="53"/>
      <c r="R206" s="2"/>
      <c r="S206" s="2"/>
      <c r="T206" s="2"/>
    </row>
    <row r="207" spans="1:20" x14ac:dyDescent="0.25">
      <c r="A207" s="3"/>
      <c r="B207" s="3"/>
      <c r="C207" s="2"/>
      <c r="D207" s="2"/>
      <c r="E207" s="56"/>
      <c r="F207" s="56"/>
      <c r="G207" s="56"/>
      <c r="H207" s="56"/>
      <c r="I207" s="56"/>
      <c r="J207" s="2"/>
      <c r="K207" s="2"/>
      <c r="L207" s="2"/>
      <c r="M207" s="2"/>
      <c r="N207" s="2"/>
      <c r="O207" s="2"/>
      <c r="P207" s="53"/>
      <c r="Q207" s="53"/>
      <c r="R207" s="2"/>
      <c r="S207" s="2"/>
      <c r="T207" s="2"/>
    </row>
    <row r="208" spans="1:20" x14ac:dyDescent="0.25">
      <c r="A208" s="3"/>
      <c r="B208" s="3"/>
      <c r="C208" s="2"/>
      <c r="D208" s="2"/>
      <c r="E208" s="56"/>
      <c r="F208" s="56"/>
      <c r="G208" s="56"/>
      <c r="H208" s="56"/>
      <c r="I208" s="56"/>
      <c r="J208" s="2"/>
      <c r="K208" s="2"/>
      <c r="L208" s="2"/>
      <c r="M208" s="2"/>
      <c r="N208" s="2"/>
      <c r="O208" s="2"/>
      <c r="P208" s="53"/>
      <c r="Q208" s="53"/>
      <c r="R208" s="2"/>
      <c r="S208" s="2"/>
      <c r="T208" s="2"/>
    </row>
    <row r="209" spans="1:20" x14ac:dyDescent="0.25">
      <c r="A209" s="3"/>
      <c r="B209" s="3"/>
      <c r="C209" s="2"/>
      <c r="D209" s="2"/>
      <c r="E209" s="56"/>
      <c r="F209" s="56"/>
      <c r="G209" s="56"/>
      <c r="H209" s="56"/>
      <c r="I209" s="56"/>
      <c r="J209" s="2"/>
      <c r="K209" s="2"/>
      <c r="L209" s="2"/>
      <c r="M209" s="2"/>
      <c r="N209" s="2"/>
      <c r="O209" s="2"/>
      <c r="P209" s="53"/>
      <c r="Q209" s="53"/>
      <c r="R209" s="2"/>
      <c r="S209" s="2"/>
      <c r="T209" s="2"/>
    </row>
    <row r="210" spans="1:20" x14ac:dyDescent="0.25">
      <c r="A210" s="3"/>
      <c r="B210" s="3"/>
      <c r="C210" s="2"/>
      <c r="D210" s="2"/>
      <c r="E210" s="56"/>
      <c r="F210" s="56"/>
      <c r="G210" s="56"/>
      <c r="H210" s="56"/>
      <c r="I210" s="56"/>
      <c r="J210" s="2"/>
      <c r="K210" s="2"/>
      <c r="L210" s="2"/>
      <c r="M210" s="2"/>
      <c r="N210" s="2"/>
      <c r="O210" s="2"/>
      <c r="P210" s="53"/>
      <c r="Q210" s="53"/>
      <c r="R210" s="2"/>
      <c r="S210" s="2"/>
      <c r="T210" s="2"/>
    </row>
    <row r="211" spans="1:20" x14ac:dyDescent="0.25">
      <c r="A211" s="3"/>
      <c r="B211" s="3"/>
      <c r="C211" s="2"/>
      <c r="D211" s="2"/>
      <c r="E211" s="56"/>
      <c r="F211" s="56"/>
      <c r="G211" s="56"/>
      <c r="H211" s="56"/>
      <c r="I211" s="56"/>
      <c r="J211" s="2"/>
      <c r="K211" s="2"/>
      <c r="L211" s="2"/>
      <c r="M211" s="2"/>
      <c r="N211" s="2"/>
      <c r="O211" s="2"/>
      <c r="P211" s="53"/>
      <c r="Q211" s="53"/>
      <c r="R211" s="2"/>
      <c r="S211" s="2"/>
      <c r="T211" s="2"/>
    </row>
    <row r="212" spans="1:20" x14ac:dyDescent="0.25">
      <c r="A212" s="3"/>
      <c r="B212" s="3"/>
      <c r="C212" s="2"/>
      <c r="D212" s="2"/>
      <c r="E212" s="56"/>
      <c r="F212" s="56"/>
      <c r="G212" s="56"/>
      <c r="H212" s="56"/>
      <c r="I212" s="56"/>
      <c r="J212" s="2"/>
      <c r="K212" s="2"/>
      <c r="L212" s="2"/>
      <c r="M212" s="2"/>
      <c r="N212" s="2"/>
      <c r="O212" s="2"/>
      <c r="P212" s="53"/>
      <c r="Q212" s="53"/>
      <c r="R212" s="2"/>
      <c r="S212" s="2"/>
      <c r="T212" s="2"/>
    </row>
    <row r="213" spans="1:20" x14ac:dyDescent="0.25">
      <c r="A213" s="3"/>
      <c r="B213" s="3"/>
      <c r="C213" s="2"/>
      <c r="D213" s="2"/>
      <c r="E213" s="56"/>
      <c r="F213" s="56"/>
      <c r="G213" s="56"/>
      <c r="H213" s="56"/>
      <c r="I213" s="56"/>
      <c r="J213" s="2"/>
      <c r="K213" s="2"/>
      <c r="L213" s="2"/>
      <c r="M213" s="2"/>
      <c r="N213" s="2"/>
      <c r="O213" s="2"/>
      <c r="P213" s="53"/>
      <c r="Q213" s="53"/>
      <c r="R213" s="2"/>
      <c r="S213" s="2"/>
      <c r="T213" s="2"/>
    </row>
    <row r="214" spans="1:20" x14ac:dyDescent="0.25">
      <c r="A214" s="3"/>
      <c r="B214" s="3"/>
      <c r="C214" s="2"/>
      <c r="D214" s="2"/>
      <c r="E214" s="56"/>
      <c r="F214" s="56"/>
      <c r="G214" s="56"/>
      <c r="H214" s="56"/>
      <c r="I214" s="56"/>
      <c r="J214" s="2"/>
      <c r="K214" s="2"/>
      <c r="L214" s="2"/>
      <c r="M214" s="2"/>
      <c r="N214" s="2"/>
      <c r="O214" s="2"/>
      <c r="P214" s="53"/>
      <c r="Q214" s="53"/>
      <c r="R214" s="2"/>
      <c r="S214" s="2"/>
      <c r="T214" s="2"/>
    </row>
    <row r="215" spans="1:20" x14ac:dyDescent="0.25">
      <c r="A215" s="3"/>
      <c r="B215" s="3"/>
      <c r="C215" s="2"/>
      <c r="D215" s="2"/>
      <c r="E215" s="56"/>
      <c r="F215" s="56"/>
      <c r="G215" s="56"/>
      <c r="H215" s="56"/>
      <c r="I215" s="56"/>
      <c r="J215" s="2"/>
      <c r="K215" s="2"/>
      <c r="L215" s="2"/>
      <c r="M215" s="2"/>
      <c r="N215" s="2"/>
      <c r="O215" s="2"/>
      <c r="P215" s="53"/>
      <c r="Q215" s="53"/>
      <c r="R215" s="2"/>
      <c r="S215" s="2"/>
      <c r="T215" s="2"/>
    </row>
    <row r="216" spans="1:20" x14ac:dyDescent="0.25">
      <c r="A216" s="3"/>
      <c r="B216" s="3"/>
      <c r="C216" s="2"/>
      <c r="D216" s="2"/>
      <c r="E216" s="56"/>
      <c r="F216" s="56"/>
      <c r="G216" s="56"/>
      <c r="H216" s="56"/>
      <c r="I216" s="56"/>
      <c r="J216" s="2"/>
      <c r="K216" s="2"/>
      <c r="L216" s="2"/>
      <c r="M216" s="2"/>
      <c r="N216" s="2"/>
      <c r="O216" s="2"/>
      <c r="P216" s="53"/>
      <c r="Q216" s="53"/>
      <c r="R216" s="2"/>
      <c r="S216" s="2"/>
      <c r="T216" s="2"/>
    </row>
    <row r="217" spans="1:20" x14ac:dyDescent="0.25">
      <c r="A217" s="3"/>
      <c r="B217" s="3"/>
      <c r="C217" s="2"/>
      <c r="D217" s="2"/>
      <c r="E217" s="56"/>
      <c r="F217" s="56"/>
      <c r="G217" s="56"/>
      <c r="H217" s="56"/>
      <c r="I217" s="56"/>
      <c r="J217" s="2"/>
      <c r="K217" s="2"/>
      <c r="L217" s="2"/>
      <c r="M217" s="2"/>
      <c r="N217" s="2"/>
      <c r="O217" s="2"/>
      <c r="P217" s="53"/>
      <c r="Q217" s="53"/>
      <c r="R217" s="2"/>
      <c r="S217" s="2"/>
      <c r="T217" s="2"/>
    </row>
    <row r="218" spans="1:20" x14ac:dyDescent="0.25">
      <c r="A218" s="3"/>
      <c r="B218" s="3"/>
      <c r="C218" s="2"/>
      <c r="D218" s="2"/>
      <c r="E218" s="56"/>
      <c r="F218" s="56"/>
      <c r="G218" s="56"/>
      <c r="H218" s="56"/>
      <c r="I218" s="56"/>
      <c r="J218" s="2"/>
      <c r="K218" s="2"/>
      <c r="L218" s="2"/>
      <c r="M218" s="2"/>
      <c r="N218" s="2"/>
      <c r="O218" s="2"/>
      <c r="P218" s="53"/>
      <c r="Q218" s="53"/>
      <c r="R218" s="2"/>
      <c r="S218" s="2"/>
      <c r="T218" s="2"/>
    </row>
    <row r="219" spans="1:20" x14ac:dyDescent="0.25">
      <c r="A219" s="3"/>
      <c r="B219" s="3"/>
      <c r="C219" s="2"/>
      <c r="D219" s="2"/>
      <c r="E219" s="56"/>
      <c r="F219" s="56"/>
      <c r="G219" s="56"/>
      <c r="H219" s="56"/>
      <c r="I219" s="56"/>
      <c r="J219" s="2"/>
      <c r="K219" s="2"/>
      <c r="L219" s="2"/>
      <c r="M219" s="2"/>
      <c r="N219" s="2"/>
      <c r="O219" s="2"/>
      <c r="P219" s="53"/>
      <c r="Q219" s="53"/>
      <c r="R219" s="2"/>
      <c r="S219" s="2"/>
      <c r="T219" s="2"/>
    </row>
    <row r="220" spans="1:20" x14ac:dyDescent="0.25">
      <c r="A220" s="3"/>
      <c r="B220" s="3"/>
      <c r="C220" s="2"/>
      <c r="D220" s="2"/>
      <c r="E220" s="56"/>
      <c r="F220" s="56"/>
      <c r="G220" s="56"/>
      <c r="H220" s="56"/>
      <c r="I220" s="56"/>
      <c r="J220" s="2"/>
      <c r="K220" s="2"/>
      <c r="L220" s="2"/>
      <c r="M220" s="2"/>
      <c r="N220" s="2"/>
      <c r="O220" s="2"/>
      <c r="P220" s="53"/>
      <c r="Q220" s="53"/>
      <c r="R220" s="2"/>
      <c r="S220" s="2"/>
      <c r="T220" s="2"/>
    </row>
    <row r="221" spans="1:20" x14ac:dyDescent="0.25">
      <c r="A221" s="3"/>
      <c r="B221" s="3"/>
      <c r="C221" s="2"/>
      <c r="D221" s="2"/>
      <c r="E221" s="56"/>
      <c r="F221" s="56"/>
      <c r="G221" s="56"/>
      <c r="H221" s="56"/>
      <c r="I221" s="56"/>
      <c r="J221" s="2"/>
      <c r="K221" s="2"/>
      <c r="L221" s="2"/>
      <c r="M221" s="2"/>
      <c r="N221" s="2"/>
      <c r="O221" s="2"/>
      <c r="P221" s="53"/>
      <c r="Q221" s="53"/>
      <c r="R221" s="2"/>
      <c r="S221" s="2"/>
      <c r="T221" s="2"/>
    </row>
    <row r="222" spans="1:20" x14ac:dyDescent="0.25">
      <c r="A222" s="3"/>
      <c r="B222" s="3"/>
      <c r="C222" s="2"/>
      <c r="D222" s="2"/>
      <c r="E222" s="56"/>
      <c r="F222" s="56"/>
      <c r="G222" s="56"/>
      <c r="H222" s="56"/>
      <c r="I222" s="56"/>
      <c r="J222" s="2"/>
      <c r="K222" s="2"/>
      <c r="L222" s="2"/>
      <c r="M222" s="2"/>
      <c r="N222" s="2"/>
      <c r="O222" s="2"/>
      <c r="P222" s="53"/>
      <c r="Q222" s="53"/>
      <c r="R222" s="2"/>
      <c r="S222" s="2"/>
      <c r="T222" s="2"/>
    </row>
    <row r="223" spans="1:20" x14ac:dyDescent="0.25">
      <c r="A223" s="3"/>
      <c r="B223" s="3"/>
      <c r="C223" s="2"/>
      <c r="D223" s="2"/>
      <c r="E223" s="56"/>
      <c r="F223" s="56"/>
      <c r="G223" s="56"/>
      <c r="H223" s="56"/>
      <c r="I223" s="56"/>
      <c r="J223" s="2"/>
      <c r="K223" s="2"/>
      <c r="L223" s="2"/>
      <c r="M223" s="2"/>
      <c r="N223" s="2"/>
      <c r="O223" s="2"/>
      <c r="P223" s="53"/>
      <c r="Q223" s="53"/>
      <c r="R223" s="2"/>
      <c r="S223" s="2"/>
      <c r="T223" s="2"/>
    </row>
    <row r="224" spans="1:20" x14ac:dyDescent="0.25">
      <c r="A224" s="3"/>
      <c r="B224" s="3"/>
      <c r="C224" s="2"/>
      <c r="D224" s="2"/>
      <c r="E224" s="56"/>
      <c r="F224" s="56"/>
      <c r="G224" s="56"/>
      <c r="H224" s="56"/>
      <c r="I224" s="56"/>
      <c r="J224" s="2"/>
      <c r="K224" s="2"/>
      <c r="L224" s="2"/>
      <c r="M224" s="2"/>
      <c r="N224" s="2"/>
      <c r="O224" s="2"/>
      <c r="P224" s="53"/>
      <c r="Q224" s="53"/>
      <c r="R224" s="2"/>
      <c r="S224" s="2"/>
      <c r="T224" s="2"/>
    </row>
    <row r="225" spans="1:20" x14ac:dyDescent="0.25">
      <c r="A225" s="3"/>
      <c r="B225" s="3"/>
      <c r="C225" s="2"/>
      <c r="D225" s="2"/>
      <c r="E225" s="56"/>
      <c r="F225" s="56"/>
      <c r="G225" s="56"/>
      <c r="H225" s="56"/>
      <c r="I225" s="56"/>
      <c r="J225" s="2"/>
      <c r="K225" s="2"/>
      <c r="L225" s="2"/>
      <c r="M225" s="2"/>
      <c r="N225" s="2"/>
      <c r="O225" s="2"/>
      <c r="P225" s="53"/>
      <c r="Q225" s="53"/>
      <c r="R225" s="2"/>
      <c r="S225" s="2"/>
      <c r="T225" s="2"/>
    </row>
    <row r="226" spans="1:20" x14ac:dyDescent="0.25">
      <c r="A226" s="3"/>
      <c r="B226" s="3"/>
      <c r="C226" s="2"/>
      <c r="D226" s="2"/>
      <c r="E226" s="56"/>
      <c r="F226" s="56"/>
      <c r="G226" s="56"/>
      <c r="H226" s="56"/>
      <c r="I226" s="56"/>
      <c r="J226" s="2"/>
      <c r="K226" s="2"/>
      <c r="L226" s="2"/>
      <c r="M226" s="2"/>
      <c r="N226" s="2"/>
      <c r="O226" s="2"/>
      <c r="P226" s="53"/>
      <c r="Q226" s="53"/>
      <c r="R226" s="2"/>
      <c r="S226" s="2"/>
      <c r="T226" s="2"/>
    </row>
    <row r="227" spans="1:20" x14ac:dyDescent="0.25">
      <c r="A227" s="3"/>
      <c r="B227" s="3"/>
      <c r="C227" s="2"/>
      <c r="D227" s="2"/>
      <c r="E227" s="56"/>
      <c r="F227" s="56"/>
      <c r="G227" s="56"/>
      <c r="H227" s="56"/>
      <c r="I227" s="56"/>
      <c r="J227" s="2"/>
      <c r="K227" s="2"/>
      <c r="L227" s="2"/>
      <c r="M227" s="2"/>
      <c r="N227" s="2"/>
      <c r="O227" s="2"/>
      <c r="P227" s="53"/>
      <c r="Q227" s="53"/>
      <c r="R227" s="2"/>
      <c r="S227" s="2"/>
      <c r="T227" s="2"/>
    </row>
    <row r="228" spans="1:20" x14ac:dyDescent="0.25">
      <c r="A228" s="3"/>
      <c r="B228" s="3"/>
      <c r="C228" s="2"/>
      <c r="D228" s="2"/>
      <c r="E228" s="56"/>
      <c r="F228" s="56"/>
      <c r="G228" s="56"/>
      <c r="H228" s="56"/>
      <c r="I228" s="56"/>
      <c r="J228" s="2"/>
      <c r="K228" s="2"/>
      <c r="L228" s="2"/>
      <c r="M228" s="2"/>
      <c r="N228" s="2"/>
      <c r="O228" s="2"/>
      <c r="P228" s="53"/>
      <c r="Q228" s="53"/>
      <c r="R228" s="2"/>
      <c r="S228" s="2"/>
      <c r="T228" s="2"/>
    </row>
    <row r="229" spans="1:20" x14ac:dyDescent="0.25">
      <c r="A229" s="3"/>
      <c r="B229" s="3"/>
      <c r="C229" s="2"/>
      <c r="D229" s="2"/>
      <c r="E229" s="56"/>
      <c r="F229" s="56"/>
      <c r="G229" s="56"/>
      <c r="H229" s="56"/>
      <c r="I229" s="56"/>
      <c r="J229" s="2"/>
      <c r="K229" s="2"/>
      <c r="L229" s="2"/>
      <c r="M229" s="2"/>
      <c r="N229" s="2"/>
      <c r="O229" s="2"/>
      <c r="P229" s="53"/>
      <c r="Q229" s="53"/>
      <c r="R229" s="2"/>
      <c r="S229" s="2"/>
      <c r="T229" s="2"/>
    </row>
    <row r="230" spans="1:20" x14ac:dyDescent="0.25">
      <c r="A230" s="3"/>
      <c r="B230" s="3"/>
      <c r="C230" s="2"/>
      <c r="D230" s="2"/>
      <c r="E230" s="56"/>
      <c r="F230" s="56"/>
      <c r="G230" s="56"/>
      <c r="H230" s="56"/>
      <c r="I230" s="56"/>
      <c r="J230" s="2"/>
      <c r="K230" s="2"/>
      <c r="L230" s="2"/>
      <c r="M230" s="2"/>
      <c r="N230" s="2"/>
      <c r="O230" s="2"/>
      <c r="P230" s="53"/>
      <c r="Q230" s="53"/>
      <c r="R230" s="2"/>
      <c r="S230" s="2"/>
      <c r="T230" s="2"/>
    </row>
    <row r="231" spans="1:20" x14ac:dyDescent="0.25">
      <c r="A231" s="3"/>
      <c r="B231" s="3"/>
      <c r="C231" s="2"/>
      <c r="D231" s="2"/>
      <c r="E231" s="56"/>
      <c r="F231" s="56"/>
      <c r="G231" s="56"/>
      <c r="H231" s="56"/>
      <c r="I231" s="56"/>
      <c r="J231" s="2"/>
      <c r="K231" s="2"/>
      <c r="L231" s="2"/>
      <c r="M231" s="2"/>
      <c r="N231" s="2"/>
      <c r="O231" s="2"/>
      <c r="P231" s="53"/>
      <c r="Q231" s="53"/>
      <c r="R231" s="2"/>
      <c r="S231" s="2"/>
      <c r="T231" s="2"/>
    </row>
    <row r="232" spans="1:20" x14ac:dyDescent="0.25">
      <c r="A232" s="3"/>
      <c r="B232" s="3"/>
      <c r="C232" s="2"/>
      <c r="D232" s="2"/>
      <c r="E232" s="56"/>
      <c r="F232" s="56"/>
      <c r="G232" s="56"/>
      <c r="H232" s="56"/>
      <c r="I232" s="56"/>
      <c r="J232" s="2"/>
      <c r="K232" s="2"/>
      <c r="L232" s="2"/>
      <c r="M232" s="2"/>
      <c r="N232" s="2"/>
      <c r="O232" s="2"/>
      <c r="P232" s="53"/>
      <c r="Q232" s="53"/>
      <c r="R232" s="2"/>
      <c r="S232" s="2"/>
      <c r="T232" s="2"/>
    </row>
    <row r="233" spans="1:20" x14ac:dyDescent="0.25">
      <c r="A233" s="3"/>
      <c r="B233" s="3"/>
      <c r="C233" s="2"/>
      <c r="D233" s="2"/>
      <c r="E233" s="56"/>
      <c r="F233" s="56"/>
      <c r="G233" s="56"/>
      <c r="H233" s="56"/>
      <c r="I233" s="56"/>
      <c r="J233" s="2"/>
      <c r="K233" s="2"/>
      <c r="L233" s="2"/>
      <c r="M233" s="2"/>
      <c r="N233" s="2"/>
      <c r="O233" s="2"/>
      <c r="P233" s="53"/>
      <c r="Q233" s="53"/>
      <c r="R233" s="2"/>
      <c r="S233" s="2"/>
      <c r="T233" s="2"/>
    </row>
    <row r="234" spans="1:20" x14ac:dyDescent="0.25">
      <c r="A234" s="3"/>
      <c r="B234" s="3"/>
      <c r="C234" s="2"/>
      <c r="D234" s="2"/>
      <c r="E234" s="56"/>
      <c r="F234" s="56"/>
      <c r="G234" s="56"/>
      <c r="H234" s="56"/>
      <c r="I234" s="56"/>
      <c r="J234" s="2"/>
      <c r="K234" s="2"/>
      <c r="L234" s="2"/>
      <c r="M234" s="2"/>
      <c r="N234" s="2"/>
      <c r="O234" s="2"/>
      <c r="P234" s="53"/>
      <c r="Q234" s="53"/>
      <c r="R234" s="2"/>
      <c r="S234" s="2"/>
      <c r="T234" s="2"/>
    </row>
    <row r="235" spans="1:20" x14ac:dyDescent="0.25">
      <c r="A235" s="3"/>
      <c r="B235" s="3"/>
      <c r="C235" s="2"/>
      <c r="D235" s="2"/>
      <c r="E235" s="56"/>
      <c r="F235" s="56"/>
      <c r="G235" s="56"/>
      <c r="H235" s="56"/>
      <c r="I235" s="56"/>
      <c r="J235" s="2"/>
      <c r="K235" s="2"/>
      <c r="L235" s="2"/>
      <c r="M235" s="2"/>
      <c r="N235" s="2"/>
      <c r="O235" s="2"/>
      <c r="P235" s="53"/>
      <c r="Q235" s="53"/>
      <c r="R235" s="2"/>
      <c r="S235" s="2"/>
      <c r="T235" s="2"/>
    </row>
    <row r="236" spans="1:20" x14ac:dyDescent="0.25">
      <c r="A236" s="3"/>
      <c r="B236" s="3"/>
      <c r="C236" s="2"/>
      <c r="D236" s="2"/>
      <c r="E236" s="56"/>
      <c r="F236" s="56"/>
      <c r="G236" s="56"/>
      <c r="H236" s="56"/>
      <c r="I236" s="56"/>
      <c r="J236" s="2"/>
      <c r="K236" s="2"/>
      <c r="L236" s="2"/>
      <c r="M236" s="2"/>
      <c r="N236" s="2"/>
      <c r="O236" s="2"/>
      <c r="P236" s="53"/>
      <c r="Q236" s="53"/>
      <c r="R236" s="2"/>
      <c r="S236" s="2"/>
      <c r="T236" s="2"/>
    </row>
    <row r="237" spans="1:20" x14ac:dyDescent="0.25">
      <c r="A237" s="3"/>
      <c r="B237" s="3"/>
      <c r="C237" s="2"/>
      <c r="D237" s="2"/>
      <c r="E237" s="56"/>
      <c r="F237" s="56"/>
      <c r="G237" s="56"/>
      <c r="H237" s="56"/>
      <c r="I237" s="56"/>
      <c r="J237" s="2"/>
      <c r="K237" s="2"/>
      <c r="L237" s="2"/>
      <c r="M237" s="2"/>
      <c r="N237" s="2"/>
      <c r="O237" s="2"/>
      <c r="P237" s="53"/>
      <c r="Q237" s="53"/>
      <c r="R237" s="2"/>
      <c r="S237" s="2"/>
      <c r="T237" s="2"/>
    </row>
    <row r="238" spans="1:20" x14ac:dyDescent="0.25">
      <c r="A238" s="3"/>
      <c r="B238" s="3"/>
      <c r="C238" s="2"/>
      <c r="D238" s="2"/>
      <c r="E238" s="56"/>
      <c r="F238" s="56"/>
      <c r="G238" s="56"/>
      <c r="H238" s="56"/>
      <c r="I238" s="56"/>
      <c r="J238" s="2"/>
      <c r="K238" s="2"/>
      <c r="L238" s="2"/>
      <c r="M238" s="2"/>
      <c r="N238" s="2"/>
      <c r="O238" s="2"/>
      <c r="P238" s="53"/>
      <c r="Q238" s="53"/>
      <c r="R238" s="2"/>
      <c r="S238" s="2"/>
      <c r="T238" s="2"/>
    </row>
    <row r="239" spans="1:20" x14ac:dyDescent="0.25">
      <c r="A239" s="3"/>
      <c r="B239" s="3"/>
      <c r="C239" s="2"/>
      <c r="D239" s="2"/>
      <c r="E239" s="56"/>
      <c r="F239" s="56"/>
      <c r="G239" s="56"/>
      <c r="H239" s="56"/>
      <c r="I239" s="56"/>
      <c r="J239" s="2"/>
      <c r="K239" s="2"/>
      <c r="L239" s="2"/>
      <c r="M239" s="2"/>
      <c r="N239" s="2"/>
      <c r="O239" s="2"/>
      <c r="P239" s="53"/>
      <c r="Q239" s="53"/>
      <c r="R239" s="2"/>
      <c r="S239" s="2"/>
      <c r="T239" s="2"/>
    </row>
    <row r="240" spans="1:20" x14ac:dyDescent="0.25">
      <c r="A240" s="3"/>
      <c r="B240" s="3"/>
      <c r="C240" s="2"/>
      <c r="D240" s="2"/>
      <c r="E240" s="56"/>
      <c r="F240" s="56"/>
      <c r="G240" s="56"/>
      <c r="H240" s="56"/>
      <c r="I240" s="56"/>
      <c r="J240" s="2"/>
      <c r="K240" s="2"/>
      <c r="L240" s="2"/>
      <c r="M240" s="2"/>
      <c r="N240" s="2"/>
      <c r="O240" s="2"/>
      <c r="P240" s="53"/>
      <c r="Q240" s="53"/>
      <c r="R240" s="2"/>
      <c r="S240" s="2"/>
      <c r="T240" s="2"/>
    </row>
    <row r="241" spans="1:20" x14ac:dyDescent="0.25">
      <c r="A241" s="3"/>
      <c r="B241" s="3"/>
      <c r="C241" s="2"/>
      <c r="D241" s="2"/>
      <c r="E241" s="56"/>
      <c r="F241" s="56"/>
      <c r="G241" s="56"/>
      <c r="H241" s="56"/>
      <c r="I241" s="56"/>
      <c r="J241" s="2"/>
      <c r="K241" s="2"/>
      <c r="L241" s="2"/>
      <c r="M241" s="2"/>
      <c r="N241" s="2"/>
      <c r="O241" s="2"/>
      <c r="P241" s="53"/>
      <c r="Q241" s="53"/>
      <c r="R241" s="2"/>
      <c r="S241" s="2"/>
      <c r="T241" s="2"/>
    </row>
    <row r="242" spans="1:20" x14ac:dyDescent="0.25">
      <c r="A242" s="3"/>
      <c r="B242" s="3"/>
      <c r="C242" s="2"/>
      <c r="D242" s="2"/>
      <c r="E242" s="56"/>
      <c r="F242" s="56"/>
      <c r="G242" s="56"/>
      <c r="H242" s="56"/>
      <c r="I242" s="56"/>
      <c r="J242" s="2"/>
      <c r="K242" s="2"/>
      <c r="L242" s="2"/>
      <c r="M242" s="2"/>
      <c r="N242" s="2"/>
      <c r="O242" s="2"/>
      <c r="P242" s="53"/>
      <c r="Q242" s="53"/>
      <c r="R242" s="2"/>
      <c r="S242" s="2"/>
      <c r="T242" s="2"/>
    </row>
    <row r="243" spans="1:20" x14ac:dyDescent="0.25">
      <c r="A243" s="3"/>
      <c r="B243" s="3"/>
      <c r="C243" s="2"/>
      <c r="D243" s="2"/>
      <c r="E243" s="56"/>
      <c r="F243" s="56"/>
      <c r="G243" s="56"/>
      <c r="H243" s="56"/>
      <c r="I243" s="56"/>
      <c r="J243" s="2"/>
      <c r="K243" s="2"/>
      <c r="L243" s="2"/>
      <c r="M243" s="2"/>
      <c r="N243" s="2"/>
      <c r="O243" s="2"/>
      <c r="P243" s="53"/>
      <c r="Q243" s="53"/>
      <c r="R243" s="2"/>
      <c r="S243" s="2"/>
      <c r="T243" s="2"/>
    </row>
    <row r="244" spans="1:20" x14ac:dyDescent="0.25">
      <c r="A244" s="3"/>
      <c r="B244" s="3"/>
      <c r="C244" s="2"/>
      <c r="D244" s="2"/>
      <c r="E244" s="56"/>
      <c r="F244" s="56"/>
      <c r="G244" s="56"/>
      <c r="H244" s="56"/>
      <c r="I244" s="56"/>
      <c r="J244" s="2"/>
      <c r="K244" s="2"/>
      <c r="L244" s="2"/>
      <c r="M244" s="2"/>
      <c r="N244" s="2"/>
      <c r="O244" s="2"/>
      <c r="P244" s="53"/>
      <c r="Q244" s="53"/>
      <c r="R244" s="2"/>
      <c r="S244" s="2"/>
      <c r="T244" s="2"/>
    </row>
    <row r="245" spans="1:20" x14ac:dyDescent="0.25">
      <c r="A245" s="3"/>
      <c r="B245" s="3"/>
      <c r="C245" s="2"/>
      <c r="D245" s="2"/>
      <c r="E245" s="56"/>
      <c r="F245" s="56"/>
      <c r="G245" s="56"/>
      <c r="H245" s="56"/>
      <c r="I245" s="56"/>
      <c r="J245" s="2"/>
      <c r="K245" s="2"/>
      <c r="L245" s="2"/>
      <c r="M245" s="2"/>
      <c r="N245" s="2"/>
      <c r="O245" s="2"/>
      <c r="P245" s="53"/>
      <c r="Q245" s="53"/>
      <c r="R245" s="2"/>
      <c r="S245" s="2"/>
      <c r="T245" s="2"/>
    </row>
    <row r="246" spans="1:20" x14ac:dyDescent="0.25">
      <c r="A246" s="3"/>
      <c r="B246" s="3"/>
      <c r="C246" s="2"/>
      <c r="D246" s="2"/>
      <c r="E246" s="56"/>
      <c r="F246" s="56"/>
      <c r="G246" s="56"/>
      <c r="H246" s="56"/>
      <c r="I246" s="56"/>
      <c r="J246" s="2"/>
      <c r="K246" s="2"/>
      <c r="L246" s="2"/>
      <c r="M246" s="2"/>
      <c r="N246" s="2"/>
      <c r="O246" s="2"/>
      <c r="P246" s="53"/>
      <c r="Q246" s="53"/>
      <c r="R246" s="2"/>
      <c r="S246" s="2"/>
      <c r="T246" s="2"/>
    </row>
    <row r="247" spans="1:20" x14ac:dyDescent="0.25">
      <c r="A247" s="3"/>
      <c r="B247" s="3"/>
      <c r="C247" s="2"/>
      <c r="D247" s="2"/>
      <c r="E247" s="56"/>
      <c r="F247" s="56"/>
      <c r="G247" s="56"/>
      <c r="H247" s="56"/>
      <c r="I247" s="56"/>
      <c r="J247" s="2"/>
      <c r="K247" s="2"/>
      <c r="L247" s="2"/>
      <c r="M247" s="2"/>
      <c r="N247" s="2"/>
      <c r="O247" s="2"/>
      <c r="P247" s="53"/>
      <c r="Q247" s="53"/>
      <c r="R247" s="2"/>
      <c r="S247" s="2"/>
      <c r="T247" s="2"/>
    </row>
    <row r="248" spans="1:20" x14ac:dyDescent="0.25">
      <c r="A248" s="3"/>
      <c r="B248" s="3"/>
      <c r="C248" s="2"/>
      <c r="D248" s="2"/>
      <c r="E248" s="56"/>
      <c r="F248" s="56"/>
      <c r="G248" s="56"/>
      <c r="H248" s="56"/>
      <c r="I248" s="56"/>
      <c r="J248" s="2"/>
      <c r="K248" s="2"/>
      <c r="L248" s="2"/>
      <c r="M248" s="2"/>
      <c r="N248" s="2"/>
      <c r="O248" s="2"/>
      <c r="P248" s="53"/>
      <c r="Q248" s="53"/>
      <c r="R248" s="2"/>
      <c r="S248" s="2"/>
      <c r="T248" s="2"/>
    </row>
    <row r="249" spans="1:20" x14ac:dyDescent="0.25">
      <c r="A249" s="3"/>
      <c r="B249" s="3"/>
      <c r="C249" s="2"/>
      <c r="D249" s="2"/>
      <c r="E249" s="56"/>
      <c r="F249" s="56"/>
      <c r="G249" s="56"/>
      <c r="H249" s="56"/>
      <c r="I249" s="56"/>
      <c r="J249" s="2"/>
      <c r="K249" s="2"/>
      <c r="L249" s="2"/>
      <c r="M249" s="2"/>
      <c r="N249" s="2"/>
      <c r="O249" s="2"/>
      <c r="P249" s="53"/>
      <c r="Q249" s="53"/>
      <c r="R249" s="2"/>
      <c r="S249" s="2"/>
      <c r="T249" s="2"/>
    </row>
    <row r="250" spans="1:20" x14ac:dyDescent="0.25">
      <c r="A250" s="3"/>
      <c r="B250" s="3"/>
      <c r="C250" s="2"/>
      <c r="D250" s="2"/>
      <c r="E250" s="56"/>
      <c r="F250" s="56"/>
      <c r="G250" s="56"/>
      <c r="H250" s="56"/>
      <c r="I250" s="56"/>
      <c r="J250" s="2"/>
      <c r="K250" s="2"/>
      <c r="L250" s="2"/>
      <c r="M250" s="2"/>
      <c r="N250" s="2"/>
      <c r="O250" s="2"/>
      <c r="P250" s="53"/>
      <c r="Q250" s="53"/>
      <c r="R250" s="2"/>
      <c r="S250" s="2"/>
      <c r="T250" s="2"/>
    </row>
    <row r="251" spans="1:20" x14ac:dyDescent="0.25">
      <c r="A251" s="3"/>
      <c r="B251" s="3"/>
      <c r="C251" s="2"/>
      <c r="D251" s="2"/>
      <c r="E251" s="56"/>
      <c r="F251" s="56"/>
      <c r="G251" s="56"/>
      <c r="H251" s="56"/>
      <c r="I251" s="56"/>
      <c r="J251" s="2"/>
      <c r="K251" s="2"/>
      <c r="L251" s="2"/>
      <c r="M251" s="2"/>
      <c r="N251" s="2"/>
      <c r="O251" s="2"/>
      <c r="P251" s="53"/>
      <c r="Q251" s="53"/>
      <c r="R251" s="2"/>
      <c r="S251" s="2"/>
      <c r="T251" s="2"/>
    </row>
    <row r="252" spans="1:20" x14ac:dyDescent="0.25">
      <c r="A252" s="3"/>
      <c r="B252" s="3"/>
      <c r="C252" s="2"/>
      <c r="D252" s="2"/>
      <c r="E252" s="56"/>
      <c r="F252" s="56"/>
      <c r="G252" s="56"/>
      <c r="H252" s="56"/>
      <c r="I252" s="56"/>
      <c r="J252" s="2"/>
      <c r="K252" s="2"/>
      <c r="L252" s="2"/>
      <c r="M252" s="2"/>
      <c r="N252" s="2"/>
      <c r="O252" s="2"/>
      <c r="P252" s="53"/>
      <c r="Q252" s="53"/>
      <c r="R252" s="2"/>
      <c r="S252" s="2"/>
      <c r="T252" s="2"/>
    </row>
    <row r="253" spans="1:20" x14ac:dyDescent="0.25">
      <c r="A253" s="3"/>
      <c r="B253" s="3"/>
      <c r="C253" s="2"/>
      <c r="D253" s="2"/>
      <c r="E253" s="56"/>
      <c r="F253" s="56"/>
      <c r="G253" s="56"/>
      <c r="H253" s="56"/>
      <c r="I253" s="56"/>
      <c r="J253" s="2"/>
      <c r="K253" s="2"/>
      <c r="L253" s="2"/>
      <c r="M253" s="2"/>
      <c r="N253" s="2"/>
      <c r="O253" s="2"/>
      <c r="P253" s="53"/>
      <c r="Q253" s="53"/>
      <c r="R253" s="2"/>
      <c r="S253" s="2"/>
      <c r="T253" s="2"/>
    </row>
    <row r="254" spans="1:20" x14ac:dyDescent="0.25">
      <c r="A254" s="3"/>
      <c r="B254" s="3"/>
      <c r="C254" s="2"/>
      <c r="D254" s="2"/>
      <c r="E254" s="56"/>
      <c r="F254" s="56"/>
      <c r="G254" s="56"/>
      <c r="H254" s="56"/>
      <c r="I254" s="56"/>
      <c r="J254" s="2"/>
      <c r="K254" s="2"/>
      <c r="L254" s="2"/>
      <c r="M254" s="2"/>
      <c r="N254" s="2"/>
      <c r="O254" s="2"/>
      <c r="P254" s="53"/>
      <c r="Q254" s="53"/>
      <c r="R254" s="2"/>
      <c r="S254" s="2"/>
      <c r="T254" s="2"/>
    </row>
    <row r="255" spans="1:20" x14ac:dyDescent="0.25">
      <c r="A255" s="3"/>
      <c r="B255" s="3"/>
      <c r="C255" s="2"/>
      <c r="D255" s="2"/>
      <c r="E255" s="56"/>
      <c r="F255" s="56"/>
      <c r="G255" s="56"/>
      <c r="H255" s="56"/>
      <c r="I255" s="56"/>
      <c r="J255" s="2"/>
      <c r="K255" s="2"/>
      <c r="L255" s="2"/>
      <c r="M255" s="2"/>
      <c r="N255" s="2"/>
      <c r="O255" s="2"/>
      <c r="P255" s="53"/>
      <c r="Q255" s="53"/>
      <c r="R255" s="2"/>
      <c r="S255" s="2"/>
      <c r="T255" s="2"/>
    </row>
    <row r="256" spans="1:20" x14ac:dyDescent="0.25">
      <c r="A256" s="3"/>
      <c r="B256" s="3"/>
      <c r="C256" s="2"/>
      <c r="D256" s="2"/>
      <c r="E256" s="56"/>
      <c r="F256" s="56"/>
      <c r="G256" s="56"/>
      <c r="H256" s="56"/>
      <c r="I256" s="56"/>
      <c r="J256" s="2"/>
      <c r="K256" s="2"/>
      <c r="L256" s="2"/>
      <c r="M256" s="2"/>
      <c r="N256" s="2"/>
      <c r="O256" s="2"/>
      <c r="P256" s="53"/>
      <c r="Q256" s="53"/>
      <c r="R256" s="2"/>
      <c r="S256" s="2"/>
      <c r="T256" s="2"/>
    </row>
    <row r="257" spans="1:20" x14ac:dyDescent="0.25">
      <c r="A257" s="3"/>
      <c r="B257" s="3"/>
      <c r="C257" s="2"/>
      <c r="D257" s="2"/>
      <c r="E257" s="56"/>
      <c r="F257" s="56"/>
      <c r="G257" s="56"/>
      <c r="H257" s="56"/>
      <c r="I257" s="56"/>
      <c r="J257" s="2"/>
      <c r="K257" s="2"/>
      <c r="L257" s="2"/>
      <c r="M257" s="2"/>
      <c r="N257" s="2"/>
      <c r="O257" s="2"/>
      <c r="P257" s="53"/>
      <c r="Q257" s="53"/>
      <c r="R257" s="2"/>
      <c r="S257" s="2"/>
      <c r="T257" s="2"/>
    </row>
    <row r="258" spans="1:20" x14ac:dyDescent="0.25">
      <c r="A258" s="3"/>
      <c r="B258" s="3"/>
      <c r="C258" s="2"/>
      <c r="D258" s="2"/>
      <c r="E258" s="56"/>
      <c r="F258" s="56"/>
      <c r="G258" s="56"/>
      <c r="H258" s="56"/>
      <c r="I258" s="56"/>
      <c r="J258" s="2"/>
      <c r="K258" s="2"/>
      <c r="L258" s="2"/>
      <c r="M258" s="2"/>
      <c r="N258" s="2"/>
      <c r="O258" s="2"/>
      <c r="P258" s="53"/>
      <c r="Q258" s="53"/>
      <c r="R258" s="2"/>
      <c r="S258" s="2"/>
      <c r="T258" s="2"/>
    </row>
    <row r="259" spans="1:20" x14ac:dyDescent="0.25">
      <c r="A259" s="3"/>
      <c r="B259" s="3"/>
      <c r="C259" s="2"/>
      <c r="D259" s="2"/>
      <c r="E259" s="56"/>
      <c r="F259" s="56"/>
      <c r="G259" s="56"/>
      <c r="H259" s="56"/>
      <c r="I259" s="56"/>
      <c r="J259" s="2"/>
      <c r="K259" s="2"/>
      <c r="L259" s="2"/>
      <c r="M259" s="2"/>
      <c r="N259" s="2"/>
      <c r="O259" s="2"/>
      <c r="P259" s="53"/>
      <c r="Q259" s="53"/>
      <c r="R259" s="2"/>
      <c r="S259" s="2"/>
      <c r="T259" s="2"/>
    </row>
    <row r="260" spans="1:20" x14ac:dyDescent="0.25">
      <c r="A260" s="3"/>
      <c r="B260" s="3"/>
      <c r="C260" s="2"/>
      <c r="D260" s="2"/>
      <c r="E260" s="56"/>
      <c r="F260" s="56"/>
      <c r="G260" s="56"/>
      <c r="H260" s="56"/>
      <c r="I260" s="56"/>
      <c r="J260" s="2"/>
      <c r="K260" s="2"/>
      <c r="L260" s="2"/>
      <c r="M260" s="2"/>
      <c r="N260" s="2"/>
      <c r="O260" s="2"/>
      <c r="P260" s="53"/>
      <c r="Q260" s="53"/>
      <c r="R260" s="2"/>
      <c r="S260" s="2"/>
      <c r="T260" s="2"/>
    </row>
    <row r="261" spans="1:20" x14ac:dyDescent="0.25">
      <c r="A261" s="3"/>
      <c r="B261" s="3"/>
      <c r="C261" s="2"/>
      <c r="D261" s="2"/>
      <c r="E261" s="56"/>
      <c r="F261" s="56"/>
      <c r="G261" s="56"/>
      <c r="H261" s="56"/>
      <c r="I261" s="56"/>
      <c r="J261" s="2"/>
      <c r="K261" s="2"/>
      <c r="L261" s="2"/>
      <c r="M261" s="2"/>
      <c r="N261" s="2"/>
      <c r="O261" s="2"/>
      <c r="P261" s="53"/>
      <c r="Q261" s="53"/>
      <c r="R261" s="2"/>
      <c r="S261" s="2"/>
      <c r="T261" s="2"/>
    </row>
    <row r="262" spans="1:20" x14ac:dyDescent="0.25">
      <c r="A262" s="3"/>
      <c r="B262" s="3"/>
      <c r="C262" s="2"/>
      <c r="D262" s="2"/>
      <c r="E262" s="56"/>
      <c r="F262" s="56"/>
      <c r="G262" s="56"/>
      <c r="H262" s="56"/>
      <c r="I262" s="56"/>
      <c r="J262" s="2"/>
      <c r="K262" s="2"/>
      <c r="L262" s="2"/>
      <c r="M262" s="2"/>
      <c r="N262" s="2"/>
      <c r="O262" s="2"/>
      <c r="P262" s="53"/>
      <c r="Q262" s="53"/>
      <c r="R262" s="2"/>
      <c r="S262" s="2"/>
      <c r="T262" s="2"/>
    </row>
    <row r="263" spans="1:20" x14ac:dyDescent="0.25">
      <c r="A263" s="3"/>
      <c r="B263" s="3"/>
      <c r="C263" s="2"/>
      <c r="D263" s="2"/>
      <c r="E263" s="56"/>
      <c r="F263" s="56"/>
      <c r="G263" s="56"/>
      <c r="H263" s="56"/>
      <c r="I263" s="56"/>
      <c r="J263" s="2"/>
      <c r="K263" s="2"/>
      <c r="L263" s="2"/>
      <c r="M263" s="2"/>
      <c r="N263" s="2"/>
      <c r="O263" s="2"/>
      <c r="P263" s="53"/>
      <c r="Q263" s="53"/>
      <c r="R263" s="2"/>
      <c r="S263" s="2"/>
      <c r="T263" s="2"/>
    </row>
    <row r="264" spans="1:20" x14ac:dyDescent="0.25">
      <c r="A264" s="3"/>
      <c r="B264" s="3"/>
      <c r="C264" s="2"/>
      <c r="D264" s="2"/>
      <c r="E264" s="56"/>
      <c r="F264" s="56"/>
      <c r="G264" s="56"/>
      <c r="H264" s="56"/>
      <c r="I264" s="56"/>
      <c r="J264" s="2"/>
      <c r="K264" s="2"/>
      <c r="L264" s="2"/>
      <c r="M264" s="2"/>
      <c r="N264" s="2"/>
      <c r="O264" s="2"/>
      <c r="P264" s="53"/>
      <c r="Q264" s="53"/>
      <c r="R264" s="2"/>
      <c r="S264" s="2"/>
      <c r="T264" s="2"/>
    </row>
    <row r="265" spans="1:20" x14ac:dyDescent="0.25">
      <c r="A265" s="3"/>
      <c r="B265" s="3"/>
      <c r="C265" s="2"/>
      <c r="D265" s="2"/>
      <c r="E265" s="56"/>
      <c r="F265" s="56"/>
      <c r="G265" s="56"/>
      <c r="H265" s="56"/>
      <c r="I265" s="56"/>
      <c r="J265" s="2"/>
      <c r="K265" s="2"/>
      <c r="L265" s="2"/>
      <c r="M265" s="2"/>
      <c r="N265" s="2"/>
      <c r="O265" s="2"/>
      <c r="P265" s="53"/>
      <c r="Q265" s="53"/>
      <c r="R265" s="2"/>
      <c r="S265" s="2"/>
      <c r="T265" s="2"/>
    </row>
    <row r="266" spans="1:20" x14ac:dyDescent="0.25">
      <c r="A266" s="3"/>
      <c r="B266" s="3"/>
      <c r="C266" s="2"/>
      <c r="D266" s="2"/>
      <c r="E266" s="56"/>
      <c r="F266" s="56"/>
      <c r="G266" s="56"/>
      <c r="H266" s="56"/>
      <c r="I266" s="56"/>
      <c r="J266" s="2"/>
      <c r="K266" s="2"/>
      <c r="L266" s="2"/>
      <c r="M266" s="2"/>
      <c r="N266" s="2"/>
      <c r="O266" s="2"/>
      <c r="P266" s="53"/>
      <c r="Q266" s="53"/>
      <c r="R266" s="2"/>
      <c r="S266" s="2"/>
      <c r="T266" s="2"/>
    </row>
    <row r="267" spans="1:20" x14ac:dyDescent="0.25">
      <c r="A267" s="3"/>
      <c r="B267" s="3"/>
      <c r="C267" s="2"/>
      <c r="D267" s="2"/>
      <c r="E267" s="56"/>
      <c r="F267" s="56"/>
      <c r="G267" s="56"/>
      <c r="H267" s="56"/>
      <c r="I267" s="56"/>
      <c r="J267" s="2"/>
      <c r="K267" s="2"/>
      <c r="L267" s="2"/>
      <c r="M267" s="2"/>
      <c r="N267" s="2"/>
      <c r="O267" s="2"/>
      <c r="P267" s="53"/>
      <c r="Q267" s="53"/>
      <c r="R267" s="2"/>
      <c r="S267" s="2"/>
      <c r="T267" s="2"/>
    </row>
    <row r="268" spans="1:20" x14ac:dyDescent="0.25">
      <c r="A268" s="3"/>
      <c r="B268" s="3"/>
      <c r="C268" s="2"/>
      <c r="D268" s="2"/>
      <c r="E268" s="56"/>
      <c r="F268" s="56"/>
      <c r="G268" s="56"/>
      <c r="H268" s="56"/>
      <c r="I268" s="56"/>
      <c r="J268" s="2"/>
      <c r="K268" s="2"/>
      <c r="L268" s="2"/>
      <c r="M268" s="2"/>
      <c r="N268" s="2"/>
      <c r="O268" s="2"/>
      <c r="P268" s="53"/>
      <c r="Q268" s="53"/>
      <c r="R268" s="2"/>
      <c r="S268" s="2"/>
      <c r="T268" s="2"/>
    </row>
    <row r="269" spans="1:20" x14ac:dyDescent="0.25">
      <c r="A269" s="3"/>
      <c r="B269" s="3"/>
      <c r="C269" s="2"/>
      <c r="D269" s="2"/>
      <c r="E269" s="56"/>
      <c r="F269" s="56"/>
      <c r="G269" s="56"/>
      <c r="H269" s="56"/>
      <c r="I269" s="56"/>
      <c r="J269" s="2"/>
      <c r="K269" s="2"/>
      <c r="L269" s="2"/>
      <c r="M269" s="2"/>
      <c r="N269" s="2"/>
      <c r="O269" s="2"/>
      <c r="P269" s="53"/>
      <c r="Q269" s="53"/>
      <c r="R269" s="2"/>
      <c r="S269" s="2"/>
      <c r="T269" s="2"/>
    </row>
    <row r="270" spans="1:20" x14ac:dyDescent="0.25">
      <c r="A270" s="3"/>
      <c r="B270" s="3"/>
      <c r="C270" s="2"/>
      <c r="D270" s="2"/>
      <c r="E270" s="56"/>
      <c r="F270" s="56"/>
      <c r="G270" s="56"/>
      <c r="H270" s="56"/>
      <c r="I270" s="56"/>
      <c r="J270" s="2"/>
      <c r="K270" s="2"/>
      <c r="L270" s="2"/>
      <c r="M270" s="2"/>
      <c r="N270" s="2"/>
      <c r="O270" s="2"/>
      <c r="P270" s="53"/>
      <c r="Q270" s="53"/>
      <c r="R270" s="2"/>
      <c r="S270" s="2"/>
      <c r="T270" s="2"/>
    </row>
    <row r="271" spans="1:20" x14ac:dyDescent="0.25">
      <c r="A271" s="3"/>
      <c r="B271" s="3"/>
      <c r="C271" s="2"/>
      <c r="D271" s="2"/>
      <c r="E271" s="56"/>
      <c r="F271" s="56"/>
      <c r="G271" s="56"/>
      <c r="H271" s="56"/>
      <c r="I271" s="56"/>
      <c r="J271" s="2"/>
      <c r="K271" s="2"/>
      <c r="L271" s="2"/>
      <c r="M271" s="2"/>
      <c r="N271" s="2"/>
      <c r="O271" s="2"/>
      <c r="P271" s="53"/>
      <c r="Q271" s="53"/>
      <c r="R271" s="2"/>
      <c r="S271" s="2"/>
      <c r="T271" s="2"/>
    </row>
    <row r="272" spans="1:20" x14ac:dyDescent="0.25">
      <c r="A272" s="3"/>
      <c r="B272" s="3"/>
      <c r="C272" s="2"/>
      <c r="D272" s="2"/>
      <c r="E272" s="56"/>
      <c r="F272" s="56"/>
      <c r="G272" s="56"/>
      <c r="H272" s="56"/>
      <c r="I272" s="56"/>
      <c r="J272" s="2"/>
      <c r="K272" s="2"/>
      <c r="L272" s="2"/>
      <c r="M272" s="2"/>
      <c r="N272" s="2"/>
      <c r="O272" s="2"/>
      <c r="P272" s="53"/>
      <c r="Q272" s="53"/>
      <c r="R272" s="2"/>
      <c r="S272" s="2"/>
      <c r="T272" s="2"/>
    </row>
    <row r="273" spans="1:20" x14ac:dyDescent="0.25">
      <c r="A273" s="3"/>
      <c r="B273" s="3"/>
      <c r="C273" s="2"/>
      <c r="D273" s="2"/>
      <c r="E273" s="56"/>
      <c r="F273" s="56"/>
      <c r="G273" s="56"/>
      <c r="H273" s="56"/>
      <c r="I273" s="56"/>
      <c r="J273" s="2"/>
      <c r="K273" s="2"/>
      <c r="L273" s="2"/>
      <c r="M273" s="2"/>
      <c r="N273" s="2"/>
      <c r="O273" s="2"/>
      <c r="P273" s="53"/>
      <c r="Q273" s="53"/>
      <c r="R273" s="2"/>
      <c r="S273" s="2"/>
      <c r="T273" s="2"/>
    </row>
    <row r="274" spans="1:20" x14ac:dyDescent="0.25">
      <c r="A274" s="3"/>
      <c r="B274" s="3"/>
      <c r="C274" s="2"/>
      <c r="D274" s="2"/>
      <c r="E274" s="56"/>
      <c r="F274" s="56"/>
      <c r="G274" s="56"/>
      <c r="H274" s="56"/>
      <c r="I274" s="56"/>
      <c r="J274" s="2"/>
      <c r="K274" s="2"/>
      <c r="L274" s="2"/>
      <c r="M274" s="2"/>
      <c r="N274" s="2"/>
      <c r="O274" s="2"/>
      <c r="P274" s="53"/>
      <c r="Q274" s="53"/>
      <c r="R274" s="2"/>
      <c r="S274" s="2"/>
      <c r="T274" s="2"/>
    </row>
    <row r="275" spans="1:20" x14ac:dyDescent="0.25">
      <c r="A275" s="3"/>
      <c r="B275" s="3"/>
      <c r="C275" s="2"/>
      <c r="D275" s="2"/>
      <c r="E275" s="56"/>
      <c r="F275" s="56"/>
      <c r="G275" s="56"/>
      <c r="H275" s="56"/>
      <c r="I275" s="56"/>
      <c r="J275" s="2"/>
      <c r="K275" s="2"/>
      <c r="L275" s="2"/>
      <c r="M275" s="2"/>
      <c r="N275" s="2"/>
      <c r="O275" s="2"/>
      <c r="P275" s="53"/>
      <c r="Q275" s="53"/>
      <c r="R275" s="2"/>
      <c r="S275" s="2"/>
      <c r="T275" s="2"/>
    </row>
    <row r="276" spans="1:20" x14ac:dyDescent="0.25">
      <c r="A276" s="3"/>
      <c r="B276" s="3"/>
      <c r="C276" s="2"/>
      <c r="D276" s="2"/>
      <c r="E276" s="56"/>
      <c r="F276" s="56"/>
      <c r="G276" s="56"/>
      <c r="H276" s="56"/>
      <c r="I276" s="56"/>
      <c r="J276" s="2"/>
      <c r="K276" s="2"/>
      <c r="L276" s="2"/>
      <c r="M276" s="2"/>
      <c r="N276" s="2"/>
      <c r="O276" s="2"/>
      <c r="P276" s="53"/>
      <c r="Q276" s="53"/>
      <c r="R276" s="2"/>
      <c r="S276" s="2"/>
      <c r="T276" s="2"/>
    </row>
    <row r="277" spans="1:20" x14ac:dyDescent="0.25">
      <c r="A277" s="3"/>
      <c r="B277" s="3"/>
      <c r="C277" s="2"/>
      <c r="D277" s="2"/>
      <c r="E277" s="56"/>
      <c r="F277" s="56"/>
      <c r="G277" s="56"/>
      <c r="H277" s="56"/>
      <c r="I277" s="56"/>
      <c r="J277" s="2"/>
      <c r="K277" s="2"/>
      <c r="L277" s="2"/>
      <c r="M277" s="2"/>
      <c r="N277" s="2"/>
      <c r="O277" s="2"/>
      <c r="P277" s="53"/>
      <c r="Q277" s="53"/>
      <c r="R277" s="2"/>
      <c r="S277" s="2"/>
      <c r="T277" s="2"/>
    </row>
    <row r="278" spans="1:20" x14ac:dyDescent="0.25">
      <c r="A278" s="3"/>
      <c r="B278" s="3"/>
      <c r="C278" s="2"/>
      <c r="D278" s="2"/>
      <c r="E278" s="56"/>
      <c r="F278" s="56"/>
      <c r="G278" s="56"/>
      <c r="H278" s="56"/>
      <c r="I278" s="56"/>
      <c r="J278" s="2"/>
      <c r="K278" s="2"/>
      <c r="L278" s="2"/>
      <c r="M278" s="2"/>
      <c r="N278" s="2"/>
      <c r="O278" s="2"/>
      <c r="P278" s="53"/>
      <c r="Q278" s="53"/>
      <c r="R278" s="2"/>
      <c r="S278" s="2"/>
      <c r="T278" s="2"/>
    </row>
    <row r="279" spans="1:20" x14ac:dyDescent="0.25">
      <c r="A279" s="3"/>
      <c r="B279" s="3"/>
      <c r="C279" s="2"/>
      <c r="D279" s="2"/>
      <c r="E279" s="56"/>
      <c r="F279" s="56"/>
      <c r="G279" s="56"/>
      <c r="H279" s="56"/>
      <c r="I279" s="56"/>
      <c r="J279" s="2"/>
      <c r="K279" s="2"/>
      <c r="L279" s="2"/>
      <c r="M279" s="2"/>
      <c r="N279" s="2"/>
      <c r="O279" s="2"/>
      <c r="P279" s="53"/>
      <c r="Q279" s="53"/>
      <c r="R279" s="2"/>
      <c r="S279" s="2"/>
      <c r="T279" s="2"/>
    </row>
    <row r="280" spans="1:20" x14ac:dyDescent="0.25">
      <c r="A280" s="3"/>
      <c r="B280" s="3"/>
      <c r="C280" s="2"/>
      <c r="D280" s="2"/>
      <c r="E280" s="56"/>
      <c r="F280" s="56"/>
      <c r="G280" s="56"/>
      <c r="H280" s="56"/>
      <c r="I280" s="56"/>
      <c r="J280" s="2"/>
      <c r="K280" s="2"/>
      <c r="L280" s="2"/>
      <c r="M280" s="2"/>
      <c r="N280" s="2"/>
      <c r="O280" s="2"/>
      <c r="P280" s="53"/>
      <c r="Q280" s="53"/>
      <c r="R280" s="2"/>
      <c r="S280" s="2"/>
      <c r="T280" s="2"/>
    </row>
    <row r="281" spans="1:20" x14ac:dyDescent="0.25">
      <c r="A281" s="3"/>
      <c r="B281" s="3"/>
      <c r="C281" s="2"/>
      <c r="D281" s="2"/>
      <c r="E281" s="56"/>
      <c r="F281" s="56"/>
      <c r="G281" s="56"/>
      <c r="H281" s="56"/>
      <c r="I281" s="56"/>
      <c r="J281" s="2"/>
      <c r="K281" s="2"/>
      <c r="L281" s="2"/>
      <c r="M281" s="2"/>
      <c r="N281" s="2"/>
      <c r="O281" s="2"/>
      <c r="P281" s="53"/>
      <c r="Q281" s="53"/>
      <c r="R281" s="2"/>
      <c r="S281" s="2"/>
      <c r="T281" s="2"/>
    </row>
    <row r="282" spans="1:20" x14ac:dyDescent="0.25">
      <c r="A282" s="3"/>
      <c r="B282" s="3"/>
      <c r="C282" s="2"/>
      <c r="D282" s="2"/>
      <c r="E282" s="56"/>
      <c r="F282" s="56"/>
      <c r="G282" s="56"/>
      <c r="H282" s="56"/>
      <c r="I282" s="56"/>
      <c r="J282" s="2"/>
      <c r="K282" s="2"/>
      <c r="L282" s="2"/>
      <c r="M282" s="2"/>
      <c r="N282" s="2"/>
      <c r="O282" s="2"/>
      <c r="P282" s="53"/>
      <c r="Q282" s="53"/>
      <c r="R282" s="2"/>
      <c r="S282" s="2"/>
      <c r="T282" s="2"/>
    </row>
    <row r="283" spans="1:20" x14ac:dyDescent="0.25">
      <c r="A283" s="3"/>
      <c r="B283" s="3"/>
      <c r="C283" s="2"/>
      <c r="D283" s="2"/>
      <c r="E283" s="56"/>
      <c r="F283" s="56"/>
      <c r="G283" s="56"/>
      <c r="H283" s="56"/>
      <c r="I283" s="56"/>
      <c r="J283" s="2"/>
      <c r="K283" s="2"/>
      <c r="L283" s="2"/>
      <c r="M283" s="2"/>
      <c r="N283" s="2"/>
      <c r="O283" s="2"/>
      <c r="P283" s="53"/>
      <c r="Q283" s="53"/>
      <c r="R283" s="2"/>
      <c r="S283" s="2"/>
      <c r="T283" s="2"/>
    </row>
    <row r="284" spans="1:20" x14ac:dyDescent="0.25">
      <c r="A284" s="3"/>
      <c r="B284" s="3"/>
      <c r="C284" s="2"/>
      <c r="D284" s="2"/>
      <c r="E284" s="56"/>
      <c r="F284" s="56"/>
      <c r="G284" s="56"/>
      <c r="H284" s="56"/>
      <c r="I284" s="56"/>
      <c r="J284" s="2"/>
      <c r="K284" s="2"/>
      <c r="L284" s="2"/>
      <c r="M284" s="2"/>
      <c r="N284" s="2"/>
      <c r="O284" s="2"/>
      <c r="P284" s="53"/>
      <c r="Q284" s="53"/>
      <c r="R284" s="2"/>
      <c r="S284" s="2"/>
      <c r="T284" s="2"/>
    </row>
    <row r="285" spans="1:20" x14ac:dyDescent="0.25">
      <c r="A285" s="3"/>
      <c r="B285" s="3"/>
      <c r="C285" s="2"/>
      <c r="D285" s="2"/>
      <c r="E285" s="56"/>
      <c r="F285" s="56"/>
      <c r="G285" s="56"/>
      <c r="H285" s="56"/>
      <c r="I285" s="56"/>
      <c r="J285" s="2"/>
      <c r="K285" s="2"/>
      <c r="L285" s="2"/>
      <c r="M285" s="2"/>
      <c r="N285" s="2"/>
      <c r="O285" s="2"/>
      <c r="P285" s="53"/>
      <c r="Q285" s="53"/>
      <c r="R285" s="2"/>
      <c r="S285" s="2"/>
      <c r="T285" s="2"/>
    </row>
    <row r="286" spans="1:20" x14ac:dyDescent="0.25">
      <c r="A286" s="3"/>
      <c r="B286" s="3"/>
      <c r="C286" s="2"/>
      <c r="D286" s="2"/>
      <c r="E286" s="56"/>
      <c r="F286" s="56"/>
      <c r="G286" s="56"/>
      <c r="H286" s="56"/>
      <c r="I286" s="56"/>
      <c r="J286" s="2"/>
      <c r="K286" s="2"/>
      <c r="L286" s="2"/>
      <c r="M286" s="2"/>
      <c r="N286" s="2"/>
      <c r="O286" s="2"/>
      <c r="P286" s="53"/>
      <c r="Q286" s="53"/>
      <c r="R286" s="2"/>
      <c r="S286" s="2"/>
      <c r="T286" s="2"/>
    </row>
    <row r="287" spans="1:20" x14ac:dyDescent="0.25">
      <c r="A287" s="3"/>
      <c r="B287" s="3"/>
      <c r="C287" s="2"/>
      <c r="D287" s="2"/>
      <c r="E287" s="56"/>
      <c r="F287" s="56"/>
      <c r="G287" s="56"/>
      <c r="H287" s="56"/>
      <c r="I287" s="56"/>
      <c r="J287" s="2"/>
      <c r="K287" s="2"/>
      <c r="L287" s="2"/>
      <c r="M287" s="2"/>
      <c r="N287" s="2"/>
      <c r="O287" s="2"/>
      <c r="P287" s="53"/>
      <c r="Q287" s="53"/>
      <c r="R287" s="2"/>
      <c r="S287" s="2"/>
      <c r="T287" s="2"/>
    </row>
    <row r="288" spans="1:20" x14ac:dyDescent="0.25">
      <c r="A288" s="3"/>
      <c r="B288" s="3"/>
      <c r="C288" s="2"/>
      <c r="D288" s="2"/>
      <c r="E288" s="56"/>
      <c r="F288" s="56"/>
      <c r="G288" s="56"/>
      <c r="H288" s="56"/>
      <c r="I288" s="56"/>
      <c r="J288" s="2"/>
      <c r="K288" s="2"/>
      <c r="L288" s="2"/>
      <c r="M288" s="2"/>
      <c r="N288" s="2"/>
      <c r="O288" s="2"/>
      <c r="P288" s="53"/>
      <c r="Q288" s="53"/>
      <c r="R288" s="2"/>
      <c r="S288" s="2"/>
      <c r="T288" s="2"/>
    </row>
    <row r="289" spans="1:20" x14ac:dyDescent="0.25">
      <c r="A289" s="3"/>
      <c r="B289" s="3"/>
      <c r="C289" s="2"/>
      <c r="D289" s="2"/>
      <c r="E289" s="56"/>
      <c r="F289" s="56"/>
      <c r="G289" s="56"/>
      <c r="H289" s="56"/>
      <c r="I289" s="56"/>
      <c r="J289" s="2"/>
      <c r="K289" s="2"/>
      <c r="L289" s="2"/>
      <c r="M289" s="2"/>
      <c r="N289" s="2"/>
      <c r="O289" s="2"/>
      <c r="P289" s="53"/>
      <c r="Q289" s="53"/>
      <c r="R289" s="2"/>
      <c r="S289" s="2"/>
      <c r="T289" s="2"/>
    </row>
    <row r="290" spans="1:20" x14ac:dyDescent="0.25">
      <c r="A290" s="3"/>
      <c r="B290" s="3"/>
      <c r="C290" s="2"/>
      <c r="D290" s="2"/>
      <c r="E290" s="56"/>
      <c r="F290" s="56"/>
      <c r="G290" s="56"/>
      <c r="H290" s="56"/>
      <c r="I290" s="56"/>
      <c r="J290" s="2"/>
      <c r="K290" s="2"/>
      <c r="L290" s="2"/>
      <c r="M290" s="2"/>
      <c r="N290" s="2"/>
      <c r="O290" s="2"/>
      <c r="P290" s="53"/>
      <c r="Q290" s="53"/>
      <c r="R290" s="2"/>
      <c r="S290" s="2"/>
      <c r="T290" s="2"/>
    </row>
    <row r="291" spans="1:20" x14ac:dyDescent="0.25">
      <c r="A291" s="3"/>
      <c r="B291" s="3"/>
      <c r="C291" s="2"/>
      <c r="D291" s="2"/>
      <c r="E291" s="56"/>
      <c r="F291" s="56"/>
      <c r="G291" s="56"/>
      <c r="H291" s="56"/>
      <c r="I291" s="56"/>
      <c r="J291" s="2"/>
      <c r="K291" s="2"/>
      <c r="L291" s="2"/>
      <c r="M291" s="2"/>
      <c r="N291" s="2"/>
      <c r="O291" s="2"/>
      <c r="P291" s="53"/>
      <c r="Q291" s="53"/>
      <c r="R291" s="2"/>
      <c r="S291" s="2"/>
      <c r="T291" s="2"/>
    </row>
    <row r="292" spans="1:20" x14ac:dyDescent="0.25">
      <c r="A292" s="3"/>
      <c r="B292" s="3"/>
      <c r="C292" s="2"/>
      <c r="D292" s="2"/>
      <c r="E292" s="56"/>
      <c r="F292" s="56"/>
      <c r="G292" s="56"/>
      <c r="H292" s="56"/>
      <c r="I292" s="56"/>
      <c r="J292" s="2"/>
      <c r="K292" s="2"/>
      <c r="L292" s="2"/>
      <c r="M292" s="2"/>
      <c r="N292" s="2"/>
      <c r="O292" s="2"/>
      <c r="P292" s="53"/>
      <c r="Q292" s="53"/>
      <c r="R292" s="2"/>
      <c r="S292" s="2"/>
      <c r="T292" s="2"/>
    </row>
    <row r="293" spans="1:20" x14ac:dyDescent="0.25">
      <c r="A293" s="3"/>
      <c r="B293" s="3"/>
      <c r="C293" s="2"/>
      <c r="D293" s="2"/>
      <c r="E293" s="56"/>
      <c r="F293" s="56"/>
      <c r="G293" s="56"/>
      <c r="H293" s="56"/>
      <c r="I293" s="56"/>
      <c r="J293" s="2"/>
      <c r="K293" s="2"/>
      <c r="L293" s="2"/>
      <c r="M293" s="2"/>
      <c r="N293" s="2"/>
      <c r="O293" s="2"/>
      <c r="P293" s="53"/>
      <c r="Q293" s="53"/>
      <c r="R293" s="2"/>
      <c r="S293" s="2"/>
      <c r="T293" s="2"/>
    </row>
    <row r="294" spans="1:20" x14ac:dyDescent="0.25">
      <c r="A294" s="3"/>
      <c r="B294" s="3"/>
      <c r="C294" s="2"/>
      <c r="D294" s="2"/>
      <c r="E294" s="56"/>
      <c r="F294" s="56"/>
      <c r="G294" s="56"/>
      <c r="H294" s="56"/>
      <c r="I294" s="56"/>
      <c r="J294" s="2"/>
      <c r="K294" s="2"/>
      <c r="L294" s="2"/>
      <c r="M294" s="2"/>
      <c r="N294" s="2"/>
      <c r="O294" s="2"/>
      <c r="P294" s="53"/>
      <c r="Q294" s="53"/>
      <c r="R294" s="2"/>
      <c r="S294" s="2"/>
      <c r="T294" s="2"/>
    </row>
    <row r="295" spans="1:20" x14ac:dyDescent="0.25">
      <c r="A295" s="3"/>
      <c r="B295" s="3"/>
      <c r="C295" s="2"/>
      <c r="D295" s="2"/>
      <c r="E295" s="56"/>
      <c r="F295" s="56"/>
      <c r="G295" s="56"/>
      <c r="H295" s="56"/>
      <c r="I295" s="56"/>
      <c r="J295" s="2"/>
      <c r="K295" s="2"/>
      <c r="L295" s="2"/>
      <c r="M295" s="2"/>
      <c r="N295" s="2"/>
      <c r="O295" s="2"/>
      <c r="P295" s="53"/>
      <c r="Q295" s="53"/>
      <c r="R295" s="2"/>
      <c r="S295" s="2"/>
      <c r="T295" s="2"/>
    </row>
    <row r="296" spans="1:20" x14ac:dyDescent="0.25">
      <c r="A296" s="3"/>
      <c r="B296" s="3"/>
      <c r="C296" s="2"/>
      <c r="D296" s="2"/>
      <c r="E296" s="56"/>
      <c r="F296" s="56"/>
      <c r="G296" s="56"/>
      <c r="H296" s="56"/>
      <c r="I296" s="56"/>
      <c r="J296" s="2"/>
      <c r="K296" s="2"/>
      <c r="L296" s="2"/>
      <c r="M296" s="2"/>
      <c r="N296" s="2"/>
      <c r="O296" s="2"/>
      <c r="P296" s="53"/>
      <c r="Q296" s="53"/>
      <c r="R296" s="2"/>
      <c r="S296" s="2"/>
      <c r="T296" s="2"/>
    </row>
    <row r="297" spans="1:20" x14ac:dyDescent="0.25">
      <c r="A297" s="3"/>
      <c r="B297" s="3"/>
      <c r="C297" s="2"/>
      <c r="D297" s="2"/>
      <c r="E297" s="56"/>
      <c r="F297" s="56"/>
      <c r="G297" s="56"/>
      <c r="H297" s="56"/>
      <c r="I297" s="56"/>
      <c r="J297" s="2"/>
      <c r="K297" s="2"/>
      <c r="L297" s="2"/>
      <c r="M297" s="2"/>
      <c r="N297" s="2"/>
      <c r="O297" s="2"/>
      <c r="P297" s="53"/>
      <c r="Q297" s="53"/>
      <c r="R297" s="2"/>
      <c r="S297" s="2"/>
      <c r="T297" s="2"/>
    </row>
    <row r="298" spans="1:20" x14ac:dyDescent="0.25">
      <c r="A298" s="3"/>
      <c r="B298" s="3"/>
      <c r="C298" s="2"/>
      <c r="D298" s="2"/>
      <c r="E298" s="56"/>
      <c r="F298" s="56"/>
      <c r="G298" s="56"/>
      <c r="H298" s="56"/>
      <c r="I298" s="56"/>
      <c r="J298" s="2"/>
      <c r="K298" s="2"/>
      <c r="L298" s="2"/>
      <c r="M298" s="2"/>
      <c r="N298" s="2"/>
      <c r="O298" s="2"/>
      <c r="P298" s="53"/>
      <c r="Q298" s="53"/>
      <c r="R298" s="2"/>
      <c r="S298" s="2"/>
      <c r="T298" s="2"/>
    </row>
    <row r="299" spans="1:20" x14ac:dyDescent="0.25">
      <c r="A299" s="3"/>
      <c r="B299" s="3"/>
      <c r="C299" s="2"/>
      <c r="D299" s="2"/>
      <c r="E299" s="56"/>
      <c r="F299" s="56"/>
      <c r="G299" s="56"/>
      <c r="H299" s="56"/>
      <c r="I299" s="56"/>
      <c r="J299" s="2"/>
      <c r="K299" s="2"/>
      <c r="L299" s="2"/>
      <c r="M299" s="2"/>
      <c r="N299" s="2"/>
      <c r="O299" s="2"/>
      <c r="P299" s="53"/>
      <c r="Q299" s="53"/>
      <c r="R299" s="2"/>
      <c r="S299" s="2"/>
      <c r="T299" s="2"/>
    </row>
    <row r="300" spans="1:20" x14ac:dyDescent="0.25">
      <c r="A300" s="3"/>
      <c r="B300" s="3"/>
      <c r="C300" s="2"/>
      <c r="D300" s="2"/>
      <c r="E300" s="56"/>
      <c r="F300" s="56"/>
      <c r="G300" s="56"/>
      <c r="H300" s="56"/>
      <c r="I300" s="56"/>
      <c r="J300" s="2"/>
      <c r="K300" s="2"/>
      <c r="L300" s="2"/>
      <c r="M300" s="2"/>
      <c r="N300" s="2"/>
      <c r="O300" s="2"/>
      <c r="P300" s="53"/>
      <c r="Q300" s="53"/>
      <c r="R300" s="2"/>
      <c r="S300" s="2"/>
      <c r="T300" s="2"/>
    </row>
    <row r="301" spans="1:20" x14ac:dyDescent="0.25">
      <c r="A301" s="3"/>
      <c r="B301" s="3"/>
      <c r="C301" s="2"/>
      <c r="D301" s="2"/>
      <c r="E301" s="56"/>
      <c r="F301" s="56"/>
      <c r="G301" s="56"/>
      <c r="H301" s="56"/>
      <c r="I301" s="56"/>
      <c r="J301" s="2"/>
      <c r="K301" s="2"/>
      <c r="L301" s="2"/>
      <c r="M301" s="2"/>
      <c r="N301" s="2"/>
      <c r="O301" s="2"/>
      <c r="P301" s="53"/>
      <c r="Q301" s="53"/>
      <c r="R301" s="2"/>
      <c r="S301" s="2"/>
      <c r="T301" s="2"/>
    </row>
    <row r="302" spans="1:20" x14ac:dyDescent="0.25">
      <c r="A302" s="3"/>
      <c r="B302" s="3"/>
      <c r="C302" s="2"/>
      <c r="D302" s="2"/>
      <c r="E302" s="56"/>
      <c r="F302" s="56"/>
      <c r="G302" s="56"/>
      <c r="H302" s="56"/>
      <c r="I302" s="56"/>
      <c r="J302" s="2"/>
      <c r="K302" s="2"/>
      <c r="L302" s="2"/>
      <c r="M302" s="2"/>
      <c r="N302" s="2"/>
      <c r="O302" s="2"/>
      <c r="P302" s="53"/>
      <c r="Q302" s="53"/>
      <c r="R302" s="2"/>
      <c r="S302" s="2"/>
      <c r="T302" s="2"/>
    </row>
    <row r="303" spans="1:20" x14ac:dyDescent="0.25">
      <c r="A303" s="3"/>
      <c r="B303" s="3"/>
      <c r="C303" s="2"/>
      <c r="D303" s="2"/>
      <c r="E303" s="56"/>
      <c r="F303" s="56"/>
      <c r="G303" s="56"/>
      <c r="H303" s="56"/>
      <c r="I303" s="56"/>
      <c r="J303" s="2"/>
      <c r="K303" s="2"/>
      <c r="L303" s="2"/>
      <c r="M303" s="2"/>
      <c r="N303" s="2"/>
      <c r="O303" s="2"/>
      <c r="P303" s="53"/>
      <c r="Q303" s="53"/>
      <c r="R303" s="2"/>
      <c r="S303" s="2"/>
      <c r="T303" s="2"/>
    </row>
    <row r="304" spans="1:20" x14ac:dyDescent="0.25">
      <c r="A304" s="3"/>
      <c r="B304" s="3"/>
      <c r="C304" s="2"/>
      <c r="D304" s="2"/>
      <c r="E304" s="56"/>
      <c r="F304" s="56"/>
      <c r="G304" s="56"/>
      <c r="H304" s="56"/>
      <c r="I304" s="56"/>
      <c r="J304" s="2"/>
      <c r="K304" s="2"/>
      <c r="L304" s="2"/>
      <c r="M304" s="2"/>
      <c r="N304" s="2"/>
      <c r="O304" s="2"/>
      <c r="P304" s="53"/>
      <c r="Q304" s="53"/>
      <c r="R304" s="2"/>
      <c r="S304" s="2"/>
      <c r="T304" s="2"/>
    </row>
    <row r="305" spans="1:20" x14ac:dyDescent="0.25">
      <c r="A305" s="3"/>
      <c r="B305" s="3"/>
      <c r="C305" s="2"/>
      <c r="D305" s="2"/>
      <c r="E305" s="56"/>
      <c r="F305" s="56"/>
      <c r="G305" s="56"/>
      <c r="H305" s="56"/>
      <c r="I305" s="56"/>
      <c r="J305" s="2"/>
      <c r="K305" s="2"/>
      <c r="L305" s="2"/>
      <c r="M305" s="2"/>
      <c r="N305" s="2"/>
      <c r="O305" s="2"/>
      <c r="P305" s="53"/>
      <c r="Q305" s="53"/>
      <c r="R305" s="2"/>
      <c r="S305" s="2"/>
      <c r="T305" s="2"/>
    </row>
    <row r="306" spans="1:20" x14ac:dyDescent="0.25">
      <c r="A306" s="3"/>
      <c r="B306" s="3"/>
      <c r="C306" s="2"/>
      <c r="D306" s="2"/>
      <c r="E306" s="56"/>
      <c r="F306" s="56"/>
      <c r="G306" s="56"/>
      <c r="H306" s="56"/>
      <c r="I306" s="56"/>
      <c r="J306" s="2"/>
      <c r="K306" s="2"/>
      <c r="L306" s="2"/>
      <c r="M306" s="2"/>
      <c r="N306" s="2"/>
      <c r="O306" s="2"/>
      <c r="P306" s="53"/>
      <c r="Q306" s="53"/>
      <c r="R306" s="2"/>
      <c r="S306" s="2"/>
      <c r="T306" s="2"/>
    </row>
    <row r="307" spans="1:20" x14ac:dyDescent="0.25">
      <c r="A307" s="3"/>
      <c r="B307" s="3"/>
      <c r="C307" s="2"/>
      <c r="D307" s="2"/>
      <c r="E307" s="56"/>
      <c r="F307" s="56"/>
      <c r="G307" s="56"/>
      <c r="H307" s="56"/>
      <c r="I307" s="56"/>
      <c r="J307" s="2"/>
      <c r="K307" s="2"/>
      <c r="L307" s="2"/>
      <c r="M307" s="2"/>
      <c r="N307" s="2"/>
      <c r="O307" s="2"/>
      <c r="P307" s="53"/>
      <c r="Q307" s="53"/>
      <c r="R307" s="2"/>
      <c r="S307" s="2"/>
      <c r="T307" s="2"/>
    </row>
    <row r="308" spans="1:20" x14ac:dyDescent="0.25">
      <c r="A308" s="3"/>
      <c r="B308" s="3"/>
      <c r="C308" s="2"/>
      <c r="D308" s="2"/>
      <c r="E308" s="56"/>
      <c r="F308" s="56"/>
      <c r="G308" s="56"/>
      <c r="H308" s="56"/>
      <c r="I308" s="56"/>
      <c r="J308" s="2"/>
      <c r="K308" s="2"/>
      <c r="L308" s="2"/>
      <c r="M308" s="2"/>
      <c r="N308" s="2"/>
      <c r="O308" s="2"/>
      <c r="P308" s="53"/>
      <c r="Q308" s="53"/>
      <c r="R308" s="2"/>
      <c r="S308" s="2"/>
      <c r="T308" s="2"/>
    </row>
    <row r="309" spans="1:20" x14ac:dyDescent="0.25">
      <c r="A309" s="3"/>
      <c r="B309" s="3"/>
      <c r="C309" s="2"/>
      <c r="D309" s="2"/>
      <c r="E309" s="51"/>
      <c r="F309" s="51"/>
      <c r="G309" s="51"/>
      <c r="H309" s="51"/>
      <c r="I309" s="2"/>
      <c r="J309" s="2"/>
      <c r="K309" s="2"/>
      <c r="L309" s="2"/>
      <c r="M309" s="2"/>
      <c r="N309" s="2"/>
      <c r="O309" s="2"/>
      <c r="P309" s="53"/>
      <c r="Q309" s="53"/>
      <c r="R309" s="2"/>
      <c r="S309" s="2"/>
      <c r="T309" s="2"/>
    </row>
    <row r="310" spans="1:20" x14ac:dyDescent="0.25">
      <c r="A310" s="3"/>
      <c r="B310" s="3"/>
      <c r="C310" s="2"/>
      <c r="D310" s="2"/>
      <c r="E310" s="51"/>
      <c r="F310" s="51"/>
      <c r="G310" s="51"/>
      <c r="H310" s="51"/>
      <c r="I310" s="2"/>
      <c r="J310" s="2"/>
      <c r="K310" s="2"/>
      <c r="L310" s="2"/>
      <c r="M310" s="2"/>
      <c r="N310" s="2"/>
      <c r="O310" s="2"/>
      <c r="P310" s="53"/>
      <c r="Q310" s="53"/>
      <c r="R310" s="2"/>
      <c r="S310" s="2"/>
      <c r="T310" s="2"/>
    </row>
    <row r="311" spans="1:20" x14ac:dyDescent="0.25">
      <c r="A311" s="3"/>
      <c r="B311" s="3"/>
      <c r="C311" s="2"/>
      <c r="D311" s="2"/>
      <c r="E311" s="51"/>
      <c r="F311" s="51"/>
      <c r="G311" s="51"/>
      <c r="H311" s="51"/>
      <c r="I311" s="2"/>
      <c r="J311" s="2"/>
      <c r="K311" s="2"/>
      <c r="L311" s="2"/>
      <c r="M311" s="2"/>
      <c r="N311" s="2"/>
      <c r="O311" s="2"/>
      <c r="P311" s="53"/>
      <c r="Q311" s="53"/>
      <c r="R311" s="2"/>
      <c r="S311" s="2"/>
      <c r="T311" s="2"/>
    </row>
    <row r="312" spans="1:20" x14ac:dyDescent="0.25">
      <c r="A312" s="3"/>
      <c r="B312" s="3"/>
      <c r="C312" s="2"/>
      <c r="D312" s="2"/>
      <c r="E312" s="51"/>
      <c r="F312" s="51"/>
      <c r="G312" s="51"/>
      <c r="H312" s="51"/>
      <c r="I312" s="2"/>
      <c r="J312" s="2"/>
      <c r="K312" s="2"/>
      <c r="L312" s="2"/>
      <c r="M312" s="2"/>
      <c r="N312" s="2"/>
      <c r="O312" s="2"/>
      <c r="P312" s="53"/>
      <c r="Q312" s="53"/>
      <c r="R312" s="2"/>
      <c r="S312" s="2"/>
      <c r="T312" s="2"/>
    </row>
    <row r="313" spans="1:20" x14ac:dyDescent="0.25">
      <c r="A313" s="3"/>
      <c r="B313" s="3"/>
      <c r="C313" s="2"/>
      <c r="D313" s="2"/>
      <c r="E313" s="51"/>
      <c r="F313" s="51"/>
      <c r="G313" s="51"/>
      <c r="H313" s="51"/>
      <c r="I313" s="2"/>
      <c r="J313" s="2"/>
      <c r="K313" s="2"/>
      <c r="L313" s="2"/>
      <c r="M313" s="2"/>
      <c r="N313" s="2"/>
      <c r="O313" s="2"/>
      <c r="P313" s="53"/>
      <c r="Q313" s="53"/>
      <c r="R313" s="2"/>
      <c r="S313" s="2"/>
      <c r="T313" s="2"/>
    </row>
    <row r="314" spans="1:20" x14ac:dyDescent="0.25">
      <c r="A314" s="3"/>
      <c r="B314" s="3"/>
      <c r="C314" s="2"/>
      <c r="D314" s="2"/>
      <c r="E314" s="51"/>
      <c r="F314" s="51"/>
      <c r="G314" s="51"/>
      <c r="H314" s="51"/>
      <c r="I314" s="2"/>
      <c r="J314" s="2"/>
      <c r="K314" s="2"/>
      <c r="L314" s="2"/>
      <c r="M314" s="2"/>
      <c r="N314" s="2"/>
      <c r="O314" s="2"/>
      <c r="P314" s="53"/>
      <c r="Q314" s="53"/>
      <c r="R314" s="2"/>
      <c r="S314" s="2"/>
      <c r="T314" s="2"/>
    </row>
    <row r="315" spans="1:20" x14ac:dyDescent="0.25">
      <c r="A315" s="3"/>
      <c r="B315" s="3"/>
      <c r="C315" s="2"/>
      <c r="D315" s="2"/>
      <c r="E315" s="51"/>
      <c r="F315" s="51"/>
      <c r="G315" s="51"/>
      <c r="H315" s="51"/>
      <c r="I315" s="2"/>
      <c r="J315" s="2"/>
      <c r="K315" s="2"/>
      <c r="L315" s="2"/>
      <c r="M315" s="2"/>
      <c r="N315" s="2"/>
      <c r="O315" s="2"/>
      <c r="P315" s="53"/>
      <c r="Q315" s="53"/>
      <c r="R315" s="2"/>
      <c r="S315" s="2"/>
      <c r="T315" s="2"/>
    </row>
    <row r="316" spans="1:20" x14ac:dyDescent="0.25">
      <c r="A316" s="3"/>
      <c r="B316" s="3"/>
      <c r="C316" s="2"/>
      <c r="D316" s="2"/>
      <c r="E316" s="51"/>
      <c r="F316" s="51"/>
      <c r="G316" s="51"/>
      <c r="H316" s="51"/>
      <c r="I316" s="2"/>
      <c r="J316" s="2"/>
      <c r="K316" s="2"/>
      <c r="L316" s="2"/>
      <c r="M316" s="2"/>
      <c r="N316" s="2"/>
      <c r="O316" s="2"/>
      <c r="P316" s="53"/>
      <c r="Q316" s="53"/>
      <c r="R316" s="2"/>
      <c r="S316" s="2"/>
      <c r="T316" s="2"/>
    </row>
    <row r="317" spans="1:20" x14ac:dyDescent="0.25">
      <c r="A317" s="3"/>
      <c r="B317" s="3"/>
      <c r="C317" s="2"/>
      <c r="D317" s="2"/>
      <c r="E317" s="51"/>
      <c r="F317" s="51"/>
      <c r="G317" s="51"/>
      <c r="H317" s="51"/>
      <c r="I317" s="2"/>
      <c r="J317" s="2"/>
      <c r="K317" s="2"/>
      <c r="L317" s="2"/>
      <c r="M317" s="2"/>
      <c r="N317" s="2"/>
      <c r="O317" s="2"/>
      <c r="P317" s="53"/>
      <c r="Q317" s="53"/>
      <c r="R317" s="2"/>
      <c r="S317" s="2"/>
      <c r="T317" s="2"/>
    </row>
    <row r="318" spans="1:20" x14ac:dyDescent="0.25">
      <c r="A318" s="3"/>
      <c r="B318" s="3"/>
      <c r="C318" s="2"/>
      <c r="D318" s="2"/>
      <c r="E318" s="51"/>
      <c r="F318" s="51"/>
      <c r="G318" s="51"/>
      <c r="H318" s="51"/>
      <c r="I318" s="2"/>
      <c r="J318" s="2"/>
      <c r="K318" s="2"/>
      <c r="L318" s="2"/>
      <c r="M318" s="2"/>
      <c r="N318" s="2"/>
      <c r="O318" s="2"/>
      <c r="P318" s="53"/>
      <c r="Q318" s="53"/>
      <c r="R318" s="2"/>
      <c r="S318" s="2"/>
      <c r="T318" s="2"/>
    </row>
    <row r="319" spans="1:20" x14ac:dyDescent="0.25">
      <c r="A319" s="3"/>
      <c r="B319" s="3"/>
      <c r="C319" s="2"/>
      <c r="D319" s="2"/>
      <c r="E319" s="51"/>
      <c r="F319" s="51"/>
      <c r="G319" s="51"/>
      <c r="H319" s="51"/>
      <c r="I319" s="2"/>
      <c r="J319" s="2"/>
      <c r="K319" s="2"/>
      <c r="L319" s="2"/>
      <c r="M319" s="2"/>
      <c r="N319" s="2"/>
      <c r="O319" s="2"/>
      <c r="P319" s="53"/>
      <c r="Q319" s="53"/>
      <c r="R319" s="2"/>
      <c r="S319" s="2"/>
      <c r="T319" s="2"/>
    </row>
    <row r="320" spans="1:20" x14ac:dyDescent="0.25">
      <c r="A320" s="3"/>
      <c r="B320" s="3"/>
      <c r="C320" s="2"/>
      <c r="D320" s="2"/>
      <c r="E320" s="51"/>
      <c r="F320" s="51"/>
      <c r="G320" s="51"/>
      <c r="H320" s="51"/>
      <c r="I320" s="2"/>
      <c r="J320" s="2"/>
      <c r="K320" s="2"/>
      <c r="L320" s="2"/>
      <c r="M320" s="2"/>
      <c r="N320" s="2"/>
      <c r="O320" s="2"/>
      <c r="P320" s="53"/>
      <c r="Q320" s="53"/>
      <c r="R320" s="2"/>
      <c r="S320" s="2"/>
      <c r="T320" s="2"/>
    </row>
    <row r="321" spans="1:20" x14ac:dyDescent="0.25">
      <c r="A321" s="3"/>
      <c r="B321" s="3"/>
      <c r="C321" s="2"/>
      <c r="D321" s="2"/>
      <c r="E321" s="51"/>
      <c r="F321" s="51"/>
      <c r="G321" s="51"/>
      <c r="H321" s="51"/>
      <c r="I321" s="2"/>
      <c r="J321" s="2"/>
      <c r="K321" s="2"/>
      <c r="L321" s="2"/>
      <c r="M321" s="2"/>
      <c r="N321" s="2"/>
      <c r="O321" s="2"/>
      <c r="P321" s="53"/>
      <c r="Q321" s="53"/>
      <c r="R321" s="2"/>
      <c r="S321" s="2"/>
      <c r="T321" s="2"/>
    </row>
    <row r="322" spans="1:20" x14ac:dyDescent="0.25">
      <c r="A322" s="3"/>
      <c r="B322" s="3"/>
      <c r="C322" s="2"/>
      <c r="D322" s="2"/>
      <c r="E322" s="51"/>
      <c r="F322" s="51"/>
      <c r="G322" s="51"/>
      <c r="H322" s="51"/>
      <c r="I322" s="2"/>
      <c r="J322" s="2"/>
      <c r="K322" s="2"/>
      <c r="L322" s="2"/>
      <c r="M322" s="2"/>
      <c r="N322" s="2"/>
      <c r="O322" s="2"/>
      <c r="P322" s="53"/>
      <c r="Q322" s="53"/>
      <c r="R322" s="2"/>
      <c r="S322" s="2"/>
      <c r="T322" s="2"/>
    </row>
    <row r="323" spans="1:20" x14ac:dyDescent="0.25">
      <c r="A323" s="3"/>
      <c r="B323" s="3"/>
      <c r="C323" s="2"/>
      <c r="D323" s="2"/>
      <c r="E323" s="51"/>
      <c r="F323" s="51"/>
      <c r="G323" s="51"/>
      <c r="H323" s="51"/>
      <c r="I323" s="2"/>
      <c r="J323" s="2"/>
      <c r="K323" s="2"/>
      <c r="L323" s="2"/>
      <c r="M323" s="2"/>
      <c r="N323" s="2"/>
      <c r="O323" s="2"/>
      <c r="P323" s="53"/>
      <c r="Q323" s="53"/>
      <c r="R323" s="2"/>
      <c r="S323" s="2"/>
      <c r="T323" s="2"/>
    </row>
    <row r="324" spans="1:20" x14ac:dyDescent="0.25">
      <c r="A324" s="3"/>
      <c r="B324" s="3"/>
      <c r="C324" s="2"/>
      <c r="D324" s="2"/>
      <c r="E324" s="51"/>
      <c r="F324" s="51"/>
      <c r="G324" s="51"/>
      <c r="H324" s="51"/>
      <c r="I324" s="2"/>
      <c r="J324" s="2"/>
      <c r="K324" s="2"/>
      <c r="L324" s="2"/>
      <c r="M324" s="2"/>
      <c r="N324" s="2"/>
      <c r="O324" s="2"/>
      <c r="P324" s="53"/>
      <c r="Q324" s="53"/>
      <c r="R324" s="2"/>
      <c r="S324" s="2"/>
      <c r="T324" s="2"/>
    </row>
    <row r="325" spans="1:20" x14ac:dyDescent="0.25">
      <c r="A325" s="3"/>
      <c r="B325" s="3"/>
      <c r="C325" s="2"/>
      <c r="D325" s="2"/>
      <c r="E325" s="51"/>
      <c r="F325" s="51"/>
      <c r="G325" s="51"/>
      <c r="H325" s="51"/>
      <c r="I325" s="2"/>
      <c r="J325" s="2"/>
      <c r="K325" s="2"/>
      <c r="L325" s="2"/>
      <c r="M325" s="2"/>
      <c r="N325" s="2"/>
      <c r="O325" s="2"/>
      <c r="P325" s="53"/>
      <c r="Q325" s="53"/>
      <c r="R325" s="2"/>
      <c r="S325" s="2"/>
      <c r="T325" s="2"/>
    </row>
    <row r="326" spans="1:20" x14ac:dyDescent="0.25">
      <c r="A326" s="3"/>
      <c r="B326" s="3"/>
      <c r="C326" s="2"/>
      <c r="D326" s="2"/>
      <c r="E326" s="51"/>
      <c r="F326" s="51"/>
      <c r="G326" s="51"/>
      <c r="H326" s="51"/>
      <c r="I326" s="2"/>
      <c r="J326" s="2"/>
      <c r="K326" s="2"/>
      <c r="L326" s="2"/>
      <c r="M326" s="2"/>
      <c r="N326" s="2"/>
      <c r="O326" s="2"/>
      <c r="P326" s="53"/>
      <c r="Q326" s="53"/>
      <c r="R326" s="2"/>
      <c r="S326" s="2"/>
      <c r="T326" s="2"/>
    </row>
    <row r="327" spans="1:20" x14ac:dyDescent="0.25">
      <c r="A327" s="3"/>
      <c r="B327" s="3"/>
      <c r="C327" s="2"/>
      <c r="D327" s="2"/>
      <c r="E327" s="51"/>
      <c r="F327" s="51"/>
      <c r="G327" s="51"/>
      <c r="H327" s="51"/>
      <c r="I327" s="2"/>
      <c r="J327" s="2"/>
      <c r="K327" s="2"/>
      <c r="L327" s="2"/>
      <c r="M327" s="2"/>
      <c r="N327" s="2"/>
      <c r="O327" s="2"/>
      <c r="P327" s="53"/>
      <c r="Q327" s="53"/>
      <c r="R327" s="2"/>
      <c r="S327" s="2"/>
      <c r="T327" s="2"/>
    </row>
    <row r="328" spans="1:20" x14ac:dyDescent="0.25">
      <c r="A328" s="3"/>
      <c r="B328" s="3"/>
      <c r="C328" s="2"/>
      <c r="D328" s="2"/>
      <c r="E328" s="51"/>
      <c r="F328" s="51"/>
      <c r="G328" s="51"/>
      <c r="H328" s="51"/>
      <c r="I328" s="2"/>
      <c r="J328" s="2"/>
      <c r="K328" s="2"/>
      <c r="L328" s="2"/>
      <c r="M328" s="2"/>
      <c r="N328" s="2"/>
      <c r="O328" s="2"/>
      <c r="P328" s="53"/>
      <c r="Q328" s="53"/>
      <c r="R328" s="2"/>
      <c r="S328" s="2"/>
      <c r="T328" s="2"/>
    </row>
    <row r="329" spans="1:20" x14ac:dyDescent="0.25">
      <c r="A329" s="3"/>
      <c r="B329" s="3"/>
      <c r="C329" s="2"/>
      <c r="D329" s="2"/>
      <c r="E329" s="51"/>
      <c r="F329" s="51"/>
      <c r="G329" s="51"/>
      <c r="H329" s="51"/>
      <c r="I329" s="2"/>
      <c r="J329" s="2"/>
      <c r="K329" s="2"/>
      <c r="L329" s="2"/>
      <c r="M329" s="2"/>
      <c r="N329" s="2"/>
      <c r="O329" s="2"/>
      <c r="P329" s="53"/>
      <c r="Q329" s="53"/>
      <c r="R329" s="2"/>
      <c r="S329" s="2"/>
      <c r="T329" s="2"/>
    </row>
    <row r="330" spans="1:20" x14ac:dyDescent="0.25">
      <c r="A330" s="3"/>
      <c r="B330" s="3"/>
      <c r="C330" s="2"/>
      <c r="D330" s="2"/>
      <c r="E330" s="51"/>
      <c r="F330" s="51"/>
      <c r="G330" s="51"/>
      <c r="H330" s="51"/>
      <c r="I330" s="2"/>
      <c r="J330" s="2"/>
      <c r="K330" s="2"/>
      <c r="L330" s="2"/>
      <c r="M330" s="2"/>
      <c r="N330" s="2"/>
      <c r="O330" s="2"/>
      <c r="P330" s="53"/>
      <c r="Q330" s="53"/>
      <c r="R330" s="2"/>
      <c r="S330" s="2"/>
      <c r="T330" s="2"/>
    </row>
    <row r="331" spans="1:20" x14ac:dyDescent="0.25">
      <c r="A331" s="3"/>
      <c r="B331" s="3"/>
      <c r="C331" s="2"/>
      <c r="D331" s="2"/>
      <c r="E331" s="51"/>
      <c r="F331" s="51"/>
      <c r="G331" s="51"/>
      <c r="H331" s="51"/>
      <c r="I331" s="2"/>
      <c r="J331" s="2"/>
      <c r="K331" s="2"/>
      <c r="L331" s="2"/>
      <c r="M331" s="2"/>
      <c r="N331" s="2"/>
      <c r="O331" s="2"/>
      <c r="P331" s="53"/>
      <c r="Q331" s="53"/>
      <c r="R331" s="2"/>
      <c r="S331" s="2"/>
      <c r="T331" s="2"/>
    </row>
    <row r="332" spans="1:20" x14ac:dyDescent="0.25">
      <c r="A332" s="3"/>
      <c r="B332" s="3"/>
      <c r="C332" s="2"/>
      <c r="D332" s="2"/>
      <c r="E332" s="51"/>
      <c r="F332" s="51"/>
      <c r="G332" s="51"/>
      <c r="H332" s="51"/>
      <c r="I332" s="2"/>
      <c r="J332" s="2"/>
      <c r="K332" s="2"/>
      <c r="L332" s="2"/>
      <c r="M332" s="2"/>
      <c r="N332" s="2"/>
      <c r="O332" s="2"/>
      <c r="P332" s="53"/>
      <c r="Q332" s="53"/>
      <c r="R332" s="2"/>
      <c r="S332" s="2"/>
      <c r="T332" s="2"/>
    </row>
    <row r="333" spans="1:20" x14ac:dyDescent="0.25">
      <c r="A333" s="3"/>
      <c r="B333" s="3"/>
      <c r="C333" s="2"/>
      <c r="D333" s="2"/>
      <c r="E333" s="51"/>
      <c r="F333" s="51"/>
      <c r="G333" s="51"/>
      <c r="H333" s="51"/>
      <c r="I333" s="2"/>
      <c r="J333" s="2"/>
      <c r="K333" s="2"/>
      <c r="L333" s="2"/>
      <c r="M333" s="2"/>
      <c r="N333" s="2"/>
      <c r="O333" s="2"/>
      <c r="P333" s="53"/>
      <c r="Q333" s="53"/>
      <c r="R333" s="2"/>
      <c r="S333" s="2"/>
      <c r="T333" s="2"/>
    </row>
    <row r="334" spans="1:20" x14ac:dyDescent="0.25">
      <c r="A334" s="3"/>
      <c r="B334" s="3"/>
      <c r="C334" s="2"/>
      <c r="D334" s="2"/>
      <c r="E334" s="51"/>
      <c r="F334" s="51"/>
      <c r="G334" s="51"/>
      <c r="H334" s="51"/>
      <c r="I334" s="2"/>
      <c r="J334" s="2"/>
      <c r="K334" s="2"/>
      <c r="L334" s="2"/>
      <c r="M334" s="2"/>
      <c r="N334" s="2"/>
      <c r="O334" s="2"/>
      <c r="P334" s="53"/>
      <c r="Q334" s="53"/>
      <c r="R334" s="2"/>
      <c r="S334" s="2"/>
      <c r="T334" s="2"/>
    </row>
    <row r="335" spans="1:20" x14ac:dyDescent="0.25">
      <c r="A335" s="3"/>
      <c r="B335" s="3"/>
      <c r="C335" s="2"/>
      <c r="D335" s="2"/>
      <c r="E335" s="51"/>
      <c r="F335" s="51"/>
      <c r="G335" s="51"/>
      <c r="H335" s="51"/>
      <c r="I335" s="2"/>
      <c r="J335" s="2"/>
      <c r="K335" s="2"/>
      <c r="L335" s="2"/>
      <c r="M335" s="2"/>
      <c r="N335" s="2"/>
      <c r="O335" s="2"/>
      <c r="P335" s="53"/>
      <c r="Q335" s="53"/>
      <c r="R335" s="2"/>
      <c r="S335" s="2"/>
      <c r="T335" s="2"/>
    </row>
    <row r="336" spans="1:20" x14ac:dyDescent="0.25">
      <c r="A336" s="3"/>
      <c r="B336" s="3"/>
      <c r="C336" s="2"/>
      <c r="D336" s="2"/>
      <c r="E336" s="51"/>
      <c r="F336" s="51"/>
      <c r="G336" s="51"/>
      <c r="H336" s="51"/>
      <c r="I336" s="2"/>
      <c r="J336" s="2"/>
      <c r="K336" s="2"/>
      <c r="L336" s="2"/>
      <c r="M336" s="2"/>
      <c r="N336" s="2"/>
      <c r="O336" s="2"/>
      <c r="P336" s="53"/>
      <c r="Q336" s="53"/>
      <c r="R336" s="2"/>
      <c r="S336" s="2"/>
      <c r="T336" s="2"/>
    </row>
    <row r="337" spans="1:20" x14ac:dyDescent="0.25">
      <c r="A337" s="3"/>
      <c r="B337" s="3"/>
      <c r="C337" s="2"/>
      <c r="D337" s="2"/>
      <c r="E337" s="51"/>
      <c r="F337" s="51"/>
      <c r="G337" s="51"/>
      <c r="H337" s="51"/>
      <c r="I337" s="2"/>
      <c r="J337" s="2"/>
      <c r="K337" s="2"/>
      <c r="L337" s="2"/>
      <c r="M337" s="2"/>
      <c r="N337" s="2"/>
      <c r="O337" s="2"/>
      <c r="P337" s="53"/>
      <c r="Q337" s="53"/>
      <c r="R337" s="2"/>
      <c r="S337" s="2"/>
      <c r="T337" s="2"/>
    </row>
    <row r="338" spans="1:20" x14ac:dyDescent="0.25">
      <c r="A338" s="3"/>
      <c r="B338" s="3"/>
      <c r="C338" s="2"/>
      <c r="D338" s="2"/>
      <c r="E338" s="51"/>
      <c r="F338" s="51"/>
      <c r="G338" s="51"/>
      <c r="H338" s="51"/>
      <c r="I338" s="2"/>
      <c r="J338" s="2"/>
      <c r="K338" s="2"/>
      <c r="L338" s="2"/>
      <c r="M338" s="2"/>
      <c r="N338" s="2"/>
      <c r="O338" s="2"/>
      <c r="P338" s="53"/>
      <c r="Q338" s="53"/>
      <c r="R338" s="2"/>
      <c r="S338" s="2"/>
      <c r="T338" s="2"/>
    </row>
    <row r="339" spans="1:20" x14ac:dyDescent="0.25">
      <c r="A339" s="3"/>
      <c r="B339" s="3"/>
      <c r="C339" s="2"/>
      <c r="D339" s="2"/>
      <c r="E339" s="51"/>
      <c r="F339" s="51"/>
      <c r="G339" s="51"/>
      <c r="H339" s="51"/>
      <c r="I339" s="2"/>
      <c r="J339" s="2"/>
      <c r="K339" s="2"/>
      <c r="L339" s="2"/>
      <c r="M339" s="2"/>
      <c r="N339" s="2"/>
      <c r="O339" s="2"/>
      <c r="P339" s="53"/>
      <c r="Q339" s="53"/>
      <c r="R339" s="2"/>
      <c r="S339" s="2"/>
      <c r="T339" s="2"/>
    </row>
    <row r="340" spans="1:20" x14ac:dyDescent="0.25">
      <c r="A340" s="3"/>
      <c r="B340" s="3"/>
      <c r="C340" s="2"/>
      <c r="D340" s="2"/>
      <c r="E340" s="51"/>
      <c r="F340" s="51"/>
      <c r="G340" s="51"/>
      <c r="H340" s="51"/>
      <c r="I340" s="2"/>
      <c r="J340" s="2"/>
      <c r="K340" s="2"/>
      <c r="L340" s="2"/>
      <c r="M340" s="2"/>
      <c r="N340" s="2"/>
      <c r="O340" s="2"/>
      <c r="P340" s="53"/>
      <c r="Q340" s="53"/>
      <c r="R340" s="2"/>
      <c r="S340" s="2"/>
      <c r="T340" s="2"/>
    </row>
    <row r="341" spans="1:20" x14ac:dyDescent="0.25">
      <c r="A341" s="3"/>
      <c r="B341" s="3"/>
      <c r="C341" s="2"/>
      <c r="D341" s="2"/>
      <c r="E341" s="51"/>
      <c r="F341" s="51"/>
      <c r="G341" s="51"/>
      <c r="H341" s="51"/>
      <c r="I341" s="2"/>
      <c r="J341" s="2"/>
      <c r="K341" s="2"/>
      <c r="L341" s="2"/>
      <c r="M341" s="2"/>
      <c r="N341" s="2"/>
      <c r="O341" s="2"/>
      <c r="P341" s="53"/>
      <c r="Q341" s="53"/>
      <c r="R341" s="2"/>
      <c r="S341" s="2"/>
      <c r="T341" s="2"/>
    </row>
    <row r="342" spans="1:20" x14ac:dyDescent="0.25">
      <c r="A342" s="3"/>
      <c r="B342" s="3"/>
      <c r="C342" s="2"/>
      <c r="D342" s="2"/>
      <c r="E342" s="51"/>
      <c r="F342" s="51"/>
      <c r="G342" s="51"/>
      <c r="H342" s="51"/>
      <c r="I342" s="2"/>
      <c r="J342" s="2"/>
      <c r="K342" s="2"/>
      <c r="L342" s="2"/>
      <c r="M342" s="2"/>
      <c r="N342" s="2"/>
      <c r="O342" s="2"/>
      <c r="P342" s="53"/>
      <c r="Q342" s="53"/>
      <c r="R342" s="2"/>
      <c r="S342" s="2"/>
      <c r="T342" s="2"/>
    </row>
    <row r="343" spans="1:20" x14ac:dyDescent="0.25">
      <c r="A343" s="3"/>
      <c r="B343" s="3"/>
      <c r="C343" s="2"/>
      <c r="D343" s="2"/>
      <c r="E343" s="51"/>
      <c r="F343" s="51"/>
      <c r="G343" s="51"/>
      <c r="H343" s="51"/>
      <c r="I343" s="2"/>
      <c r="J343" s="2"/>
      <c r="K343" s="2"/>
      <c r="L343" s="2"/>
      <c r="M343" s="2"/>
      <c r="N343" s="2"/>
      <c r="O343" s="2"/>
      <c r="P343" s="53"/>
      <c r="Q343" s="53"/>
      <c r="R343" s="2"/>
      <c r="S343" s="2"/>
      <c r="T343" s="2"/>
    </row>
    <row r="344" spans="1:20" x14ac:dyDescent="0.25">
      <c r="A344" s="3"/>
      <c r="B344" s="3"/>
      <c r="C344" s="2"/>
      <c r="D344" s="2"/>
      <c r="E344" s="51"/>
      <c r="F344" s="51"/>
      <c r="G344" s="51"/>
      <c r="H344" s="51"/>
      <c r="I344" s="2"/>
      <c r="J344" s="2"/>
      <c r="K344" s="2"/>
      <c r="L344" s="2"/>
      <c r="M344" s="2"/>
      <c r="N344" s="2"/>
      <c r="O344" s="2"/>
      <c r="P344" s="53"/>
      <c r="Q344" s="53"/>
      <c r="R344" s="2"/>
      <c r="S344" s="2"/>
      <c r="T344" s="2"/>
    </row>
    <row r="345" spans="1:20" x14ac:dyDescent="0.25">
      <c r="A345" s="3"/>
      <c r="B345" s="3"/>
      <c r="C345" s="2"/>
      <c r="D345" s="2"/>
      <c r="E345" s="51"/>
      <c r="F345" s="51"/>
      <c r="G345" s="51"/>
      <c r="H345" s="51"/>
      <c r="I345" s="2"/>
      <c r="J345" s="2"/>
      <c r="K345" s="2"/>
      <c r="L345" s="2"/>
      <c r="M345" s="2"/>
      <c r="N345" s="2"/>
      <c r="O345" s="2"/>
      <c r="P345" s="53"/>
      <c r="Q345" s="53"/>
      <c r="R345" s="2"/>
      <c r="S345" s="2"/>
      <c r="T345" s="2"/>
    </row>
    <row r="346" spans="1:20" x14ac:dyDescent="0.25">
      <c r="A346" s="3"/>
      <c r="B346" s="3"/>
      <c r="C346" s="2"/>
      <c r="D346" s="2"/>
      <c r="E346" s="51"/>
      <c r="F346" s="51"/>
      <c r="G346" s="51"/>
      <c r="H346" s="51"/>
      <c r="I346" s="2"/>
      <c r="J346" s="2"/>
      <c r="K346" s="2"/>
      <c r="L346" s="2"/>
      <c r="M346" s="2"/>
      <c r="N346" s="2"/>
      <c r="O346" s="2"/>
      <c r="P346" s="53"/>
      <c r="Q346" s="53"/>
      <c r="R346" s="2"/>
      <c r="S346" s="2"/>
      <c r="T346" s="2"/>
    </row>
    <row r="347" spans="1:20" x14ac:dyDescent="0.25">
      <c r="A347" s="3"/>
      <c r="B347" s="3"/>
      <c r="C347" s="2"/>
      <c r="D347" s="2"/>
      <c r="E347" s="51"/>
      <c r="F347" s="51"/>
      <c r="G347" s="51"/>
      <c r="H347" s="51"/>
      <c r="I347" s="2"/>
      <c r="J347" s="2"/>
      <c r="K347" s="2"/>
      <c r="L347" s="2"/>
      <c r="M347" s="2"/>
      <c r="N347" s="2"/>
      <c r="O347" s="2"/>
      <c r="P347" s="53"/>
      <c r="Q347" s="53"/>
      <c r="R347" s="2"/>
      <c r="S347" s="2"/>
      <c r="T347" s="2"/>
    </row>
    <row r="348" spans="1:20" x14ac:dyDescent="0.25">
      <c r="A348" s="3"/>
      <c r="B348" s="3"/>
      <c r="C348" s="2"/>
      <c r="D348" s="2"/>
      <c r="E348" s="51"/>
      <c r="F348" s="51"/>
      <c r="G348" s="51"/>
      <c r="H348" s="51"/>
      <c r="I348" s="2"/>
      <c r="J348" s="2"/>
      <c r="K348" s="2"/>
      <c r="L348" s="2"/>
      <c r="M348" s="2"/>
      <c r="N348" s="2"/>
      <c r="O348" s="2"/>
      <c r="P348" s="53"/>
      <c r="Q348" s="53"/>
      <c r="R348" s="2"/>
      <c r="S348" s="2"/>
      <c r="T348" s="2"/>
    </row>
    <row r="349" spans="1:20" x14ac:dyDescent="0.25">
      <c r="A349" s="3"/>
      <c r="B349" s="3"/>
      <c r="C349" s="2"/>
      <c r="D349" s="2"/>
      <c r="E349" s="51"/>
      <c r="F349" s="51"/>
      <c r="G349" s="51"/>
      <c r="H349" s="51"/>
      <c r="I349" s="2"/>
      <c r="J349" s="2"/>
      <c r="K349" s="2"/>
      <c r="L349" s="2"/>
      <c r="M349" s="2"/>
      <c r="N349" s="2"/>
      <c r="O349" s="2"/>
      <c r="P349" s="53"/>
      <c r="Q349" s="53"/>
      <c r="R349" s="2"/>
      <c r="S349" s="2"/>
      <c r="T349" s="2"/>
    </row>
    <row r="350" spans="1:20" x14ac:dyDescent="0.25">
      <c r="A350" s="3"/>
      <c r="B350" s="3"/>
      <c r="C350" s="2"/>
      <c r="D350" s="2"/>
      <c r="E350" s="51"/>
      <c r="F350" s="51"/>
      <c r="G350" s="51"/>
      <c r="H350" s="51"/>
      <c r="I350" s="2"/>
      <c r="J350" s="2"/>
      <c r="K350" s="2"/>
      <c r="L350" s="2"/>
      <c r="M350" s="2"/>
      <c r="N350" s="2"/>
      <c r="O350" s="2"/>
      <c r="P350" s="53"/>
      <c r="Q350" s="53"/>
      <c r="R350" s="2"/>
      <c r="S350" s="2"/>
      <c r="T350" s="2"/>
    </row>
    <row r="351" spans="1:20" x14ac:dyDescent="0.25">
      <c r="A351" s="3"/>
      <c r="B351" s="3"/>
      <c r="C351" s="2"/>
      <c r="D351" s="2"/>
      <c r="E351" s="51"/>
      <c r="F351" s="51"/>
      <c r="G351" s="51"/>
      <c r="H351" s="51"/>
      <c r="I351" s="2"/>
      <c r="J351" s="2"/>
      <c r="K351" s="2"/>
      <c r="L351" s="2"/>
      <c r="M351" s="2"/>
      <c r="N351" s="2"/>
      <c r="O351" s="2"/>
      <c r="P351" s="53"/>
      <c r="Q351" s="53"/>
      <c r="R351" s="2"/>
      <c r="S351" s="2"/>
      <c r="T351" s="2"/>
    </row>
    <row r="352" spans="1:20" x14ac:dyDescent="0.25">
      <c r="A352" s="3"/>
      <c r="B352" s="3"/>
      <c r="C352" s="2"/>
      <c r="D352" s="2"/>
      <c r="E352" s="51"/>
      <c r="F352" s="51"/>
      <c r="G352" s="51"/>
      <c r="H352" s="51"/>
      <c r="I352" s="2"/>
      <c r="J352" s="2"/>
      <c r="K352" s="2"/>
      <c r="L352" s="2"/>
      <c r="M352" s="2"/>
      <c r="N352" s="2"/>
      <c r="O352" s="2"/>
      <c r="P352" s="53"/>
      <c r="Q352" s="53"/>
      <c r="R352" s="2"/>
      <c r="S352" s="2"/>
      <c r="T352" s="2"/>
    </row>
    <row r="353" spans="1:20" x14ac:dyDescent="0.25">
      <c r="A353" s="3"/>
      <c r="B353" s="3"/>
      <c r="C353" s="2"/>
      <c r="D353" s="2"/>
      <c r="E353" s="51"/>
      <c r="F353" s="51"/>
      <c r="G353" s="51"/>
      <c r="H353" s="51"/>
      <c r="I353" s="2"/>
      <c r="J353" s="2"/>
      <c r="K353" s="2"/>
      <c r="L353" s="2"/>
      <c r="M353" s="2"/>
      <c r="N353" s="2"/>
      <c r="O353" s="2"/>
      <c r="P353" s="53"/>
      <c r="Q353" s="53"/>
      <c r="R353" s="2"/>
      <c r="S353" s="2"/>
      <c r="T353" s="2"/>
    </row>
    <row r="354" spans="1:20" x14ac:dyDescent="0.25">
      <c r="A354" s="3"/>
      <c r="B354" s="3"/>
      <c r="C354" s="2"/>
      <c r="D354" s="2"/>
      <c r="E354" s="51"/>
      <c r="F354" s="51"/>
      <c r="G354" s="51"/>
      <c r="H354" s="51"/>
      <c r="I354" s="2"/>
      <c r="J354" s="2"/>
      <c r="K354" s="2"/>
      <c r="L354" s="2"/>
      <c r="M354" s="2"/>
      <c r="N354" s="2"/>
      <c r="O354" s="2"/>
      <c r="P354" s="53"/>
      <c r="Q354" s="53"/>
      <c r="R354" s="2"/>
      <c r="S354" s="2"/>
      <c r="T354" s="2"/>
    </row>
    <row r="355" spans="1:20" x14ac:dyDescent="0.25">
      <c r="A355" s="3"/>
      <c r="B355" s="3"/>
      <c r="C355" s="2"/>
      <c r="D355" s="2"/>
      <c r="E355" s="51"/>
      <c r="F355" s="51"/>
      <c r="G355" s="51"/>
      <c r="H355" s="51"/>
      <c r="I355" s="2"/>
      <c r="J355" s="2"/>
      <c r="K355" s="2"/>
      <c r="L355" s="2"/>
      <c r="M355" s="2"/>
      <c r="N355" s="2"/>
      <c r="O355" s="2"/>
      <c r="P355" s="53"/>
      <c r="Q355" s="53"/>
      <c r="R355" s="2"/>
      <c r="S355" s="2"/>
      <c r="T355" s="2"/>
    </row>
    <row r="356" spans="1:20" x14ac:dyDescent="0.25">
      <c r="A356" s="3"/>
      <c r="B356" s="3"/>
      <c r="C356" s="2"/>
      <c r="D356" s="2"/>
      <c r="E356" s="51"/>
      <c r="F356" s="51"/>
      <c r="G356" s="51"/>
      <c r="H356" s="51"/>
      <c r="I356" s="2"/>
      <c r="J356" s="2"/>
      <c r="K356" s="2"/>
      <c r="L356" s="2"/>
      <c r="M356" s="2"/>
      <c r="N356" s="2"/>
      <c r="O356" s="2"/>
      <c r="P356" s="53"/>
      <c r="Q356" s="53"/>
      <c r="R356" s="2"/>
      <c r="S356" s="2"/>
      <c r="T356" s="2"/>
    </row>
    <row r="357" spans="1:20" x14ac:dyDescent="0.25">
      <c r="A357" s="3"/>
      <c r="B357" s="3"/>
      <c r="C357" s="2"/>
      <c r="D357" s="2"/>
      <c r="E357" s="51"/>
      <c r="F357" s="51"/>
      <c r="G357" s="51"/>
      <c r="H357" s="51"/>
      <c r="I357" s="2"/>
      <c r="J357" s="2"/>
      <c r="K357" s="2"/>
      <c r="L357" s="2"/>
      <c r="M357" s="2"/>
      <c r="N357" s="2"/>
      <c r="O357" s="2"/>
      <c r="P357" s="53"/>
      <c r="Q357" s="53"/>
      <c r="R357" s="2"/>
      <c r="S357" s="2"/>
      <c r="T357" s="2"/>
    </row>
    <row r="358" spans="1:20" x14ac:dyDescent="0.25">
      <c r="A358" s="3"/>
      <c r="B358" s="3"/>
      <c r="C358" s="2"/>
      <c r="D358" s="2"/>
      <c r="E358" s="51"/>
      <c r="F358" s="51"/>
      <c r="G358" s="51"/>
      <c r="H358" s="51"/>
      <c r="I358" s="2"/>
      <c r="J358" s="2"/>
      <c r="K358" s="2"/>
      <c r="L358" s="2"/>
      <c r="M358" s="2"/>
      <c r="N358" s="2"/>
      <c r="O358" s="2"/>
      <c r="P358" s="53"/>
      <c r="Q358" s="53"/>
      <c r="R358" s="2"/>
      <c r="S358" s="2"/>
      <c r="T358" s="2"/>
    </row>
    <row r="359" spans="1:20" x14ac:dyDescent="0.25">
      <c r="A359" s="3"/>
      <c r="B359" s="3"/>
      <c r="C359" s="2"/>
      <c r="D359" s="2"/>
      <c r="E359" s="51"/>
      <c r="F359" s="51"/>
      <c r="G359" s="51"/>
      <c r="H359" s="51"/>
      <c r="I359" s="2"/>
      <c r="J359" s="2"/>
      <c r="K359" s="2"/>
      <c r="L359" s="2"/>
      <c r="M359" s="2"/>
      <c r="N359" s="2"/>
      <c r="O359" s="2"/>
      <c r="P359" s="53"/>
      <c r="Q359" s="53"/>
      <c r="R359" s="2"/>
      <c r="S359" s="2"/>
      <c r="T359" s="2"/>
    </row>
    <row r="360" spans="1:20" x14ac:dyDescent="0.25">
      <c r="A360" s="3"/>
      <c r="B360" s="3"/>
      <c r="C360" s="2"/>
      <c r="D360" s="2"/>
      <c r="E360" s="51"/>
      <c r="F360" s="51"/>
      <c r="G360" s="51"/>
      <c r="H360" s="51"/>
      <c r="I360" s="2"/>
      <c r="J360" s="2"/>
      <c r="K360" s="2"/>
      <c r="L360" s="2"/>
      <c r="M360" s="2"/>
      <c r="N360" s="2"/>
      <c r="O360" s="2"/>
      <c r="P360" s="53"/>
      <c r="Q360" s="53"/>
      <c r="R360" s="2"/>
      <c r="S360" s="2"/>
      <c r="T360" s="2"/>
    </row>
    <row r="361" spans="1:20" x14ac:dyDescent="0.25">
      <c r="A361" s="3"/>
      <c r="B361" s="3"/>
      <c r="C361" s="2"/>
      <c r="D361" s="2"/>
      <c r="E361" s="51"/>
      <c r="F361" s="51"/>
      <c r="G361" s="51"/>
      <c r="H361" s="51"/>
      <c r="I361" s="2"/>
      <c r="J361" s="2"/>
      <c r="K361" s="2"/>
      <c r="L361" s="2"/>
      <c r="M361" s="2"/>
      <c r="N361" s="2"/>
      <c r="O361" s="2"/>
      <c r="P361" s="53"/>
      <c r="Q361" s="53"/>
      <c r="R361" s="2"/>
      <c r="S361" s="2"/>
      <c r="T361" s="2"/>
    </row>
    <row r="362" spans="1:20" x14ac:dyDescent="0.25">
      <c r="A362" s="3"/>
      <c r="B362" s="3"/>
      <c r="C362" s="2"/>
      <c r="D362" s="2"/>
      <c r="E362" s="51"/>
      <c r="F362" s="51"/>
      <c r="G362" s="51"/>
      <c r="H362" s="51"/>
      <c r="I362" s="2"/>
      <c r="J362" s="2"/>
      <c r="K362" s="2"/>
      <c r="L362" s="2"/>
      <c r="M362" s="2"/>
      <c r="N362" s="2"/>
      <c r="O362" s="2"/>
      <c r="P362" s="53"/>
      <c r="Q362" s="53"/>
      <c r="R362" s="2"/>
      <c r="S362" s="2"/>
      <c r="T362" s="2"/>
    </row>
    <row r="363" spans="1:20" x14ac:dyDescent="0.25">
      <c r="A363" s="3"/>
      <c r="B363" s="3"/>
      <c r="C363" s="2"/>
      <c r="D363" s="2"/>
      <c r="E363" s="51"/>
      <c r="F363" s="51"/>
      <c r="G363" s="51"/>
      <c r="H363" s="51"/>
      <c r="I363" s="2"/>
      <c r="J363" s="2"/>
      <c r="K363" s="2"/>
      <c r="L363" s="2"/>
      <c r="M363" s="2"/>
      <c r="N363" s="2"/>
      <c r="O363" s="2"/>
      <c r="P363" s="53"/>
      <c r="Q363" s="53"/>
      <c r="R363" s="2"/>
      <c r="S363" s="2"/>
      <c r="T363" s="2"/>
    </row>
    <row r="364" spans="1:20" x14ac:dyDescent="0.25">
      <c r="A364" s="3"/>
      <c r="B364" s="3"/>
      <c r="C364" s="2"/>
      <c r="D364" s="2"/>
      <c r="E364" s="51"/>
      <c r="F364" s="51"/>
      <c r="G364" s="51"/>
      <c r="H364" s="51"/>
      <c r="I364" s="2"/>
      <c r="J364" s="2"/>
      <c r="K364" s="2"/>
      <c r="L364" s="2"/>
      <c r="M364" s="2"/>
      <c r="N364" s="2"/>
      <c r="O364" s="2"/>
      <c r="P364" s="53"/>
      <c r="Q364" s="53"/>
      <c r="R364" s="2"/>
      <c r="S364" s="2"/>
      <c r="T364" s="2"/>
    </row>
    <row r="365" spans="1:20" x14ac:dyDescent="0.25">
      <c r="A365" s="3"/>
      <c r="B365" s="3"/>
      <c r="C365" s="2"/>
      <c r="D365" s="2"/>
      <c r="E365" s="51"/>
      <c r="F365" s="51"/>
      <c r="G365" s="51"/>
      <c r="H365" s="51"/>
      <c r="I365" s="2"/>
      <c r="J365" s="2"/>
      <c r="K365" s="2"/>
      <c r="L365" s="2"/>
      <c r="M365" s="2"/>
      <c r="N365" s="2"/>
      <c r="O365" s="2"/>
      <c r="P365" s="53"/>
      <c r="Q365" s="53"/>
      <c r="R365" s="2"/>
      <c r="S365" s="2"/>
      <c r="T365" s="2"/>
    </row>
    <row r="366" spans="1:20" x14ac:dyDescent="0.25">
      <c r="A366" s="3"/>
      <c r="B366" s="3"/>
      <c r="C366" s="2"/>
      <c r="D366" s="2"/>
      <c r="E366" s="51"/>
      <c r="F366" s="51"/>
      <c r="G366" s="51"/>
      <c r="H366" s="51"/>
      <c r="I366" s="2"/>
      <c r="J366" s="2"/>
      <c r="K366" s="2"/>
      <c r="L366" s="2"/>
      <c r="M366" s="2"/>
      <c r="N366" s="2"/>
      <c r="O366" s="2"/>
      <c r="P366" s="53"/>
      <c r="Q366" s="53"/>
      <c r="R366" s="2"/>
      <c r="S366" s="2"/>
      <c r="T366" s="2"/>
    </row>
    <row r="367" spans="1:20" x14ac:dyDescent="0.25">
      <c r="A367" s="3"/>
      <c r="B367" s="3"/>
      <c r="C367" s="2"/>
      <c r="D367" s="2"/>
      <c r="E367" s="51"/>
      <c r="F367" s="51"/>
      <c r="G367" s="51"/>
      <c r="H367" s="51"/>
      <c r="I367" s="2"/>
      <c r="J367" s="2"/>
      <c r="K367" s="2"/>
      <c r="L367" s="2"/>
      <c r="M367" s="2"/>
      <c r="N367" s="2"/>
      <c r="O367" s="2"/>
      <c r="P367" s="53"/>
      <c r="Q367" s="53"/>
      <c r="R367" s="2"/>
      <c r="S367" s="2"/>
      <c r="T367" s="2"/>
    </row>
    <row r="368" spans="1:20" x14ac:dyDescent="0.25">
      <c r="A368" s="3"/>
      <c r="B368" s="3"/>
      <c r="C368" s="2"/>
      <c r="D368" s="2"/>
      <c r="E368" s="51"/>
      <c r="F368" s="51"/>
      <c r="G368" s="51"/>
      <c r="H368" s="51"/>
      <c r="I368" s="2"/>
      <c r="J368" s="2"/>
      <c r="K368" s="2"/>
      <c r="L368" s="2"/>
      <c r="M368" s="2"/>
      <c r="N368" s="2"/>
      <c r="O368" s="2"/>
      <c r="P368" s="53"/>
      <c r="Q368" s="53"/>
      <c r="R368" s="2"/>
      <c r="S368" s="2"/>
      <c r="T368" s="2"/>
    </row>
    <row r="369" spans="1:20" x14ac:dyDescent="0.25">
      <c r="A369" s="3"/>
      <c r="B369" s="3"/>
      <c r="C369" s="2"/>
      <c r="D369" s="2"/>
      <c r="E369" s="51"/>
      <c r="F369" s="51"/>
      <c r="G369" s="51"/>
      <c r="H369" s="51"/>
      <c r="I369" s="2"/>
      <c r="J369" s="2"/>
      <c r="K369" s="2"/>
      <c r="L369" s="2"/>
      <c r="M369" s="2"/>
      <c r="N369" s="2"/>
      <c r="O369" s="2"/>
      <c r="P369" s="53"/>
      <c r="Q369" s="53"/>
      <c r="R369" s="2"/>
      <c r="S369" s="2"/>
      <c r="T369" s="2"/>
    </row>
    <row r="370" spans="1:20" x14ac:dyDescent="0.25">
      <c r="A370" s="3"/>
      <c r="B370" s="3"/>
      <c r="C370" s="2"/>
      <c r="D370" s="2"/>
      <c r="E370" s="51"/>
      <c r="F370" s="51"/>
      <c r="G370" s="51"/>
      <c r="H370" s="51"/>
      <c r="I370" s="2"/>
      <c r="J370" s="2"/>
      <c r="K370" s="2"/>
      <c r="L370" s="2"/>
      <c r="M370" s="2"/>
      <c r="N370" s="2"/>
      <c r="O370" s="2"/>
      <c r="P370" s="53"/>
      <c r="Q370" s="53"/>
      <c r="R370" s="2"/>
      <c r="S370" s="2"/>
      <c r="T370" s="2"/>
    </row>
    <row r="371" spans="1:20" x14ac:dyDescent="0.25">
      <c r="A371" s="3"/>
      <c r="B371" s="3"/>
      <c r="C371" s="2"/>
      <c r="D371" s="2"/>
      <c r="E371" s="51"/>
      <c r="F371" s="51"/>
      <c r="G371" s="51"/>
      <c r="H371" s="51"/>
      <c r="I371" s="2"/>
      <c r="J371" s="2"/>
      <c r="K371" s="2"/>
      <c r="L371" s="2"/>
      <c r="M371" s="2"/>
      <c r="N371" s="2"/>
      <c r="O371" s="2"/>
      <c r="P371" s="53"/>
      <c r="Q371" s="53"/>
      <c r="R371" s="2"/>
      <c r="S371" s="2"/>
      <c r="T371" s="2"/>
    </row>
    <row r="372" spans="1:20" x14ac:dyDescent="0.25">
      <c r="A372" s="3"/>
      <c r="B372" s="3"/>
      <c r="C372" s="2"/>
      <c r="D372" s="2"/>
      <c r="E372" s="51"/>
      <c r="F372" s="51"/>
      <c r="G372" s="51"/>
      <c r="H372" s="51"/>
      <c r="I372" s="2"/>
      <c r="J372" s="2"/>
      <c r="K372" s="2"/>
      <c r="L372" s="2"/>
      <c r="M372" s="2"/>
      <c r="N372" s="2"/>
      <c r="O372" s="2"/>
      <c r="P372" s="53"/>
      <c r="Q372" s="53"/>
      <c r="R372" s="2"/>
      <c r="S372" s="2"/>
      <c r="T372" s="2"/>
    </row>
    <row r="373" spans="1:20" x14ac:dyDescent="0.25">
      <c r="A373" s="3"/>
      <c r="B373" s="3"/>
      <c r="C373" s="2"/>
      <c r="D373" s="2"/>
      <c r="E373" s="51"/>
      <c r="F373" s="51"/>
      <c r="G373" s="51"/>
      <c r="H373" s="51"/>
      <c r="I373" s="2"/>
      <c r="J373" s="2"/>
      <c r="K373" s="2"/>
      <c r="L373" s="2"/>
      <c r="M373" s="2"/>
      <c r="N373" s="2"/>
      <c r="O373" s="2"/>
      <c r="P373" s="53"/>
      <c r="Q373" s="53"/>
      <c r="R373" s="2"/>
      <c r="S373" s="2"/>
      <c r="T373" s="2"/>
    </row>
    <row r="374" spans="1:20" x14ac:dyDescent="0.25">
      <c r="A374" s="3"/>
      <c r="B374" s="3"/>
      <c r="C374" s="2"/>
      <c r="D374" s="2"/>
      <c r="E374" s="51"/>
      <c r="F374" s="51"/>
      <c r="G374" s="51"/>
      <c r="H374" s="51"/>
      <c r="I374" s="2"/>
      <c r="J374" s="2"/>
      <c r="K374" s="2"/>
      <c r="L374" s="2"/>
      <c r="M374" s="2"/>
      <c r="N374" s="2"/>
      <c r="O374" s="2"/>
      <c r="P374" s="53"/>
      <c r="Q374" s="53"/>
      <c r="R374" s="2"/>
      <c r="S374" s="2"/>
      <c r="T374" s="2"/>
    </row>
    <row r="375" spans="1:20" x14ac:dyDescent="0.25">
      <c r="A375" s="3"/>
      <c r="B375" s="3"/>
      <c r="C375" s="2"/>
      <c r="D375" s="2"/>
      <c r="E375" s="51"/>
      <c r="F375" s="51"/>
      <c r="G375" s="51"/>
      <c r="H375" s="51"/>
      <c r="I375" s="2"/>
      <c r="J375" s="2"/>
      <c r="K375" s="2"/>
      <c r="L375" s="2"/>
      <c r="M375" s="2"/>
      <c r="N375" s="2"/>
      <c r="O375" s="2"/>
      <c r="P375" s="53"/>
      <c r="Q375" s="53"/>
      <c r="R375" s="2"/>
      <c r="S375" s="2"/>
      <c r="T375" s="2"/>
    </row>
    <row r="376" spans="1:20" x14ac:dyDescent="0.25">
      <c r="A376" s="3"/>
      <c r="B376" s="3"/>
      <c r="C376" s="2"/>
      <c r="D376" s="2"/>
      <c r="E376" s="51"/>
      <c r="F376" s="51"/>
      <c r="G376" s="51"/>
      <c r="H376" s="51"/>
      <c r="I376" s="2"/>
      <c r="J376" s="2"/>
      <c r="K376" s="2"/>
      <c r="L376" s="2"/>
      <c r="M376" s="2"/>
      <c r="N376" s="2"/>
      <c r="O376" s="2"/>
      <c r="P376" s="53"/>
      <c r="Q376" s="53"/>
      <c r="R376" s="2"/>
      <c r="S376" s="2"/>
      <c r="T376" s="2"/>
    </row>
    <row r="377" spans="1:20" x14ac:dyDescent="0.25">
      <c r="A377" s="3"/>
      <c r="B377" s="3"/>
      <c r="C377" s="2"/>
      <c r="D377" s="2"/>
      <c r="E377" s="51"/>
      <c r="F377" s="51"/>
      <c r="G377" s="51"/>
      <c r="H377" s="51"/>
      <c r="I377" s="2"/>
      <c r="J377" s="2"/>
      <c r="K377" s="2"/>
      <c r="L377" s="2"/>
      <c r="M377" s="2"/>
      <c r="N377" s="2"/>
      <c r="O377" s="2"/>
      <c r="P377" s="53"/>
      <c r="Q377" s="53"/>
      <c r="R377" s="2"/>
      <c r="S377" s="2"/>
      <c r="T377" s="2"/>
    </row>
    <row r="378" spans="1:20" x14ac:dyDescent="0.25">
      <c r="A378" s="3"/>
      <c r="B378" s="3"/>
      <c r="C378" s="2"/>
      <c r="D378" s="2"/>
      <c r="E378" s="51"/>
      <c r="F378" s="51"/>
      <c r="G378" s="51"/>
      <c r="H378" s="51"/>
      <c r="I378" s="2"/>
      <c r="J378" s="2"/>
      <c r="K378" s="2"/>
      <c r="L378" s="2"/>
      <c r="M378" s="2"/>
      <c r="N378" s="2"/>
      <c r="O378" s="2"/>
      <c r="P378" s="53"/>
      <c r="Q378" s="53"/>
      <c r="R378" s="2"/>
      <c r="S378" s="2"/>
      <c r="T378" s="2"/>
    </row>
    <row r="379" spans="1:20" x14ac:dyDescent="0.25">
      <c r="A379" s="3"/>
      <c r="B379" s="3"/>
      <c r="C379" s="2"/>
      <c r="D379" s="2"/>
      <c r="E379" s="51"/>
      <c r="F379" s="51"/>
      <c r="G379" s="51"/>
      <c r="H379" s="51"/>
      <c r="I379" s="2"/>
      <c r="J379" s="2"/>
      <c r="K379" s="2"/>
      <c r="L379" s="2"/>
      <c r="M379" s="2"/>
      <c r="N379" s="2"/>
      <c r="O379" s="2"/>
      <c r="P379" s="53"/>
      <c r="Q379" s="53"/>
      <c r="R379" s="2"/>
      <c r="S379" s="2"/>
      <c r="T379" s="2"/>
    </row>
    <row r="380" spans="1:20" x14ac:dyDescent="0.25">
      <c r="A380" s="3"/>
      <c r="B380" s="3"/>
      <c r="C380" s="2"/>
      <c r="D380" s="2"/>
      <c r="E380" s="51"/>
      <c r="F380" s="51"/>
      <c r="G380" s="51"/>
      <c r="H380" s="51"/>
      <c r="I380" s="2"/>
      <c r="J380" s="2"/>
      <c r="K380" s="2"/>
      <c r="L380" s="2"/>
      <c r="M380" s="2"/>
      <c r="N380" s="2"/>
      <c r="O380" s="2"/>
      <c r="P380" s="53"/>
      <c r="Q380" s="53"/>
      <c r="R380" s="2"/>
      <c r="S380" s="2"/>
      <c r="T380" s="2"/>
    </row>
    <row r="381" spans="1:20" x14ac:dyDescent="0.25">
      <c r="A381" s="3"/>
      <c r="B381" s="3"/>
      <c r="C381" s="2"/>
      <c r="D381" s="2"/>
      <c r="E381" s="51"/>
      <c r="F381" s="51"/>
      <c r="G381" s="51"/>
      <c r="H381" s="51"/>
      <c r="I381" s="2"/>
      <c r="J381" s="2"/>
      <c r="K381" s="2"/>
      <c r="L381" s="2"/>
      <c r="M381" s="2"/>
      <c r="N381" s="2"/>
      <c r="O381" s="2"/>
      <c r="P381" s="53"/>
      <c r="Q381" s="53"/>
      <c r="R381" s="2"/>
      <c r="S381" s="2"/>
      <c r="T381" s="2"/>
    </row>
    <row r="382" spans="1:20" x14ac:dyDescent="0.25">
      <c r="A382" s="3"/>
      <c r="B382" s="3"/>
      <c r="C382" s="2"/>
      <c r="D382" s="2"/>
      <c r="E382" s="51"/>
      <c r="F382" s="51"/>
      <c r="G382" s="51"/>
      <c r="H382" s="51"/>
      <c r="I382" s="2"/>
      <c r="J382" s="2"/>
      <c r="K382" s="2"/>
      <c r="L382" s="2"/>
      <c r="M382" s="2"/>
      <c r="N382" s="2"/>
      <c r="O382" s="2"/>
      <c r="P382" s="53"/>
      <c r="Q382" s="53"/>
      <c r="R382" s="2"/>
      <c r="S382" s="2"/>
      <c r="T382" s="2"/>
    </row>
    <row r="383" spans="1:20" x14ac:dyDescent="0.25">
      <c r="A383" s="3"/>
      <c r="B383" s="3"/>
      <c r="C383" s="2"/>
      <c r="D383" s="2"/>
      <c r="E383" s="51"/>
      <c r="F383" s="51"/>
      <c r="G383" s="51"/>
      <c r="H383" s="51"/>
      <c r="I383" s="2"/>
      <c r="J383" s="2"/>
      <c r="K383" s="2"/>
      <c r="L383" s="2"/>
      <c r="M383" s="2"/>
      <c r="N383" s="2"/>
      <c r="O383" s="2"/>
      <c r="P383" s="53"/>
      <c r="Q383" s="53"/>
      <c r="R383" s="2"/>
      <c r="S383" s="2"/>
      <c r="T383" s="2"/>
    </row>
    <row r="384" spans="1:20" x14ac:dyDescent="0.25">
      <c r="A384" s="3"/>
      <c r="B384" s="3"/>
      <c r="C384" s="2"/>
      <c r="D384" s="2"/>
      <c r="E384" s="51"/>
      <c r="F384" s="51"/>
      <c r="G384" s="51"/>
      <c r="H384" s="51"/>
      <c r="I384" s="2"/>
      <c r="J384" s="2"/>
      <c r="K384" s="2"/>
      <c r="L384" s="2"/>
      <c r="M384" s="2"/>
      <c r="N384" s="2"/>
      <c r="O384" s="2"/>
      <c r="P384" s="53"/>
      <c r="Q384" s="53"/>
      <c r="R384" s="2"/>
      <c r="S384" s="2"/>
      <c r="T384" s="2"/>
    </row>
    <row r="385" spans="1:20" x14ac:dyDescent="0.25">
      <c r="A385" s="3"/>
      <c r="B385" s="3"/>
      <c r="C385" s="2"/>
      <c r="D385" s="2"/>
      <c r="E385" s="51"/>
      <c r="F385" s="51"/>
      <c r="G385" s="51"/>
      <c r="H385" s="51"/>
      <c r="I385" s="2"/>
      <c r="J385" s="2"/>
      <c r="K385" s="2"/>
      <c r="L385" s="2"/>
      <c r="M385" s="2"/>
      <c r="N385" s="2"/>
      <c r="O385" s="2"/>
      <c r="P385" s="53"/>
      <c r="Q385" s="53"/>
      <c r="R385" s="2"/>
      <c r="S385" s="2"/>
      <c r="T385" s="2"/>
    </row>
    <row r="386" spans="1:20" x14ac:dyDescent="0.25">
      <c r="A386" s="3"/>
      <c r="B386" s="3"/>
      <c r="C386" s="2"/>
      <c r="D386" s="2"/>
      <c r="E386" s="51"/>
      <c r="F386" s="51"/>
      <c r="G386" s="51"/>
      <c r="H386" s="51"/>
      <c r="I386" s="2"/>
      <c r="J386" s="2"/>
      <c r="K386" s="2"/>
      <c r="L386" s="2"/>
      <c r="M386" s="2"/>
      <c r="N386" s="2"/>
      <c r="O386" s="2"/>
      <c r="P386" s="53"/>
      <c r="Q386" s="53"/>
      <c r="R386" s="2"/>
      <c r="S386" s="2"/>
      <c r="T386" s="2"/>
    </row>
    <row r="387" spans="1:20" x14ac:dyDescent="0.25">
      <c r="A387" s="3"/>
      <c r="B387" s="3"/>
      <c r="C387" s="2"/>
      <c r="D387" s="2"/>
      <c r="E387" s="51"/>
      <c r="F387" s="51"/>
      <c r="G387" s="51"/>
      <c r="H387" s="51"/>
      <c r="I387" s="2"/>
      <c r="J387" s="2"/>
      <c r="K387" s="2"/>
      <c r="L387" s="2"/>
      <c r="M387" s="2"/>
      <c r="N387" s="2"/>
      <c r="O387" s="2"/>
      <c r="P387" s="53"/>
      <c r="Q387" s="53"/>
      <c r="R387" s="2"/>
      <c r="S387" s="2"/>
      <c r="T387" s="2"/>
    </row>
    <row r="388" spans="1:20" x14ac:dyDescent="0.25">
      <c r="A388" s="3"/>
      <c r="B388" s="3"/>
      <c r="C388" s="2"/>
      <c r="D388" s="2"/>
      <c r="E388" s="51"/>
      <c r="F388" s="51"/>
      <c r="G388" s="51"/>
      <c r="H388" s="51"/>
      <c r="I388" s="2"/>
      <c r="J388" s="2"/>
      <c r="K388" s="2"/>
      <c r="L388" s="2"/>
      <c r="M388" s="2"/>
      <c r="N388" s="2"/>
      <c r="O388" s="2"/>
      <c r="P388" s="53"/>
      <c r="Q388" s="53"/>
      <c r="R388" s="2"/>
      <c r="S388" s="2"/>
      <c r="T388" s="2"/>
    </row>
    <row r="389" spans="1:20" x14ac:dyDescent="0.25">
      <c r="A389" s="3"/>
      <c r="B389" s="3"/>
      <c r="C389" s="2"/>
      <c r="D389" s="2"/>
      <c r="E389" s="51"/>
      <c r="F389" s="51"/>
      <c r="G389" s="51"/>
      <c r="H389" s="51"/>
      <c r="I389" s="2"/>
      <c r="J389" s="2"/>
      <c r="K389" s="2"/>
      <c r="L389" s="2"/>
      <c r="M389" s="2"/>
      <c r="N389" s="2"/>
      <c r="O389" s="2"/>
      <c r="P389" s="53"/>
      <c r="Q389" s="53"/>
      <c r="R389" s="2"/>
      <c r="S389" s="2"/>
      <c r="T389" s="2"/>
    </row>
    <row r="390" spans="1:20" x14ac:dyDescent="0.25">
      <c r="A390" s="3"/>
      <c r="B390" s="3"/>
      <c r="C390" s="2"/>
      <c r="D390" s="2"/>
      <c r="E390" s="51"/>
      <c r="F390" s="51"/>
      <c r="G390" s="51"/>
      <c r="H390" s="51"/>
      <c r="I390" s="2"/>
      <c r="J390" s="2"/>
      <c r="K390" s="2"/>
      <c r="L390" s="2"/>
      <c r="M390" s="2"/>
      <c r="N390" s="2"/>
      <c r="O390" s="2"/>
      <c r="P390" s="53"/>
      <c r="Q390" s="53"/>
      <c r="R390" s="2"/>
      <c r="S390" s="2"/>
      <c r="T390" s="2"/>
    </row>
    <row r="391" spans="1:20" x14ac:dyDescent="0.25">
      <c r="A391" s="3"/>
      <c r="B391" s="3"/>
      <c r="C391" s="2"/>
      <c r="D391" s="2"/>
      <c r="E391" s="51"/>
      <c r="F391" s="51"/>
      <c r="G391" s="51"/>
      <c r="H391" s="51"/>
      <c r="I391" s="2"/>
      <c r="J391" s="2"/>
      <c r="K391" s="2"/>
      <c r="L391" s="2"/>
      <c r="M391" s="2"/>
      <c r="N391" s="2"/>
      <c r="O391" s="2"/>
      <c r="P391" s="53"/>
      <c r="Q391" s="53"/>
      <c r="R391" s="2"/>
      <c r="S391" s="2"/>
      <c r="T391" s="2"/>
    </row>
    <row r="392" spans="1:20" x14ac:dyDescent="0.25">
      <c r="A392" s="3"/>
      <c r="B392" s="3"/>
      <c r="C392" s="2"/>
      <c r="D392" s="2"/>
      <c r="E392" s="51"/>
      <c r="F392" s="51"/>
      <c r="G392" s="51"/>
      <c r="H392" s="51"/>
      <c r="I392" s="2"/>
      <c r="J392" s="2"/>
      <c r="K392" s="2"/>
      <c r="L392" s="2"/>
      <c r="M392" s="2"/>
      <c r="N392" s="2"/>
      <c r="O392" s="2"/>
      <c r="P392" s="53"/>
      <c r="Q392" s="53"/>
      <c r="R392" s="2"/>
      <c r="S392" s="2"/>
      <c r="T392" s="2"/>
    </row>
    <row r="393" spans="1:20" x14ac:dyDescent="0.25">
      <c r="A393" s="3"/>
      <c r="B393" s="3"/>
      <c r="C393" s="2"/>
      <c r="D393" s="2"/>
      <c r="E393" s="51"/>
      <c r="F393" s="51"/>
      <c r="G393" s="51"/>
      <c r="H393" s="51"/>
      <c r="I393" s="2"/>
      <c r="J393" s="2"/>
      <c r="K393" s="2"/>
      <c r="L393" s="2"/>
      <c r="M393" s="2"/>
      <c r="N393" s="2"/>
      <c r="O393" s="2"/>
      <c r="P393" s="53"/>
      <c r="Q393" s="53"/>
      <c r="R393" s="2"/>
      <c r="S393" s="2"/>
      <c r="T393" s="2"/>
    </row>
    <row r="394" spans="1:20" x14ac:dyDescent="0.25">
      <c r="A394" s="3"/>
      <c r="B394" s="3"/>
      <c r="C394" s="2"/>
      <c r="D394" s="2"/>
      <c r="E394" s="51"/>
      <c r="F394" s="51"/>
      <c r="G394" s="51"/>
      <c r="H394" s="51"/>
      <c r="I394" s="2"/>
      <c r="J394" s="2"/>
      <c r="K394" s="2"/>
      <c r="L394" s="2"/>
      <c r="M394" s="2"/>
      <c r="N394" s="2"/>
      <c r="O394" s="2"/>
      <c r="P394" s="53"/>
      <c r="Q394" s="53"/>
      <c r="R394" s="2"/>
      <c r="S394" s="2"/>
      <c r="T394" s="2"/>
    </row>
    <row r="395" spans="1:20" x14ac:dyDescent="0.25">
      <c r="A395" s="3"/>
      <c r="B395" s="3"/>
      <c r="C395" s="2"/>
      <c r="D395" s="2"/>
      <c r="E395" s="51"/>
      <c r="F395" s="51"/>
      <c r="G395" s="51"/>
      <c r="H395" s="51"/>
      <c r="I395" s="2"/>
      <c r="J395" s="2"/>
      <c r="K395" s="2"/>
      <c r="L395" s="2"/>
      <c r="M395" s="2"/>
      <c r="N395" s="2"/>
      <c r="O395" s="2"/>
      <c r="P395" s="53"/>
      <c r="Q395" s="53"/>
      <c r="R395" s="2"/>
      <c r="S395" s="2"/>
      <c r="T395" s="2"/>
    </row>
    <row r="396" spans="1:20" x14ac:dyDescent="0.25">
      <c r="A396" s="3"/>
      <c r="B396" s="3"/>
      <c r="C396" s="2"/>
      <c r="D396" s="2"/>
      <c r="E396" s="51"/>
      <c r="F396" s="51"/>
      <c r="G396" s="51"/>
      <c r="H396" s="51"/>
      <c r="I396" s="2"/>
      <c r="J396" s="2"/>
      <c r="K396" s="2"/>
      <c r="L396" s="2"/>
      <c r="M396" s="2"/>
      <c r="N396" s="2"/>
      <c r="O396" s="2"/>
      <c r="P396" s="53"/>
      <c r="Q396" s="53"/>
      <c r="R396" s="2"/>
      <c r="S396" s="2"/>
      <c r="T396" s="2"/>
    </row>
    <row r="397" spans="1:20" x14ac:dyDescent="0.25">
      <c r="A397" s="3"/>
      <c r="B397" s="3"/>
      <c r="C397" s="2"/>
      <c r="D397" s="2"/>
      <c r="E397" s="51"/>
      <c r="F397" s="51"/>
      <c r="G397" s="51"/>
      <c r="H397" s="51"/>
      <c r="I397" s="2"/>
      <c r="J397" s="2"/>
      <c r="K397" s="2"/>
      <c r="L397" s="2"/>
      <c r="M397" s="2"/>
      <c r="N397" s="2"/>
      <c r="O397" s="2"/>
      <c r="P397" s="53"/>
      <c r="Q397" s="53"/>
      <c r="R397" s="2"/>
      <c r="S397" s="2"/>
      <c r="T397" s="2"/>
    </row>
    <row r="398" spans="1:20" x14ac:dyDescent="0.25">
      <c r="A398" s="3"/>
      <c r="B398" s="3"/>
      <c r="C398" s="2"/>
      <c r="D398" s="2"/>
      <c r="E398" s="51"/>
      <c r="F398" s="51"/>
      <c r="G398" s="51"/>
      <c r="H398" s="51"/>
      <c r="I398" s="2"/>
      <c r="J398" s="2"/>
      <c r="K398" s="2"/>
      <c r="L398" s="2"/>
      <c r="M398" s="2"/>
      <c r="N398" s="2"/>
      <c r="O398" s="2"/>
      <c r="P398" s="53"/>
      <c r="Q398" s="53"/>
      <c r="R398" s="2"/>
      <c r="S398" s="2"/>
      <c r="T398" s="2"/>
    </row>
    <row r="399" spans="1:20" x14ac:dyDescent="0.25">
      <c r="A399" s="3"/>
      <c r="B399" s="3"/>
      <c r="C399" s="2"/>
      <c r="D399" s="2"/>
      <c r="E399" s="51"/>
      <c r="F399" s="51"/>
      <c r="G399" s="51"/>
      <c r="H399" s="51"/>
      <c r="I399" s="2"/>
      <c r="J399" s="2"/>
      <c r="K399" s="2"/>
      <c r="L399" s="2"/>
      <c r="M399" s="2"/>
      <c r="N399" s="2"/>
      <c r="O399" s="2"/>
      <c r="P399" s="53"/>
      <c r="Q399" s="53"/>
      <c r="R399" s="2"/>
      <c r="S399" s="2"/>
      <c r="T399" s="2"/>
    </row>
    <row r="400" spans="1:20" x14ac:dyDescent="0.25">
      <c r="A400" s="3"/>
      <c r="B400" s="3"/>
      <c r="C400" s="2"/>
      <c r="D400" s="2"/>
      <c r="E400" s="51"/>
      <c r="F400" s="51"/>
      <c r="G400" s="51"/>
      <c r="H400" s="51"/>
      <c r="I400" s="2"/>
      <c r="J400" s="2"/>
      <c r="K400" s="2"/>
      <c r="L400" s="2"/>
      <c r="M400" s="2"/>
      <c r="N400" s="2"/>
      <c r="O400" s="2"/>
      <c r="P400" s="53"/>
      <c r="Q400" s="53"/>
      <c r="R400" s="2"/>
      <c r="S400" s="2"/>
      <c r="T400" s="2"/>
    </row>
    <row r="401" spans="1:20" x14ac:dyDescent="0.25">
      <c r="A401" s="3"/>
      <c r="B401" s="3"/>
      <c r="C401" s="2"/>
      <c r="D401" s="2"/>
      <c r="E401" s="51"/>
      <c r="F401" s="51"/>
      <c r="G401" s="51"/>
      <c r="H401" s="51"/>
      <c r="I401" s="2"/>
      <c r="J401" s="2"/>
      <c r="K401" s="2"/>
      <c r="L401" s="2"/>
      <c r="M401" s="2"/>
      <c r="N401" s="2"/>
      <c r="O401" s="2"/>
      <c r="P401" s="53"/>
      <c r="Q401" s="53"/>
      <c r="R401" s="2"/>
      <c r="S401" s="2"/>
      <c r="T401" s="2"/>
    </row>
    <row r="402" spans="1:20" x14ac:dyDescent="0.25">
      <c r="A402" s="3"/>
      <c r="B402" s="3"/>
      <c r="C402" s="2"/>
      <c r="D402" s="2"/>
      <c r="E402" s="51"/>
      <c r="F402" s="51"/>
      <c r="G402" s="51"/>
      <c r="H402" s="51"/>
      <c r="I402" s="2"/>
      <c r="J402" s="2"/>
      <c r="K402" s="2"/>
      <c r="L402" s="2"/>
      <c r="M402" s="2"/>
      <c r="N402" s="2"/>
      <c r="O402" s="2"/>
      <c r="P402" s="53"/>
      <c r="Q402" s="53"/>
      <c r="R402" s="2"/>
      <c r="S402" s="2"/>
      <c r="T402" s="2"/>
    </row>
    <row r="403" spans="1:20" x14ac:dyDescent="0.25">
      <c r="A403" s="3"/>
      <c r="B403" s="3"/>
      <c r="C403" s="2"/>
      <c r="D403" s="2"/>
      <c r="E403" s="51"/>
      <c r="F403" s="51"/>
      <c r="G403" s="51"/>
      <c r="H403" s="51"/>
      <c r="I403" s="2"/>
      <c r="J403" s="2"/>
      <c r="K403" s="2"/>
      <c r="L403" s="2"/>
      <c r="M403" s="2"/>
      <c r="N403" s="2"/>
      <c r="O403" s="2"/>
      <c r="P403" s="53"/>
      <c r="Q403" s="53"/>
      <c r="R403" s="2"/>
      <c r="S403" s="2"/>
      <c r="T403" s="2"/>
    </row>
    <row r="404" spans="1:20" x14ac:dyDescent="0.25">
      <c r="A404" s="3"/>
      <c r="B404" s="3"/>
      <c r="C404" s="2"/>
      <c r="D404" s="2"/>
      <c r="E404" s="51"/>
      <c r="F404" s="51"/>
      <c r="G404" s="51"/>
      <c r="H404" s="51"/>
      <c r="I404" s="2"/>
      <c r="J404" s="2"/>
      <c r="K404" s="2"/>
      <c r="L404" s="2"/>
      <c r="M404" s="2"/>
      <c r="N404" s="2"/>
      <c r="O404" s="2"/>
      <c r="P404" s="53"/>
      <c r="Q404" s="53"/>
      <c r="R404" s="2"/>
      <c r="S404" s="2"/>
      <c r="T404" s="2"/>
    </row>
    <row r="405" spans="1:20" x14ac:dyDescent="0.25">
      <c r="A405" s="3"/>
      <c r="B405" s="3"/>
      <c r="C405" s="2"/>
      <c r="D405" s="2"/>
      <c r="E405" s="51"/>
      <c r="F405" s="51"/>
      <c r="G405" s="51"/>
      <c r="H405" s="51"/>
      <c r="I405" s="2"/>
      <c r="J405" s="2"/>
      <c r="K405" s="2"/>
      <c r="L405" s="2"/>
      <c r="M405" s="2"/>
      <c r="N405" s="2"/>
      <c r="O405" s="2"/>
      <c r="P405" s="53"/>
      <c r="Q405" s="53"/>
      <c r="R405" s="2"/>
      <c r="S405" s="2"/>
      <c r="T405" s="2"/>
    </row>
    <row r="406" spans="1:20" x14ac:dyDescent="0.25">
      <c r="A406" s="3"/>
      <c r="B406" s="3"/>
      <c r="C406" s="2"/>
      <c r="D406" s="2"/>
      <c r="E406" s="51"/>
      <c r="F406" s="51"/>
      <c r="G406" s="51"/>
      <c r="H406" s="51"/>
      <c r="I406" s="2"/>
      <c r="J406" s="2"/>
      <c r="K406" s="2"/>
      <c r="L406" s="2"/>
      <c r="M406" s="2"/>
      <c r="N406" s="2"/>
      <c r="O406" s="2"/>
      <c r="P406" s="53"/>
      <c r="Q406" s="53"/>
      <c r="R406" s="2"/>
      <c r="S406" s="2"/>
      <c r="T406" s="2"/>
    </row>
    <row r="407" spans="1:20" x14ac:dyDescent="0.25">
      <c r="A407" s="3"/>
      <c r="B407" s="3"/>
      <c r="C407" s="2"/>
      <c r="D407" s="2"/>
      <c r="E407" s="51"/>
      <c r="F407" s="51"/>
      <c r="G407" s="51"/>
      <c r="H407" s="51"/>
      <c r="I407" s="2"/>
      <c r="J407" s="2"/>
      <c r="K407" s="2"/>
      <c r="L407" s="2"/>
      <c r="M407" s="2"/>
      <c r="N407" s="2"/>
      <c r="O407" s="2"/>
      <c r="P407" s="53"/>
      <c r="Q407" s="53"/>
      <c r="R407" s="2"/>
      <c r="S407" s="2"/>
      <c r="T407" s="2"/>
    </row>
    <row r="408" spans="1:20" x14ac:dyDescent="0.25">
      <c r="A408" s="3"/>
      <c r="B408" s="3"/>
      <c r="C408" s="2"/>
      <c r="D408" s="2"/>
      <c r="E408" s="51"/>
      <c r="F408" s="51"/>
      <c r="G408" s="51"/>
      <c r="H408" s="51"/>
      <c r="I408" s="2"/>
      <c r="J408" s="2"/>
      <c r="K408" s="2"/>
      <c r="L408" s="2"/>
      <c r="M408" s="2"/>
      <c r="N408" s="2"/>
      <c r="O408" s="2"/>
      <c r="P408" s="53"/>
      <c r="Q408" s="53"/>
      <c r="R408" s="2"/>
      <c r="S408" s="2"/>
      <c r="T408" s="2"/>
    </row>
    <row r="409" spans="1:20" x14ac:dyDescent="0.25">
      <c r="A409" s="3"/>
      <c r="B409" s="3"/>
      <c r="C409" s="2"/>
      <c r="D409" s="2"/>
      <c r="E409" s="51"/>
      <c r="F409" s="51"/>
      <c r="G409" s="51"/>
      <c r="H409" s="51"/>
      <c r="I409" s="2"/>
      <c r="J409" s="2"/>
      <c r="K409" s="2"/>
      <c r="L409" s="2"/>
      <c r="M409" s="2"/>
      <c r="N409" s="2"/>
      <c r="O409" s="2"/>
      <c r="P409" s="53"/>
      <c r="Q409" s="53"/>
      <c r="R409" s="2"/>
      <c r="S409" s="2"/>
      <c r="T409" s="2"/>
    </row>
    <row r="410" spans="1:20" x14ac:dyDescent="0.25">
      <c r="A410" s="3"/>
      <c r="B410" s="3"/>
      <c r="C410" s="2"/>
      <c r="D410" s="2"/>
      <c r="E410" s="51"/>
      <c r="F410" s="51"/>
      <c r="G410" s="51"/>
      <c r="H410" s="51"/>
      <c r="I410" s="2"/>
      <c r="J410" s="2"/>
      <c r="K410" s="2"/>
      <c r="L410" s="2"/>
      <c r="M410" s="2"/>
      <c r="N410" s="2"/>
      <c r="O410" s="2"/>
      <c r="P410" s="53"/>
      <c r="Q410" s="53"/>
      <c r="R410" s="2"/>
      <c r="S410" s="2"/>
      <c r="T410" s="2"/>
    </row>
    <row r="411" spans="1:20" x14ac:dyDescent="0.25">
      <c r="A411" s="3"/>
      <c r="B411" s="3"/>
      <c r="C411" s="2"/>
      <c r="D411" s="2"/>
      <c r="E411" s="51"/>
      <c r="F411" s="51"/>
      <c r="G411" s="51"/>
      <c r="H411" s="51"/>
      <c r="I411" s="2"/>
      <c r="J411" s="2"/>
      <c r="K411" s="2"/>
      <c r="L411" s="2"/>
      <c r="M411" s="2"/>
      <c r="N411" s="2"/>
      <c r="O411" s="2"/>
      <c r="P411" s="53"/>
      <c r="Q411" s="53"/>
      <c r="R411" s="2"/>
      <c r="S411" s="2"/>
      <c r="T411" s="2"/>
    </row>
    <row r="412" spans="1:20" x14ac:dyDescent="0.25">
      <c r="A412" s="3"/>
      <c r="B412" s="3"/>
      <c r="C412" s="2"/>
      <c r="D412" s="2"/>
      <c r="E412" s="51"/>
      <c r="F412" s="51"/>
      <c r="G412" s="51"/>
      <c r="H412" s="51"/>
      <c r="I412" s="2"/>
      <c r="J412" s="2"/>
      <c r="K412" s="2"/>
      <c r="L412" s="2"/>
      <c r="M412" s="2"/>
      <c r="N412" s="2"/>
      <c r="O412" s="2"/>
      <c r="P412" s="53"/>
      <c r="Q412" s="53"/>
      <c r="R412" s="2"/>
      <c r="S412" s="2"/>
      <c r="T412" s="2"/>
    </row>
    <row r="413" spans="1:20" x14ac:dyDescent="0.25">
      <c r="A413" s="3"/>
      <c r="B413" s="3"/>
      <c r="C413" s="2"/>
      <c r="D413" s="2"/>
      <c r="E413" s="51"/>
      <c r="F413" s="51"/>
      <c r="G413" s="51"/>
      <c r="H413" s="51"/>
      <c r="I413" s="2"/>
      <c r="J413" s="2"/>
      <c r="K413" s="2"/>
      <c r="L413" s="2"/>
      <c r="M413" s="2"/>
      <c r="N413" s="2"/>
      <c r="O413" s="2"/>
      <c r="P413" s="53"/>
      <c r="Q413" s="53"/>
      <c r="R413" s="2"/>
      <c r="S413" s="2"/>
      <c r="T413" s="2"/>
    </row>
    <row r="414" spans="1:20" x14ac:dyDescent="0.25">
      <c r="A414" s="3"/>
      <c r="B414" s="3"/>
      <c r="C414" s="2"/>
      <c r="D414" s="2"/>
      <c r="E414" s="51"/>
      <c r="F414" s="51"/>
      <c r="G414" s="51"/>
      <c r="H414" s="51"/>
      <c r="I414" s="2"/>
      <c r="J414" s="2"/>
      <c r="K414" s="2"/>
      <c r="L414" s="2"/>
      <c r="M414" s="2"/>
      <c r="N414" s="2"/>
      <c r="O414" s="2"/>
      <c r="P414" s="53"/>
      <c r="Q414" s="53"/>
      <c r="R414" s="2"/>
      <c r="S414" s="2"/>
      <c r="T414" s="2"/>
    </row>
    <row r="415" spans="1:20" x14ac:dyDescent="0.25">
      <c r="A415" s="3"/>
      <c r="B415" s="3"/>
      <c r="C415" s="2"/>
      <c r="D415" s="2"/>
      <c r="E415" s="51"/>
      <c r="F415" s="51"/>
      <c r="G415" s="51"/>
      <c r="H415" s="51"/>
      <c r="I415" s="2"/>
      <c r="J415" s="2"/>
      <c r="K415" s="2"/>
      <c r="L415" s="2"/>
      <c r="M415" s="2"/>
      <c r="N415" s="2"/>
      <c r="O415" s="2"/>
      <c r="P415" s="53"/>
      <c r="Q415" s="53"/>
      <c r="R415" s="2"/>
      <c r="S415" s="2"/>
      <c r="T415" s="2"/>
    </row>
    <row r="416" spans="1:20" x14ac:dyDescent="0.25">
      <c r="A416" s="3"/>
      <c r="B416" s="3"/>
      <c r="C416" s="2"/>
      <c r="D416" s="2"/>
      <c r="E416" s="51"/>
      <c r="F416" s="51"/>
      <c r="G416" s="51"/>
      <c r="H416" s="51"/>
      <c r="I416" s="2"/>
      <c r="J416" s="2"/>
      <c r="K416" s="2"/>
      <c r="L416" s="2"/>
      <c r="M416" s="2"/>
      <c r="N416" s="2"/>
      <c r="O416" s="2"/>
      <c r="P416" s="53"/>
      <c r="Q416" s="53"/>
      <c r="R416" s="2"/>
      <c r="S416" s="2"/>
      <c r="T416" s="2"/>
    </row>
    <row r="417" spans="1:20" x14ac:dyDescent="0.25">
      <c r="A417" s="3"/>
      <c r="B417" s="3"/>
      <c r="C417" s="2"/>
      <c r="D417" s="2"/>
      <c r="E417" s="51"/>
      <c r="F417" s="51"/>
      <c r="G417" s="51"/>
      <c r="H417" s="51"/>
      <c r="I417" s="2"/>
      <c r="J417" s="2"/>
      <c r="K417" s="2"/>
      <c r="L417" s="2"/>
      <c r="M417" s="2"/>
      <c r="N417" s="2"/>
      <c r="O417" s="2"/>
      <c r="P417" s="53"/>
      <c r="Q417" s="53"/>
      <c r="R417" s="2"/>
      <c r="S417" s="2"/>
      <c r="T417" s="2"/>
    </row>
    <row r="418" spans="1:20" x14ac:dyDescent="0.25">
      <c r="A418" s="3"/>
      <c r="B418" s="3"/>
      <c r="C418" s="2"/>
      <c r="D418" s="2"/>
      <c r="E418" s="51"/>
      <c r="F418" s="51"/>
      <c r="G418" s="51"/>
      <c r="H418" s="51"/>
      <c r="I418" s="2"/>
      <c r="J418" s="2"/>
      <c r="K418" s="2"/>
      <c r="L418" s="2"/>
      <c r="M418" s="2"/>
      <c r="N418" s="2"/>
      <c r="O418" s="2"/>
      <c r="P418" s="53"/>
      <c r="Q418" s="53"/>
      <c r="R418" s="2"/>
      <c r="S418" s="2"/>
      <c r="T418" s="2"/>
    </row>
    <row r="419" spans="1:20" x14ac:dyDescent="0.25">
      <c r="A419" s="3"/>
      <c r="B419" s="3"/>
      <c r="C419" s="2"/>
      <c r="D419" s="2"/>
      <c r="E419" s="51"/>
      <c r="F419" s="51"/>
      <c r="G419" s="51"/>
      <c r="H419" s="51"/>
      <c r="I419" s="2"/>
      <c r="J419" s="2"/>
      <c r="K419" s="2"/>
      <c r="L419" s="2"/>
      <c r="M419" s="2"/>
      <c r="N419" s="2"/>
      <c r="O419" s="2"/>
      <c r="P419" s="53"/>
      <c r="Q419" s="53"/>
      <c r="R419" s="2"/>
      <c r="S419" s="2"/>
      <c r="T419" s="2"/>
    </row>
    <row r="420" spans="1:20" x14ac:dyDescent="0.25">
      <c r="A420" s="3"/>
      <c r="B420" s="3"/>
      <c r="C420" s="2"/>
      <c r="D420" s="2"/>
      <c r="E420" s="51"/>
      <c r="F420" s="51"/>
      <c r="G420" s="51"/>
      <c r="H420" s="51"/>
      <c r="I420" s="2"/>
      <c r="J420" s="2"/>
      <c r="K420" s="2"/>
      <c r="L420" s="2"/>
      <c r="M420" s="2"/>
      <c r="N420" s="2"/>
      <c r="O420" s="2"/>
      <c r="P420" s="53"/>
      <c r="Q420" s="53"/>
      <c r="R420" s="2"/>
      <c r="S420" s="2"/>
      <c r="T420" s="2"/>
    </row>
    <row r="421" spans="1:20" x14ac:dyDescent="0.25">
      <c r="A421" s="3"/>
      <c r="B421" s="3"/>
      <c r="C421" s="2"/>
      <c r="D421" s="2"/>
      <c r="E421" s="51"/>
      <c r="F421" s="51"/>
      <c r="G421" s="51"/>
      <c r="H421" s="51"/>
      <c r="I421" s="2"/>
      <c r="J421" s="2"/>
      <c r="K421" s="2"/>
      <c r="L421" s="2"/>
      <c r="M421" s="2"/>
      <c r="N421" s="2"/>
      <c r="O421" s="2"/>
      <c r="P421" s="53"/>
      <c r="Q421" s="53"/>
      <c r="R421" s="2"/>
      <c r="S421" s="2"/>
      <c r="T421" s="2"/>
    </row>
    <row r="422" spans="1:20" x14ac:dyDescent="0.25">
      <c r="A422" s="3"/>
      <c r="B422" s="3"/>
      <c r="C422" s="2"/>
      <c r="D422" s="2"/>
      <c r="E422" s="51"/>
      <c r="F422" s="51"/>
      <c r="G422" s="51"/>
      <c r="H422" s="51"/>
      <c r="I422" s="2"/>
      <c r="J422" s="2"/>
      <c r="K422" s="2"/>
      <c r="L422" s="2"/>
      <c r="M422" s="2"/>
      <c r="N422" s="2"/>
      <c r="O422" s="2"/>
      <c r="P422" s="53"/>
      <c r="Q422" s="53"/>
      <c r="R422" s="2"/>
      <c r="S422" s="2"/>
      <c r="T422" s="2"/>
    </row>
    <row r="423" spans="1:20" x14ac:dyDescent="0.25">
      <c r="A423" s="3"/>
      <c r="B423" s="3"/>
      <c r="C423" s="2"/>
      <c r="D423" s="2"/>
      <c r="E423" s="51"/>
      <c r="F423" s="51"/>
      <c r="G423" s="51"/>
      <c r="H423" s="51"/>
      <c r="I423" s="2"/>
      <c r="J423" s="2"/>
      <c r="K423" s="2"/>
      <c r="L423" s="2"/>
      <c r="M423" s="2"/>
      <c r="N423" s="2"/>
      <c r="O423" s="2"/>
      <c r="P423" s="53"/>
      <c r="Q423" s="53"/>
      <c r="R423" s="2"/>
      <c r="S423" s="2"/>
      <c r="T423" s="2"/>
    </row>
    <row r="424" spans="1:20" x14ac:dyDescent="0.25">
      <c r="A424" s="3"/>
      <c r="B424" s="3"/>
      <c r="C424" s="2"/>
      <c r="D424" s="2"/>
      <c r="E424" s="51"/>
      <c r="F424" s="51"/>
      <c r="G424" s="51"/>
      <c r="H424" s="51"/>
      <c r="I424" s="2"/>
      <c r="J424" s="2"/>
      <c r="K424" s="2"/>
      <c r="L424" s="2"/>
      <c r="M424" s="2"/>
      <c r="N424" s="2"/>
      <c r="O424" s="2"/>
      <c r="P424" s="53"/>
      <c r="Q424" s="53"/>
      <c r="R424" s="2"/>
      <c r="S424" s="2"/>
      <c r="T424" s="2"/>
    </row>
    <row r="425" spans="1:20" x14ac:dyDescent="0.25">
      <c r="A425" s="3"/>
      <c r="B425" s="3"/>
      <c r="C425" s="2"/>
      <c r="D425" s="2"/>
      <c r="E425" s="51"/>
      <c r="F425" s="51"/>
      <c r="G425" s="51"/>
      <c r="H425" s="51"/>
      <c r="I425" s="2"/>
      <c r="J425" s="2"/>
      <c r="K425" s="2"/>
      <c r="L425" s="2"/>
      <c r="M425" s="2"/>
      <c r="N425" s="2"/>
      <c r="O425" s="2"/>
      <c r="P425" s="53"/>
      <c r="Q425" s="53"/>
      <c r="R425" s="2"/>
      <c r="S425" s="2"/>
      <c r="T425" s="2"/>
    </row>
    <row r="426" spans="1:20" x14ac:dyDescent="0.25">
      <c r="A426" s="3"/>
      <c r="B426" s="3"/>
      <c r="C426" s="2"/>
      <c r="D426" s="2"/>
      <c r="E426" s="51"/>
      <c r="F426" s="51"/>
      <c r="G426" s="51"/>
      <c r="H426" s="51"/>
      <c r="I426" s="2"/>
      <c r="J426" s="2"/>
      <c r="K426" s="2"/>
      <c r="L426" s="2"/>
      <c r="M426" s="2"/>
      <c r="N426" s="2"/>
      <c r="O426" s="2"/>
      <c r="P426" s="53"/>
      <c r="Q426" s="53"/>
      <c r="R426" s="2"/>
      <c r="S426" s="2"/>
      <c r="T426" s="2"/>
    </row>
    <row r="427" spans="1:20" x14ac:dyDescent="0.25">
      <c r="A427" s="3"/>
      <c r="B427" s="3"/>
      <c r="C427" s="2"/>
      <c r="D427" s="2"/>
      <c r="E427" s="51"/>
      <c r="F427" s="51"/>
      <c r="G427" s="51"/>
      <c r="H427" s="51"/>
      <c r="I427" s="2"/>
      <c r="J427" s="2"/>
      <c r="K427" s="2"/>
      <c r="L427" s="2"/>
      <c r="M427" s="2"/>
      <c r="N427" s="2"/>
      <c r="O427" s="2"/>
      <c r="P427" s="53"/>
      <c r="Q427" s="53"/>
      <c r="R427" s="2"/>
      <c r="S427" s="2"/>
      <c r="T427" s="2"/>
    </row>
    <row r="428" spans="1:20" x14ac:dyDescent="0.25">
      <c r="A428" s="3"/>
      <c r="B428" s="3"/>
      <c r="C428" s="2"/>
      <c r="D428" s="2"/>
      <c r="E428" s="51"/>
      <c r="F428" s="51"/>
      <c r="G428" s="51"/>
      <c r="H428" s="51"/>
      <c r="I428" s="2"/>
      <c r="J428" s="2"/>
      <c r="K428" s="2"/>
      <c r="L428" s="2"/>
      <c r="M428" s="2"/>
      <c r="N428" s="2"/>
      <c r="O428" s="2"/>
      <c r="P428" s="53"/>
      <c r="Q428" s="53"/>
      <c r="R428" s="2"/>
      <c r="S428" s="2"/>
      <c r="T428" s="2"/>
    </row>
    <row r="429" spans="1:20" x14ac:dyDescent="0.25">
      <c r="A429" s="3"/>
      <c r="B429" s="3"/>
      <c r="C429" s="2"/>
      <c r="D429" s="2"/>
      <c r="E429" s="51"/>
      <c r="F429" s="51"/>
      <c r="G429" s="51"/>
      <c r="H429" s="51"/>
      <c r="I429" s="2"/>
      <c r="J429" s="2"/>
      <c r="K429" s="2"/>
      <c r="L429" s="2"/>
      <c r="M429" s="2"/>
      <c r="N429" s="2"/>
      <c r="O429" s="2"/>
      <c r="P429" s="53"/>
      <c r="Q429" s="53"/>
      <c r="R429" s="2"/>
      <c r="S429" s="2"/>
      <c r="T429" s="2"/>
    </row>
    <row r="430" spans="1:20" x14ac:dyDescent="0.25">
      <c r="A430" s="3"/>
      <c r="B430" s="3"/>
      <c r="C430" s="2"/>
      <c r="D430" s="2"/>
      <c r="E430" s="51"/>
      <c r="F430" s="51"/>
      <c r="G430" s="51"/>
      <c r="H430" s="51"/>
      <c r="I430" s="2"/>
      <c r="J430" s="2"/>
      <c r="K430" s="2"/>
      <c r="L430" s="2"/>
      <c r="M430" s="2"/>
      <c r="N430" s="2"/>
      <c r="O430" s="2"/>
      <c r="P430" s="53"/>
      <c r="Q430" s="53"/>
      <c r="R430" s="2"/>
      <c r="S430" s="2"/>
      <c r="T430" s="2"/>
    </row>
    <row r="431" spans="1:20" x14ac:dyDescent="0.25">
      <c r="A431" s="3"/>
      <c r="B431" s="3"/>
      <c r="C431" s="2"/>
      <c r="D431" s="2"/>
      <c r="E431" s="51"/>
      <c r="F431" s="51"/>
      <c r="G431" s="51"/>
      <c r="H431" s="51"/>
      <c r="I431" s="2"/>
      <c r="J431" s="2"/>
      <c r="K431" s="2"/>
      <c r="L431" s="2"/>
      <c r="M431" s="2"/>
      <c r="N431" s="2"/>
      <c r="O431" s="2"/>
      <c r="P431" s="53"/>
      <c r="Q431" s="53"/>
      <c r="R431" s="2"/>
      <c r="S431" s="2"/>
      <c r="T431" s="2"/>
    </row>
    <row r="432" spans="1:20" x14ac:dyDescent="0.25">
      <c r="A432" s="3"/>
      <c r="B432" s="3"/>
      <c r="C432" s="2"/>
      <c r="D432" s="2"/>
      <c r="E432" s="51"/>
      <c r="F432" s="51"/>
      <c r="G432" s="51"/>
      <c r="H432" s="51"/>
      <c r="I432" s="2"/>
      <c r="J432" s="2"/>
      <c r="K432" s="2"/>
      <c r="L432" s="2"/>
      <c r="M432" s="2"/>
      <c r="N432" s="2"/>
      <c r="O432" s="2"/>
      <c r="P432" s="53"/>
      <c r="Q432" s="53"/>
      <c r="R432" s="2"/>
      <c r="S432" s="2"/>
      <c r="T432" s="2"/>
    </row>
    <row r="433" spans="1:20" x14ac:dyDescent="0.25">
      <c r="A433" s="3"/>
      <c r="B433" s="3"/>
      <c r="C433" s="2"/>
      <c r="D433" s="2"/>
      <c r="E433" s="51"/>
      <c r="F433" s="51"/>
      <c r="G433" s="51"/>
      <c r="H433" s="51"/>
      <c r="I433" s="2"/>
      <c r="J433" s="2"/>
      <c r="K433" s="2"/>
      <c r="L433" s="2"/>
      <c r="M433" s="2"/>
      <c r="N433" s="2"/>
      <c r="O433" s="2"/>
      <c r="P433" s="53"/>
      <c r="Q433" s="53"/>
      <c r="R433" s="2"/>
      <c r="S433" s="2"/>
      <c r="T433" s="2"/>
    </row>
    <row r="434" spans="1:20" x14ac:dyDescent="0.25">
      <c r="A434" s="3"/>
      <c r="B434" s="3"/>
      <c r="C434" s="2"/>
      <c r="D434" s="2"/>
      <c r="E434" s="51"/>
      <c r="F434" s="51"/>
      <c r="G434" s="51"/>
      <c r="H434" s="51"/>
      <c r="I434" s="2"/>
      <c r="J434" s="2"/>
      <c r="K434" s="2"/>
      <c r="L434" s="2"/>
      <c r="M434" s="2"/>
      <c r="N434" s="2"/>
      <c r="O434" s="2"/>
      <c r="P434" s="53"/>
      <c r="Q434" s="53"/>
      <c r="R434" s="2"/>
      <c r="S434" s="2"/>
      <c r="T434" s="2"/>
    </row>
    <row r="435" spans="1:20" x14ac:dyDescent="0.25">
      <c r="A435" s="3"/>
      <c r="B435" s="3"/>
      <c r="C435" s="2"/>
      <c r="D435" s="2"/>
      <c r="E435" s="51"/>
      <c r="F435" s="51"/>
      <c r="G435" s="51"/>
      <c r="H435" s="51"/>
      <c r="I435" s="2"/>
      <c r="J435" s="2"/>
      <c r="K435" s="2"/>
      <c r="L435" s="2"/>
      <c r="M435" s="2"/>
      <c r="N435" s="2"/>
      <c r="O435" s="2"/>
      <c r="P435" s="53"/>
      <c r="Q435" s="53"/>
      <c r="R435" s="2"/>
      <c r="S435" s="2"/>
      <c r="T435" s="2"/>
    </row>
    <row r="436" spans="1:20" x14ac:dyDescent="0.25">
      <c r="A436" s="3"/>
      <c r="B436" s="3"/>
      <c r="C436" s="2"/>
      <c r="D436" s="2"/>
      <c r="E436" s="51"/>
      <c r="F436" s="51"/>
      <c r="G436" s="51"/>
      <c r="H436" s="51"/>
      <c r="I436" s="2"/>
      <c r="J436" s="2"/>
      <c r="K436" s="2"/>
      <c r="L436" s="2"/>
      <c r="M436" s="2"/>
      <c r="N436" s="2"/>
      <c r="O436" s="2"/>
      <c r="P436" s="53"/>
      <c r="Q436" s="53"/>
      <c r="R436" s="2"/>
      <c r="S436" s="2"/>
      <c r="T436" s="2"/>
    </row>
    <row r="437" spans="1:20" x14ac:dyDescent="0.25">
      <c r="A437" s="3"/>
      <c r="B437" s="3"/>
      <c r="C437" s="2"/>
      <c r="D437" s="2"/>
      <c r="E437" s="51"/>
      <c r="F437" s="51"/>
      <c r="G437" s="51"/>
      <c r="H437" s="51"/>
      <c r="I437" s="2"/>
      <c r="J437" s="2"/>
      <c r="K437" s="2"/>
      <c r="L437" s="2"/>
      <c r="M437" s="2"/>
      <c r="N437" s="2"/>
      <c r="O437" s="2"/>
      <c r="P437" s="53"/>
      <c r="Q437" s="53"/>
      <c r="R437" s="2"/>
      <c r="S437" s="2"/>
      <c r="T437" s="2"/>
    </row>
    <row r="438" spans="1:20" x14ac:dyDescent="0.25">
      <c r="A438" s="3"/>
      <c r="B438" s="3"/>
      <c r="C438" s="2"/>
      <c r="D438" s="2"/>
      <c r="E438" s="51"/>
      <c r="F438" s="51"/>
      <c r="G438" s="51"/>
      <c r="H438" s="51"/>
      <c r="I438" s="2"/>
      <c r="J438" s="2"/>
      <c r="K438" s="2"/>
      <c r="L438" s="2"/>
      <c r="M438" s="2"/>
      <c r="N438" s="2"/>
      <c r="O438" s="2"/>
      <c r="P438" s="53"/>
      <c r="Q438" s="53"/>
      <c r="R438" s="2"/>
      <c r="S438" s="2"/>
      <c r="T438" s="2"/>
    </row>
    <row r="439" spans="1:20" x14ac:dyDescent="0.25">
      <c r="A439" s="3"/>
      <c r="B439" s="3"/>
      <c r="C439" s="2"/>
      <c r="D439" s="2"/>
      <c r="E439" s="51"/>
      <c r="F439" s="51"/>
      <c r="G439" s="51"/>
      <c r="H439" s="51"/>
      <c r="I439" s="2"/>
      <c r="J439" s="2"/>
      <c r="K439" s="2"/>
      <c r="L439" s="2"/>
      <c r="M439" s="2"/>
      <c r="N439" s="2"/>
      <c r="O439" s="2"/>
      <c r="P439" s="53"/>
      <c r="Q439" s="53"/>
      <c r="R439" s="2"/>
      <c r="S439" s="2"/>
      <c r="T439" s="2"/>
    </row>
    <row r="440" spans="1:20" x14ac:dyDescent="0.25">
      <c r="A440" s="3"/>
      <c r="B440" s="3"/>
      <c r="C440" s="2"/>
      <c r="D440" s="2"/>
      <c r="E440" s="51"/>
      <c r="F440" s="51"/>
      <c r="G440" s="51"/>
      <c r="H440" s="51"/>
      <c r="I440" s="2"/>
      <c r="J440" s="2"/>
      <c r="K440" s="2"/>
      <c r="L440" s="2"/>
      <c r="M440" s="2"/>
      <c r="N440" s="2"/>
      <c r="O440" s="2"/>
      <c r="P440" s="53"/>
      <c r="Q440" s="53"/>
      <c r="R440" s="2"/>
      <c r="S440" s="2"/>
      <c r="T440" s="2"/>
    </row>
    <row r="441" spans="1:20" x14ac:dyDescent="0.25">
      <c r="A441" s="3"/>
      <c r="B441" s="3"/>
      <c r="C441" s="2"/>
      <c r="D441" s="2"/>
      <c r="E441" s="51"/>
      <c r="F441" s="51"/>
      <c r="G441" s="51"/>
      <c r="H441" s="51"/>
      <c r="I441" s="2"/>
      <c r="J441" s="2"/>
      <c r="K441" s="2"/>
      <c r="L441" s="2"/>
      <c r="M441" s="2"/>
      <c r="N441" s="2"/>
      <c r="O441" s="2"/>
      <c r="P441" s="53"/>
      <c r="Q441" s="53"/>
      <c r="R441" s="2"/>
      <c r="S441" s="2"/>
      <c r="T441" s="2"/>
    </row>
    <row r="442" spans="1:20" x14ac:dyDescent="0.25">
      <c r="A442" s="3"/>
      <c r="B442" s="3"/>
      <c r="C442" s="2"/>
      <c r="D442" s="2"/>
      <c r="E442" s="51"/>
      <c r="F442" s="51"/>
      <c r="G442" s="51"/>
      <c r="H442" s="51"/>
      <c r="I442" s="2"/>
      <c r="J442" s="2"/>
      <c r="K442" s="2"/>
      <c r="L442" s="2"/>
      <c r="M442" s="2"/>
      <c r="N442" s="2"/>
      <c r="O442" s="2"/>
      <c r="P442" s="53"/>
      <c r="Q442" s="53"/>
      <c r="R442" s="2"/>
      <c r="S442" s="2"/>
      <c r="T442" s="2"/>
    </row>
    <row r="443" spans="1:20" x14ac:dyDescent="0.25">
      <c r="A443" s="3"/>
      <c r="B443" s="3"/>
      <c r="C443" s="2"/>
      <c r="D443" s="2"/>
      <c r="E443" s="51"/>
      <c r="F443" s="51"/>
      <c r="G443" s="51"/>
      <c r="H443" s="51"/>
      <c r="I443" s="2"/>
      <c r="J443" s="2"/>
      <c r="K443" s="2"/>
      <c r="L443" s="2"/>
      <c r="M443" s="2"/>
      <c r="N443" s="2"/>
      <c r="O443" s="2"/>
      <c r="P443" s="53"/>
      <c r="Q443" s="53"/>
      <c r="R443" s="2"/>
      <c r="S443" s="2"/>
      <c r="T443" s="2"/>
    </row>
    <row r="444" spans="1:20" x14ac:dyDescent="0.25">
      <c r="A444" s="3"/>
      <c r="B444" s="3"/>
      <c r="C444" s="2"/>
      <c r="D444" s="2"/>
      <c r="E444" s="51"/>
      <c r="F444" s="51"/>
      <c r="G444" s="51"/>
      <c r="H444" s="51"/>
      <c r="I444" s="2"/>
      <c r="J444" s="2"/>
      <c r="K444" s="2"/>
      <c r="L444" s="2"/>
      <c r="M444" s="2"/>
      <c r="N444" s="2"/>
      <c r="O444" s="2"/>
      <c r="P444" s="53"/>
      <c r="Q444" s="53"/>
      <c r="R444" s="2"/>
      <c r="S444" s="2"/>
      <c r="T444" s="2"/>
    </row>
    <row r="445" spans="1:20" x14ac:dyDescent="0.25">
      <c r="A445" s="3"/>
      <c r="B445" s="3"/>
      <c r="C445" s="2"/>
      <c r="D445" s="2"/>
      <c r="E445" s="51"/>
      <c r="F445" s="51"/>
      <c r="G445" s="51"/>
      <c r="H445" s="51"/>
      <c r="I445" s="2"/>
      <c r="J445" s="2"/>
      <c r="K445" s="2"/>
      <c r="L445" s="2"/>
      <c r="M445" s="2"/>
      <c r="N445" s="2"/>
      <c r="O445" s="2"/>
      <c r="P445" s="53"/>
      <c r="Q445" s="53"/>
      <c r="R445" s="2"/>
      <c r="S445" s="2"/>
      <c r="T445" s="2"/>
    </row>
    <row r="446" spans="1:20" x14ac:dyDescent="0.25">
      <c r="A446" s="3"/>
      <c r="B446" s="3"/>
      <c r="C446" s="2"/>
      <c r="D446" s="2"/>
      <c r="E446" s="51"/>
      <c r="F446" s="51"/>
      <c r="G446" s="51"/>
      <c r="H446" s="51"/>
      <c r="I446" s="2"/>
      <c r="J446" s="2"/>
      <c r="K446" s="2"/>
      <c r="L446" s="2"/>
      <c r="M446" s="2"/>
      <c r="N446" s="2"/>
      <c r="O446" s="2"/>
      <c r="P446" s="53"/>
      <c r="Q446" s="53"/>
      <c r="R446" s="2"/>
      <c r="S446" s="2"/>
      <c r="T446" s="2"/>
    </row>
    <row r="447" spans="1:20" x14ac:dyDescent="0.25">
      <c r="A447" s="3"/>
      <c r="B447" s="3"/>
      <c r="C447" s="2"/>
      <c r="D447" s="2"/>
      <c r="E447" s="51"/>
      <c r="F447" s="51"/>
      <c r="G447" s="51"/>
      <c r="H447" s="51"/>
      <c r="I447" s="2"/>
      <c r="J447" s="2"/>
      <c r="K447" s="2"/>
      <c r="L447" s="2"/>
      <c r="M447" s="2"/>
      <c r="N447" s="2"/>
      <c r="O447" s="2"/>
      <c r="P447" s="53"/>
      <c r="Q447" s="53"/>
      <c r="R447" s="2"/>
      <c r="S447" s="2"/>
      <c r="T447" s="2"/>
    </row>
    <row r="448" spans="1:20" x14ac:dyDescent="0.25">
      <c r="A448" s="3"/>
      <c r="B448" s="3"/>
      <c r="C448" s="2"/>
      <c r="D448" s="2"/>
      <c r="E448" s="51"/>
      <c r="F448" s="51"/>
      <c r="G448" s="51"/>
      <c r="H448" s="51"/>
      <c r="I448" s="2"/>
      <c r="J448" s="2"/>
      <c r="K448" s="2"/>
      <c r="L448" s="2"/>
      <c r="M448" s="2"/>
      <c r="N448" s="2"/>
      <c r="O448" s="2"/>
      <c r="P448" s="53"/>
      <c r="Q448" s="53"/>
      <c r="R448" s="2"/>
      <c r="S448" s="2"/>
      <c r="T448" s="2"/>
    </row>
    <row r="449" spans="1:20" x14ac:dyDescent="0.25">
      <c r="A449" s="3"/>
      <c r="B449" s="3"/>
      <c r="C449" s="2"/>
      <c r="D449" s="2"/>
      <c r="E449" s="51"/>
      <c r="F449" s="51"/>
      <c r="G449" s="51"/>
      <c r="H449" s="51"/>
      <c r="I449" s="2"/>
      <c r="J449" s="2"/>
      <c r="K449" s="2"/>
      <c r="L449" s="2"/>
      <c r="M449" s="2"/>
      <c r="N449" s="2"/>
      <c r="O449" s="2"/>
      <c r="P449" s="53"/>
      <c r="Q449" s="53"/>
      <c r="R449" s="2"/>
      <c r="S449" s="2"/>
      <c r="T449" s="2"/>
    </row>
    <row r="450" spans="1:20" x14ac:dyDescent="0.25">
      <c r="A450" s="3"/>
      <c r="B450" s="3"/>
      <c r="C450" s="2"/>
      <c r="D450" s="2"/>
      <c r="E450" s="51"/>
      <c r="F450" s="51"/>
      <c r="G450" s="51"/>
      <c r="H450" s="51"/>
      <c r="I450" s="2"/>
      <c r="J450" s="2"/>
      <c r="K450" s="2"/>
      <c r="L450" s="2"/>
      <c r="M450" s="2"/>
      <c r="N450" s="2"/>
      <c r="O450" s="2"/>
      <c r="P450" s="53"/>
      <c r="Q450" s="53"/>
      <c r="R450" s="2"/>
      <c r="S450" s="2"/>
      <c r="T450" s="2"/>
    </row>
    <row r="451" spans="1:20" x14ac:dyDescent="0.25">
      <c r="A451" s="3"/>
      <c r="B451" s="3"/>
      <c r="C451" s="2"/>
      <c r="D451" s="2"/>
      <c r="E451" s="51"/>
      <c r="F451" s="51"/>
      <c r="G451" s="51"/>
      <c r="H451" s="51"/>
      <c r="I451" s="2"/>
      <c r="J451" s="2"/>
      <c r="K451" s="2"/>
      <c r="L451" s="2"/>
      <c r="M451" s="2"/>
      <c r="N451" s="2"/>
      <c r="O451" s="2"/>
      <c r="P451" s="53"/>
      <c r="Q451" s="53"/>
      <c r="R451" s="2"/>
      <c r="S451" s="2"/>
      <c r="T451" s="2"/>
    </row>
    <row r="452" spans="1:20" x14ac:dyDescent="0.25">
      <c r="A452" s="3"/>
      <c r="B452" s="3"/>
      <c r="C452" s="2"/>
      <c r="D452" s="2"/>
      <c r="E452" s="51"/>
      <c r="F452" s="51"/>
      <c r="G452" s="51"/>
      <c r="H452" s="51"/>
      <c r="I452" s="2"/>
      <c r="J452" s="2"/>
      <c r="K452" s="2"/>
      <c r="L452" s="2"/>
      <c r="M452" s="2"/>
      <c r="N452" s="2"/>
      <c r="O452" s="2"/>
      <c r="P452" s="53"/>
      <c r="Q452" s="53"/>
      <c r="R452" s="2"/>
      <c r="S452" s="2"/>
      <c r="T452" s="2"/>
    </row>
    <row r="453" spans="1:20" x14ac:dyDescent="0.25">
      <c r="A453" s="3"/>
      <c r="B453" s="3"/>
      <c r="C453" s="2"/>
      <c r="D453" s="2"/>
      <c r="E453" s="51"/>
      <c r="F453" s="51"/>
      <c r="G453" s="51"/>
      <c r="H453" s="51"/>
      <c r="I453" s="2"/>
      <c r="J453" s="2"/>
      <c r="K453" s="2"/>
      <c r="L453" s="2"/>
      <c r="M453" s="2"/>
      <c r="N453" s="2"/>
      <c r="O453" s="2"/>
      <c r="P453" s="53"/>
      <c r="Q453" s="53"/>
      <c r="R453" s="2"/>
      <c r="S453" s="2"/>
      <c r="T453" s="2"/>
    </row>
    <row r="454" spans="1:20" x14ac:dyDescent="0.25">
      <c r="A454" s="3"/>
      <c r="B454" s="3"/>
      <c r="C454" s="2"/>
      <c r="D454" s="2"/>
      <c r="E454" s="51"/>
      <c r="F454" s="51"/>
      <c r="G454" s="51"/>
      <c r="H454" s="51"/>
      <c r="I454" s="2"/>
      <c r="J454" s="2"/>
      <c r="K454" s="2"/>
      <c r="L454" s="2"/>
      <c r="M454" s="2"/>
      <c r="N454" s="2"/>
      <c r="O454" s="2"/>
      <c r="P454" s="53"/>
      <c r="Q454" s="53"/>
      <c r="R454" s="2"/>
      <c r="S454" s="2"/>
      <c r="T454" s="2"/>
    </row>
    <row r="455" spans="1:20" x14ac:dyDescent="0.25">
      <c r="A455" s="3"/>
      <c r="B455" s="3"/>
      <c r="C455" s="2"/>
      <c r="D455" s="2"/>
      <c r="E455" s="51"/>
      <c r="F455" s="51"/>
      <c r="G455" s="51"/>
      <c r="H455" s="51"/>
      <c r="I455" s="2"/>
      <c r="J455" s="2"/>
      <c r="K455" s="2"/>
      <c r="L455" s="2"/>
      <c r="M455" s="2"/>
      <c r="N455" s="2"/>
      <c r="O455" s="2"/>
      <c r="P455" s="53"/>
      <c r="Q455" s="53"/>
      <c r="R455" s="2"/>
      <c r="S455" s="2"/>
      <c r="T455" s="2"/>
    </row>
    <row r="456" spans="1:20" x14ac:dyDescent="0.25">
      <c r="A456" s="3"/>
      <c r="B456" s="3"/>
      <c r="C456" s="2"/>
      <c r="D456" s="2"/>
      <c r="E456" s="51"/>
      <c r="F456" s="51"/>
      <c r="G456" s="51"/>
      <c r="H456" s="51"/>
      <c r="I456" s="2"/>
      <c r="J456" s="2"/>
      <c r="K456" s="2"/>
      <c r="L456" s="2"/>
      <c r="M456" s="2"/>
      <c r="N456" s="2"/>
      <c r="O456" s="2"/>
      <c r="P456" s="53"/>
      <c r="Q456" s="53"/>
      <c r="R456" s="2"/>
      <c r="S456" s="2"/>
      <c r="T456" s="2"/>
    </row>
    <row r="457" spans="1:20" x14ac:dyDescent="0.25">
      <c r="A457" s="3"/>
      <c r="B457" s="3"/>
      <c r="C457" s="2"/>
      <c r="D457" s="2"/>
      <c r="E457" s="51"/>
      <c r="F457" s="51"/>
      <c r="G457" s="51"/>
      <c r="H457" s="51"/>
      <c r="I457" s="2"/>
      <c r="J457" s="2"/>
      <c r="K457" s="2"/>
      <c r="L457" s="2"/>
      <c r="M457" s="2"/>
      <c r="N457" s="2"/>
      <c r="O457" s="2"/>
      <c r="P457" s="53"/>
      <c r="Q457" s="53"/>
      <c r="R457" s="2"/>
      <c r="S457" s="2"/>
      <c r="T457" s="2"/>
    </row>
    <row r="458" spans="1:20" x14ac:dyDescent="0.25">
      <c r="A458" s="3"/>
      <c r="B458" s="3"/>
      <c r="C458" s="2"/>
      <c r="D458" s="2"/>
      <c r="E458" s="51"/>
      <c r="F458" s="51"/>
      <c r="G458" s="51"/>
      <c r="H458" s="51"/>
      <c r="I458" s="2"/>
      <c r="J458" s="2"/>
      <c r="K458" s="2"/>
      <c r="L458" s="2"/>
      <c r="M458" s="2"/>
      <c r="N458" s="2"/>
      <c r="O458" s="2"/>
      <c r="P458" s="53"/>
      <c r="Q458" s="53"/>
      <c r="R458" s="2"/>
      <c r="S458" s="2"/>
      <c r="T458" s="2"/>
    </row>
    <row r="459" spans="1:20" x14ac:dyDescent="0.25">
      <c r="A459" s="3"/>
      <c r="B459" s="3"/>
      <c r="C459" s="2"/>
      <c r="D459" s="2"/>
      <c r="E459" s="51"/>
      <c r="F459" s="51"/>
      <c r="G459" s="51"/>
      <c r="H459" s="51"/>
      <c r="I459" s="2"/>
      <c r="J459" s="2"/>
      <c r="K459" s="2"/>
      <c r="L459" s="2"/>
      <c r="M459" s="2"/>
      <c r="N459" s="2"/>
      <c r="O459" s="2"/>
      <c r="P459" s="53"/>
      <c r="Q459" s="53"/>
      <c r="R459" s="2"/>
      <c r="S459" s="2"/>
      <c r="T459" s="2"/>
    </row>
    <row r="460" spans="1:20" x14ac:dyDescent="0.25">
      <c r="A460" s="3"/>
      <c r="B460" s="3"/>
      <c r="C460" s="2"/>
      <c r="D460" s="2"/>
      <c r="E460" s="51"/>
      <c r="F460" s="51"/>
      <c r="G460" s="51"/>
      <c r="H460" s="51"/>
      <c r="I460" s="2"/>
      <c r="J460" s="2"/>
      <c r="K460" s="2"/>
      <c r="L460" s="2"/>
      <c r="M460" s="2"/>
      <c r="N460" s="2"/>
      <c r="O460" s="2"/>
      <c r="P460" s="53"/>
      <c r="Q460" s="53"/>
      <c r="R460" s="2"/>
      <c r="S460" s="2"/>
      <c r="T460" s="2"/>
    </row>
    <row r="461" spans="1:20" x14ac:dyDescent="0.25">
      <c r="A461" s="3"/>
      <c r="B461" s="3"/>
      <c r="C461" s="2"/>
      <c r="D461" s="2"/>
      <c r="E461" s="51"/>
      <c r="F461" s="51"/>
      <c r="G461" s="51"/>
      <c r="H461" s="51"/>
      <c r="I461" s="2"/>
      <c r="J461" s="2"/>
      <c r="K461" s="2"/>
      <c r="L461" s="2"/>
      <c r="M461" s="2"/>
      <c r="N461" s="2"/>
      <c r="O461" s="2"/>
      <c r="P461" s="53"/>
      <c r="Q461" s="53"/>
      <c r="R461" s="2"/>
      <c r="S461" s="2"/>
      <c r="T461" s="2"/>
    </row>
    <row r="462" spans="1:20" x14ac:dyDescent="0.25">
      <c r="A462" s="3"/>
      <c r="B462" s="3"/>
      <c r="C462" s="2"/>
      <c r="D462" s="2"/>
      <c r="E462" s="51"/>
      <c r="F462" s="51"/>
      <c r="G462" s="51"/>
      <c r="H462" s="51"/>
      <c r="I462" s="2"/>
      <c r="J462" s="2"/>
      <c r="K462" s="2"/>
      <c r="L462" s="2"/>
      <c r="M462" s="2"/>
      <c r="N462" s="2"/>
      <c r="O462" s="2"/>
      <c r="P462" s="53"/>
      <c r="Q462" s="53"/>
      <c r="R462" s="2"/>
      <c r="S462" s="2"/>
      <c r="T462" s="2"/>
    </row>
    <row r="463" spans="1:20" x14ac:dyDescent="0.25">
      <c r="A463" s="3"/>
      <c r="B463" s="3"/>
      <c r="C463" s="2"/>
      <c r="D463" s="2"/>
      <c r="E463" s="51"/>
      <c r="F463" s="51"/>
      <c r="G463" s="51"/>
      <c r="H463" s="51"/>
      <c r="I463" s="2"/>
      <c r="J463" s="2"/>
      <c r="K463" s="2"/>
      <c r="L463" s="2"/>
      <c r="M463" s="2"/>
      <c r="N463" s="2"/>
      <c r="O463" s="2"/>
      <c r="P463" s="53"/>
      <c r="Q463" s="53"/>
      <c r="R463" s="2"/>
      <c r="S463" s="2"/>
      <c r="T463" s="2"/>
    </row>
    <row r="464" spans="1:20" x14ac:dyDescent="0.25">
      <c r="A464" s="3"/>
      <c r="B464" s="3"/>
      <c r="C464" s="2"/>
      <c r="D464" s="2"/>
      <c r="E464" s="51"/>
      <c r="F464" s="51"/>
      <c r="G464" s="51"/>
      <c r="H464" s="51"/>
      <c r="I464" s="2"/>
      <c r="J464" s="2"/>
      <c r="K464" s="2"/>
      <c r="L464" s="2"/>
      <c r="M464" s="2"/>
      <c r="N464" s="2"/>
      <c r="O464" s="2"/>
      <c r="P464" s="53"/>
      <c r="Q464" s="53"/>
      <c r="R464" s="2"/>
      <c r="S464" s="2"/>
      <c r="T464" s="2"/>
    </row>
    <row r="465" spans="1:20" x14ac:dyDescent="0.25">
      <c r="A465" s="3"/>
      <c r="B465" s="3"/>
      <c r="C465" s="2"/>
      <c r="D465" s="2"/>
      <c r="E465" s="51"/>
      <c r="F465" s="51"/>
      <c r="G465" s="51"/>
      <c r="H465" s="51"/>
      <c r="I465" s="2"/>
      <c r="J465" s="2"/>
      <c r="K465" s="2"/>
      <c r="L465" s="2"/>
      <c r="M465" s="2"/>
      <c r="N465" s="2"/>
      <c r="O465" s="2"/>
      <c r="P465" s="53"/>
      <c r="Q465" s="53"/>
      <c r="R465" s="2"/>
      <c r="S465" s="2"/>
      <c r="T465" s="2"/>
    </row>
    <row r="466" spans="1:20" x14ac:dyDescent="0.25">
      <c r="A466" s="3"/>
      <c r="B466" s="3"/>
      <c r="C466" s="2"/>
      <c r="D466" s="2"/>
      <c r="E466" s="51"/>
      <c r="F466" s="51"/>
      <c r="G466" s="51"/>
      <c r="H466" s="51"/>
      <c r="I466" s="2"/>
      <c r="J466" s="2"/>
      <c r="K466" s="2"/>
      <c r="L466" s="2"/>
      <c r="M466" s="2"/>
      <c r="N466" s="2"/>
      <c r="O466" s="2"/>
      <c r="P466" s="53"/>
      <c r="Q466" s="53"/>
      <c r="R466" s="2"/>
      <c r="S466" s="2"/>
      <c r="T466" s="2"/>
    </row>
    <row r="467" spans="1:20" x14ac:dyDescent="0.25">
      <c r="A467" s="3"/>
      <c r="B467" s="3"/>
      <c r="C467" s="2"/>
      <c r="D467" s="2"/>
      <c r="E467" s="51"/>
      <c r="F467" s="51"/>
      <c r="G467" s="51"/>
      <c r="H467" s="51"/>
      <c r="I467" s="2"/>
      <c r="J467" s="2"/>
      <c r="K467" s="2"/>
      <c r="L467" s="2"/>
      <c r="M467" s="2"/>
      <c r="N467" s="2"/>
      <c r="O467" s="2"/>
      <c r="P467" s="53"/>
      <c r="Q467" s="53"/>
      <c r="R467" s="2"/>
      <c r="S467" s="2"/>
      <c r="T467" s="2"/>
    </row>
    <row r="468" spans="1:20" x14ac:dyDescent="0.25">
      <c r="A468" s="3"/>
      <c r="B468" s="3"/>
      <c r="C468" s="2"/>
      <c r="D468" s="2"/>
      <c r="E468" s="51"/>
      <c r="F468" s="51"/>
      <c r="G468" s="51"/>
      <c r="H468" s="51"/>
      <c r="I468" s="2"/>
      <c r="J468" s="2"/>
      <c r="K468" s="2"/>
      <c r="L468" s="2"/>
      <c r="M468" s="2"/>
      <c r="N468" s="2"/>
      <c r="O468" s="2"/>
      <c r="P468" s="53"/>
      <c r="Q468" s="53"/>
      <c r="R468" s="2"/>
      <c r="S468" s="2"/>
      <c r="T468" s="2"/>
    </row>
    <row r="469" spans="1:20" x14ac:dyDescent="0.25">
      <c r="A469" s="3"/>
      <c r="B469" s="3"/>
      <c r="C469" s="2"/>
      <c r="D469" s="2"/>
      <c r="E469" s="51"/>
      <c r="F469" s="51"/>
      <c r="G469" s="51"/>
      <c r="H469" s="51"/>
      <c r="I469" s="2"/>
      <c r="J469" s="2"/>
      <c r="K469" s="2"/>
      <c r="L469" s="2"/>
      <c r="M469" s="2"/>
      <c r="N469" s="2"/>
      <c r="O469" s="2"/>
      <c r="P469" s="53"/>
      <c r="Q469" s="53"/>
      <c r="R469" s="2"/>
      <c r="S469" s="2"/>
      <c r="T469" s="2"/>
    </row>
    <row r="470" spans="1:20" x14ac:dyDescent="0.25">
      <c r="A470" s="3"/>
      <c r="B470" s="3"/>
      <c r="C470" s="2"/>
      <c r="D470" s="2"/>
      <c r="E470" s="51"/>
      <c r="F470" s="51"/>
      <c r="G470" s="51"/>
      <c r="H470" s="51"/>
      <c r="I470" s="2"/>
      <c r="J470" s="2"/>
      <c r="K470" s="2"/>
      <c r="L470" s="2"/>
      <c r="M470" s="2"/>
      <c r="N470" s="2"/>
      <c r="O470" s="2"/>
      <c r="P470" s="53"/>
      <c r="Q470" s="53"/>
      <c r="R470" s="2"/>
      <c r="S470" s="2"/>
      <c r="T470" s="2"/>
    </row>
    <row r="471" spans="1:20" x14ac:dyDescent="0.25">
      <c r="A471" s="3"/>
      <c r="B471" s="3"/>
      <c r="C471" s="2"/>
      <c r="D471" s="2"/>
      <c r="E471" s="51"/>
      <c r="F471" s="51"/>
      <c r="G471" s="51"/>
      <c r="H471" s="51"/>
      <c r="I471" s="2"/>
      <c r="J471" s="2"/>
      <c r="K471" s="2"/>
      <c r="L471" s="2"/>
      <c r="M471" s="2"/>
      <c r="N471" s="2"/>
      <c r="O471" s="2"/>
      <c r="P471" s="53"/>
      <c r="Q471" s="53"/>
      <c r="R471" s="2"/>
      <c r="S471" s="2"/>
      <c r="T471" s="2"/>
    </row>
    <row r="472" spans="1:20" x14ac:dyDescent="0.25">
      <c r="A472" s="3"/>
      <c r="B472" s="3"/>
      <c r="C472" s="2"/>
      <c r="D472" s="2"/>
      <c r="E472" s="51"/>
      <c r="F472" s="51"/>
      <c r="G472" s="51"/>
      <c r="H472" s="51"/>
      <c r="I472" s="2"/>
      <c r="J472" s="2"/>
      <c r="K472" s="2"/>
      <c r="L472" s="2"/>
      <c r="M472" s="2"/>
      <c r="N472" s="2"/>
      <c r="O472" s="2"/>
      <c r="P472" s="53"/>
      <c r="Q472" s="53"/>
      <c r="R472" s="2"/>
      <c r="S472" s="2"/>
      <c r="T472" s="2"/>
    </row>
    <row r="473" spans="1:20" x14ac:dyDescent="0.25">
      <c r="A473" s="3"/>
      <c r="B473" s="3"/>
      <c r="C473" s="2"/>
      <c r="D473" s="2"/>
      <c r="E473" s="51"/>
      <c r="F473" s="51"/>
      <c r="G473" s="51"/>
      <c r="H473" s="51"/>
      <c r="I473" s="2"/>
      <c r="J473" s="2"/>
      <c r="K473" s="2"/>
      <c r="L473" s="2"/>
      <c r="M473" s="2"/>
      <c r="N473" s="2"/>
      <c r="O473" s="2"/>
      <c r="P473" s="53"/>
      <c r="Q473" s="53"/>
      <c r="R473" s="2"/>
      <c r="S473" s="2"/>
      <c r="T473" s="2"/>
    </row>
    <row r="474" spans="1:20" x14ac:dyDescent="0.25">
      <c r="A474" s="3"/>
      <c r="B474" s="3"/>
      <c r="C474" s="2"/>
      <c r="D474" s="2"/>
      <c r="E474" s="51"/>
      <c r="F474" s="51"/>
      <c r="G474" s="51"/>
      <c r="H474" s="51"/>
      <c r="I474" s="2"/>
      <c r="J474" s="2"/>
      <c r="K474" s="2"/>
      <c r="L474" s="2"/>
      <c r="M474" s="2"/>
      <c r="N474" s="2"/>
      <c r="O474" s="2"/>
      <c r="P474" s="53"/>
      <c r="Q474" s="53"/>
      <c r="R474" s="2"/>
      <c r="S474" s="2"/>
      <c r="T474" s="2"/>
    </row>
    <row r="475" spans="1:20" x14ac:dyDescent="0.25">
      <c r="A475" s="3"/>
      <c r="B475" s="3"/>
      <c r="C475" s="2"/>
      <c r="D475" s="2"/>
      <c r="E475" s="51"/>
      <c r="F475" s="51"/>
      <c r="G475" s="51"/>
      <c r="H475" s="51"/>
      <c r="I475" s="2"/>
      <c r="J475" s="2"/>
      <c r="K475" s="2"/>
      <c r="L475" s="2"/>
      <c r="M475" s="2"/>
      <c r="N475" s="2"/>
      <c r="O475" s="2"/>
      <c r="P475" s="53"/>
      <c r="Q475" s="53"/>
      <c r="R475" s="2"/>
      <c r="S475" s="2"/>
      <c r="T475" s="2"/>
    </row>
    <row r="476" spans="1:20" x14ac:dyDescent="0.25">
      <c r="A476" s="3"/>
      <c r="B476" s="3"/>
      <c r="C476" s="2"/>
      <c r="D476" s="2"/>
      <c r="E476" s="51"/>
      <c r="F476" s="51"/>
      <c r="G476" s="51"/>
      <c r="H476" s="51"/>
      <c r="I476" s="2"/>
      <c r="J476" s="2"/>
      <c r="K476" s="2"/>
      <c r="L476" s="2"/>
      <c r="M476" s="2"/>
      <c r="N476" s="2"/>
      <c r="O476" s="2"/>
      <c r="P476" s="53"/>
      <c r="Q476" s="53"/>
      <c r="R476" s="2"/>
      <c r="S476" s="2"/>
      <c r="T476" s="2"/>
    </row>
    <row r="477" spans="1:20" x14ac:dyDescent="0.25">
      <c r="A477" s="3"/>
      <c r="B477" s="3"/>
      <c r="C477" s="2"/>
      <c r="D477" s="2"/>
      <c r="E477" s="51"/>
      <c r="F477" s="51"/>
      <c r="G477" s="51"/>
      <c r="H477" s="51"/>
      <c r="I477" s="2"/>
      <c r="J477" s="2"/>
      <c r="K477" s="2"/>
      <c r="L477" s="2"/>
      <c r="M477" s="2"/>
      <c r="N477" s="2"/>
      <c r="O477" s="2"/>
      <c r="P477" s="53"/>
      <c r="Q477" s="53"/>
      <c r="R477" s="2"/>
      <c r="S477" s="2"/>
      <c r="T477" s="2"/>
    </row>
    <row r="478" spans="1:20" x14ac:dyDescent="0.25">
      <c r="A478" s="3"/>
      <c r="B478" s="3"/>
      <c r="C478" s="2"/>
      <c r="D478" s="2"/>
      <c r="E478" s="51"/>
      <c r="F478" s="51"/>
      <c r="G478" s="51"/>
      <c r="H478" s="51"/>
      <c r="I478" s="2"/>
      <c r="J478" s="2"/>
      <c r="K478" s="2"/>
      <c r="L478" s="2"/>
      <c r="M478" s="2"/>
      <c r="N478" s="2"/>
      <c r="O478" s="2"/>
      <c r="P478" s="53"/>
      <c r="Q478" s="53"/>
      <c r="R478" s="2"/>
      <c r="S478" s="2"/>
      <c r="T478" s="2"/>
    </row>
    <row r="479" spans="1:20" x14ac:dyDescent="0.25">
      <c r="A479" s="3"/>
      <c r="B479" s="3"/>
      <c r="C479" s="2"/>
      <c r="D479" s="2"/>
      <c r="E479" s="51"/>
      <c r="F479" s="51"/>
      <c r="G479" s="51"/>
      <c r="H479" s="51"/>
      <c r="I479" s="2"/>
      <c r="J479" s="2"/>
      <c r="K479" s="2"/>
      <c r="L479" s="2"/>
      <c r="M479" s="2"/>
      <c r="N479" s="2"/>
      <c r="O479" s="2"/>
      <c r="P479" s="53"/>
      <c r="Q479" s="53"/>
      <c r="R479" s="2"/>
      <c r="S479" s="2"/>
      <c r="T479" s="2"/>
    </row>
    <row r="480" spans="1:20" x14ac:dyDescent="0.25">
      <c r="A480" s="3"/>
      <c r="B480" s="3"/>
      <c r="C480" s="2"/>
      <c r="D480" s="2"/>
      <c r="E480" s="51"/>
      <c r="F480" s="51"/>
      <c r="G480" s="51"/>
      <c r="H480" s="51"/>
      <c r="I480" s="2"/>
      <c r="J480" s="2"/>
      <c r="K480" s="2"/>
      <c r="L480" s="2"/>
      <c r="M480" s="2"/>
      <c r="N480" s="2"/>
      <c r="O480" s="2"/>
      <c r="P480" s="53"/>
      <c r="Q480" s="53"/>
      <c r="R480" s="2"/>
      <c r="S480" s="2"/>
      <c r="T480" s="2"/>
    </row>
    <row r="481" spans="1:20" x14ac:dyDescent="0.25">
      <c r="A481" s="3"/>
      <c r="B481" s="3"/>
      <c r="C481" s="2"/>
      <c r="D481" s="2"/>
      <c r="E481" s="51"/>
      <c r="F481" s="51"/>
      <c r="G481" s="51"/>
      <c r="H481" s="51"/>
      <c r="I481" s="2"/>
      <c r="J481" s="2"/>
      <c r="K481" s="2"/>
      <c r="L481" s="2"/>
      <c r="M481" s="2"/>
      <c r="N481" s="2"/>
      <c r="O481" s="2"/>
      <c r="P481" s="53"/>
      <c r="Q481" s="53"/>
      <c r="R481" s="2"/>
      <c r="S481" s="2"/>
      <c r="T481" s="2"/>
    </row>
    <row r="482" spans="1:20" x14ac:dyDescent="0.25">
      <c r="A482" s="3"/>
      <c r="B482" s="3"/>
      <c r="C482" s="2"/>
      <c r="D482" s="2"/>
      <c r="E482" s="51"/>
      <c r="F482" s="51"/>
      <c r="G482" s="51"/>
      <c r="H482" s="51"/>
      <c r="I482" s="2"/>
      <c r="J482" s="2"/>
      <c r="K482" s="2"/>
      <c r="L482" s="2"/>
      <c r="M482" s="2"/>
      <c r="N482" s="2"/>
      <c r="O482" s="2"/>
      <c r="P482" s="53"/>
      <c r="Q482" s="53"/>
      <c r="R482" s="2"/>
      <c r="S482" s="2"/>
      <c r="T482" s="2"/>
    </row>
    <row r="483" spans="1:20" x14ac:dyDescent="0.25">
      <c r="A483" s="3"/>
      <c r="B483" s="3"/>
      <c r="C483" s="2"/>
      <c r="D483" s="2"/>
      <c r="E483" s="51"/>
      <c r="F483" s="51"/>
      <c r="G483" s="51"/>
      <c r="H483" s="51"/>
      <c r="I483" s="2"/>
      <c r="J483" s="2"/>
      <c r="K483" s="2"/>
      <c r="L483" s="2"/>
      <c r="M483" s="2"/>
      <c r="N483" s="2"/>
      <c r="O483" s="2"/>
      <c r="P483" s="53"/>
      <c r="Q483" s="53"/>
      <c r="R483" s="2"/>
      <c r="S483" s="2"/>
      <c r="T483" s="2"/>
    </row>
    <row r="484" spans="1:20" x14ac:dyDescent="0.25">
      <c r="A484" s="3"/>
      <c r="B484" s="3"/>
      <c r="C484" s="2"/>
      <c r="D484" s="2"/>
      <c r="E484" s="51"/>
      <c r="F484" s="51"/>
      <c r="G484" s="51"/>
      <c r="H484" s="51"/>
      <c r="I484" s="2"/>
      <c r="J484" s="2"/>
      <c r="K484" s="2"/>
      <c r="L484" s="2"/>
      <c r="M484" s="2"/>
      <c r="N484" s="2"/>
      <c r="O484" s="2"/>
      <c r="P484" s="53"/>
      <c r="Q484" s="53"/>
      <c r="R484" s="2"/>
      <c r="S484" s="2"/>
      <c r="T484" s="2"/>
    </row>
    <row r="485" spans="1:20" x14ac:dyDescent="0.25">
      <c r="A485" s="3"/>
      <c r="B485" s="3"/>
      <c r="C485" s="2"/>
      <c r="D485" s="2"/>
      <c r="E485" s="51"/>
      <c r="F485" s="51"/>
      <c r="G485" s="51"/>
      <c r="H485" s="51"/>
      <c r="I485" s="2"/>
      <c r="J485" s="2"/>
      <c r="K485" s="2"/>
      <c r="L485" s="2"/>
      <c r="M485" s="2"/>
      <c r="N485" s="2"/>
      <c r="O485" s="2"/>
      <c r="P485" s="53"/>
      <c r="Q485" s="53"/>
      <c r="R485" s="2"/>
      <c r="S485" s="2"/>
      <c r="T485" s="2"/>
    </row>
    <row r="486" spans="1:20" x14ac:dyDescent="0.25">
      <c r="A486" s="3"/>
      <c r="B486" s="3"/>
      <c r="C486" s="2"/>
      <c r="D486" s="2"/>
      <c r="E486" s="51"/>
      <c r="F486" s="51"/>
      <c r="G486" s="51"/>
      <c r="H486" s="51"/>
      <c r="I486" s="2"/>
      <c r="J486" s="2"/>
      <c r="K486" s="2"/>
      <c r="L486" s="2"/>
      <c r="M486" s="2"/>
      <c r="N486" s="2"/>
      <c r="O486" s="2"/>
      <c r="P486" s="53"/>
      <c r="Q486" s="53"/>
      <c r="R486" s="2"/>
      <c r="S486" s="2"/>
      <c r="T486" s="2"/>
    </row>
    <row r="487" spans="1:20" x14ac:dyDescent="0.25">
      <c r="A487" s="3"/>
      <c r="B487" s="3"/>
      <c r="C487" s="2"/>
      <c r="D487" s="2"/>
      <c r="E487" s="51"/>
      <c r="F487" s="51"/>
      <c r="G487" s="51"/>
      <c r="H487" s="51"/>
      <c r="I487" s="2"/>
      <c r="J487" s="2"/>
      <c r="K487" s="2"/>
      <c r="L487" s="2"/>
      <c r="M487" s="2"/>
      <c r="N487" s="2"/>
      <c r="O487" s="2"/>
      <c r="P487" s="53"/>
      <c r="Q487" s="53"/>
      <c r="R487" s="2"/>
      <c r="S487" s="2"/>
      <c r="T487" s="2"/>
    </row>
    <row r="488" spans="1:20" x14ac:dyDescent="0.25">
      <c r="A488" s="3"/>
      <c r="B488" s="3"/>
      <c r="C488" s="2"/>
      <c r="D488" s="2"/>
      <c r="E488" s="51"/>
      <c r="F488" s="51"/>
      <c r="G488" s="51"/>
      <c r="H488" s="51"/>
      <c r="I488" s="2"/>
      <c r="J488" s="2"/>
      <c r="K488" s="2"/>
      <c r="L488" s="2"/>
      <c r="M488" s="2"/>
      <c r="N488" s="2"/>
      <c r="O488" s="2"/>
      <c r="P488" s="53"/>
      <c r="Q488" s="53"/>
      <c r="R488" s="2"/>
      <c r="S488" s="2"/>
      <c r="T488" s="2"/>
    </row>
    <row r="489" spans="1:20" x14ac:dyDescent="0.25">
      <c r="A489" s="3"/>
      <c r="B489" s="3"/>
      <c r="C489" s="2"/>
      <c r="D489" s="2"/>
      <c r="E489" s="51"/>
      <c r="F489" s="51"/>
      <c r="G489" s="51"/>
      <c r="H489" s="51"/>
      <c r="I489" s="2"/>
      <c r="J489" s="2"/>
      <c r="K489" s="2"/>
      <c r="L489" s="2"/>
      <c r="M489" s="2"/>
      <c r="N489" s="2"/>
      <c r="O489" s="2"/>
      <c r="P489" s="53"/>
      <c r="Q489" s="53"/>
      <c r="R489" s="2"/>
      <c r="S489" s="2"/>
      <c r="T489" s="2"/>
    </row>
    <row r="490" spans="1:20" x14ac:dyDescent="0.25">
      <c r="A490" s="3"/>
      <c r="B490" s="3"/>
      <c r="C490" s="2"/>
      <c r="D490" s="2"/>
      <c r="E490" s="51"/>
      <c r="F490" s="51"/>
      <c r="G490" s="51"/>
      <c r="H490" s="51"/>
      <c r="I490" s="2"/>
      <c r="J490" s="2"/>
      <c r="K490" s="2"/>
      <c r="L490" s="2"/>
      <c r="M490" s="2"/>
      <c r="N490" s="2"/>
      <c r="O490" s="2"/>
      <c r="P490" s="53"/>
      <c r="Q490" s="53"/>
      <c r="R490" s="2"/>
      <c r="S490" s="2"/>
      <c r="T490" s="2"/>
    </row>
    <row r="491" spans="1:20" x14ac:dyDescent="0.25">
      <c r="A491" s="3"/>
      <c r="B491" s="3"/>
      <c r="C491" s="2"/>
      <c r="D491" s="2"/>
      <c r="E491" s="51"/>
      <c r="F491" s="51"/>
      <c r="G491" s="51"/>
      <c r="H491" s="51"/>
      <c r="I491" s="2"/>
      <c r="J491" s="2"/>
      <c r="K491" s="2"/>
      <c r="L491" s="2"/>
      <c r="M491" s="2"/>
      <c r="N491" s="2"/>
      <c r="O491" s="2"/>
      <c r="P491" s="53"/>
      <c r="Q491" s="53"/>
      <c r="R491" s="2"/>
      <c r="S491" s="2"/>
      <c r="T491" s="2"/>
    </row>
    <row r="492" spans="1:20" x14ac:dyDescent="0.25">
      <c r="A492" s="3"/>
      <c r="B492" s="3"/>
      <c r="C492" s="2"/>
      <c r="D492" s="2"/>
      <c r="E492" s="51"/>
      <c r="F492" s="51"/>
      <c r="G492" s="51"/>
      <c r="H492" s="51"/>
      <c r="I492" s="2"/>
      <c r="J492" s="2"/>
      <c r="K492" s="2"/>
      <c r="L492" s="2"/>
      <c r="M492" s="2"/>
      <c r="N492" s="2"/>
      <c r="O492" s="2"/>
      <c r="P492" s="53"/>
      <c r="Q492" s="53"/>
      <c r="R492" s="2"/>
      <c r="S492" s="2"/>
      <c r="T492" s="2"/>
    </row>
    <row r="493" spans="1:20" x14ac:dyDescent="0.25">
      <c r="A493" s="3"/>
      <c r="B493" s="3"/>
      <c r="C493" s="2"/>
      <c r="D493" s="2"/>
      <c r="E493" s="51"/>
      <c r="F493" s="51"/>
      <c r="G493" s="51"/>
      <c r="H493" s="51"/>
      <c r="I493" s="2"/>
      <c r="J493" s="2"/>
      <c r="K493" s="2"/>
      <c r="L493" s="2"/>
      <c r="M493" s="2"/>
      <c r="N493" s="2"/>
      <c r="O493" s="2"/>
      <c r="P493" s="53"/>
      <c r="Q493" s="53"/>
      <c r="R493" s="2"/>
      <c r="S493" s="2"/>
      <c r="T493" s="2"/>
    </row>
    <row r="494" spans="1:20" x14ac:dyDescent="0.25">
      <c r="A494" s="3"/>
      <c r="B494" s="3"/>
      <c r="C494" s="2"/>
      <c r="D494" s="2"/>
      <c r="E494" s="51"/>
      <c r="F494" s="51"/>
      <c r="G494" s="51"/>
      <c r="H494" s="51"/>
      <c r="I494" s="2"/>
      <c r="J494" s="2"/>
      <c r="K494" s="2"/>
      <c r="L494" s="2"/>
      <c r="M494" s="2"/>
      <c r="N494" s="2"/>
      <c r="O494" s="2"/>
      <c r="P494" s="53"/>
      <c r="Q494" s="53"/>
      <c r="R494" s="2"/>
      <c r="S494" s="2"/>
      <c r="T494" s="2"/>
    </row>
    <row r="495" spans="1:20" x14ac:dyDescent="0.25">
      <c r="A495" s="3"/>
      <c r="B495" s="3"/>
      <c r="C495" s="2"/>
      <c r="D495" s="2"/>
      <c r="E495" s="51"/>
      <c r="F495" s="51"/>
      <c r="G495" s="51"/>
      <c r="H495" s="51"/>
      <c r="I495" s="2"/>
      <c r="J495" s="2"/>
      <c r="K495" s="2"/>
      <c r="L495" s="2"/>
      <c r="M495" s="2"/>
      <c r="N495" s="2"/>
      <c r="O495" s="2"/>
      <c r="P495" s="53"/>
      <c r="Q495" s="53"/>
      <c r="R495" s="2"/>
      <c r="S495" s="2"/>
      <c r="T495" s="2"/>
    </row>
    <row r="496" spans="1:20" x14ac:dyDescent="0.25">
      <c r="A496" s="3"/>
      <c r="B496" s="3"/>
      <c r="C496" s="2"/>
      <c r="D496" s="2"/>
      <c r="E496" s="51"/>
      <c r="F496" s="51"/>
      <c r="G496" s="51"/>
      <c r="H496" s="51"/>
      <c r="I496" s="2"/>
      <c r="J496" s="2"/>
      <c r="K496" s="2"/>
      <c r="L496" s="2"/>
      <c r="M496" s="2"/>
      <c r="N496" s="2"/>
      <c r="O496" s="2"/>
      <c r="P496" s="53"/>
      <c r="Q496" s="53"/>
      <c r="R496" s="2"/>
      <c r="S496" s="2"/>
      <c r="T496" s="2"/>
    </row>
    <row r="497" spans="1:20" x14ac:dyDescent="0.25">
      <c r="A497" s="3"/>
      <c r="B497" s="3"/>
      <c r="C497" s="2"/>
      <c r="D497" s="2"/>
      <c r="E497" s="51"/>
      <c r="F497" s="51"/>
      <c r="G497" s="51"/>
      <c r="H497" s="51"/>
      <c r="I497" s="2"/>
      <c r="J497" s="2"/>
      <c r="K497" s="2"/>
      <c r="L497" s="2"/>
      <c r="M497" s="2"/>
      <c r="N497" s="2"/>
      <c r="O497" s="2"/>
      <c r="P497" s="53"/>
      <c r="Q497" s="53"/>
      <c r="R497" s="2"/>
      <c r="S497" s="2"/>
      <c r="T497" s="2"/>
    </row>
    <row r="498" spans="1:20" x14ac:dyDescent="0.25">
      <c r="A498" s="3"/>
      <c r="B498" s="3"/>
      <c r="C498" s="2"/>
      <c r="D498" s="2"/>
      <c r="E498" s="51"/>
      <c r="F498" s="51"/>
      <c r="G498" s="51"/>
      <c r="H498" s="51"/>
      <c r="I498" s="2"/>
      <c r="J498" s="2"/>
      <c r="K498" s="2"/>
      <c r="L498" s="2"/>
      <c r="M498" s="2"/>
      <c r="N498" s="2"/>
      <c r="O498" s="2"/>
      <c r="P498" s="53"/>
      <c r="Q498" s="53"/>
      <c r="R498" s="2"/>
      <c r="S498" s="2"/>
      <c r="T498" s="2"/>
    </row>
    <row r="499" spans="1:20" x14ac:dyDescent="0.25">
      <c r="A499" s="3"/>
      <c r="B499" s="3"/>
      <c r="C499" s="2"/>
      <c r="D499" s="2"/>
      <c r="E499" s="51"/>
      <c r="F499" s="51"/>
      <c r="G499" s="51"/>
      <c r="H499" s="51"/>
      <c r="I499" s="2"/>
      <c r="J499" s="2"/>
      <c r="K499" s="2"/>
      <c r="L499" s="2"/>
      <c r="M499" s="2"/>
      <c r="N499" s="2"/>
      <c r="O499" s="2"/>
      <c r="P499" s="53"/>
      <c r="Q499" s="53"/>
      <c r="R499" s="2"/>
      <c r="S499" s="2"/>
      <c r="T499" s="2"/>
    </row>
    <row r="500" spans="1:20" x14ac:dyDescent="0.25">
      <c r="A500" s="3"/>
      <c r="B500" s="3"/>
      <c r="C500" s="2"/>
      <c r="D500" s="2"/>
      <c r="E500" s="51"/>
      <c r="F500" s="51"/>
      <c r="G500" s="51"/>
      <c r="H500" s="51"/>
      <c r="I500" s="2"/>
      <c r="J500" s="2"/>
      <c r="K500" s="2"/>
      <c r="L500" s="2"/>
      <c r="M500" s="2"/>
      <c r="N500" s="2"/>
      <c r="O500" s="2"/>
      <c r="P500" s="53"/>
      <c r="Q500" s="53"/>
      <c r="R500" s="2"/>
      <c r="S500" s="2"/>
      <c r="T500" s="2"/>
    </row>
    <row r="501" spans="1:20" x14ac:dyDescent="0.25">
      <c r="A501" s="3"/>
      <c r="B501" s="3"/>
      <c r="C501" s="2"/>
      <c r="D501" s="2"/>
      <c r="E501" s="51"/>
      <c r="F501" s="51"/>
      <c r="G501" s="51"/>
      <c r="H501" s="51"/>
      <c r="I501" s="2"/>
      <c r="J501" s="2"/>
      <c r="K501" s="2"/>
      <c r="L501" s="2"/>
      <c r="M501" s="2"/>
      <c r="N501" s="2"/>
      <c r="O501" s="2"/>
      <c r="P501" s="53"/>
      <c r="Q501" s="53"/>
      <c r="R501" s="2"/>
      <c r="S501" s="2"/>
      <c r="T501" s="2"/>
    </row>
    <row r="502" spans="1:20" x14ac:dyDescent="0.25">
      <c r="A502" s="3"/>
      <c r="B502" s="3"/>
      <c r="C502" s="2"/>
      <c r="D502" s="2"/>
      <c r="E502" s="51"/>
      <c r="F502" s="51"/>
      <c r="G502" s="51"/>
      <c r="H502" s="51"/>
      <c r="I502" s="2"/>
      <c r="J502" s="2"/>
      <c r="K502" s="2"/>
      <c r="L502" s="2"/>
      <c r="M502" s="2"/>
      <c r="N502" s="2"/>
      <c r="O502" s="2"/>
      <c r="P502" s="53"/>
      <c r="Q502" s="53"/>
      <c r="R502" s="2"/>
      <c r="S502" s="2"/>
      <c r="T502" s="2"/>
    </row>
    <row r="503" spans="1:20" x14ac:dyDescent="0.25">
      <c r="A503" s="3"/>
      <c r="B503" s="3"/>
      <c r="C503" s="2"/>
      <c r="D503" s="2"/>
      <c r="E503" s="51"/>
      <c r="F503" s="51"/>
      <c r="G503" s="51"/>
      <c r="H503" s="51"/>
      <c r="I503" s="2"/>
      <c r="J503" s="2"/>
      <c r="K503" s="2"/>
      <c r="L503" s="2"/>
      <c r="M503" s="2"/>
      <c r="N503" s="2"/>
      <c r="O503" s="2"/>
      <c r="P503" s="53"/>
      <c r="Q503" s="53"/>
      <c r="R503" s="2"/>
      <c r="S503" s="2"/>
      <c r="T503" s="2"/>
    </row>
    <row r="504" spans="1:20" x14ac:dyDescent="0.25">
      <c r="A504" s="3"/>
      <c r="B504" s="3"/>
      <c r="C504" s="2"/>
      <c r="D504" s="2"/>
      <c r="E504" s="51"/>
      <c r="F504" s="51"/>
      <c r="G504" s="51"/>
      <c r="H504" s="51"/>
      <c r="I504" s="2"/>
      <c r="J504" s="2"/>
      <c r="K504" s="2"/>
      <c r="L504" s="2"/>
      <c r="M504" s="2"/>
      <c r="N504" s="2"/>
      <c r="O504" s="2"/>
      <c r="P504" s="53"/>
      <c r="Q504" s="53"/>
      <c r="R504" s="2"/>
      <c r="S504" s="2"/>
      <c r="T504" s="2"/>
    </row>
    <row r="505" spans="1:20" x14ac:dyDescent="0.25">
      <c r="A505" s="3"/>
      <c r="B505" s="3"/>
      <c r="C505" s="2"/>
      <c r="D505" s="2"/>
      <c r="E505" s="51"/>
      <c r="F505" s="51"/>
      <c r="G505" s="51"/>
      <c r="H505" s="51"/>
      <c r="I505" s="2"/>
      <c r="J505" s="2"/>
      <c r="K505" s="2"/>
      <c r="L505" s="2"/>
      <c r="M505" s="2"/>
      <c r="N505" s="2"/>
      <c r="O505" s="2"/>
      <c r="P505" s="53"/>
      <c r="Q505" s="53"/>
      <c r="R505" s="2"/>
      <c r="S505" s="2"/>
      <c r="T505" s="2"/>
    </row>
    <row r="506" spans="1:20" x14ac:dyDescent="0.25">
      <c r="A506" s="3"/>
      <c r="B506" s="3"/>
      <c r="C506" s="2"/>
      <c r="D506" s="2"/>
      <c r="E506" s="51"/>
      <c r="F506" s="51"/>
      <c r="G506" s="51"/>
      <c r="H506" s="51"/>
      <c r="I506" s="2"/>
      <c r="J506" s="2"/>
      <c r="K506" s="2"/>
      <c r="L506" s="2"/>
      <c r="M506" s="2"/>
      <c r="N506" s="2"/>
      <c r="O506" s="2"/>
      <c r="P506" s="53"/>
      <c r="Q506" s="53"/>
      <c r="R506" s="2"/>
      <c r="S506" s="2"/>
      <c r="T506" s="2"/>
    </row>
    <row r="507" spans="1:20" x14ac:dyDescent="0.25">
      <c r="A507" s="3"/>
      <c r="B507" s="3"/>
      <c r="C507" s="2"/>
      <c r="D507" s="2"/>
      <c r="E507" s="51"/>
      <c r="F507" s="51"/>
      <c r="G507" s="51"/>
      <c r="H507" s="51"/>
      <c r="I507" s="2"/>
      <c r="J507" s="2"/>
      <c r="K507" s="2"/>
      <c r="L507" s="2"/>
      <c r="M507" s="2"/>
      <c r="N507" s="2"/>
      <c r="O507" s="2"/>
      <c r="P507" s="53"/>
      <c r="Q507" s="53"/>
      <c r="R507" s="2"/>
      <c r="S507" s="2"/>
      <c r="T507" s="2"/>
    </row>
    <row r="508" spans="1:20" x14ac:dyDescent="0.25">
      <c r="A508" s="3"/>
      <c r="B508" s="3"/>
      <c r="C508" s="2"/>
      <c r="D508" s="2"/>
      <c r="E508" s="51"/>
      <c r="F508" s="51"/>
      <c r="G508" s="51"/>
      <c r="H508" s="51"/>
      <c r="I508" s="2"/>
      <c r="J508" s="2"/>
      <c r="K508" s="2"/>
      <c r="L508" s="2"/>
      <c r="M508" s="2"/>
      <c r="N508" s="2"/>
      <c r="O508" s="2"/>
      <c r="P508" s="53"/>
      <c r="Q508" s="53"/>
      <c r="R508" s="2"/>
      <c r="S508" s="2"/>
      <c r="T508" s="2"/>
    </row>
    <row r="509" spans="1:20" x14ac:dyDescent="0.25">
      <c r="A509" s="3"/>
      <c r="B509" s="3"/>
      <c r="C509" s="2"/>
      <c r="D509" s="2"/>
      <c r="E509" s="51"/>
      <c r="F509" s="51"/>
      <c r="G509" s="51"/>
      <c r="H509" s="51"/>
      <c r="I509" s="2"/>
      <c r="J509" s="2"/>
      <c r="K509" s="2"/>
      <c r="L509" s="2"/>
      <c r="M509" s="2"/>
      <c r="N509" s="2"/>
      <c r="O509" s="2"/>
      <c r="P509" s="53"/>
      <c r="Q509" s="53"/>
      <c r="R509" s="2"/>
      <c r="S509" s="2"/>
      <c r="T509" s="2"/>
    </row>
    <row r="510" spans="1:20" x14ac:dyDescent="0.25">
      <c r="A510" s="3"/>
      <c r="B510" s="3"/>
      <c r="C510" s="2"/>
      <c r="D510" s="2"/>
      <c r="E510" s="51"/>
      <c r="F510" s="51"/>
      <c r="G510" s="51"/>
      <c r="H510" s="51"/>
      <c r="I510" s="2"/>
      <c r="J510" s="2"/>
      <c r="K510" s="2"/>
      <c r="L510" s="2"/>
      <c r="M510" s="2"/>
      <c r="N510" s="2"/>
      <c r="O510" s="2"/>
      <c r="P510" s="53"/>
      <c r="Q510" s="53"/>
      <c r="R510" s="2"/>
      <c r="S510" s="2"/>
      <c r="T510" s="2"/>
    </row>
    <row r="511" spans="1:20" x14ac:dyDescent="0.25">
      <c r="A511" s="3"/>
      <c r="B511" s="3"/>
      <c r="C511" s="2"/>
      <c r="D511" s="2"/>
      <c r="E511" s="51"/>
      <c r="F511" s="51"/>
      <c r="G511" s="51"/>
      <c r="H511" s="51"/>
      <c r="I511" s="2"/>
      <c r="J511" s="2"/>
      <c r="K511" s="2"/>
      <c r="L511" s="2"/>
      <c r="M511" s="2"/>
      <c r="N511" s="2"/>
      <c r="O511" s="2"/>
      <c r="P511" s="53"/>
      <c r="Q511" s="53"/>
      <c r="R511" s="2"/>
      <c r="S511" s="2"/>
      <c r="T511" s="2"/>
    </row>
    <row r="512" spans="1:20" x14ac:dyDescent="0.25">
      <c r="A512" s="3"/>
      <c r="B512" s="3"/>
      <c r="C512" s="2"/>
      <c r="D512" s="2"/>
      <c r="E512" s="51"/>
      <c r="F512" s="51"/>
      <c r="G512" s="51"/>
      <c r="H512" s="51"/>
      <c r="I512" s="2"/>
      <c r="J512" s="2"/>
      <c r="K512" s="2"/>
      <c r="L512" s="2"/>
      <c r="M512" s="2"/>
      <c r="N512" s="2"/>
      <c r="O512" s="2"/>
      <c r="P512" s="53"/>
      <c r="Q512" s="53"/>
      <c r="R512" s="2"/>
      <c r="S512" s="2"/>
      <c r="T512" s="2"/>
    </row>
    <row r="513" spans="1:20" x14ac:dyDescent="0.25">
      <c r="A513" s="3"/>
      <c r="B513" s="3"/>
      <c r="C513" s="2"/>
      <c r="D513" s="2"/>
      <c r="E513" s="51"/>
      <c r="F513" s="51"/>
      <c r="G513" s="51"/>
      <c r="H513" s="51"/>
      <c r="I513" s="2"/>
      <c r="J513" s="2"/>
      <c r="K513" s="2"/>
      <c r="L513" s="2"/>
      <c r="M513" s="2"/>
      <c r="N513" s="2"/>
      <c r="O513" s="2"/>
      <c r="P513" s="53"/>
      <c r="Q513" s="53"/>
      <c r="R513" s="2"/>
      <c r="S513" s="2"/>
      <c r="T513" s="2"/>
    </row>
    <row r="514" spans="1:20" x14ac:dyDescent="0.25">
      <c r="A514" s="3"/>
      <c r="B514" s="3"/>
      <c r="C514" s="2"/>
      <c r="D514" s="2"/>
      <c r="E514" s="51"/>
      <c r="F514" s="51"/>
      <c r="G514" s="51"/>
      <c r="H514" s="51"/>
      <c r="I514" s="2"/>
      <c r="J514" s="2"/>
      <c r="K514" s="2"/>
      <c r="L514" s="2"/>
      <c r="M514" s="2"/>
      <c r="N514" s="2"/>
      <c r="O514" s="2"/>
      <c r="P514" s="53"/>
      <c r="Q514" s="53"/>
      <c r="R514" s="2"/>
      <c r="S514" s="2"/>
      <c r="T514" s="2"/>
    </row>
    <row r="515" spans="1:20" x14ac:dyDescent="0.25">
      <c r="A515" s="3"/>
      <c r="B515" s="3"/>
      <c r="C515" s="2"/>
      <c r="D515" s="2"/>
      <c r="E515" s="51"/>
      <c r="F515" s="51"/>
      <c r="G515" s="51"/>
      <c r="H515" s="51"/>
      <c r="I515" s="2"/>
      <c r="J515" s="2"/>
      <c r="K515" s="2"/>
      <c r="L515" s="2"/>
      <c r="M515" s="2"/>
      <c r="N515" s="2"/>
      <c r="O515" s="2"/>
      <c r="P515" s="53"/>
      <c r="Q515" s="53"/>
      <c r="R515" s="2"/>
      <c r="S515" s="2"/>
      <c r="T515" s="2"/>
    </row>
    <row r="516" spans="1:20" x14ac:dyDescent="0.25">
      <c r="A516" s="3"/>
      <c r="B516" s="3"/>
      <c r="C516" s="2"/>
      <c r="D516" s="2"/>
      <c r="E516" s="51"/>
      <c r="F516" s="51"/>
      <c r="G516" s="51"/>
      <c r="H516" s="51"/>
      <c r="I516" s="2"/>
      <c r="J516" s="2"/>
      <c r="K516" s="2"/>
      <c r="L516" s="2"/>
      <c r="M516" s="2"/>
      <c r="N516" s="2"/>
      <c r="O516" s="2"/>
      <c r="P516" s="53"/>
      <c r="Q516" s="53"/>
      <c r="R516" s="2"/>
      <c r="S516" s="2"/>
      <c r="T516" s="2"/>
    </row>
    <row r="517" spans="1:20" x14ac:dyDescent="0.25">
      <c r="A517" s="3"/>
      <c r="B517" s="3"/>
      <c r="C517" s="2"/>
      <c r="D517" s="2"/>
      <c r="E517" s="51"/>
      <c r="F517" s="51"/>
      <c r="G517" s="51"/>
      <c r="H517" s="51"/>
      <c r="I517" s="2"/>
      <c r="J517" s="2"/>
      <c r="K517" s="2"/>
      <c r="L517" s="2"/>
      <c r="M517" s="2"/>
      <c r="N517" s="2"/>
      <c r="O517" s="2"/>
      <c r="P517" s="53"/>
      <c r="Q517" s="53"/>
      <c r="R517" s="2"/>
      <c r="S517" s="2"/>
      <c r="T517" s="2"/>
    </row>
    <row r="518" spans="1:20" x14ac:dyDescent="0.25">
      <c r="A518" s="3"/>
      <c r="B518" s="3"/>
      <c r="C518" s="2"/>
      <c r="D518" s="2"/>
      <c r="E518" s="51"/>
      <c r="F518" s="51"/>
      <c r="G518" s="51"/>
      <c r="H518" s="51"/>
      <c r="I518" s="2"/>
      <c r="J518" s="2"/>
      <c r="K518" s="2"/>
      <c r="L518" s="2"/>
      <c r="M518" s="2"/>
      <c r="N518" s="2"/>
      <c r="O518" s="2"/>
      <c r="P518" s="53"/>
      <c r="Q518" s="53"/>
      <c r="R518" s="2"/>
      <c r="S518" s="2"/>
      <c r="T518" s="2"/>
    </row>
    <row r="519" spans="1:20" x14ac:dyDescent="0.25">
      <c r="A519" s="3"/>
      <c r="B519" s="3"/>
      <c r="C519" s="2"/>
      <c r="D519" s="2"/>
      <c r="E519" s="51"/>
      <c r="F519" s="51"/>
      <c r="G519" s="51"/>
      <c r="H519" s="51"/>
      <c r="I519" s="2"/>
      <c r="J519" s="2"/>
      <c r="K519" s="2"/>
      <c r="L519" s="2"/>
      <c r="M519" s="2"/>
      <c r="N519" s="2"/>
      <c r="O519" s="2"/>
      <c r="P519" s="53"/>
      <c r="Q519" s="53"/>
      <c r="R519" s="2"/>
      <c r="S519" s="2"/>
      <c r="T519" s="2"/>
    </row>
    <row r="520" spans="1:20" x14ac:dyDescent="0.25">
      <c r="A520" s="3"/>
      <c r="B520" s="3"/>
      <c r="C520" s="2"/>
      <c r="D520" s="2"/>
      <c r="E520" s="51"/>
      <c r="F520" s="51"/>
      <c r="G520" s="51"/>
      <c r="H520" s="51"/>
      <c r="I520" s="2"/>
      <c r="J520" s="2"/>
      <c r="K520" s="2"/>
      <c r="L520" s="2"/>
      <c r="M520" s="2"/>
      <c r="N520" s="2"/>
      <c r="O520" s="2"/>
      <c r="P520" s="53"/>
      <c r="Q520" s="53"/>
      <c r="R520" s="2"/>
      <c r="S520" s="2"/>
      <c r="T520" s="2"/>
    </row>
    <row r="521" spans="1:20" x14ac:dyDescent="0.25">
      <c r="A521" s="3"/>
      <c r="B521" s="3"/>
      <c r="C521" s="2"/>
      <c r="D521" s="2"/>
      <c r="E521" s="51"/>
      <c r="F521" s="51"/>
      <c r="G521" s="51"/>
      <c r="H521" s="51"/>
      <c r="I521" s="2"/>
      <c r="J521" s="2"/>
      <c r="K521" s="2"/>
      <c r="L521" s="2"/>
      <c r="M521" s="2"/>
      <c r="N521" s="2"/>
      <c r="O521" s="2"/>
      <c r="P521" s="53"/>
      <c r="Q521" s="53"/>
      <c r="R521" s="2"/>
      <c r="S521" s="2"/>
      <c r="T521" s="2"/>
    </row>
    <row r="522" spans="1:20" x14ac:dyDescent="0.25">
      <c r="A522" s="3"/>
      <c r="B522" s="3"/>
      <c r="C522" s="2"/>
      <c r="D522" s="2"/>
      <c r="E522" s="51"/>
      <c r="F522" s="51"/>
      <c r="G522" s="51"/>
      <c r="H522" s="51"/>
      <c r="I522" s="2"/>
      <c r="J522" s="2"/>
      <c r="K522" s="2"/>
      <c r="L522" s="2"/>
      <c r="M522" s="2"/>
      <c r="N522" s="2"/>
      <c r="O522" s="2"/>
      <c r="P522" s="53"/>
      <c r="Q522" s="53"/>
      <c r="R522" s="2"/>
      <c r="S522" s="2"/>
      <c r="T522" s="2"/>
    </row>
    <row r="523" spans="1:20" x14ac:dyDescent="0.25">
      <c r="A523" s="3"/>
      <c r="B523" s="3"/>
      <c r="C523" s="2"/>
      <c r="D523" s="2"/>
      <c r="E523" s="51"/>
      <c r="F523" s="51"/>
      <c r="G523" s="51"/>
      <c r="H523" s="51"/>
      <c r="I523" s="2"/>
      <c r="J523" s="2"/>
      <c r="K523" s="2"/>
      <c r="L523" s="2"/>
      <c r="M523" s="2"/>
      <c r="N523" s="2"/>
      <c r="O523" s="2"/>
      <c r="P523" s="53"/>
      <c r="Q523" s="53"/>
      <c r="R523" s="2"/>
      <c r="S523" s="2"/>
      <c r="T523" s="2"/>
    </row>
    <row r="524" spans="1:20" x14ac:dyDescent="0.25">
      <c r="A524" s="3"/>
      <c r="B524" s="3"/>
      <c r="C524" s="2"/>
      <c r="D524" s="2"/>
      <c r="E524" s="51"/>
      <c r="F524" s="51"/>
      <c r="G524" s="51"/>
      <c r="H524" s="51"/>
      <c r="I524" s="2"/>
      <c r="J524" s="2"/>
      <c r="K524" s="2"/>
      <c r="L524" s="2"/>
      <c r="M524" s="2"/>
      <c r="N524" s="2"/>
      <c r="O524" s="2"/>
      <c r="P524" s="53"/>
      <c r="Q524" s="53"/>
      <c r="R524" s="2"/>
      <c r="S524" s="2"/>
      <c r="T524" s="2"/>
    </row>
    <row r="525" spans="1:20" x14ac:dyDescent="0.25">
      <c r="A525" s="3"/>
      <c r="B525" s="3"/>
      <c r="C525" s="2"/>
      <c r="D525" s="2"/>
      <c r="E525" s="51"/>
      <c r="F525" s="51"/>
      <c r="G525" s="51"/>
      <c r="H525" s="51"/>
      <c r="I525" s="2"/>
      <c r="J525" s="2"/>
      <c r="K525" s="2"/>
      <c r="L525" s="2"/>
      <c r="M525" s="2"/>
      <c r="N525" s="2"/>
      <c r="O525" s="2"/>
      <c r="P525" s="53"/>
      <c r="Q525" s="53"/>
      <c r="R525" s="2"/>
      <c r="S525" s="2"/>
      <c r="T525" s="2"/>
    </row>
    <row r="526" spans="1:20" x14ac:dyDescent="0.25">
      <c r="A526" s="3"/>
      <c r="B526" s="3"/>
      <c r="C526" s="2"/>
      <c r="D526" s="2"/>
      <c r="E526" s="51"/>
      <c r="F526" s="51"/>
      <c r="G526" s="51"/>
      <c r="H526" s="51"/>
      <c r="I526" s="2"/>
      <c r="J526" s="2"/>
      <c r="K526" s="2"/>
      <c r="L526" s="2"/>
      <c r="M526" s="2"/>
      <c r="N526" s="2"/>
      <c r="O526" s="2"/>
      <c r="P526" s="53"/>
      <c r="Q526" s="53"/>
      <c r="R526" s="2"/>
      <c r="S526" s="2"/>
      <c r="T526" s="2"/>
    </row>
    <row r="527" spans="1:20" x14ac:dyDescent="0.25">
      <c r="A527" s="3"/>
      <c r="B527" s="3"/>
      <c r="C527" s="2"/>
      <c r="D527" s="2"/>
      <c r="E527" s="51"/>
      <c r="F527" s="51"/>
      <c r="G527" s="51"/>
      <c r="H527" s="51"/>
      <c r="I527" s="2"/>
      <c r="J527" s="2"/>
      <c r="K527" s="2"/>
      <c r="L527" s="2"/>
      <c r="M527" s="2"/>
      <c r="N527" s="2"/>
      <c r="O527" s="2"/>
      <c r="P527" s="53"/>
      <c r="Q527" s="53"/>
      <c r="R527" s="2"/>
      <c r="S527" s="2"/>
      <c r="T527" s="2"/>
    </row>
    <row r="528" spans="1:20" x14ac:dyDescent="0.25">
      <c r="A528" s="3"/>
      <c r="B528" s="3"/>
      <c r="C528" s="2"/>
      <c r="D528" s="2"/>
      <c r="E528" s="51"/>
      <c r="F528" s="51"/>
      <c r="G528" s="51"/>
      <c r="H528" s="51"/>
      <c r="I528" s="2"/>
      <c r="J528" s="2"/>
      <c r="K528" s="2"/>
      <c r="L528" s="2"/>
      <c r="M528" s="2"/>
      <c r="N528" s="2"/>
      <c r="O528" s="2"/>
      <c r="P528" s="53"/>
      <c r="Q528" s="53"/>
      <c r="R528" s="2"/>
      <c r="S528" s="2"/>
      <c r="T528" s="2"/>
    </row>
    <row r="529" spans="1:20" x14ac:dyDescent="0.25">
      <c r="A529" s="3"/>
      <c r="B529" s="3"/>
      <c r="C529" s="2"/>
      <c r="D529" s="2"/>
      <c r="E529" s="51"/>
      <c r="F529" s="51"/>
      <c r="G529" s="51"/>
      <c r="H529" s="51"/>
      <c r="I529" s="2"/>
      <c r="J529" s="2"/>
      <c r="K529" s="2"/>
      <c r="L529" s="2"/>
      <c r="M529" s="2"/>
      <c r="N529" s="2"/>
      <c r="O529" s="2"/>
      <c r="P529" s="53"/>
      <c r="Q529" s="53"/>
      <c r="R529" s="2"/>
      <c r="S529" s="2"/>
      <c r="T529" s="2"/>
    </row>
    <row r="530" spans="1:20" x14ac:dyDescent="0.25">
      <c r="A530" s="3"/>
      <c r="B530" s="3"/>
      <c r="C530" s="2"/>
      <c r="D530" s="2"/>
      <c r="E530" s="51"/>
      <c r="F530" s="51"/>
      <c r="G530" s="51"/>
      <c r="H530" s="51"/>
      <c r="I530" s="2"/>
      <c r="J530" s="2"/>
      <c r="K530" s="2"/>
      <c r="L530" s="2"/>
      <c r="M530" s="2"/>
      <c r="N530" s="2"/>
      <c r="O530" s="2"/>
      <c r="P530" s="53"/>
      <c r="Q530" s="53"/>
      <c r="R530" s="2"/>
      <c r="S530" s="2"/>
      <c r="T530" s="2"/>
    </row>
    <row r="531" spans="1:20" x14ac:dyDescent="0.25">
      <c r="A531" s="3"/>
      <c r="B531" s="3"/>
      <c r="C531" s="2"/>
      <c r="D531" s="2"/>
      <c r="E531" s="51"/>
      <c r="F531" s="51"/>
      <c r="G531" s="51"/>
      <c r="H531" s="51"/>
      <c r="I531" s="2"/>
      <c r="J531" s="2"/>
      <c r="K531" s="2"/>
      <c r="L531" s="2"/>
      <c r="M531" s="2"/>
      <c r="N531" s="2"/>
      <c r="O531" s="2"/>
      <c r="P531" s="53"/>
      <c r="Q531" s="53"/>
      <c r="R531" s="2"/>
      <c r="S531" s="2"/>
      <c r="T531" s="2"/>
    </row>
    <row r="532" spans="1:20" x14ac:dyDescent="0.25">
      <c r="A532" s="3"/>
      <c r="B532" s="3"/>
      <c r="C532" s="2"/>
      <c r="D532" s="2"/>
      <c r="E532" s="51"/>
      <c r="F532" s="51"/>
      <c r="G532" s="51"/>
      <c r="H532" s="51"/>
      <c r="I532" s="2"/>
      <c r="J532" s="2"/>
      <c r="K532" s="2"/>
      <c r="L532" s="2"/>
      <c r="M532" s="2"/>
      <c r="N532" s="2"/>
      <c r="O532" s="2"/>
      <c r="P532" s="53"/>
      <c r="Q532" s="53"/>
      <c r="R532" s="2"/>
      <c r="S532" s="2"/>
      <c r="T532" s="2"/>
    </row>
    <row r="533" spans="1:20" x14ac:dyDescent="0.25">
      <c r="A533" s="3"/>
      <c r="B533" s="3"/>
      <c r="C533" s="2"/>
      <c r="D533" s="2"/>
      <c r="E533" s="51"/>
      <c r="F533" s="51"/>
      <c r="G533" s="51"/>
      <c r="H533" s="51"/>
      <c r="I533" s="2"/>
      <c r="J533" s="2"/>
      <c r="K533" s="2"/>
      <c r="L533" s="2"/>
      <c r="M533" s="2"/>
      <c r="N533" s="2"/>
      <c r="O533" s="2"/>
      <c r="P533" s="53"/>
      <c r="Q533" s="53"/>
      <c r="R533" s="2"/>
      <c r="S533" s="2"/>
      <c r="T533" s="2"/>
    </row>
    <row r="534" spans="1:20" x14ac:dyDescent="0.25">
      <c r="A534" s="3"/>
      <c r="B534" s="3"/>
      <c r="C534" s="2"/>
      <c r="D534" s="2"/>
      <c r="E534" s="51"/>
      <c r="F534" s="51"/>
      <c r="G534" s="51"/>
      <c r="H534" s="51"/>
      <c r="I534" s="2"/>
      <c r="J534" s="2"/>
      <c r="K534" s="2"/>
      <c r="L534" s="2"/>
      <c r="M534" s="2"/>
      <c r="N534" s="2"/>
      <c r="O534" s="2"/>
      <c r="P534" s="53"/>
      <c r="Q534" s="53"/>
      <c r="R534" s="2"/>
      <c r="S534" s="2"/>
      <c r="T534" s="2"/>
    </row>
    <row r="535" spans="1:20" x14ac:dyDescent="0.25">
      <c r="A535" s="3"/>
      <c r="B535" s="3"/>
      <c r="C535" s="2"/>
      <c r="D535" s="2"/>
      <c r="E535" s="51"/>
      <c r="F535" s="51"/>
      <c r="G535" s="51"/>
      <c r="H535" s="51"/>
      <c r="I535" s="2"/>
      <c r="J535" s="2"/>
      <c r="K535" s="2"/>
      <c r="L535" s="2"/>
      <c r="M535" s="2"/>
      <c r="N535" s="2"/>
      <c r="O535" s="2"/>
      <c r="P535" s="53"/>
      <c r="Q535" s="53"/>
      <c r="R535" s="2"/>
      <c r="S535" s="2"/>
      <c r="T535" s="2"/>
    </row>
    <row r="536" spans="1:20" x14ac:dyDescent="0.25">
      <c r="A536" s="3"/>
      <c r="B536" s="3"/>
      <c r="C536" s="2"/>
      <c r="D536" s="2"/>
      <c r="E536" s="51"/>
      <c r="F536" s="51"/>
      <c r="G536" s="51"/>
      <c r="H536" s="51"/>
      <c r="I536" s="2"/>
      <c r="J536" s="2"/>
      <c r="K536" s="2"/>
      <c r="L536" s="2"/>
      <c r="M536" s="2"/>
      <c r="N536" s="2"/>
      <c r="O536" s="2"/>
      <c r="P536" s="53"/>
      <c r="Q536" s="53"/>
      <c r="R536" s="2"/>
      <c r="S536" s="2"/>
      <c r="T536" s="2"/>
    </row>
    <row r="537" spans="1:20" x14ac:dyDescent="0.25">
      <c r="A537" s="3"/>
      <c r="B537" s="3"/>
      <c r="C537" s="2"/>
      <c r="D537" s="2"/>
      <c r="E537" s="51"/>
      <c r="F537" s="51"/>
      <c r="G537" s="51"/>
      <c r="H537" s="51"/>
      <c r="I537" s="2"/>
      <c r="J537" s="2"/>
      <c r="K537" s="2"/>
      <c r="L537" s="2"/>
      <c r="M537" s="2"/>
      <c r="N537" s="2"/>
      <c r="O537" s="2"/>
      <c r="P537" s="53"/>
      <c r="Q537" s="53"/>
      <c r="R537" s="2"/>
      <c r="S537" s="2"/>
      <c r="T537" s="2"/>
    </row>
    <row r="538" spans="1:20" x14ac:dyDescent="0.25">
      <c r="A538" s="3"/>
      <c r="B538" s="3"/>
      <c r="C538" s="2"/>
      <c r="D538" s="2"/>
      <c r="E538" s="51"/>
      <c r="F538" s="51"/>
      <c r="G538" s="51"/>
      <c r="H538" s="51"/>
      <c r="I538" s="2"/>
      <c r="J538" s="2"/>
      <c r="K538" s="2"/>
      <c r="L538" s="2"/>
      <c r="M538" s="2"/>
      <c r="N538" s="2"/>
      <c r="O538" s="2"/>
      <c r="P538" s="53"/>
      <c r="Q538" s="53"/>
      <c r="R538" s="2"/>
      <c r="S538" s="2"/>
      <c r="T538" s="2"/>
    </row>
    <row r="539" spans="1:20" x14ac:dyDescent="0.25">
      <c r="A539" s="3"/>
      <c r="B539" s="3"/>
      <c r="C539" s="2"/>
      <c r="D539" s="2"/>
      <c r="E539" s="51"/>
      <c r="F539" s="51"/>
      <c r="G539" s="51"/>
      <c r="H539" s="51"/>
      <c r="I539" s="2"/>
      <c r="J539" s="2"/>
      <c r="K539" s="2"/>
      <c r="L539" s="2"/>
      <c r="M539" s="2"/>
      <c r="N539" s="2"/>
      <c r="O539" s="2"/>
      <c r="P539" s="53"/>
      <c r="Q539" s="53"/>
      <c r="R539" s="2"/>
      <c r="S539" s="2"/>
      <c r="T539" s="2"/>
    </row>
    <row r="540" spans="1:20" x14ac:dyDescent="0.25">
      <c r="A540" s="3"/>
      <c r="B540" s="3"/>
      <c r="C540" s="2"/>
      <c r="D540" s="2"/>
      <c r="E540" s="51"/>
      <c r="F540" s="51"/>
      <c r="G540" s="51"/>
      <c r="H540" s="51"/>
      <c r="I540" s="2"/>
      <c r="J540" s="2"/>
      <c r="K540" s="2"/>
      <c r="L540" s="2"/>
      <c r="M540" s="2"/>
      <c r="N540" s="2"/>
      <c r="O540" s="2"/>
      <c r="P540" s="53"/>
      <c r="Q540" s="53"/>
      <c r="R540" s="2"/>
      <c r="S540" s="2"/>
      <c r="T540" s="2"/>
    </row>
    <row r="541" spans="1:20" x14ac:dyDescent="0.25">
      <c r="A541" s="3"/>
      <c r="B541" s="3"/>
      <c r="C541" s="2"/>
      <c r="D541" s="2"/>
      <c r="E541" s="51"/>
      <c r="F541" s="51"/>
      <c r="G541" s="51"/>
      <c r="H541" s="51"/>
      <c r="I541" s="2"/>
      <c r="J541" s="2"/>
      <c r="K541" s="2"/>
      <c r="L541" s="2"/>
      <c r="M541" s="2"/>
      <c r="N541" s="2"/>
      <c r="O541" s="2"/>
      <c r="P541" s="53"/>
      <c r="Q541" s="53"/>
      <c r="R541" s="2"/>
      <c r="S541" s="2"/>
      <c r="T541" s="2"/>
    </row>
    <row r="542" spans="1:20" x14ac:dyDescent="0.25">
      <c r="A542" s="3"/>
      <c r="B542" s="3"/>
      <c r="C542" s="2"/>
      <c r="D542" s="2"/>
      <c r="E542" s="51"/>
      <c r="F542" s="51"/>
      <c r="G542" s="51"/>
      <c r="H542" s="51"/>
      <c r="I542" s="2"/>
      <c r="J542" s="2"/>
      <c r="K542" s="2"/>
      <c r="L542" s="2"/>
      <c r="M542" s="2"/>
      <c r="N542" s="2"/>
      <c r="O542" s="2"/>
      <c r="P542" s="53"/>
      <c r="Q542" s="53"/>
      <c r="R542" s="2"/>
      <c r="S542" s="2"/>
      <c r="T542" s="2"/>
    </row>
    <row r="543" spans="1:20" x14ac:dyDescent="0.25">
      <c r="A543" s="3"/>
      <c r="B543" s="3"/>
      <c r="C543" s="2"/>
      <c r="D543" s="2"/>
      <c r="E543" s="51"/>
      <c r="F543" s="51"/>
      <c r="G543" s="51"/>
      <c r="H543" s="51"/>
      <c r="I543" s="2"/>
      <c r="J543" s="2"/>
      <c r="K543" s="2"/>
      <c r="L543" s="2"/>
      <c r="M543" s="2"/>
      <c r="N543" s="2"/>
      <c r="O543" s="2"/>
      <c r="P543" s="53"/>
      <c r="Q543" s="53"/>
      <c r="R543" s="2"/>
      <c r="S543" s="2"/>
      <c r="T543" s="2"/>
    </row>
    <row r="544" spans="1:20" x14ac:dyDescent="0.25">
      <c r="A544" s="3"/>
      <c r="B544" s="3"/>
      <c r="C544" s="2"/>
      <c r="D544" s="2"/>
      <c r="E544" s="51"/>
      <c r="F544" s="51"/>
      <c r="G544" s="51"/>
      <c r="H544" s="51"/>
      <c r="I544" s="2"/>
      <c r="J544" s="2"/>
      <c r="K544" s="2"/>
      <c r="L544" s="2"/>
      <c r="M544" s="2"/>
      <c r="N544" s="2"/>
      <c r="O544" s="2"/>
      <c r="P544" s="53"/>
      <c r="Q544" s="53"/>
      <c r="R544" s="2"/>
      <c r="S544" s="2"/>
      <c r="T544" s="2"/>
    </row>
    <row r="545" spans="1:20" x14ac:dyDescent="0.25">
      <c r="A545" s="3"/>
      <c r="B545" s="3"/>
      <c r="C545" s="2"/>
      <c r="D545" s="2"/>
      <c r="E545" s="51"/>
      <c r="F545" s="51"/>
      <c r="G545" s="51"/>
      <c r="H545" s="51"/>
      <c r="I545" s="2"/>
      <c r="J545" s="2"/>
      <c r="K545" s="2"/>
      <c r="L545" s="2"/>
      <c r="M545" s="2"/>
      <c r="N545" s="2"/>
      <c r="O545" s="2"/>
      <c r="P545" s="53"/>
      <c r="Q545" s="53"/>
      <c r="R545" s="2"/>
      <c r="S545" s="2"/>
      <c r="T545" s="2"/>
    </row>
    <row r="546" spans="1:20" x14ac:dyDescent="0.25">
      <c r="A546" s="3"/>
      <c r="B546" s="3"/>
      <c r="C546" s="2"/>
      <c r="D546" s="2"/>
      <c r="E546" s="51"/>
      <c r="F546" s="51"/>
      <c r="G546" s="51"/>
      <c r="H546" s="51"/>
      <c r="I546" s="2"/>
      <c r="J546" s="2"/>
      <c r="K546" s="2"/>
      <c r="L546" s="2"/>
      <c r="M546" s="2"/>
      <c r="N546" s="2"/>
      <c r="O546" s="2"/>
      <c r="P546" s="53"/>
      <c r="Q546" s="53"/>
      <c r="R546" s="2"/>
      <c r="S546" s="2"/>
      <c r="T546" s="2"/>
    </row>
    <row r="547" spans="1:20" x14ac:dyDescent="0.25">
      <c r="A547" s="3"/>
      <c r="B547" s="3"/>
      <c r="C547" s="2"/>
      <c r="D547" s="2"/>
      <c r="E547" s="51"/>
      <c r="F547" s="51"/>
      <c r="G547" s="51"/>
      <c r="H547" s="51"/>
      <c r="I547" s="2"/>
      <c r="J547" s="2"/>
      <c r="K547" s="2"/>
      <c r="L547" s="2"/>
      <c r="M547" s="2"/>
      <c r="N547" s="2"/>
      <c r="O547" s="2"/>
      <c r="P547" s="53"/>
      <c r="Q547" s="53"/>
      <c r="R547" s="2"/>
      <c r="S547" s="2"/>
      <c r="T547" s="2"/>
    </row>
    <row r="548" spans="1:20" x14ac:dyDescent="0.25">
      <c r="A548" s="3"/>
      <c r="B548" s="3"/>
      <c r="C548" s="2"/>
      <c r="D548" s="2"/>
      <c r="E548" s="51"/>
      <c r="F548" s="51"/>
      <c r="G548" s="51"/>
      <c r="H548" s="51"/>
      <c r="I548" s="2"/>
      <c r="J548" s="2"/>
      <c r="K548" s="2"/>
      <c r="L548" s="2"/>
      <c r="M548" s="2"/>
      <c r="N548" s="2"/>
      <c r="O548" s="2"/>
      <c r="P548" s="53"/>
      <c r="Q548" s="53"/>
      <c r="R548" s="2"/>
      <c r="S548" s="2"/>
      <c r="T548" s="2"/>
    </row>
    <row r="549" spans="1:20" x14ac:dyDescent="0.25">
      <c r="A549" s="3"/>
      <c r="B549" s="3"/>
      <c r="C549" s="2"/>
      <c r="D549" s="2"/>
      <c r="E549" s="51"/>
      <c r="F549" s="51"/>
      <c r="G549" s="51"/>
      <c r="H549" s="51"/>
      <c r="I549" s="2"/>
      <c r="J549" s="2"/>
      <c r="K549" s="2"/>
      <c r="L549" s="2"/>
      <c r="M549" s="2"/>
      <c r="N549" s="2"/>
      <c r="O549" s="2"/>
      <c r="P549" s="53"/>
      <c r="Q549" s="53"/>
      <c r="R549" s="2"/>
      <c r="S549" s="2"/>
      <c r="T549" s="2"/>
    </row>
    <row r="550" spans="1:20" x14ac:dyDescent="0.25">
      <c r="A550" s="3"/>
      <c r="B550" s="3"/>
      <c r="C550" s="2"/>
      <c r="D550" s="2"/>
      <c r="E550" s="51"/>
      <c r="F550" s="51"/>
      <c r="G550" s="51"/>
      <c r="H550" s="51"/>
      <c r="I550" s="2"/>
      <c r="J550" s="2"/>
      <c r="K550" s="2"/>
      <c r="L550" s="2"/>
      <c r="M550" s="2"/>
      <c r="N550" s="2"/>
      <c r="O550" s="2"/>
      <c r="P550" s="53"/>
      <c r="Q550" s="53"/>
      <c r="R550" s="2"/>
      <c r="S550" s="2"/>
      <c r="T550" s="2"/>
    </row>
    <row r="551" spans="1:20" x14ac:dyDescent="0.25">
      <c r="A551" s="3"/>
      <c r="B551" s="3"/>
      <c r="C551" s="2"/>
      <c r="D551" s="2"/>
      <c r="E551" s="51"/>
      <c r="F551" s="51"/>
      <c r="G551" s="51"/>
      <c r="H551" s="51"/>
      <c r="I551" s="2"/>
      <c r="J551" s="2"/>
      <c r="K551" s="2"/>
      <c r="L551" s="2"/>
      <c r="M551" s="2"/>
      <c r="N551" s="2"/>
      <c r="O551" s="2"/>
      <c r="P551" s="53"/>
      <c r="Q551" s="53"/>
      <c r="R551" s="2"/>
      <c r="S551" s="2"/>
      <c r="T551" s="2"/>
    </row>
    <row r="552" spans="1:20" x14ac:dyDescent="0.25">
      <c r="A552" s="3"/>
      <c r="B552" s="3"/>
      <c r="C552" s="2"/>
      <c r="D552" s="2"/>
      <c r="E552" s="51"/>
      <c r="F552" s="51"/>
      <c r="G552" s="51"/>
      <c r="H552" s="51"/>
      <c r="I552" s="2"/>
      <c r="J552" s="2"/>
      <c r="K552" s="2"/>
      <c r="L552" s="2"/>
      <c r="M552" s="2"/>
      <c r="N552" s="2"/>
      <c r="O552" s="2"/>
      <c r="P552" s="53"/>
      <c r="Q552" s="53"/>
      <c r="R552" s="2"/>
      <c r="S552" s="2"/>
      <c r="T552" s="2"/>
    </row>
    <row r="553" spans="1:20" x14ac:dyDescent="0.25">
      <c r="A553" s="3"/>
      <c r="B553" s="3"/>
      <c r="C553" s="2"/>
      <c r="D553" s="2"/>
      <c r="E553" s="51"/>
      <c r="F553" s="51"/>
      <c r="G553" s="51"/>
      <c r="H553" s="51"/>
      <c r="I553" s="2"/>
      <c r="J553" s="2"/>
      <c r="K553" s="2"/>
      <c r="L553" s="2"/>
      <c r="M553" s="2"/>
      <c r="N553" s="2"/>
      <c r="O553" s="2"/>
      <c r="P553" s="53"/>
      <c r="Q553" s="53"/>
      <c r="R553" s="2"/>
      <c r="S553" s="2"/>
      <c r="T553" s="2"/>
    </row>
    <row r="554" spans="1:20" x14ac:dyDescent="0.25">
      <c r="A554" s="3"/>
      <c r="B554" s="3"/>
      <c r="C554" s="2"/>
      <c r="D554" s="2"/>
      <c r="E554" s="51"/>
      <c r="F554" s="51"/>
      <c r="G554" s="51"/>
      <c r="H554" s="51"/>
      <c r="I554" s="2"/>
      <c r="J554" s="2"/>
      <c r="K554" s="2"/>
      <c r="L554" s="2"/>
      <c r="M554" s="2"/>
      <c r="N554" s="2"/>
      <c r="O554" s="2"/>
      <c r="P554" s="53"/>
      <c r="Q554" s="53"/>
      <c r="R554" s="2"/>
      <c r="S554" s="2"/>
      <c r="T554" s="2"/>
    </row>
    <row r="555" spans="1:20" x14ac:dyDescent="0.25">
      <c r="A555" s="3"/>
      <c r="B555" s="3"/>
      <c r="C555" s="2"/>
      <c r="D555" s="2"/>
      <c r="E555" s="51"/>
      <c r="F555" s="51"/>
      <c r="G555" s="51"/>
      <c r="H555" s="51"/>
      <c r="I555" s="2"/>
      <c r="J555" s="2"/>
      <c r="K555" s="2"/>
      <c r="L555" s="2"/>
      <c r="M555" s="2"/>
      <c r="N555" s="2"/>
      <c r="O555" s="2"/>
      <c r="P555" s="53"/>
      <c r="Q555" s="53"/>
      <c r="R555" s="2"/>
      <c r="S555" s="2"/>
      <c r="T555" s="2"/>
    </row>
    <row r="556" spans="1:20" x14ac:dyDescent="0.25">
      <c r="A556" s="3"/>
      <c r="B556" s="3"/>
      <c r="C556" s="2"/>
      <c r="D556" s="2"/>
      <c r="E556" s="51"/>
      <c r="F556" s="51"/>
      <c r="G556" s="51"/>
      <c r="H556" s="51"/>
      <c r="I556" s="2"/>
      <c r="J556" s="2"/>
      <c r="K556" s="2"/>
      <c r="L556" s="2"/>
      <c r="M556" s="2"/>
      <c r="N556" s="2"/>
      <c r="O556" s="2"/>
      <c r="P556" s="53"/>
      <c r="Q556" s="53"/>
      <c r="R556" s="2"/>
      <c r="S556" s="2"/>
      <c r="T556" s="2"/>
    </row>
    <row r="557" spans="1:20" x14ac:dyDescent="0.25">
      <c r="A557" s="3"/>
      <c r="B557" s="3"/>
      <c r="C557" s="2"/>
      <c r="D557" s="2"/>
      <c r="E557" s="51"/>
      <c r="F557" s="51"/>
      <c r="G557" s="51"/>
      <c r="H557" s="51"/>
      <c r="I557" s="2"/>
      <c r="J557" s="2"/>
      <c r="K557" s="2"/>
      <c r="L557" s="2"/>
      <c r="M557" s="2"/>
      <c r="N557" s="2"/>
      <c r="O557" s="2"/>
      <c r="P557" s="53"/>
      <c r="Q557" s="53"/>
      <c r="R557" s="2"/>
      <c r="S557" s="2"/>
      <c r="T557" s="2"/>
    </row>
    <row r="558" spans="1:20" x14ac:dyDescent="0.25">
      <c r="A558" s="3"/>
      <c r="B558" s="3"/>
      <c r="C558" s="2"/>
      <c r="D558" s="2"/>
      <c r="E558" s="51"/>
      <c r="F558" s="51"/>
      <c r="G558" s="51"/>
      <c r="H558" s="51"/>
      <c r="I558" s="2"/>
      <c r="J558" s="2"/>
      <c r="K558" s="2"/>
      <c r="L558" s="2"/>
      <c r="M558" s="2"/>
      <c r="N558" s="2"/>
      <c r="O558" s="2"/>
      <c r="P558" s="53"/>
      <c r="Q558" s="53"/>
      <c r="R558" s="2"/>
      <c r="S558" s="2"/>
      <c r="T558" s="2"/>
    </row>
    <row r="559" spans="1:20" x14ac:dyDescent="0.25">
      <c r="A559" s="3"/>
      <c r="B559" s="3"/>
      <c r="C559" s="2"/>
      <c r="D559" s="2"/>
      <c r="E559" s="51"/>
      <c r="F559" s="51"/>
      <c r="G559" s="51"/>
      <c r="H559" s="51"/>
      <c r="I559" s="2"/>
      <c r="J559" s="2"/>
      <c r="K559" s="2"/>
      <c r="L559" s="2"/>
      <c r="M559" s="2"/>
      <c r="N559" s="2"/>
      <c r="O559" s="2"/>
      <c r="P559" s="53"/>
      <c r="Q559" s="53"/>
      <c r="R559" s="2"/>
      <c r="S559" s="2"/>
      <c r="T559" s="2"/>
    </row>
    <row r="560" spans="1:20" x14ac:dyDescent="0.25">
      <c r="A560" s="3"/>
      <c r="B560" s="3"/>
      <c r="C560" s="2"/>
      <c r="D560" s="2"/>
      <c r="E560" s="51"/>
      <c r="F560" s="51"/>
      <c r="G560" s="51"/>
      <c r="H560" s="51"/>
      <c r="I560" s="2"/>
      <c r="J560" s="2"/>
      <c r="K560" s="2"/>
      <c r="L560" s="2"/>
      <c r="M560" s="2"/>
      <c r="N560" s="2"/>
      <c r="O560" s="2"/>
      <c r="P560" s="53"/>
      <c r="Q560" s="53"/>
      <c r="R560" s="2"/>
      <c r="S560" s="2"/>
      <c r="T560" s="2"/>
    </row>
    <row r="561" spans="1:20" x14ac:dyDescent="0.25">
      <c r="A561" s="3"/>
      <c r="B561" s="3"/>
      <c r="C561" s="2"/>
      <c r="D561" s="2"/>
      <c r="E561" s="51"/>
      <c r="F561" s="51"/>
      <c r="G561" s="51"/>
      <c r="H561" s="51"/>
      <c r="I561" s="2"/>
      <c r="J561" s="2"/>
      <c r="K561" s="2"/>
      <c r="L561" s="2"/>
      <c r="M561" s="2"/>
      <c r="N561" s="2"/>
      <c r="O561" s="2"/>
      <c r="P561" s="53"/>
      <c r="Q561" s="53"/>
      <c r="R561" s="2"/>
      <c r="S561" s="2"/>
      <c r="T561" s="2"/>
    </row>
    <row r="562" spans="1:20" x14ac:dyDescent="0.25">
      <c r="A562" s="3"/>
      <c r="B562" s="3"/>
      <c r="C562" s="2"/>
      <c r="D562" s="2"/>
      <c r="E562" s="51"/>
      <c r="F562" s="51"/>
      <c r="G562" s="51"/>
      <c r="H562" s="51"/>
      <c r="I562" s="2"/>
      <c r="J562" s="2"/>
      <c r="K562" s="2"/>
      <c r="L562" s="2"/>
      <c r="M562" s="2"/>
      <c r="N562" s="2"/>
      <c r="O562" s="2"/>
      <c r="P562" s="53"/>
      <c r="Q562" s="53"/>
      <c r="R562" s="2"/>
      <c r="S562" s="2"/>
      <c r="T562" s="2"/>
    </row>
    <row r="563" spans="1:20" x14ac:dyDescent="0.25">
      <c r="A563" s="3"/>
      <c r="B563" s="3"/>
      <c r="C563" s="2"/>
      <c r="D563" s="2"/>
      <c r="E563" s="51"/>
      <c r="F563" s="51"/>
      <c r="G563" s="51"/>
      <c r="H563" s="51"/>
      <c r="I563" s="2"/>
      <c r="J563" s="2"/>
      <c r="K563" s="2"/>
      <c r="L563" s="2"/>
      <c r="M563" s="2"/>
      <c r="N563" s="2"/>
      <c r="O563" s="2"/>
      <c r="P563" s="53"/>
      <c r="Q563" s="53"/>
      <c r="R563" s="2"/>
      <c r="S563" s="2"/>
      <c r="T563" s="2"/>
    </row>
    <row r="564" spans="1:20" x14ac:dyDescent="0.25">
      <c r="A564" s="3"/>
      <c r="B564" s="3"/>
      <c r="C564" s="2"/>
      <c r="D564" s="2"/>
      <c r="E564" s="51"/>
      <c r="F564" s="51"/>
      <c r="G564" s="51"/>
      <c r="H564" s="51"/>
      <c r="I564" s="2"/>
      <c r="J564" s="2"/>
      <c r="K564" s="2"/>
      <c r="L564" s="2"/>
      <c r="M564" s="2"/>
      <c r="N564" s="2"/>
      <c r="O564" s="2"/>
      <c r="P564" s="53"/>
      <c r="Q564" s="53"/>
      <c r="R564" s="2"/>
      <c r="S564" s="2"/>
      <c r="T564" s="2"/>
    </row>
    <row r="565" spans="1:20" x14ac:dyDescent="0.25">
      <c r="A565" s="3"/>
      <c r="B565" s="3"/>
      <c r="C565" s="2"/>
      <c r="D565" s="2"/>
      <c r="E565" s="51"/>
      <c r="F565" s="51"/>
      <c r="G565" s="51"/>
      <c r="H565" s="51"/>
      <c r="I565" s="2"/>
      <c r="J565" s="2"/>
      <c r="K565" s="2"/>
      <c r="L565" s="2"/>
      <c r="M565" s="2"/>
      <c r="N565" s="2"/>
      <c r="O565" s="2"/>
      <c r="P565" s="53"/>
      <c r="Q565" s="53"/>
      <c r="R565" s="2"/>
      <c r="S565" s="2"/>
      <c r="T565" s="2"/>
    </row>
    <row r="566" spans="1:20" x14ac:dyDescent="0.25">
      <c r="A566" s="3"/>
      <c r="B566" s="3"/>
      <c r="C566" s="2"/>
      <c r="D566" s="2"/>
      <c r="E566" s="51"/>
      <c r="F566" s="51"/>
      <c r="G566" s="51"/>
      <c r="H566" s="51"/>
      <c r="I566" s="2"/>
      <c r="J566" s="2"/>
      <c r="K566" s="2"/>
      <c r="L566" s="2"/>
      <c r="M566" s="2"/>
      <c r="N566" s="2"/>
      <c r="O566" s="2"/>
      <c r="P566" s="53"/>
      <c r="Q566" s="53"/>
      <c r="R566" s="2"/>
      <c r="S566" s="2"/>
      <c r="T566" s="2"/>
    </row>
    <row r="567" spans="1:20" x14ac:dyDescent="0.25">
      <c r="A567" s="3"/>
      <c r="B567" s="3"/>
      <c r="C567" s="2"/>
      <c r="D567" s="2"/>
      <c r="E567" s="51"/>
      <c r="F567" s="51"/>
      <c r="G567" s="51"/>
      <c r="H567" s="51"/>
      <c r="I567" s="2"/>
      <c r="J567" s="2"/>
      <c r="K567" s="2"/>
      <c r="L567" s="2"/>
      <c r="M567" s="2"/>
      <c r="N567" s="2"/>
      <c r="O567" s="2"/>
      <c r="P567" s="53"/>
      <c r="Q567" s="53"/>
      <c r="R567" s="2"/>
      <c r="S567" s="2"/>
      <c r="T567" s="2"/>
    </row>
    <row r="568" spans="1:20" x14ac:dyDescent="0.25">
      <c r="A568" s="3"/>
      <c r="B568" s="3"/>
      <c r="C568" s="2"/>
      <c r="D568" s="2"/>
      <c r="E568" s="51"/>
      <c r="F568" s="51"/>
      <c r="G568" s="51"/>
      <c r="H568" s="51"/>
      <c r="I568" s="2"/>
      <c r="J568" s="2"/>
      <c r="K568" s="2"/>
      <c r="L568" s="2"/>
      <c r="M568" s="2"/>
      <c r="N568" s="2"/>
      <c r="O568" s="2"/>
      <c r="P568" s="53"/>
      <c r="Q568" s="53"/>
      <c r="R568" s="2"/>
      <c r="S568" s="2"/>
      <c r="T568" s="2"/>
    </row>
    <row r="569" spans="1:20" x14ac:dyDescent="0.25">
      <c r="A569" s="3"/>
      <c r="B569" s="3"/>
      <c r="C569" s="2"/>
      <c r="D569" s="2"/>
      <c r="E569" s="51"/>
      <c r="F569" s="51"/>
      <c r="G569" s="51"/>
      <c r="H569" s="51"/>
      <c r="I569" s="2"/>
      <c r="J569" s="2"/>
      <c r="K569" s="2"/>
      <c r="L569" s="2"/>
      <c r="M569" s="2"/>
      <c r="N569" s="2"/>
      <c r="O569" s="2"/>
      <c r="P569" s="53"/>
      <c r="Q569" s="53"/>
      <c r="R569" s="2"/>
      <c r="S569" s="2"/>
      <c r="T569" s="2"/>
    </row>
    <row r="570" spans="1:20" x14ac:dyDescent="0.25">
      <c r="A570" s="3"/>
      <c r="B570" s="3"/>
      <c r="C570" s="2"/>
      <c r="D570" s="2"/>
      <c r="E570" s="51"/>
      <c r="F570" s="51"/>
      <c r="G570" s="51"/>
      <c r="H570" s="51"/>
      <c r="I570" s="2"/>
      <c r="J570" s="2"/>
      <c r="K570" s="2"/>
      <c r="L570" s="2"/>
      <c r="M570" s="2"/>
      <c r="N570" s="2"/>
      <c r="O570" s="2"/>
      <c r="P570" s="53"/>
      <c r="Q570" s="53"/>
      <c r="R570" s="2"/>
      <c r="S570" s="2"/>
      <c r="T570" s="2"/>
    </row>
    <row r="571" spans="1:20" x14ac:dyDescent="0.25">
      <c r="A571" s="3"/>
      <c r="B571" s="3"/>
      <c r="C571" s="2"/>
      <c r="D571" s="2"/>
      <c r="E571" s="51"/>
      <c r="F571" s="51"/>
      <c r="G571" s="51"/>
      <c r="H571" s="51"/>
      <c r="I571" s="2"/>
      <c r="J571" s="2"/>
      <c r="K571" s="2"/>
      <c r="L571" s="2"/>
      <c r="M571" s="2"/>
      <c r="N571" s="2"/>
      <c r="O571" s="2"/>
      <c r="P571" s="53"/>
      <c r="Q571" s="53"/>
      <c r="R571" s="2"/>
      <c r="S571" s="2"/>
      <c r="T571" s="2"/>
    </row>
    <row r="572" spans="1:20" x14ac:dyDescent="0.25">
      <c r="A572" s="3"/>
      <c r="B572" s="3"/>
      <c r="C572" s="2"/>
      <c r="D572" s="2"/>
      <c r="E572" s="51"/>
      <c r="F572" s="51"/>
      <c r="G572" s="51"/>
      <c r="H572" s="51"/>
      <c r="I572" s="2"/>
      <c r="J572" s="2"/>
      <c r="K572" s="2"/>
      <c r="L572" s="2"/>
      <c r="M572" s="2"/>
      <c r="N572" s="2"/>
      <c r="O572" s="2"/>
      <c r="P572" s="53"/>
      <c r="Q572" s="53"/>
      <c r="R572" s="2"/>
      <c r="S572" s="2"/>
      <c r="T572" s="2"/>
    </row>
    <row r="573" spans="1:20" x14ac:dyDescent="0.25">
      <c r="A573" s="3"/>
      <c r="B573" s="3"/>
      <c r="C573" s="2"/>
      <c r="D573" s="2"/>
      <c r="E573" s="51"/>
      <c r="F573" s="51"/>
      <c r="G573" s="51"/>
      <c r="H573" s="51"/>
      <c r="I573" s="2"/>
      <c r="J573" s="2"/>
      <c r="K573" s="2"/>
      <c r="L573" s="2"/>
      <c r="M573" s="2"/>
      <c r="N573" s="2"/>
      <c r="O573" s="2"/>
      <c r="P573" s="53"/>
      <c r="Q573" s="53"/>
      <c r="R573" s="2"/>
      <c r="S573" s="2"/>
      <c r="T573" s="2"/>
    </row>
    <row r="574" spans="1:20" x14ac:dyDescent="0.25">
      <c r="A574" s="3"/>
      <c r="B574" s="3"/>
      <c r="C574" s="2"/>
      <c r="D574" s="2"/>
      <c r="E574" s="51"/>
      <c r="F574" s="51"/>
      <c r="G574" s="51"/>
      <c r="H574" s="51"/>
      <c r="I574" s="2"/>
      <c r="J574" s="2"/>
      <c r="K574" s="2"/>
      <c r="L574" s="2"/>
      <c r="M574" s="2"/>
      <c r="N574" s="2"/>
      <c r="O574" s="2"/>
      <c r="P574" s="53"/>
      <c r="Q574" s="53"/>
      <c r="R574" s="2"/>
      <c r="S574" s="2"/>
      <c r="T574" s="2"/>
    </row>
    <row r="575" spans="1:20" x14ac:dyDescent="0.25">
      <c r="A575" s="3"/>
      <c r="B575" s="3"/>
      <c r="C575" s="2"/>
      <c r="D575" s="2"/>
      <c r="E575" s="51"/>
      <c r="F575" s="51"/>
      <c r="G575" s="51"/>
      <c r="H575" s="51"/>
      <c r="I575" s="2"/>
      <c r="J575" s="2"/>
      <c r="K575" s="2"/>
      <c r="L575" s="2"/>
      <c r="M575" s="2"/>
      <c r="N575" s="2"/>
      <c r="O575" s="2"/>
      <c r="P575" s="53"/>
      <c r="Q575" s="53"/>
      <c r="R575" s="2"/>
      <c r="S575" s="2"/>
      <c r="T575" s="2"/>
    </row>
    <row r="576" spans="1:20" x14ac:dyDescent="0.25">
      <c r="A576" s="3"/>
      <c r="B576" s="3"/>
      <c r="C576" s="2"/>
      <c r="D576" s="2"/>
      <c r="E576" s="51"/>
      <c r="F576" s="51"/>
      <c r="G576" s="51"/>
      <c r="H576" s="51"/>
      <c r="I576" s="2"/>
      <c r="J576" s="2"/>
      <c r="K576" s="2"/>
      <c r="L576" s="2"/>
      <c r="M576" s="2"/>
      <c r="N576" s="2"/>
      <c r="O576" s="2"/>
      <c r="P576" s="53"/>
      <c r="Q576" s="53"/>
      <c r="R576" s="2"/>
      <c r="S576" s="2"/>
      <c r="T576" s="2"/>
    </row>
    <row r="577" spans="1:20" x14ac:dyDescent="0.25">
      <c r="A577" s="3"/>
      <c r="B577" s="3"/>
      <c r="C577" s="2"/>
      <c r="D577" s="2"/>
      <c r="E577" s="51"/>
      <c r="F577" s="51"/>
      <c r="G577" s="51"/>
      <c r="H577" s="51"/>
      <c r="I577" s="2"/>
      <c r="J577" s="2"/>
      <c r="K577" s="2"/>
      <c r="L577" s="2"/>
      <c r="M577" s="2"/>
      <c r="N577" s="2"/>
      <c r="O577" s="2"/>
      <c r="P577" s="53"/>
      <c r="Q577" s="53"/>
      <c r="R577" s="2"/>
      <c r="S577" s="2"/>
      <c r="T577" s="2"/>
    </row>
    <row r="578" spans="1:20" x14ac:dyDescent="0.25">
      <c r="A578" s="3"/>
      <c r="B578" s="3"/>
      <c r="C578" s="2"/>
      <c r="D578" s="2"/>
      <c r="E578" s="51"/>
      <c r="F578" s="51"/>
      <c r="G578" s="51"/>
      <c r="H578" s="51"/>
      <c r="I578" s="2"/>
      <c r="J578" s="2"/>
      <c r="K578" s="2"/>
      <c r="L578" s="2"/>
      <c r="M578" s="2"/>
      <c r="N578" s="2"/>
      <c r="O578" s="2"/>
      <c r="P578" s="53"/>
      <c r="Q578" s="53"/>
      <c r="R578" s="2"/>
      <c r="S578" s="2"/>
      <c r="T578" s="2"/>
    </row>
    <row r="579" spans="1:20" x14ac:dyDescent="0.25">
      <c r="A579" s="3"/>
      <c r="B579" s="3"/>
      <c r="C579" s="2"/>
      <c r="D579" s="2"/>
      <c r="E579" s="51"/>
      <c r="F579" s="51"/>
      <c r="G579" s="51"/>
      <c r="H579" s="51"/>
      <c r="I579" s="2"/>
      <c r="J579" s="2"/>
      <c r="K579" s="2"/>
      <c r="L579" s="2"/>
      <c r="M579" s="2"/>
      <c r="N579" s="2"/>
      <c r="O579" s="2"/>
      <c r="P579" s="53"/>
      <c r="Q579" s="53"/>
      <c r="R579" s="2"/>
      <c r="S579" s="2"/>
      <c r="T579" s="2"/>
    </row>
    <row r="580" spans="1:20" x14ac:dyDescent="0.25">
      <c r="A580" s="3"/>
      <c r="B580" s="3"/>
      <c r="C580" s="2"/>
      <c r="D580" s="2"/>
      <c r="E580" s="51"/>
      <c r="F580" s="51"/>
      <c r="G580" s="51"/>
      <c r="H580" s="51"/>
      <c r="I580" s="2"/>
      <c r="J580" s="2"/>
      <c r="K580" s="2"/>
      <c r="L580" s="2"/>
      <c r="M580" s="2"/>
      <c r="N580" s="2"/>
      <c r="O580" s="2"/>
      <c r="P580" s="53"/>
      <c r="Q580" s="53"/>
      <c r="R580" s="2"/>
      <c r="S580" s="2"/>
      <c r="T580" s="2"/>
    </row>
    <row r="581" spans="1:20" x14ac:dyDescent="0.25">
      <c r="A581" s="3"/>
      <c r="B581" s="3"/>
      <c r="C581" s="2"/>
      <c r="D581" s="2"/>
      <c r="E581" s="51"/>
      <c r="F581" s="51"/>
      <c r="G581" s="51"/>
      <c r="H581" s="51"/>
      <c r="I581" s="2"/>
      <c r="J581" s="2"/>
      <c r="K581" s="2"/>
      <c r="L581" s="2"/>
      <c r="M581" s="2"/>
      <c r="N581" s="2"/>
      <c r="O581" s="2"/>
      <c r="P581" s="53"/>
      <c r="Q581" s="53"/>
      <c r="R581" s="2"/>
      <c r="S581" s="2"/>
      <c r="T581" s="2"/>
    </row>
    <row r="582" spans="1:20" x14ac:dyDescent="0.25">
      <c r="A582" s="3"/>
      <c r="B582" s="3"/>
      <c r="C582" s="2"/>
      <c r="D582" s="2"/>
      <c r="E582" s="51"/>
      <c r="F582" s="51"/>
      <c r="G582" s="51"/>
      <c r="H582" s="51"/>
      <c r="I582" s="2"/>
      <c r="J582" s="2"/>
      <c r="K582" s="2"/>
      <c r="L582" s="2"/>
      <c r="M582" s="2"/>
      <c r="N582" s="2"/>
      <c r="O582" s="2"/>
      <c r="P582" s="53"/>
      <c r="Q582" s="53"/>
      <c r="R582" s="2"/>
      <c r="S582" s="2"/>
      <c r="T582" s="2"/>
    </row>
    <row r="583" spans="1:20" x14ac:dyDescent="0.25">
      <c r="A583" s="3"/>
      <c r="B583" s="3"/>
      <c r="C583" s="2"/>
      <c r="D583" s="2"/>
      <c r="E583" s="51"/>
      <c r="F583" s="51"/>
      <c r="G583" s="51"/>
      <c r="H583" s="51"/>
      <c r="I583" s="2"/>
      <c r="J583" s="2"/>
      <c r="K583" s="2"/>
      <c r="L583" s="2"/>
      <c r="M583" s="2"/>
      <c r="N583" s="2"/>
      <c r="O583" s="2"/>
      <c r="P583" s="53"/>
      <c r="Q583" s="53"/>
      <c r="R583" s="2"/>
      <c r="S583" s="2"/>
      <c r="T583" s="2"/>
    </row>
    <row r="584" spans="1:20" x14ac:dyDescent="0.25">
      <c r="A584" s="3"/>
      <c r="B584" s="3"/>
      <c r="C584" s="2"/>
      <c r="D584" s="2"/>
      <c r="E584" s="51"/>
      <c r="F584" s="51"/>
      <c r="G584" s="51"/>
      <c r="H584" s="51"/>
      <c r="I584" s="2"/>
      <c r="J584" s="2"/>
      <c r="K584" s="2"/>
      <c r="L584" s="2"/>
      <c r="M584" s="2"/>
      <c r="N584" s="2"/>
      <c r="O584" s="2"/>
      <c r="P584" s="53"/>
      <c r="Q584" s="53"/>
      <c r="R584" s="2"/>
      <c r="S584" s="2"/>
      <c r="T584" s="2"/>
    </row>
    <row r="585" spans="1:20" x14ac:dyDescent="0.25">
      <c r="A585" s="3"/>
      <c r="B585" s="3"/>
      <c r="C585" s="2"/>
      <c r="D585" s="2"/>
      <c r="E585" s="51"/>
      <c r="F585" s="51"/>
      <c r="G585" s="51"/>
      <c r="H585" s="51"/>
      <c r="I585" s="2"/>
      <c r="J585" s="2"/>
      <c r="K585" s="2"/>
      <c r="L585" s="2"/>
      <c r="M585" s="2"/>
      <c r="N585" s="2"/>
      <c r="O585" s="2"/>
      <c r="P585" s="53"/>
      <c r="Q585" s="53"/>
      <c r="R585" s="2"/>
      <c r="S585" s="2"/>
      <c r="T585" s="2"/>
    </row>
    <row r="586" spans="1:20" x14ac:dyDescent="0.25">
      <c r="A586" s="3"/>
      <c r="B586" s="3"/>
      <c r="C586" s="2"/>
      <c r="D586" s="2"/>
      <c r="E586" s="51"/>
      <c r="F586" s="51"/>
      <c r="G586" s="51"/>
      <c r="H586" s="51"/>
      <c r="I586" s="2"/>
      <c r="J586" s="2"/>
      <c r="K586" s="2"/>
      <c r="L586" s="2"/>
      <c r="M586" s="2"/>
      <c r="N586" s="2"/>
      <c r="O586" s="2"/>
      <c r="P586" s="53"/>
      <c r="Q586" s="53"/>
      <c r="R586" s="2"/>
      <c r="S586" s="2"/>
      <c r="T586" s="2"/>
    </row>
    <row r="587" spans="1:20" x14ac:dyDescent="0.25">
      <c r="A587" s="3"/>
      <c r="B587" s="3"/>
      <c r="C587" s="2"/>
      <c r="D587" s="2"/>
      <c r="E587" s="51"/>
      <c r="F587" s="51"/>
      <c r="G587" s="51"/>
      <c r="H587" s="51"/>
      <c r="I587" s="2"/>
      <c r="J587" s="2"/>
      <c r="K587" s="2"/>
      <c r="L587" s="2"/>
      <c r="M587" s="2"/>
      <c r="N587" s="2"/>
      <c r="O587" s="2"/>
      <c r="P587" s="53"/>
      <c r="Q587" s="53"/>
      <c r="R587" s="2"/>
      <c r="S587" s="2"/>
      <c r="T587" s="2"/>
    </row>
    <row r="588" spans="1:20" x14ac:dyDescent="0.25">
      <c r="A588" s="3"/>
      <c r="B588" s="3"/>
      <c r="C588" s="2"/>
      <c r="D588" s="2"/>
      <c r="E588" s="51"/>
      <c r="F588" s="51"/>
      <c r="G588" s="51"/>
      <c r="H588" s="51"/>
      <c r="I588" s="2"/>
      <c r="J588" s="2"/>
      <c r="K588" s="2"/>
      <c r="L588" s="2"/>
      <c r="M588" s="2"/>
      <c r="N588" s="2"/>
      <c r="O588" s="2"/>
      <c r="P588" s="53"/>
      <c r="Q588" s="53"/>
      <c r="R588" s="2"/>
      <c r="S588" s="2"/>
      <c r="T588" s="2"/>
    </row>
    <row r="589" spans="1:20" x14ac:dyDescent="0.25">
      <c r="A589" s="3"/>
      <c r="B589" s="3"/>
      <c r="C589" s="2"/>
      <c r="D589" s="2"/>
      <c r="E589" s="51"/>
      <c r="F589" s="51"/>
      <c r="G589" s="51"/>
      <c r="H589" s="51"/>
      <c r="I589" s="2"/>
      <c r="J589" s="2"/>
      <c r="K589" s="2"/>
      <c r="L589" s="2"/>
      <c r="M589" s="2"/>
      <c r="N589" s="2"/>
      <c r="O589" s="2"/>
      <c r="P589" s="53"/>
      <c r="Q589" s="53"/>
      <c r="R589" s="2"/>
      <c r="S589" s="2"/>
      <c r="T589" s="2"/>
    </row>
    <row r="590" spans="1:20" x14ac:dyDescent="0.25">
      <c r="A590" s="3"/>
      <c r="B590" s="3"/>
      <c r="C590" s="2"/>
      <c r="D590" s="2"/>
      <c r="E590" s="51"/>
      <c r="F590" s="51"/>
      <c r="G590" s="51"/>
      <c r="H590" s="51"/>
      <c r="I590" s="2"/>
      <c r="J590" s="2"/>
      <c r="K590" s="2"/>
      <c r="L590" s="2"/>
      <c r="M590" s="2"/>
      <c r="N590" s="2"/>
      <c r="O590" s="2"/>
      <c r="P590" s="53"/>
      <c r="Q590" s="53"/>
      <c r="R590" s="2"/>
      <c r="S590" s="2"/>
      <c r="T590" s="2"/>
    </row>
    <row r="591" spans="1:20" x14ac:dyDescent="0.25">
      <c r="A591" s="3"/>
      <c r="B591" s="3"/>
      <c r="C591" s="2"/>
      <c r="D591" s="2"/>
      <c r="E591" s="51"/>
      <c r="F591" s="51"/>
      <c r="G591" s="51"/>
      <c r="H591" s="51"/>
      <c r="I591" s="2"/>
      <c r="J591" s="2"/>
      <c r="K591" s="2"/>
      <c r="L591" s="2"/>
      <c r="M591" s="2"/>
      <c r="N591" s="2"/>
      <c r="O591" s="2"/>
      <c r="P591" s="53"/>
      <c r="Q591" s="53"/>
      <c r="R591" s="2"/>
      <c r="S591" s="2"/>
      <c r="T591" s="2"/>
    </row>
    <row r="592" spans="1:20" x14ac:dyDescent="0.25">
      <c r="A592" s="3"/>
      <c r="B592" s="3"/>
      <c r="C592" s="2"/>
      <c r="D592" s="2"/>
      <c r="E592" s="51"/>
      <c r="F592" s="51"/>
      <c r="G592" s="51"/>
      <c r="H592" s="51"/>
      <c r="I592" s="2"/>
      <c r="J592" s="2"/>
      <c r="K592" s="2"/>
      <c r="L592" s="2"/>
      <c r="M592" s="2"/>
      <c r="N592" s="2"/>
      <c r="O592" s="2"/>
      <c r="P592" s="53"/>
      <c r="Q592" s="53"/>
      <c r="R592" s="2"/>
      <c r="S592" s="2"/>
      <c r="T592" s="2"/>
    </row>
    <row r="593" spans="1:20" x14ac:dyDescent="0.25">
      <c r="A593" s="3"/>
      <c r="B593" s="3"/>
      <c r="C593" s="2"/>
      <c r="D593" s="2"/>
      <c r="E593" s="51"/>
      <c r="F593" s="51"/>
      <c r="G593" s="51"/>
      <c r="H593" s="51"/>
      <c r="I593" s="2"/>
      <c r="J593" s="2"/>
      <c r="K593" s="2"/>
      <c r="L593" s="2"/>
      <c r="M593" s="2"/>
      <c r="N593" s="2"/>
      <c r="O593" s="2"/>
      <c r="P593" s="53"/>
      <c r="Q593" s="53"/>
      <c r="R593" s="2"/>
      <c r="S593" s="2"/>
      <c r="T593" s="2"/>
    </row>
    <row r="594" spans="1:20" x14ac:dyDescent="0.25">
      <c r="A594" s="3"/>
      <c r="B594" s="3"/>
      <c r="C594" s="2"/>
      <c r="D594" s="2"/>
      <c r="E594" s="51"/>
      <c r="F594" s="51"/>
      <c r="G594" s="51"/>
      <c r="H594" s="51"/>
      <c r="I594" s="2"/>
      <c r="J594" s="2"/>
      <c r="K594" s="2"/>
      <c r="L594" s="2"/>
      <c r="M594" s="2"/>
      <c r="N594" s="2"/>
      <c r="O594" s="2"/>
      <c r="P594" s="53"/>
      <c r="Q594" s="53"/>
      <c r="R594" s="2"/>
      <c r="S594" s="2"/>
      <c r="T594" s="2"/>
    </row>
    <row r="595" spans="1:20" x14ac:dyDescent="0.25">
      <c r="A595" s="3"/>
      <c r="B595" s="3"/>
      <c r="C595" s="2"/>
      <c r="D595" s="2"/>
      <c r="E595" s="51"/>
      <c r="F595" s="51"/>
      <c r="G595" s="51"/>
      <c r="H595" s="51"/>
      <c r="I595" s="2"/>
      <c r="J595" s="2"/>
      <c r="K595" s="2"/>
      <c r="L595" s="2"/>
      <c r="M595" s="2"/>
      <c r="N595" s="2"/>
      <c r="O595" s="2"/>
      <c r="P595" s="53"/>
      <c r="Q595" s="53"/>
      <c r="R595" s="2"/>
      <c r="S595" s="2"/>
      <c r="T595" s="2"/>
    </row>
    <row r="596" spans="1:20" x14ac:dyDescent="0.25">
      <c r="A596" s="3"/>
      <c r="B596" s="3"/>
      <c r="C596" s="2"/>
      <c r="D596" s="2"/>
      <c r="E596" s="51"/>
      <c r="F596" s="51"/>
      <c r="G596" s="51"/>
      <c r="H596" s="51"/>
      <c r="I596" s="2"/>
      <c r="J596" s="2"/>
      <c r="K596" s="2"/>
      <c r="L596" s="2"/>
      <c r="M596" s="2"/>
      <c r="N596" s="2"/>
      <c r="O596" s="2"/>
      <c r="P596" s="53"/>
      <c r="Q596" s="53"/>
      <c r="R596" s="2"/>
      <c r="S596" s="2"/>
      <c r="T596" s="2"/>
    </row>
    <row r="597" spans="1:20" x14ac:dyDescent="0.25">
      <c r="A597" s="3"/>
      <c r="B597" s="3"/>
      <c r="C597" s="2"/>
      <c r="D597" s="2"/>
      <c r="E597" s="51"/>
      <c r="F597" s="51"/>
      <c r="G597" s="51"/>
      <c r="H597" s="51"/>
      <c r="I597" s="2"/>
      <c r="J597" s="2"/>
      <c r="K597" s="2"/>
      <c r="L597" s="2"/>
      <c r="M597" s="2"/>
      <c r="N597" s="2"/>
      <c r="O597" s="2"/>
      <c r="P597" s="53"/>
      <c r="Q597" s="53"/>
      <c r="R597" s="2"/>
      <c r="S597" s="2"/>
      <c r="T597" s="2"/>
    </row>
    <row r="598" spans="1:20" x14ac:dyDescent="0.25">
      <c r="A598" s="3"/>
      <c r="B598" s="3"/>
      <c r="C598" s="2"/>
      <c r="D598" s="2"/>
      <c r="E598" s="51"/>
      <c r="F598" s="51"/>
      <c r="G598" s="51"/>
      <c r="H598" s="51"/>
      <c r="I598" s="2"/>
      <c r="J598" s="2"/>
      <c r="K598" s="2"/>
      <c r="L598" s="2"/>
      <c r="M598" s="2"/>
      <c r="N598" s="2"/>
      <c r="O598" s="2"/>
      <c r="P598" s="53"/>
      <c r="Q598" s="53"/>
      <c r="R598" s="2"/>
      <c r="S598" s="2"/>
      <c r="T598" s="2"/>
    </row>
    <row r="599" spans="1:20" x14ac:dyDescent="0.25">
      <c r="A599" s="3"/>
      <c r="B599" s="3"/>
      <c r="C599" s="2"/>
      <c r="D599" s="2"/>
      <c r="E599" s="51"/>
      <c r="F599" s="51"/>
      <c r="G599" s="51"/>
      <c r="H599" s="51"/>
      <c r="I599" s="2"/>
      <c r="J599" s="2"/>
      <c r="K599" s="2"/>
      <c r="L599" s="2"/>
      <c r="M599" s="2"/>
      <c r="N599" s="2"/>
      <c r="O599" s="2"/>
      <c r="P599" s="53"/>
      <c r="Q599" s="53"/>
      <c r="R599" s="2"/>
      <c r="S599" s="2"/>
      <c r="T599" s="2"/>
    </row>
    <row r="600" spans="1:20" x14ac:dyDescent="0.25">
      <c r="A600" s="3"/>
      <c r="B600" s="3"/>
      <c r="C600" s="2"/>
      <c r="D600" s="2"/>
      <c r="E600" s="51"/>
      <c r="F600" s="51"/>
      <c r="G600" s="51"/>
      <c r="H600" s="51"/>
      <c r="I600" s="2"/>
      <c r="J600" s="2"/>
      <c r="K600" s="2"/>
      <c r="L600" s="2"/>
      <c r="M600" s="2"/>
      <c r="N600" s="2"/>
      <c r="O600" s="2"/>
      <c r="P600" s="53"/>
      <c r="Q600" s="53"/>
      <c r="R600" s="2"/>
      <c r="S600" s="2"/>
      <c r="T600" s="2"/>
    </row>
    <row r="601" spans="1:20" x14ac:dyDescent="0.25">
      <c r="A601" s="3"/>
      <c r="B601" s="3"/>
      <c r="C601" s="2"/>
      <c r="D601" s="2"/>
      <c r="E601" s="51"/>
      <c r="F601" s="51"/>
      <c r="G601" s="51"/>
      <c r="H601" s="51"/>
      <c r="I601" s="2"/>
      <c r="J601" s="2"/>
      <c r="K601" s="2"/>
      <c r="L601" s="2"/>
      <c r="M601" s="2"/>
      <c r="N601" s="2"/>
      <c r="O601" s="2"/>
      <c r="P601" s="53"/>
      <c r="Q601" s="53"/>
      <c r="R601" s="2"/>
      <c r="S601" s="2"/>
      <c r="T601" s="2"/>
    </row>
    <row r="602" spans="1:20" x14ac:dyDescent="0.25">
      <c r="A602" s="3"/>
      <c r="B602" s="3"/>
      <c r="C602" s="2"/>
      <c r="D602" s="2"/>
      <c r="E602" s="51"/>
      <c r="F602" s="51"/>
      <c r="G602" s="51"/>
      <c r="H602" s="51"/>
      <c r="I602" s="2"/>
      <c r="J602" s="2"/>
      <c r="K602" s="2"/>
      <c r="L602" s="2"/>
      <c r="M602" s="2"/>
      <c r="N602" s="2"/>
      <c r="O602" s="2"/>
      <c r="P602" s="53"/>
      <c r="Q602" s="53"/>
      <c r="R602" s="2"/>
      <c r="S602" s="2"/>
      <c r="T602" s="2"/>
    </row>
    <row r="603" spans="1:20" x14ac:dyDescent="0.25">
      <c r="A603" s="3"/>
      <c r="B603" s="3"/>
      <c r="C603" s="2"/>
      <c r="D603" s="2"/>
      <c r="E603" s="51"/>
      <c r="F603" s="51"/>
      <c r="G603" s="51"/>
      <c r="H603" s="51"/>
      <c r="I603" s="2"/>
      <c r="J603" s="2"/>
      <c r="K603" s="2"/>
      <c r="L603" s="2"/>
      <c r="M603" s="2"/>
      <c r="N603" s="2"/>
      <c r="O603" s="2"/>
      <c r="P603" s="53"/>
      <c r="Q603" s="53"/>
      <c r="R603" s="2"/>
      <c r="S603" s="2"/>
      <c r="T603" s="2"/>
    </row>
    <row r="604" spans="1:20" x14ac:dyDescent="0.25">
      <c r="A604" s="3"/>
      <c r="B604" s="3"/>
      <c r="C604" s="2"/>
      <c r="D604" s="2"/>
      <c r="E604" s="51"/>
      <c r="F604" s="51"/>
      <c r="G604" s="51"/>
      <c r="H604" s="51"/>
      <c r="I604" s="2"/>
      <c r="J604" s="2"/>
      <c r="K604" s="2"/>
      <c r="L604" s="2"/>
      <c r="M604" s="2"/>
      <c r="N604" s="2"/>
      <c r="O604" s="2"/>
      <c r="P604" s="53"/>
      <c r="Q604" s="53"/>
      <c r="R604" s="2"/>
      <c r="S604" s="2"/>
      <c r="T604" s="2"/>
    </row>
    <row r="605" spans="1:20" x14ac:dyDescent="0.25">
      <c r="A605" s="3"/>
      <c r="B605" s="3"/>
      <c r="C605" s="2"/>
      <c r="D605" s="2"/>
      <c r="E605" s="51"/>
      <c r="F605" s="51"/>
      <c r="G605" s="51"/>
      <c r="H605" s="51"/>
      <c r="I605" s="2"/>
      <c r="J605" s="2"/>
      <c r="K605" s="2"/>
      <c r="L605" s="2"/>
      <c r="M605" s="2"/>
      <c r="N605" s="2"/>
      <c r="O605" s="2"/>
      <c r="P605" s="53"/>
      <c r="Q605" s="53"/>
      <c r="R605" s="2"/>
      <c r="S605" s="2"/>
      <c r="T605" s="2"/>
    </row>
    <row r="606" spans="1:20" x14ac:dyDescent="0.25">
      <c r="A606" s="3"/>
      <c r="B606" s="3"/>
      <c r="C606" s="2"/>
      <c r="D606" s="2"/>
      <c r="E606" s="51"/>
      <c r="F606" s="51"/>
      <c r="G606" s="51"/>
      <c r="H606" s="51"/>
      <c r="I606" s="2"/>
      <c r="J606" s="2"/>
      <c r="K606" s="2"/>
      <c r="L606" s="2"/>
      <c r="M606" s="2"/>
      <c r="N606" s="2"/>
      <c r="O606" s="2"/>
      <c r="P606" s="53"/>
      <c r="Q606" s="53"/>
      <c r="R606" s="2"/>
      <c r="S606" s="2"/>
      <c r="T606" s="2"/>
    </row>
    <row r="607" spans="1:20" x14ac:dyDescent="0.25">
      <c r="A607" s="3"/>
      <c r="B607" s="3"/>
      <c r="C607" s="2"/>
      <c r="D607" s="2"/>
      <c r="E607" s="51"/>
      <c r="F607" s="51"/>
      <c r="G607" s="51"/>
      <c r="H607" s="51"/>
      <c r="I607" s="2"/>
      <c r="J607" s="2"/>
      <c r="K607" s="2"/>
      <c r="L607" s="2"/>
      <c r="M607" s="2"/>
      <c r="N607" s="2"/>
      <c r="O607" s="2"/>
      <c r="P607" s="53"/>
      <c r="Q607" s="53"/>
      <c r="R607" s="2"/>
      <c r="S607" s="2"/>
      <c r="T607" s="2"/>
    </row>
    <row r="608" spans="1:20" x14ac:dyDescent="0.25">
      <c r="A608" s="3"/>
      <c r="B608" s="3"/>
      <c r="C608" s="2"/>
      <c r="D608" s="2"/>
      <c r="E608" s="51"/>
      <c r="F608" s="51"/>
      <c r="G608" s="51"/>
      <c r="H608" s="51"/>
      <c r="I608" s="2"/>
      <c r="J608" s="2"/>
      <c r="K608" s="2"/>
      <c r="L608" s="2"/>
      <c r="M608" s="2"/>
      <c r="N608" s="2"/>
      <c r="O608" s="2"/>
      <c r="P608" s="53"/>
      <c r="Q608" s="53"/>
      <c r="R608" s="2"/>
      <c r="S608" s="2"/>
      <c r="T608" s="2"/>
    </row>
    <row r="609" spans="1:20" x14ac:dyDescent="0.25">
      <c r="A609" s="3"/>
      <c r="B609" s="3"/>
      <c r="C609" s="2"/>
      <c r="D609" s="2"/>
      <c r="E609" s="51"/>
      <c r="F609" s="51"/>
      <c r="G609" s="51"/>
      <c r="H609" s="51"/>
      <c r="I609" s="2"/>
      <c r="J609" s="2"/>
      <c r="K609" s="2"/>
      <c r="L609" s="2"/>
      <c r="M609" s="2"/>
      <c r="N609" s="2"/>
      <c r="O609" s="2"/>
      <c r="P609" s="53"/>
      <c r="Q609" s="53"/>
      <c r="R609" s="2"/>
      <c r="S609" s="2"/>
      <c r="T609" s="2"/>
    </row>
    <row r="610" spans="1:20" x14ac:dyDescent="0.25">
      <c r="A610" s="3"/>
      <c r="B610" s="3"/>
      <c r="C610" s="2"/>
      <c r="D610" s="2"/>
      <c r="E610" s="51"/>
      <c r="F610" s="51"/>
      <c r="G610" s="51"/>
      <c r="H610" s="51"/>
      <c r="I610" s="2"/>
      <c r="J610" s="2"/>
      <c r="K610" s="2"/>
      <c r="L610" s="2"/>
      <c r="M610" s="2"/>
      <c r="N610" s="2"/>
      <c r="O610" s="2"/>
      <c r="P610" s="53"/>
      <c r="Q610" s="53"/>
      <c r="R610" s="2"/>
      <c r="S610" s="2"/>
      <c r="T610" s="2"/>
    </row>
    <row r="611" spans="1:20" x14ac:dyDescent="0.25">
      <c r="A611" s="3"/>
      <c r="B611" s="3"/>
      <c r="C611" s="2"/>
      <c r="D611" s="2"/>
      <c r="E611" s="51"/>
      <c r="F611" s="51"/>
      <c r="G611" s="51"/>
      <c r="H611" s="51"/>
      <c r="I611" s="2"/>
      <c r="J611" s="2"/>
      <c r="K611" s="2"/>
      <c r="L611" s="2"/>
      <c r="M611" s="2"/>
      <c r="N611" s="2"/>
      <c r="O611" s="2"/>
      <c r="P611" s="53"/>
      <c r="Q611" s="53"/>
      <c r="R611" s="2"/>
      <c r="S611" s="2"/>
      <c r="T611" s="2"/>
    </row>
    <row r="612" spans="1:20" x14ac:dyDescent="0.25">
      <c r="A612" s="3"/>
      <c r="B612" s="3"/>
      <c r="C612" s="2"/>
      <c r="D612" s="2"/>
      <c r="E612" s="51"/>
      <c r="F612" s="51"/>
      <c r="G612" s="51"/>
      <c r="H612" s="51"/>
      <c r="I612" s="2"/>
      <c r="J612" s="2"/>
      <c r="K612" s="2"/>
      <c r="L612" s="2"/>
      <c r="M612" s="2"/>
      <c r="N612" s="2"/>
      <c r="O612" s="2"/>
      <c r="P612" s="53"/>
      <c r="Q612" s="53"/>
      <c r="R612" s="2"/>
      <c r="S612" s="2"/>
      <c r="T612" s="2"/>
    </row>
    <row r="613" spans="1:20" x14ac:dyDescent="0.25">
      <c r="A613" s="3"/>
      <c r="B613" s="3"/>
      <c r="C613" s="2"/>
      <c r="D613" s="2"/>
      <c r="E613" s="51"/>
      <c r="F613" s="51"/>
      <c r="G613" s="51"/>
      <c r="H613" s="51"/>
      <c r="I613" s="2"/>
      <c r="J613" s="2"/>
      <c r="K613" s="2"/>
      <c r="L613" s="2"/>
      <c r="M613" s="2"/>
      <c r="N613" s="2"/>
      <c r="O613" s="2"/>
      <c r="P613" s="53"/>
      <c r="Q613" s="53"/>
      <c r="R613" s="2"/>
      <c r="S613" s="2"/>
      <c r="T613" s="2"/>
    </row>
    <row r="614" spans="1:20" x14ac:dyDescent="0.25">
      <c r="A614" s="3"/>
      <c r="B614" s="3"/>
      <c r="C614" s="2"/>
      <c r="D614" s="2"/>
      <c r="E614" s="51"/>
      <c r="F614" s="51"/>
      <c r="G614" s="51"/>
      <c r="H614" s="51"/>
      <c r="I614" s="2"/>
      <c r="J614" s="2"/>
      <c r="K614" s="2"/>
      <c r="L614" s="2"/>
      <c r="M614" s="2"/>
      <c r="N614" s="2"/>
      <c r="O614" s="2"/>
      <c r="P614" s="53"/>
      <c r="Q614" s="53"/>
      <c r="R614" s="2"/>
      <c r="S614" s="2"/>
      <c r="T614" s="2"/>
    </row>
    <row r="615" spans="1:20" x14ac:dyDescent="0.25">
      <c r="A615" s="3"/>
      <c r="B615" s="3"/>
      <c r="C615" s="2"/>
      <c r="D615" s="2"/>
      <c r="E615" s="51"/>
      <c r="F615" s="51"/>
      <c r="G615" s="51"/>
      <c r="H615" s="51"/>
      <c r="I615" s="2"/>
      <c r="J615" s="2"/>
      <c r="K615" s="2"/>
      <c r="L615" s="2"/>
      <c r="M615" s="2"/>
      <c r="N615" s="2"/>
      <c r="O615" s="2"/>
      <c r="P615" s="53"/>
      <c r="Q615" s="53"/>
      <c r="R615" s="2"/>
      <c r="S615" s="2"/>
      <c r="T615" s="2"/>
    </row>
    <row r="616" spans="1:20" x14ac:dyDescent="0.25">
      <c r="A616" s="3"/>
      <c r="B616" s="3"/>
      <c r="C616" s="2"/>
      <c r="D616" s="2"/>
      <c r="E616" s="51"/>
      <c r="F616" s="51"/>
      <c r="G616" s="51"/>
      <c r="H616" s="51"/>
      <c r="I616" s="2"/>
      <c r="J616" s="2"/>
      <c r="K616" s="2"/>
      <c r="L616" s="2"/>
      <c r="M616" s="2"/>
      <c r="N616" s="2"/>
      <c r="O616" s="2"/>
      <c r="P616" s="53"/>
      <c r="Q616" s="53"/>
      <c r="R616" s="2"/>
      <c r="S616" s="2"/>
      <c r="T616" s="2"/>
    </row>
    <row r="617" spans="1:20" x14ac:dyDescent="0.25">
      <c r="A617" s="3"/>
      <c r="B617" s="3"/>
      <c r="C617" s="2"/>
      <c r="D617" s="2"/>
      <c r="E617" s="51"/>
      <c r="F617" s="51"/>
      <c r="G617" s="51"/>
      <c r="H617" s="51"/>
      <c r="I617" s="2"/>
      <c r="J617" s="2"/>
      <c r="K617" s="2"/>
      <c r="L617" s="2"/>
      <c r="M617" s="2"/>
      <c r="N617" s="2"/>
      <c r="O617" s="2"/>
      <c r="P617" s="53"/>
      <c r="Q617" s="53"/>
      <c r="R617" s="2"/>
      <c r="S617" s="2"/>
      <c r="T617" s="2"/>
    </row>
    <row r="618" spans="1:20" x14ac:dyDescent="0.25">
      <c r="A618" s="3"/>
      <c r="B618" s="3"/>
      <c r="C618" s="2"/>
      <c r="D618" s="2"/>
      <c r="E618" s="51"/>
      <c r="F618" s="51"/>
      <c r="G618" s="51"/>
      <c r="H618" s="51"/>
      <c r="I618" s="2"/>
      <c r="J618" s="2"/>
      <c r="K618" s="2"/>
      <c r="L618" s="2"/>
      <c r="M618" s="2"/>
      <c r="N618" s="2"/>
      <c r="O618" s="2"/>
      <c r="P618" s="53"/>
      <c r="Q618" s="53"/>
      <c r="R618" s="2"/>
      <c r="S618" s="2"/>
      <c r="T618" s="2"/>
    </row>
    <row r="619" spans="1:20" x14ac:dyDescent="0.25">
      <c r="A619" s="3"/>
      <c r="B619" s="3"/>
      <c r="C619" s="2"/>
      <c r="D619" s="2"/>
      <c r="E619" s="51"/>
      <c r="F619" s="51"/>
      <c r="G619" s="51"/>
      <c r="H619" s="51"/>
      <c r="I619" s="2"/>
      <c r="J619" s="2"/>
      <c r="K619" s="2"/>
      <c r="L619" s="2"/>
      <c r="M619" s="2"/>
      <c r="N619" s="2"/>
      <c r="O619" s="2"/>
      <c r="P619" s="53"/>
      <c r="Q619" s="53"/>
      <c r="R619" s="2"/>
      <c r="S619" s="2"/>
      <c r="T619" s="2"/>
    </row>
    <row r="620" spans="1:20" x14ac:dyDescent="0.25">
      <c r="A620" s="3"/>
      <c r="B620" s="3"/>
      <c r="C620" s="2"/>
      <c r="D620" s="2"/>
      <c r="E620" s="51"/>
      <c r="F620" s="51"/>
      <c r="G620" s="51"/>
      <c r="H620" s="51"/>
      <c r="I620" s="2"/>
      <c r="J620" s="2"/>
      <c r="K620" s="2"/>
      <c r="L620" s="2"/>
      <c r="M620" s="2"/>
      <c r="N620" s="2"/>
      <c r="O620" s="2"/>
      <c r="P620" s="53"/>
      <c r="Q620" s="53"/>
      <c r="R620" s="2"/>
      <c r="S620" s="2"/>
      <c r="T620" s="2"/>
    </row>
    <row r="621" spans="1:20" x14ac:dyDescent="0.25">
      <c r="A621" s="3"/>
      <c r="B621" s="3"/>
      <c r="C621" s="2"/>
      <c r="D621" s="2"/>
      <c r="E621" s="51"/>
      <c r="F621" s="51"/>
      <c r="G621" s="51"/>
      <c r="H621" s="51"/>
      <c r="I621" s="2"/>
      <c r="J621" s="2"/>
      <c r="K621" s="2"/>
      <c r="L621" s="2"/>
      <c r="M621" s="2"/>
      <c r="N621" s="2"/>
      <c r="O621" s="2"/>
      <c r="P621" s="53"/>
      <c r="Q621" s="53"/>
      <c r="R621" s="2"/>
      <c r="S621" s="2"/>
      <c r="T621" s="2"/>
    </row>
    <row r="622" spans="1:20" x14ac:dyDescent="0.25">
      <c r="A622" s="3"/>
      <c r="B622" s="3"/>
      <c r="C622" s="2"/>
      <c r="D622" s="2"/>
      <c r="E622" s="51"/>
      <c r="F622" s="51"/>
      <c r="G622" s="51"/>
      <c r="H622" s="51"/>
      <c r="I622" s="2"/>
      <c r="J622" s="2"/>
      <c r="K622" s="2"/>
      <c r="L622" s="2"/>
      <c r="M622" s="2"/>
      <c r="N622" s="2"/>
      <c r="O622" s="2"/>
      <c r="P622" s="53"/>
      <c r="Q622" s="53"/>
      <c r="R622" s="2"/>
      <c r="S622" s="2"/>
      <c r="T622" s="2"/>
    </row>
    <row r="623" spans="1:20" x14ac:dyDescent="0.25">
      <c r="A623" s="3"/>
      <c r="B623" s="3"/>
      <c r="C623" s="2"/>
      <c r="D623" s="2"/>
      <c r="E623" s="51"/>
      <c r="F623" s="51"/>
      <c r="G623" s="51"/>
      <c r="H623" s="51"/>
      <c r="I623" s="2"/>
      <c r="J623" s="2"/>
      <c r="K623" s="2"/>
      <c r="L623" s="2"/>
      <c r="M623" s="2"/>
      <c r="N623" s="2"/>
      <c r="O623" s="2"/>
      <c r="P623" s="53"/>
      <c r="Q623" s="53"/>
      <c r="R623" s="2"/>
      <c r="S623" s="2"/>
      <c r="T623" s="2"/>
    </row>
    <row r="624" spans="1:20" x14ac:dyDescent="0.25">
      <c r="A624" s="3"/>
      <c r="B624" s="3"/>
      <c r="C624" s="2"/>
      <c r="D624" s="2"/>
      <c r="E624" s="51"/>
      <c r="F624" s="51"/>
      <c r="G624" s="51"/>
      <c r="H624" s="51"/>
      <c r="I624" s="2"/>
      <c r="J624" s="2"/>
      <c r="K624" s="2"/>
      <c r="L624" s="2"/>
      <c r="M624" s="2"/>
      <c r="N624" s="2"/>
      <c r="O624" s="2"/>
      <c r="P624" s="53"/>
      <c r="Q624" s="53"/>
      <c r="R624" s="2"/>
      <c r="S624" s="2"/>
      <c r="T624" s="2"/>
    </row>
    <row r="625" spans="1:20" x14ac:dyDescent="0.25">
      <c r="A625" s="3"/>
      <c r="B625" s="3"/>
      <c r="C625" s="2"/>
      <c r="D625" s="2"/>
      <c r="E625" s="51"/>
      <c r="F625" s="51"/>
      <c r="G625" s="51"/>
      <c r="H625" s="51"/>
      <c r="I625" s="2"/>
      <c r="J625" s="2"/>
      <c r="K625" s="2"/>
      <c r="L625" s="2"/>
      <c r="M625" s="2"/>
      <c r="N625" s="2"/>
      <c r="O625" s="2"/>
      <c r="P625" s="53"/>
      <c r="Q625" s="53"/>
      <c r="R625" s="2"/>
      <c r="S625" s="2"/>
      <c r="T625" s="2"/>
    </row>
    <row r="626" spans="1:20" x14ac:dyDescent="0.25">
      <c r="A626" s="3"/>
      <c r="B626" s="3"/>
      <c r="C626" s="2"/>
      <c r="D626" s="2"/>
      <c r="E626" s="51"/>
      <c r="F626" s="51"/>
      <c r="G626" s="51"/>
      <c r="H626" s="51"/>
      <c r="I626" s="2"/>
      <c r="J626" s="2"/>
      <c r="K626" s="2"/>
      <c r="L626" s="2"/>
      <c r="M626" s="2"/>
      <c r="N626" s="2"/>
      <c r="O626" s="2"/>
      <c r="P626" s="53"/>
      <c r="Q626" s="53"/>
      <c r="R626" s="2"/>
      <c r="S626" s="2"/>
      <c r="T626" s="2"/>
    </row>
    <row r="627" spans="1:20" x14ac:dyDescent="0.25">
      <c r="A627" s="3"/>
      <c r="B627" s="3"/>
      <c r="C627" s="2"/>
      <c r="D627" s="2"/>
      <c r="E627" s="51"/>
      <c r="F627" s="51"/>
      <c r="G627" s="51"/>
      <c r="H627" s="51"/>
      <c r="I627" s="2"/>
      <c r="J627" s="2"/>
      <c r="K627" s="2"/>
      <c r="L627" s="2"/>
      <c r="M627" s="2"/>
      <c r="N627" s="2"/>
      <c r="O627" s="2"/>
      <c r="P627" s="53"/>
      <c r="Q627" s="53"/>
      <c r="R627" s="2"/>
      <c r="S627" s="2"/>
      <c r="T627" s="2"/>
    </row>
    <row r="628" spans="1:20" x14ac:dyDescent="0.25">
      <c r="A628" s="3"/>
      <c r="B628" s="3"/>
      <c r="C628" s="2"/>
      <c r="D628" s="2"/>
      <c r="E628" s="51"/>
      <c r="F628" s="51"/>
      <c r="G628" s="51"/>
      <c r="H628" s="51"/>
      <c r="I628" s="2"/>
      <c r="J628" s="2"/>
      <c r="K628" s="2"/>
      <c r="L628" s="2"/>
      <c r="M628" s="2"/>
      <c r="N628" s="2"/>
      <c r="O628" s="2"/>
      <c r="P628" s="53"/>
      <c r="Q628" s="53"/>
      <c r="R628" s="2"/>
      <c r="S628" s="2"/>
      <c r="T628" s="2"/>
    </row>
    <row r="629" spans="1:20" x14ac:dyDescent="0.25">
      <c r="A629" s="3"/>
      <c r="B629" s="3"/>
      <c r="C629" s="2"/>
      <c r="D629" s="2"/>
      <c r="E629" s="51"/>
      <c r="F629" s="51"/>
      <c r="G629" s="51"/>
      <c r="H629" s="51"/>
      <c r="I629" s="2"/>
      <c r="J629" s="2"/>
      <c r="K629" s="2"/>
      <c r="L629" s="2"/>
      <c r="M629" s="2"/>
      <c r="N629" s="2"/>
      <c r="O629" s="2"/>
      <c r="P629" s="53"/>
      <c r="Q629" s="53"/>
      <c r="R629" s="2"/>
      <c r="S629" s="2"/>
      <c r="T629" s="2"/>
    </row>
    <row r="630" spans="1:20" x14ac:dyDescent="0.25">
      <c r="A630" s="3"/>
      <c r="B630" s="3"/>
      <c r="C630" s="2"/>
      <c r="D630" s="2"/>
      <c r="E630" s="51"/>
      <c r="F630" s="51"/>
      <c r="G630" s="51"/>
      <c r="H630" s="51"/>
      <c r="I630" s="2"/>
      <c r="J630" s="2"/>
      <c r="K630" s="2"/>
      <c r="L630" s="2"/>
      <c r="M630" s="2"/>
      <c r="N630" s="2"/>
      <c r="O630" s="2"/>
      <c r="P630" s="53"/>
      <c r="Q630" s="53"/>
      <c r="R630" s="2"/>
      <c r="S630" s="2"/>
      <c r="T630" s="2"/>
    </row>
    <row r="631" spans="1:20" x14ac:dyDescent="0.25">
      <c r="A631" s="3"/>
      <c r="B631" s="3"/>
      <c r="C631" s="2"/>
      <c r="D631" s="2"/>
      <c r="E631" s="51"/>
      <c r="F631" s="51"/>
      <c r="G631" s="51"/>
      <c r="H631" s="51"/>
      <c r="I631" s="2"/>
      <c r="J631" s="2"/>
      <c r="K631" s="2"/>
      <c r="L631" s="2"/>
      <c r="M631" s="2"/>
      <c r="N631" s="2"/>
      <c r="O631" s="2"/>
      <c r="P631" s="53"/>
      <c r="Q631" s="53"/>
      <c r="R631" s="2"/>
      <c r="S631" s="2"/>
      <c r="T631" s="2"/>
    </row>
    <row r="632" spans="1:20" x14ac:dyDescent="0.25">
      <c r="A632" s="3"/>
      <c r="B632" s="3"/>
      <c r="C632" s="2"/>
      <c r="D632" s="2"/>
      <c r="E632" s="51"/>
      <c r="F632" s="51"/>
      <c r="G632" s="51"/>
      <c r="H632" s="51"/>
      <c r="I632" s="2"/>
      <c r="J632" s="2"/>
      <c r="K632" s="2"/>
      <c r="L632" s="2"/>
      <c r="M632" s="2"/>
      <c r="N632" s="2"/>
      <c r="O632" s="2"/>
      <c r="P632" s="53"/>
      <c r="Q632" s="53"/>
      <c r="R632" s="2"/>
      <c r="S632" s="2"/>
      <c r="T632" s="2"/>
    </row>
    <row r="633" spans="1:20" x14ac:dyDescent="0.25">
      <c r="A633" s="3"/>
      <c r="B633" s="3"/>
      <c r="C633" s="2"/>
      <c r="D633" s="2"/>
      <c r="E633" s="51"/>
      <c r="F633" s="51"/>
      <c r="G633" s="51"/>
      <c r="H633" s="51"/>
      <c r="I633" s="2"/>
      <c r="J633" s="2"/>
      <c r="K633" s="2"/>
      <c r="L633" s="2"/>
      <c r="M633" s="2"/>
      <c r="N633" s="2"/>
      <c r="O633" s="2"/>
      <c r="P633" s="53"/>
      <c r="Q633" s="53"/>
      <c r="R633" s="2"/>
      <c r="S633" s="2"/>
      <c r="T633" s="2"/>
    </row>
    <row r="634" spans="1:20" x14ac:dyDescent="0.25">
      <c r="A634" s="3"/>
      <c r="B634" s="3"/>
      <c r="C634" s="2"/>
      <c r="D634" s="2"/>
      <c r="E634" s="51"/>
      <c r="F634" s="51"/>
      <c r="G634" s="51"/>
      <c r="H634" s="51"/>
      <c r="I634" s="2"/>
      <c r="J634" s="2"/>
      <c r="K634" s="2"/>
      <c r="L634" s="2"/>
      <c r="M634" s="2"/>
      <c r="N634" s="2"/>
      <c r="O634" s="2"/>
      <c r="P634" s="53"/>
      <c r="Q634" s="53"/>
      <c r="R634" s="2"/>
      <c r="S634" s="2"/>
      <c r="T634" s="2"/>
    </row>
    <row r="635" spans="1:20" x14ac:dyDescent="0.25">
      <c r="A635" s="3"/>
      <c r="B635" s="3"/>
      <c r="C635" s="2"/>
      <c r="D635" s="2"/>
      <c r="E635" s="51"/>
      <c r="F635" s="51"/>
      <c r="G635" s="51"/>
      <c r="H635" s="51"/>
      <c r="I635" s="2"/>
      <c r="J635" s="2"/>
      <c r="K635" s="2"/>
      <c r="L635" s="2"/>
      <c r="M635" s="2"/>
      <c r="N635" s="2"/>
      <c r="O635" s="2"/>
      <c r="P635" s="53"/>
      <c r="Q635" s="53"/>
      <c r="R635" s="2"/>
      <c r="S635" s="2"/>
      <c r="T635" s="2"/>
    </row>
    <row r="636" spans="1:20" x14ac:dyDescent="0.25">
      <c r="A636" s="3"/>
      <c r="B636" s="3"/>
      <c r="C636" s="2"/>
      <c r="D636" s="2"/>
      <c r="E636" s="51"/>
      <c r="F636" s="51"/>
      <c r="G636" s="51"/>
      <c r="H636" s="51"/>
      <c r="I636" s="2"/>
      <c r="J636" s="2"/>
      <c r="K636" s="2"/>
      <c r="L636" s="2"/>
      <c r="M636" s="2"/>
      <c r="N636" s="2"/>
      <c r="O636" s="2"/>
      <c r="P636" s="53"/>
      <c r="Q636" s="53"/>
      <c r="R636" s="2"/>
      <c r="S636" s="2"/>
      <c r="T636" s="2"/>
    </row>
    <row r="637" spans="1:20" x14ac:dyDescent="0.25">
      <c r="A637" s="3"/>
      <c r="B637" s="3"/>
      <c r="C637" s="2"/>
      <c r="D637" s="2"/>
      <c r="E637" s="51"/>
      <c r="F637" s="51"/>
      <c r="G637" s="51"/>
      <c r="H637" s="51"/>
      <c r="I637" s="2"/>
      <c r="J637" s="2"/>
      <c r="K637" s="2"/>
      <c r="L637" s="2"/>
      <c r="M637" s="2"/>
      <c r="N637" s="2"/>
      <c r="O637" s="2"/>
      <c r="P637" s="53"/>
      <c r="Q637" s="53"/>
      <c r="R637" s="2"/>
      <c r="S637" s="2"/>
      <c r="T637" s="2"/>
    </row>
    <row r="638" spans="1:20" x14ac:dyDescent="0.25">
      <c r="A638" s="3"/>
      <c r="B638" s="3"/>
      <c r="C638" s="2"/>
      <c r="D638" s="2"/>
      <c r="E638" s="51"/>
      <c r="F638" s="51"/>
      <c r="G638" s="51"/>
      <c r="H638" s="51"/>
      <c r="I638" s="2"/>
      <c r="J638" s="2"/>
      <c r="K638" s="2"/>
      <c r="L638" s="2"/>
      <c r="M638" s="2"/>
      <c r="N638" s="2"/>
      <c r="O638" s="2"/>
      <c r="P638" s="53"/>
      <c r="Q638" s="53"/>
      <c r="R638" s="2"/>
      <c r="S638" s="2"/>
      <c r="T638" s="2"/>
    </row>
    <row r="639" spans="1:20" x14ac:dyDescent="0.25">
      <c r="A639" s="3"/>
      <c r="B639" s="3"/>
      <c r="C639" s="2"/>
      <c r="D639" s="2"/>
      <c r="E639" s="51"/>
      <c r="F639" s="51"/>
      <c r="G639" s="51"/>
      <c r="H639" s="51"/>
      <c r="I639" s="2"/>
      <c r="J639" s="2"/>
      <c r="K639" s="2"/>
      <c r="L639" s="2"/>
      <c r="M639" s="2"/>
      <c r="N639" s="2"/>
      <c r="O639" s="2"/>
      <c r="P639" s="53"/>
      <c r="Q639" s="53"/>
      <c r="R639" s="2"/>
      <c r="S639" s="2"/>
      <c r="T639" s="2"/>
    </row>
    <row r="640" spans="1:20" x14ac:dyDescent="0.25">
      <c r="A640" s="3"/>
      <c r="B640" s="3"/>
      <c r="C640" s="2"/>
      <c r="D640" s="2"/>
      <c r="E640" s="51"/>
      <c r="F640" s="51"/>
      <c r="G640" s="51"/>
      <c r="H640" s="51"/>
      <c r="I640" s="2"/>
      <c r="J640" s="2"/>
      <c r="K640" s="2"/>
      <c r="L640" s="2"/>
      <c r="M640" s="2"/>
      <c r="N640" s="2"/>
      <c r="O640" s="2"/>
      <c r="P640" s="53"/>
      <c r="Q640" s="53"/>
      <c r="R640" s="2"/>
      <c r="S640" s="2"/>
      <c r="T640" s="2"/>
    </row>
    <row r="641" spans="1:20" x14ac:dyDescent="0.25">
      <c r="A641" s="3"/>
      <c r="B641" s="3"/>
      <c r="C641" s="2"/>
      <c r="D641" s="2"/>
      <c r="E641" s="51"/>
      <c r="F641" s="51"/>
      <c r="G641" s="51"/>
      <c r="H641" s="51"/>
      <c r="I641" s="2"/>
      <c r="J641" s="2"/>
      <c r="K641" s="2"/>
      <c r="L641" s="2"/>
      <c r="M641" s="2"/>
      <c r="N641" s="2"/>
      <c r="O641" s="2"/>
      <c r="P641" s="53"/>
      <c r="Q641" s="53"/>
      <c r="R641" s="2"/>
      <c r="S641" s="2"/>
      <c r="T641" s="2"/>
    </row>
    <row r="642" spans="1:20" x14ac:dyDescent="0.25">
      <c r="A642" s="3"/>
      <c r="B642" s="3"/>
      <c r="C642" s="2"/>
      <c r="D642" s="2"/>
      <c r="E642" s="51"/>
      <c r="F642" s="51"/>
      <c r="G642" s="51"/>
      <c r="H642" s="51"/>
      <c r="I642" s="2"/>
      <c r="J642" s="2"/>
      <c r="K642" s="2"/>
      <c r="L642" s="2"/>
      <c r="M642" s="2"/>
      <c r="N642" s="2"/>
      <c r="O642" s="2"/>
      <c r="P642" s="53"/>
      <c r="Q642" s="53"/>
      <c r="R642" s="2"/>
      <c r="S642" s="2"/>
      <c r="T642" s="2"/>
    </row>
    <row r="643" spans="1:20" x14ac:dyDescent="0.25">
      <c r="A643" s="3"/>
      <c r="B643" s="3"/>
      <c r="C643" s="2"/>
      <c r="D643" s="2"/>
      <c r="E643" s="51"/>
      <c r="F643" s="51"/>
      <c r="G643" s="51"/>
      <c r="H643" s="51"/>
      <c r="I643" s="2"/>
      <c r="J643" s="2"/>
      <c r="K643" s="2"/>
      <c r="L643" s="2"/>
      <c r="M643" s="2"/>
      <c r="N643" s="2"/>
      <c r="O643" s="2"/>
      <c r="P643" s="53"/>
      <c r="Q643" s="53"/>
      <c r="R643" s="2"/>
      <c r="S643" s="2"/>
      <c r="T643" s="2"/>
    </row>
    <row r="644" spans="1:20" x14ac:dyDescent="0.25">
      <c r="A644" s="3"/>
      <c r="B644" s="3"/>
      <c r="C644" s="2"/>
      <c r="D644" s="2"/>
      <c r="E644" s="51"/>
      <c r="F644" s="51"/>
      <c r="G644" s="51"/>
      <c r="H644" s="51"/>
      <c r="I644" s="2"/>
      <c r="J644" s="2"/>
      <c r="K644" s="2"/>
      <c r="L644" s="2"/>
      <c r="M644" s="2"/>
      <c r="N644" s="2"/>
      <c r="O644" s="2"/>
      <c r="P644" s="53"/>
      <c r="Q644" s="53"/>
      <c r="R644" s="2"/>
      <c r="S644" s="2"/>
      <c r="T644" s="2"/>
    </row>
    <row r="645" spans="1:20" x14ac:dyDescent="0.25">
      <c r="A645" s="3"/>
      <c r="B645" s="3"/>
      <c r="C645" s="2"/>
      <c r="D645" s="2"/>
      <c r="E645" s="51"/>
      <c r="F645" s="51"/>
      <c r="G645" s="51"/>
      <c r="H645" s="51"/>
      <c r="I645" s="2"/>
      <c r="J645" s="2"/>
      <c r="K645" s="2"/>
      <c r="L645" s="2"/>
      <c r="M645" s="2"/>
      <c r="N645" s="2"/>
      <c r="O645" s="2"/>
      <c r="P645" s="53"/>
      <c r="Q645" s="53"/>
      <c r="R645" s="2"/>
      <c r="S645" s="2"/>
      <c r="T645" s="2"/>
    </row>
    <row r="646" spans="1:20" x14ac:dyDescent="0.25">
      <c r="A646" s="3"/>
      <c r="B646" s="3"/>
      <c r="C646" s="2"/>
      <c r="D646" s="2"/>
      <c r="E646" s="51"/>
      <c r="F646" s="51"/>
      <c r="G646" s="51"/>
      <c r="H646" s="51"/>
      <c r="I646" s="2"/>
      <c r="J646" s="2"/>
      <c r="K646" s="2"/>
      <c r="L646" s="2"/>
      <c r="M646" s="2"/>
      <c r="N646" s="2"/>
      <c r="O646" s="2"/>
      <c r="P646" s="53"/>
      <c r="Q646" s="53"/>
      <c r="R646" s="2"/>
      <c r="S646" s="2"/>
      <c r="T646" s="2"/>
    </row>
    <row r="647" spans="1:20" x14ac:dyDescent="0.25">
      <c r="A647" s="3"/>
      <c r="B647" s="3"/>
      <c r="C647" s="2"/>
      <c r="D647" s="2"/>
      <c r="E647" s="51"/>
      <c r="F647" s="51"/>
      <c r="G647" s="51"/>
      <c r="H647" s="51"/>
      <c r="I647" s="2"/>
      <c r="J647" s="2"/>
      <c r="K647" s="2"/>
      <c r="L647" s="2"/>
      <c r="M647" s="2"/>
      <c r="N647" s="2"/>
      <c r="O647" s="2"/>
      <c r="P647" s="53"/>
      <c r="Q647" s="53"/>
      <c r="R647" s="2"/>
      <c r="S647" s="2"/>
      <c r="T647" s="2"/>
    </row>
    <row r="648" spans="1:20" x14ac:dyDescent="0.25">
      <c r="A648" s="3"/>
      <c r="B648" s="3"/>
      <c r="C648" s="2"/>
      <c r="D648" s="2"/>
      <c r="E648" s="51"/>
      <c r="F648" s="51"/>
      <c r="G648" s="51"/>
      <c r="H648" s="51"/>
      <c r="I648" s="2"/>
      <c r="J648" s="2"/>
      <c r="K648" s="2"/>
      <c r="L648" s="2"/>
      <c r="M648" s="2"/>
      <c r="N648" s="2"/>
      <c r="O648" s="2"/>
      <c r="P648" s="53"/>
      <c r="Q648" s="53"/>
      <c r="R648" s="2"/>
      <c r="S648" s="2"/>
      <c r="T648" s="2"/>
    </row>
    <row r="649" spans="1:20" x14ac:dyDescent="0.25">
      <c r="A649" s="3"/>
      <c r="B649" s="3"/>
      <c r="C649" s="2"/>
      <c r="D649" s="2"/>
      <c r="E649" s="51"/>
      <c r="F649" s="51"/>
      <c r="G649" s="51"/>
      <c r="H649" s="51"/>
      <c r="I649" s="2"/>
      <c r="J649" s="2"/>
      <c r="K649" s="2"/>
      <c r="L649" s="2"/>
      <c r="M649" s="2"/>
      <c r="N649" s="2"/>
      <c r="O649" s="2"/>
      <c r="P649" s="53"/>
      <c r="Q649" s="53"/>
      <c r="R649" s="2"/>
      <c r="S649" s="2"/>
      <c r="T649" s="2"/>
    </row>
    <row r="650" spans="1:20" x14ac:dyDescent="0.25">
      <c r="A650" s="3"/>
      <c r="B650" s="3"/>
      <c r="C650" s="2"/>
      <c r="D650" s="2"/>
      <c r="E650" s="51"/>
      <c r="F650" s="51"/>
      <c r="G650" s="51"/>
      <c r="H650" s="51"/>
      <c r="I650" s="2"/>
      <c r="J650" s="2"/>
      <c r="K650" s="2"/>
      <c r="L650" s="2"/>
      <c r="M650" s="2"/>
      <c r="N650" s="2"/>
      <c r="O650" s="2"/>
      <c r="P650" s="53"/>
      <c r="Q650" s="53"/>
      <c r="R650" s="2"/>
      <c r="S650" s="2"/>
      <c r="T650" s="2"/>
    </row>
    <row r="651" spans="1:20" x14ac:dyDescent="0.25">
      <c r="A651" s="3"/>
      <c r="B651" s="3"/>
      <c r="C651" s="2"/>
      <c r="D651" s="2"/>
      <c r="E651" s="51"/>
      <c r="F651" s="51"/>
      <c r="G651" s="51"/>
      <c r="H651" s="51"/>
      <c r="I651" s="2"/>
      <c r="J651" s="2"/>
      <c r="K651" s="2"/>
      <c r="L651" s="2"/>
      <c r="M651" s="2"/>
      <c r="N651" s="2"/>
      <c r="O651" s="2"/>
      <c r="P651" s="53"/>
      <c r="Q651" s="53"/>
      <c r="R651" s="2"/>
      <c r="S651" s="2"/>
      <c r="T651" s="2"/>
    </row>
    <row r="652" spans="1:20" x14ac:dyDescent="0.25">
      <c r="A652" s="3"/>
      <c r="B652" s="3"/>
      <c r="C652" s="2"/>
      <c r="D652" s="2"/>
      <c r="E652" s="51"/>
      <c r="F652" s="51"/>
      <c r="G652" s="51"/>
      <c r="H652" s="51"/>
      <c r="I652" s="2"/>
      <c r="J652" s="2"/>
      <c r="K652" s="2"/>
      <c r="L652" s="2"/>
      <c r="M652" s="2"/>
      <c r="N652" s="2"/>
      <c r="O652" s="2"/>
      <c r="P652" s="53"/>
      <c r="Q652" s="53"/>
      <c r="R652" s="2"/>
      <c r="S652" s="2"/>
      <c r="T652" s="2"/>
    </row>
    <row r="653" spans="1:20" x14ac:dyDescent="0.25">
      <c r="A653" s="3"/>
      <c r="B653" s="3"/>
      <c r="C653" s="2"/>
      <c r="D653" s="2"/>
      <c r="E653" s="51"/>
      <c r="F653" s="51"/>
      <c r="G653" s="51"/>
      <c r="H653" s="51"/>
      <c r="I653" s="2"/>
      <c r="J653" s="2"/>
      <c r="K653" s="2"/>
      <c r="L653" s="2"/>
      <c r="M653" s="2"/>
      <c r="N653" s="2"/>
      <c r="O653" s="2"/>
      <c r="P653" s="53"/>
      <c r="Q653" s="53"/>
      <c r="R653" s="2"/>
      <c r="S653" s="2"/>
      <c r="T653" s="2"/>
    </row>
    <row r="654" spans="1:20" x14ac:dyDescent="0.25">
      <c r="A654" s="3"/>
      <c r="B654" s="3"/>
      <c r="C654" s="2"/>
      <c r="D654" s="2"/>
      <c r="E654" s="51"/>
      <c r="F654" s="51"/>
      <c r="G654" s="51"/>
      <c r="H654" s="51"/>
      <c r="I654" s="2"/>
      <c r="J654" s="2"/>
      <c r="K654" s="2"/>
      <c r="L654" s="2"/>
      <c r="M654" s="2"/>
      <c r="N654" s="2"/>
      <c r="O654" s="2"/>
      <c r="P654" s="53"/>
      <c r="Q654" s="53"/>
      <c r="R654" s="2"/>
      <c r="S654" s="2"/>
      <c r="T654" s="2"/>
    </row>
    <row r="655" spans="1:20" x14ac:dyDescent="0.25">
      <c r="A655" s="3"/>
      <c r="B655" s="3"/>
      <c r="C655" s="2"/>
      <c r="D655" s="2"/>
      <c r="E655" s="51"/>
      <c r="F655" s="51"/>
      <c r="G655" s="51"/>
      <c r="H655" s="51"/>
      <c r="I655" s="2"/>
      <c r="J655" s="2"/>
      <c r="K655" s="2"/>
      <c r="L655" s="2"/>
      <c r="M655" s="2"/>
      <c r="N655" s="2"/>
      <c r="O655" s="2"/>
      <c r="P655" s="53"/>
      <c r="Q655" s="53"/>
      <c r="R655" s="2"/>
      <c r="S655" s="2"/>
      <c r="T655" s="2"/>
    </row>
    <row r="656" spans="1:20" x14ac:dyDescent="0.25">
      <c r="A656" s="3"/>
      <c r="B656" s="3"/>
      <c r="C656" s="2"/>
      <c r="D656" s="2"/>
      <c r="E656" s="51"/>
      <c r="F656" s="51"/>
      <c r="G656" s="51"/>
      <c r="H656" s="51"/>
      <c r="I656" s="2"/>
      <c r="J656" s="2"/>
      <c r="K656" s="2"/>
      <c r="L656" s="2"/>
      <c r="M656" s="2"/>
      <c r="N656" s="2"/>
      <c r="O656" s="2"/>
      <c r="P656" s="53"/>
      <c r="Q656" s="53"/>
      <c r="R656" s="2"/>
      <c r="S656" s="2"/>
      <c r="T656" s="2"/>
    </row>
    <row r="657" spans="1:20" x14ac:dyDescent="0.25">
      <c r="A657" s="3"/>
      <c r="B657" s="3"/>
      <c r="C657" s="2"/>
      <c r="D657" s="2"/>
      <c r="E657" s="51"/>
      <c r="F657" s="51"/>
      <c r="G657" s="51"/>
      <c r="H657" s="51"/>
      <c r="I657" s="2"/>
      <c r="J657" s="2"/>
      <c r="K657" s="2"/>
      <c r="L657" s="2"/>
      <c r="M657" s="2"/>
      <c r="N657" s="2"/>
      <c r="O657" s="2"/>
      <c r="P657" s="53"/>
      <c r="Q657" s="53"/>
      <c r="R657" s="2"/>
      <c r="S657" s="2"/>
      <c r="T657" s="2"/>
    </row>
    <row r="658" spans="1:20" x14ac:dyDescent="0.25">
      <c r="A658" s="3"/>
      <c r="B658" s="3"/>
      <c r="C658" s="2"/>
      <c r="D658" s="2"/>
      <c r="E658" s="51"/>
      <c r="F658" s="51"/>
      <c r="G658" s="51"/>
      <c r="H658" s="51"/>
      <c r="I658" s="2"/>
      <c r="J658" s="2"/>
      <c r="K658" s="2"/>
      <c r="L658" s="2"/>
      <c r="M658" s="2"/>
      <c r="N658" s="2"/>
      <c r="O658" s="2"/>
      <c r="P658" s="53"/>
      <c r="Q658" s="53"/>
      <c r="R658" s="2"/>
      <c r="S658" s="2"/>
      <c r="T658" s="2"/>
    </row>
    <row r="659" spans="1:20" x14ac:dyDescent="0.25">
      <c r="A659" s="3"/>
      <c r="B659" s="3"/>
      <c r="C659" s="2"/>
      <c r="D659" s="2"/>
      <c r="E659" s="51"/>
      <c r="F659" s="51"/>
      <c r="G659" s="51"/>
      <c r="H659" s="51"/>
      <c r="I659" s="2"/>
      <c r="J659" s="2"/>
      <c r="K659" s="2"/>
      <c r="L659" s="2"/>
      <c r="M659" s="2"/>
      <c r="N659" s="2"/>
      <c r="O659" s="2"/>
      <c r="P659" s="53"/>
      <c r="Q659" s="53"/>
      <c r="R659" s="2"/>
      <c r="S659" s="2"/>
      <c r="T659" s="2"/>
    </row>
    <row r="660" spans="1:20" x14ac:dyDescent="0.25">
      <c r="A660" s="3"/>
      <c r="B660" s="3"/>
      <c r="C660" s="2"/>
      <c r="D660" s="2"/>
      <c r="E660" s="51"/>
      <c r="F660" s="51"/>
      <c r="G660" s="51"/>
      <c r="H660" s="51"/>
      <c r="I660" s="2"/>
      <c r="J660" s="2"/>
      <c r="K660" s="2"/>
      <c r="L660" s="2"/>
      <c r="M660" s="2"/>
      <c r="N660" s="2"/>
      <c r="O660" s="2"/>
      <c r="P660" s="53"/>
      <c r="Q660" s="53"/>
      <c r="R660" s="2"/>
      <c r="S660" s="2"/>
      <c r="T660" s="2"/>
    </row>
    <row r="661" spans="1:20" x14ac:dyDescent="0.25">
      <c r="A661" s="3"/>
      <c r="B661" s="3"/>
      <c r="C661" s="2"/>
      <c r="D661" s="2"/>
      <c r="E661" s="51"/>
      <c r="F661" s="51"/>
      <c r="G661" s="51"/>
      <c r="H661" s="51"/>
      <c r="I661" s="2"/>
      <c r="J661" s="2"/>
      <c r="K661" s="2"/>
      <c r="L661" s="2"/>
      <c r="M661" s="2"/>
      <c r="N661" s="2"/>
      <c r="O661" s="2"/>
      <c r="P661" s="53"/>
      <c r="Q661" s="53"/>
      <c r="R661" s="2"/>
      <c r="S661" s="2"/>
      <c r="T661" s="2"/>
    </row>
    <row r="662" spans="1:20" x14ac:dyDescent="0.25">
      <c r="A662" s="3"/>
      <c r="B662" s="3"/>
      <c r="C662" s="2"/>
      <c r="D662" s="2"/>
      <c r="E662" s="51"/>
      <c r="F662" s="51"/>
      <c r="G662" s="51"/>
      <c r="H662" s="51"/>
      <c r="I662" s="2"/>
      <c r="J662" s="2"/>
      <c r="K662" s="2"/>
      <c r="L662" s="2"/>
      <c r="M662" s="2"/>
      <c r="N662" s="2"/>
      <c r="O662" s="2"/>
      <c r="P662" s="53"/>
      <c r="Q662" s="53"/>
      <c r="R662" s="2"/>
      <c r="S662" s="2"/>
      <c r="T662" s="2"/>
    </row>
    <row r="663" spans="1:20" x14ac:dyDescent="0.25">
      <c r="A663" s="3"/>
      <c r="B663" s="3"/>
      <c r="C663" s="2"/>
      <c r="D663" s="2"/>
      <c r="E663" s="51"/>
      <c r="F663" s="51"/>
      <c r="G663" s="51"/>
      <c r="H663" s="51"/>
      <c r="I663" s="2"/>
      <c r="J663" s="2"/>
      <c r="K663" s="2"/>
      <c r="L663" s="2"/>
      <c r="M663" s="2"/>
      <c r="N663" s="2"/>
      <c r="O663" s="2"/>
      <c r="P663" s="53"/>
      <c r="Q663" s="53"/>
      <c r="R663" s="2"/>
      <c r="S663" s="2"/>
      <c r="T663" s="2"/>
    </row>
    <row r="664" spans="1:20" x14ac:dyDescent="0.25">
      <c r="A664" s="3"/>
      <c r="B664" s="3"/>
      <c r="C664" s="2"/>
      <c r="D664" s="2"/>
      <c r="E664" s="51"/>
      <c r="F664" s="51"/>
      <c r="G664" s="51"/>
      <c r="H664" s="51"/>
      <c r="I664" s="2"/>
      <c r="J664" s="2"/>
      <c r="K664" s="2"/>
      <c r="L664" s="2"/>
      <c r="M664" s="2"/>
      <c r="N664" s="2"/>
      <c r="O664" s="2"/>
      <c r="P664" s="53"/>
      <c r="Q664" s="53"/>
      <c r="R664" s="2"/>
      <c r="S664" s="2"/>
      <c r="T664" s="2"/>
    </row>
    <row r="665" spans="1:20" x14ac:dyDescent="0.25">
      <c r="A665" s="3"/>
      <c r="B665" s="3"/>
      <c r="C665" s="2"/>
      <c r="D665" s="2"/>
      <c r="E665" s="51"/>
      <c r="F665" s="51"/>
      <c r="G665" s="51"/>
      <c r="H665" s="51"/>
      <c r="I665" s="2"/>
      <c r="J665" s="2"/>
      <c r="K665" s="2"/>
      <c r="L665" s="2"/>
      <c r="M665" s="2"/>
      <c r="N665" s="2"/>
      <c r="O665" s="2"/>
      <c r="P665" s="53"/>
      <c r="Q665" s="53"/>
      <c r="R665" s="2"/>
      <c r="S665" s="2"/>
      <c r="T665" s="2"/>
    </row>
    <row r="666" spans="1:20" x14ac:dyDescent="0.25">
      <c r="A666" s="3"/>
      <c r="B666" s="3"/>
      <c r="C666" s="2"/>
      <c r="D666" s="2"/>
      <c r="E666" s="51"/>
      <c r="F666" s="51"/>
      <c r="G666" s="51"/>
      <c r="H666" s="51"/>
      <c r="I666" s="2"/>
      <c r="J666" s="2"/>
      <c r="K666" s="2"/>
      <c r="L666" s="2"/>
      <c r="M666" s="2"/>
      <c r="N666" s="2"/>
      <c r="O666" s="2"/>
      <c r="P666" s="53"/>
      <c r="Q666" s="53"/>
      <c r="R666" s="2"/>
      <c r="S666" s="2"/>
      <c r="T666" s="2"/>
    </row>
    <row r="667" spans="1:20" x14ac:dyDescent="0.25">
      <c r="A667" s="3"/>
      <c r="B667" s="3"/>
      <c r="C667" s="2"/>
      <c r="D667" s="2"/>
      <c r="E667" s="51"/>
      <c r="F667" s="51"/>
      <c r="G667" s="51"/>
      <c r="H667" s="51"/>
      <c r="I667" s="2"/>
      <c r="J667" s="2"/>
      <c r="K667" s="2"/>
      <c r="L667" s="2"/>
      <c r="M667" s="2"/>
      <c r="N667" s="2"/>
      <c r="O667" s="2"/>
      <c r="P667" s="53"/>
      <c r="Q667" s="53"/>
      <c r="R667" s="2"/>
      <c r="S667" s="2"/>
      <c r="T667" s="2"/>
    </row>
    <row r="668" spans="1:20" x14ac:dyDescent="0.25">
      <c r="A668" s="3"/>
      <c r="B668" s="3"/>
      <c r="C668" s="2"/>
      <c r="D668" s="2"/>
      <c r="E668" s="51"/>
      <c r="F668" s="51"/>
      <c r="G668" s="51"/>
      <c r="H668" s="51"/>
      <c r="I668" s="2"/>
      <c r="J668" s="2"/>
      <c r="K668" s="2"/>
      <c r="L668" s="2"/>
      <c r="M668" s="2"/>
      <c r="N668" s="2"/>
      <c r="O668" s="2"/>
      <c r="P668" s="53"/>
      <c r="Q668" s="53"/>
      <c r="R668" s="2"/>
      <c r="S668" s="2"/>
      <c r="T668" s="2"/>
    </row>
    <row r="669" spans="1:20" x14ac:dyDescent="0.25">
      <c r="A669" s="3"/>
      <c r="B669" s="3"/>
      <c r="C669" s="2"/>
      <c r="D669" s="2"/>
      <c r="E669" s="51"/>
      <c r="F669" s="51"/>
      <c r="G669" s="51"/>
      <c r="H669" s="51"/>
      <c r="I669" s="2"/>
      <c r="J669" s="2"/>
      <c r="K669" s="2"/>
      <c r="L669" s="2"/>
      <c r="M669" s="2"/>
      <c r="N669" s="2"/>
      <c r="O669" s="2"/>
      <c r="P669" s="53"/>
      <c r="Q669" s="53"/>
      <c r="R669" s="2"/>
      <c r="S669" s="2"/>
      <c r="T669" s="2"/>
    </row>
    <row r="670" spans="1:20" x14ac:dyDescent="0.25">
      <c r="A670" s="3"/>
      <c r="B670" s="3"/>
      <c r="C670" s="2"/>
      <c r="D670" s="2"/>
      <c r="E670" s="51"/>
      <c r="F670" s="51"/>
      <c r="G670" s="51"/>
      <c r="H670" s="51"/>
      <c r="I670" s="2"/>
      <c r="J670" s="2"/>
      <c r="K670" s="2"/>
      <c r="L670" s="2"/>
      <c r="M670" s="2"/>
      <c r="N670" s="2"/>
      <c r="O670" s="2"/>
      <c r="P670" s="53"/>
      <c r="Q670" s="53"/>
      <c r="R670" s="2"/>
      <c r="S670" s="2"/>
      <c r="T670" s="2"/>
    </row>
    <row r="671" spans="1:20" x14ac:dyDescent="0.25">
      <c r="A671" s="3"/>
      <c r="B671" s="3"/>
      <c r="C671" s="2"/>
      <c r="D671" s="2"/>
      <c r="E671" s="51"/>
      <c r="F671" s="51"/>
      <c r="G671" s="51"/>
      <c r="H671" s="51"/>
      <c r="I671" s="2"/>
      <c r="J671" s="2"/>
      <c r="K671" s="2"/>
      <c r="L671" s="2"/>
      <c r="M671" s="2"/>
      <c r="N671" s="2"/>
      <c r="O671" s="2"/>
      <c r="P671" s="53"/>
      <c r="Q671" s="53"/>
      <c r="R671" s="2"/>
      <c r="S671" s="2"/>
      <c r="T671" s="2"/>
    </row>
    <row r="672" spans="1:20" x14ac:dyDescent="0.25">
      <c r="A672" s="3"/>
      <c r="B672" s="3"/>
      <c r="C672" s="2"/>
      <c r="D672" s="2"/>
      <c r="E672" s="51"/>
      <c r="F672" s="51"/>
      <c r="G672" s="51"/>
      <c r="H672" s="51"/>
      <c r="I672" s="2"/>
      <c r="J672" s="2"/>
      <c r="K672" s="2"/>
      <c r="L672" s="2"/>
      <c r="M672" s="2"/>
      <c r="N672" s="2"/>
      <c r="O672" s="2"/>
      <c r="P672" s="53"/>
      <c r="Q672" s="53"/>
      <c r="R672" s="2"/>
      <c r="S672" s="2"/>
      <c r="T672" s="2"/>
    </row>
    <row r="673" spans="1:20" x14ac:dyDescent="0.25">
      <c r="A673" s="3"/>
      <c r="B673" s="3"/>
      <c r="C673" s="2"/>
      <c r="D673" s="2"/>
      <c r="E673" s="51"/>
      <c r="F673" s="51"/>
      <c r="G673" s="51"/>
      <c r="H673" s="51"/>
      <c r="I673" s="2"/>
      <c r="J673" s="2"/>
      <c r="K673" s="2"/>
      <c r="L673" s="2"/>
      <c r="M673" s="2"/>
      <c r="N673" s="2"/>
      <c r="O673" s="2"/>
      <c r="P673" s="53"/>
      <c r="Q673" s="53"/>
      <c r="R673" s="2"/>
      <c r="S673" s="2"/>
      <c r="T673" s="2"/>
    </row>
    <row r="674" spans="1:20" x14ac:dyDescent="0.25">
      <c r="A674" s="3"/>
      <c r="B674" s="3"/>
      <c r="C674" s="2"/>
      <c r="D674" s="2"/>
      <c r="E674" s="51"/>
      <c r="F674" s="51"/>
      <c r="G674" s="51"/>
      <c r="H674" s="51"/>
      <c r="I674" s="2"/>
      <c r="J674" s="2"/>
      <c r="K674" s="2"/>
      <c r="L674" s="2"/>
      <c r="M674" s="2"/>
      <c r="N674" s="2"/>
      <c r="O674" s="2"/>
      <c r="P674" s="53"/>
      <c r="Q674" s="53"/>
      <c r="R674" s="2"/>
      <c r="S674" s="2"/>
      <c r="T674" s="2"/>
    </row>
    <row r="675" spans="1:20" x14ac:dyDescent="0.25">
      <c r="A675" s="3"/>
      <c r="B675" s="3"/>
      <c r="C675" s="2"/>
      <c r="D675" s="2"/>
      <c r="E675" s="51"/>
      <c r="F675" s="51"/>
      <c r="G675" s="51"/>
      <c r="H675" s="51"/>
      <c r="I675" s="2"/>
      <c r="J675" s="2"/>
      <c r="K675" s="2"/>
      <c r="L675" s="2"/>
      <c r="M675" s="2"/>
      <c r="N675" s="2"/>
      <c r="O675" s="2"/>
      <c r="P675" s="53"/>
      <c r="Q675" s="53"/>
      <c r="R675" s="2"/>
      <c r="S675" s="2"/>
      <c r="T675" s="2"/>
    </row>
    <row r="676" spans="1:20" x14ac:dyDescent="0.25">
      <c r="A676" s="3"/>
      <c r="B676" s="3"/>
      <c r="C676" s="2"/>
      <c r="D676" s="2"/>
      <c r="E676" s="51"/>
      <c r="F676" s="51"/>
      <c r="G676" s="51"/>
      <c r="H676" s="51"/>
      <c r="I676" s="2"/>
      <c r="J676" s="2"/>
      <c r="K676" s="2"/>
      <c r="L676" s="2"/>
      <c r="M676" s="2"/>
      <c r="N676" s="2"/>
      <c r="O676" s="2"/>
      <c r="P676" s="53"/>
      <c r="Q676" s="53"/>
      <c r="R676" s="2"/>
      <c r="S676" s="2"/>
      <c r="T676" s="2"/>
    </row>
    <row r="677" spans="1:20" x14ac:dyDescent="0.25">
      <c r="A677" s="3"/>
      <c r="B677" s="3"/>
      <c r="C677" s="2"/>
      <c r="D677" s="2"/>
      <c r="E677" s="51"/>
      <c r="F677" s="51"/>
      <c r="G677" s="51"/>
      <c r="H677" s="51"/>
      <c r="I677" s="2"/>
      <c r="J677" s="2"/>
      <c r="K677" s="2"/>
      <c r="L677" s="2"/>
      <c r="M677" s="2"/>
      <c r="N677" s="2"/>
      <c r="O677" s="2"/>
      <c r="P677" s="53"/>
      <c r="Q677" s="53"/>
      <c r="R677" s="2"/>
      <c r="S677" s="2"/>
      <c r="T677" s="2"/>
    </row>
    <row r="678" spans="1:20" x14ac:dyDescent="0.25">
      <c r="A678" s="3"/>
      <c r="B678" s="3"/>
      <c r="C678" s="2"/>
      <c r="D678" s="2"/>
      <c r="E678" s="51"/>
      <c r="F678" s="51"/>
      <c r="G678" s="51"/>
      <c r="H678" s="51"/>
      <c r="I678" s="2"/>
      <c r="J678" s="2"/>
      <c r="K678" s="2"/>
      <c r="L678" s="2"/>
      <c r="M678" s="2"/>
      <c r="N678" s="2"/>
      <c r="O678" s="2"/>
      <c r="P678" s="53"/>
      <c r="Q678" s="53"/>
      <c r="R678" s="2"/>
      <c r="S678" s="2"/>
      <c r="T678" s="2"/>
    </row>
    <row r="679" spans="1:20" x14ac:dyDescent="0.25">
      <c r="A679" s="3"/>
      <c r="B679" s="3"/>
      <c r="C679" s="2"/>
      <c r="D679" s="2"/>
      <c r="E679" s="51"/>
      <c r="F679" s="51"/>
      <c r="G679" s="51"/>
      <c r="H679" s="51"/>
      <c r="I679" s="2"/>
      <c r="J679" s="2"/>
      <c r="K679" s="2"/>
      <c r="L679" s="2"/>
      <c r="M679" s="2"/>
      <c r="N679" s="2"/>
      <c r="O679" s="2"/>
      <c r="P679" s="53"/>
      <c r="Q679" s="53"/>
      <c r="R679" s="2"/>
      <c r="S679" s="2"/>
      <c r="T679" s="2"/>
    </row>
    <row r="680" spans="1:20" x14ac:dyDescent="0.25">
      <c r="A680" s="3"/>
      <c r="B680" s="3"/>
      <c r="C680" s="2"/>
      <c r="D680" s="2"/>
      <c r="E680" s="51"/>
      <c r="F680" s="51"/>
      <c r="G680" s="51"/>
      <c r="H680" s="51"/>
      <c r="I680" s="2"/>
      <c r="J680" s="2"/>
      <c r="K680" s="2"/>
      <c r="L680" s="2"/>
      <c r="M680" s="2"/>
      <c r="N680" s="2"/>
      <c r="O680" s="2"/>
      <c r="P680" s="53"/>
      <c r="Q680" s="53"/>
      <c r="R680" s="2"/>
      <c r="S680" s="2"/>
      <c r="T680" s="2"/>
    </row>
    <row r="681" spans="1:20" x14ac:dyDescent="0.25">
      <c r="A681" s="3"/>
      <c r="B681" s="3"/>
      <c r="C681" s="2"/>
      <c r="D681" s="2"/>
      <c r="E681" s="51"/>
      <c r="F681" s="51"/>
      <c r="G681" s="51"/>
      <c r="H681" s="51"/>
      <c r="I681" s="2"/>
      <c r="J681" s="2"/>
      <c r="K681" s="2"/>
      <c r="L681" s="2"/>
      <c r="M681" s="2"/>
      <c r="N681" s="2"/>
      <c r="O681" s="2"/>
      <c r="P681" s="53"/>
      <c r="Q681" s="53"/>
      <c r="R681" s="2"/>
      <c r="S681" s="2"/>
      <c r="T681" s="2"/>
    </row>
    <row r="682" spans="1:20" x14ac:dyDescent="0.25">
      <c r="A682" s="3"/>
      <c r="B682" s="3"/>
      <c r="C682" s="2"/>
      <c r="D682" s="2"/>
      <c r="E682" s="51"/>
      <c r="F682" s="51"/>
      <c r="G682" s="51"/>
      <c r="H682" s="51"/>
      <c r="I682" s="2"/>
      <c r="J682" s="2"/>
      <c r="K682" s="2"/>
      <c r="L682" s="2"/>
      <c r="M682" s="2"/>
      <c r="N682" s="2"/>
      <c r="O682" s="2"/>
      <c r="P682" s="53"/>
      <c r="Q682" s="53"/>
      <c r="R682" s="2"/>
      <c r="S682" s="2"/>
      <c r="T682" s="2"/>
    </row>
    <row r="683" spans="1:20" x14ac:dyDescent="0.25">
      <c r="A683" s="3"/>
      <c r="B683" s="3"/>
      <c r="C683" s="2"/>
      <c r="D683" s="2"/>
      <c r="E683" s="51"/>
      <c r="F683" s="51"/>
      <c r="G683" s="51"/>
      <c r="H683" s="51"/>
      <c r="I683" s="2"/>
      <c r="J683" s="2"/>
      <c r="K683" s="2"/>
      <c r="L683" s="2"/>
      <c r="M683" s="2"/>
      <c r="N683" s="2"/>
      <c r="O683" s="2"/>
      <c r="P683" s="53"/>
      <c r="Q683" s="53"/>
      <c r="R683" s="2"/>
      <c r="S683" s="2"/>
      <c r="T683" s="2"/>
    </row>
    <row r="684" spans="1:20" x14ac:dyDescent="0.25">
      <c r="A684" s="3"/>
      <c r="B684" s="3"/>
      <c r="C684" s="2"/>
      <c r="D684" s="2"/>
      <c r="E684" s="51"/>
      <c r="F684" s="51"/>
      <c r="G684" s="51"/>
      <c r="H684" s="51"/>
      <c r="I684" s="2"/>
      <c r="J684" s="2"/>
      <c r="K684" s="2"/>
      <c r="L684" s="2"/>
      <c r="M684" s="2"/>
      <c r="N684" s="2"/>
      <c r="O684" s="2"/>
      <c r="P684" s="53"/>
      <c r="Q684" s="53"/>
      <c r="R684" s="2"/>
      <c r="S684" s="2"/>
      <c r="T684" s="2"/>
    </row>
    <row r="685" spans="1:20" x14ac:dyDescent="0.25">
      <c r="A685" s="3"/>
      <c r="B685" s="3"/>
      <c r="C685" s="2"/>
      <c r="D685" s="2"/>
      <c r="E685" s="51"/>
      <c r="F685" s="51"/>
      <c r="G685" s="51"/>
      <c r="H685" s="51"/>
      <c r="I685" s="2"/>
      <c r="J685" s="2"/>
      <c r="K685" s="2"/>
      <c r="L685" s="2"/>
      <c r="M685" s="2"/>
      <c r="N685" s="2"/>
      <c r="O685" s="2"/>
      <c r="P685" s="53"/>
      <c r="Q685" s="53"/>
      <c r="R685" s="2"/>
      <c r="S685" s="2"/>
      <c r="T685" s="2"/>
    </row>
    <row r="686" spans="1:20" x14ac:dyDescent="0.25">
      <c r="A686" s="3"/>
      <c r="B686" s="3"/>
      <c r="C686" s="2"/>
      <c r="D686" s="2"/>
      <c r="E686" s="51"/>
      <c r="F686" s="51"/>
      <c r="G686" s="51"/>
      <c r="H686" s="51"/>
      <c r="I686" s="2"/>
      <c r="J686" s="2"/>
      <c r="K686" s="2"/>
      <c r="L686" s="2"/>
      <c r="M686" s="2"/>
      <c r="N686" s="2"/>
      <c r="O686" s="2"/>
      <c r="P686" s="53"/>
      <c r="Q686" s="53"/>
      <c r="R686" s="2"/>
      <c r="S686" s="2"/>
      <c r="T686" s="2"/>
    </row>
    <row r="687" spans="1:20" x14ac:dyDescent="0.25">
      <c r="A687" s="3"/>
      <c r="B687" s="3"/>
      <c r="C687" s="2"/>
      <c r="D687" s="2"/>
      <c r="E687" s="51"/>
      <c r="F687" s="51"/>
      <c r="G687" s="51"/>
      <c r="H687" s="51"/>
      <c r="I687" s="2"/>
      <c r="J687" s="2"/>
      <c r="K687" s="2"/>
      <c r="L687" s="2"/>
      <c r="M687" s="2"/>
      <c r="N687" s="2"/>
      <c r="O687" s="2"/>
      <c r="P687" s="53"/>
      <c r="Q687" s="53"/>
      <c r="R687" s="2"/>
      <c r="S687" s="2"/>
      <c r="T687" s="2"/>
    </row>
    <row r="688" spans="1:20" x14ac:dyDescent="0.25">
      <c r="A688" s="3"/>
      <c r="B688" s="3"/>
      <c r="C688" s="2"/>
      <c r="D688" s="2"/>
      <c r="E688" s="51"/>
      <c r="F688" s="51"/>
      <c r="G688" s="51"/>
      <c r="H688" s="51"/>
      <c r="I688" s="2"/>
      <c r="J688" s="2"/>
      <c r="K688" s="2"/>
      <c r="L688" s="2"/>
      <c r="M688" s="2"/>
      <c r="N688" s="2"/>
      <c r="O688" s="2"/>
      <c r="P688" s="53"/>
      <c r="Q688" s="53"/>
      <c r="R688" s="2"/>
      <c r="S688" s="2"/>
      <c r="T688" s="2"/>
    </row>
    <row r="689" spans="1:20" x14ac:dyDescent="0.25">
      <c r="A689" s="3"/>
      <c r="B689" s="3"/>
      <c r="C689" s="2"/>
      <c r="D689" s="2"/>
      <c r="E689" s="51"/>
      <c r="F689" s="51"/>
      <c r="G689" s="51"/>
      <c r="H689" s="51"/>
      <c r="I689" s="2"/>
      <c r="J689" s="2"/>
      <c r="K689" s="2"/>
      <c r="L689" s="2"/>
      <c r="M689" s="2"/>
      <c r="N689" s="2"/>
      <c r="O689" s="2"/>
      <c r="P689" s="53"/>
      <c r="Q689" s="53"/>
      <c r="R689" s="2"/>
      <c r="S689" s="2"/>
      <c r="T689" s="2"/>
    </row>
    <row r="690" spans="1:20" x14ac:dyDescent="0.25">
      <c r="A690" s="3"/>
      <c r="B690" s="3"/>
      <c r="C690" s="2"/>
      <c r="D690" s="2"/>
      <c r="E690" s="51"/>
      <c r="F690" s="51"/>
      <c r="G690" s="51"/>
      <c r="H690" s="51"/>
      <c r="I690" s="2"/>
      <c r="J690" s="2"/>
      <c r="K690" s="2"/>
      <c r="L690" s="2"/>
      <c r="M690" s="2"/>
      <c r="N690" s="2"/>
      <c r="O690" s="2"/>
      <c r="P690" s="53"/>
      <c r="Q690" s="53"/>
      <c r="R690" s="2"/>
      <c r="S690" s="2"/>
      <c r="T690" s="2"/>
    </row>
    <row r="691" spans="1:20" x14ac:dyDescent="0.25">
      <c r="A691" s="3"/>
      <c r="B691" s="3"/>
      <c r="C691" s="2"/>
      <c r="D691" s="2"/>
      <c r="E691" s="51"/>
      <c r="F691" s="51"/>
      <c r="G691" s="51"/>
      <c r="H691" s="51"/>
      <c r="I691" s="2"/>
      <c r="J691" s="2"/>
      <c r="K691" s="2"/>
      <c r="L691" s="2"/>
      <c r="M691" s="2"/>
      <c r="N691" s="2"/>
      <c r="O691" s="2"/>
      <c r="P691" s="53"/>
      <c r="Q691" s="53"/>
      <c r="R691" s="2"/>
      <c r="S691" s="2"/>
      <c r="T691" s="2"/>
    </row>
    <row r="692" spans="1:20" x14ac:dyDescent="0.25">
      <c r="A692" s="3"/>
      <c r="B692" s="3"/>
      <c r="C692" s="2"/>
      <c r="D692" s="2"/>
      <c r="E692" s="51"/>
      <c r="F692" s="51"/>
      <c r="G692" s="51"/>
      <c r="H692" s="51"/>
      <c r="I692" s="2"/>
      <c r="J692" s="2"/>
      <c r="K692" s="2"/>
      <c r="L692" s="2"/>
      <c r="M692" s="2"/>
      <c r="N692" s="2"/>
      <c r="O692" s="2"/>
      <c r="P692" s="53"/>
      <c r="Q692" s="53"/>
      <c r="R692" s="2"/>
      <c r="S692" s="2"/>
      <c r="T692" s="2"/>
    </row>
    <row r="693" spans="1:20" x14ac:dyDescent="0.25">
      <c r="A693" s="3"/>
      <c r="B693" s="3"/>
      <c r="C693" s="2"/>
      <c r="D693" s="2"/>
      <c r="E693" s="51"/>
      <c r="F693" s="51"/>
      <c r="G693" s="51"/>
      <c r="H693" s="51"/>
      <c r="I693" s="2"/>
      <c r="J693" s="2"/>
      <c r="K693" s="2"/>
      <c r="L693" s="2"/>
      <c r="M693" s="2"/>
      <c r="N693" s="2"/>
      <c r="O693" s="2"/>
      <c r="P693" s="53"/>
      <c r="Q693" s="53"/>
      <c r="R693" s="2"/>
      <c r="S693" s="2"/>
      <c r="T693" s="2"/>
    </row>
    <row r="694" spans="1:20" x14ac:dyDescent="0.25">
      <c r="A694" s="3"/>
      <c r="B694" s="3"/>
      <c r="C694" s="2"/>
      <c r="D694" s="2"/>
      <c r="E694" s="51"/>
      <c r="F694" s="51"/>
      <c r="G694" s="51"/>
      <c r="H694" s="51"/>
      <c r="I694" s="2"/>
      <c r="J694" s="2"/>
      <c r="K694" s="2"/>
      <c r="L694" s="2"/>
      <c r="M694" s="2"/>
      <c r="N694" s="2"/>
      <c r="O694" s="2"/>
      <c r="P694" s="53"/>
      <c r="Q694" s="53"/>
      <c r="R694" s="2"/>
      <c r="S694" s="2"/>
      <c r="T694" s="2"/>
    </row>
    <row r="695" spans="1:20" x14ac:dyDescent="0.25">
      <c r="A695" s="3"/>
      <c r="B695" s="3"/>
      <c r="C695" s="2"/>
      <c r="D695" s="2"/>
      <c r="E695" s="51"/>
      <c r="F695" s="51"/>
      <c r="G695" s="51"/>
      <c r="H695" s="51"/>
      <c r="I695" s="2"/>
      <c r="J695" s="2"/>
      <c r="K695" s="2"/>
      <c r="L695" s="2"/>
      <c r="M695" s="2"/>
      <c r="N695" s="2"/>
      <c r="O695" s="2"/>
      <c r="P695" s="53"/>
      <c r="Q695" s="53"/>
      <c r="R695" s="2"/>
      <c r="S695" s="2"/>
      <c r="T695" s="2"/>
    </row>
    <row r="696" spans="1:20" x14ac:dyDescent="0.25">
      <c r="A696" s="3"/>
      <c r="B696" s="3"/>
      <c r="C696" s="2"/>
      <c r="D696" s="2"/>
      <c r="E696" s="51"/>
      <c r="F696" s="51"/>
      <c r="G696" s="51"/>
      <c r="H696" s="51"/>
      <c r="I696" s="2"/>
      <c r="J696" s="2"/>
      <c r="K696" s="2"/>
      <c r="L696" s="2"/>
      <c r="M696" s="2"/>
      <c r="N696" s="2"/>
      <c r="O696" s="2"/>
      <c r="P696" s="53"/>
      <c r="Q696" s="53"/>
      <c r="R696" s="2"/>
      <c r="S696" s="2"/>
      <c r="T696" s="2"/>
    </row>
    <row r="697" spans="1:20" x14ac:dyDescent="0.25">
      <c r="A697" s="3"/>
      <c r="B697" s="3"/>
      <c r="C697" s="2"/>
      <c r="D697" s="2"/>
      <c r="E697" s="51"/>
      <c r="F697" s="51"/>
      <c r="G697" s="51"/>
      <c r="H697" s="51"/>
      <c r="I697" s="2"/>
      <c r="J697" s="2"/>
      <c r="K697" s="2"/>
      <c r="L697" s="2"/>
      <c r="M697" s="2"/>
      <c r="N697" s="2"/>
      <c r="O697" s="2"/>
      <c r="P697" s="53"/>
      <c r="Q697" s="53"/>
      <c r="R697" s="2"/>
      <c r="S697" s="2"/>
      <c r="T697" s="2"/>
    </row>
    <row r="698" spans="1:20" x14ac:dyDescent="0.25">
      <c r="A698" s="3"/>
      <c r="B698" s="3"/>
      <c r="C698" s="2"/>
      <c r="D698" s="2"/>
      <c r="E698" s="51"/>
      <c r="F698" s="51"/>
      <c r="G698" s="51"/>
      <c r="H698" s="51"/>
      <c r="I698" s="2"/>
      <c r="J698" s="2"/>
      <c r="K698" s="2"/>
      <c r="L698" s="2"/>
      <c r="M698" s="2"/>
      <c r="N698" s="2"/>
      <c r="O698" s="2"/>
      <c r="P698" s="53"/>
      <c r="Q698" s="53"/>
      <c r="R698" s="2"/>
      <c r="S698" s="2"/>
      <c r="T698" s="2"/>
    </row>
    <row r="699" spans="1:20" x14ac:dyDescent="0.25">
      <c r="A699" s="3"/>
      <c r="B699" s="3"/>
      <c r="C699" s="2"/>
      <c r="D699" s="2"/>
      <c r="E699" s="51"/>
      <c r="F699" s="51"/>
      <c r="G699" s="51"/>
      <c r="H699" s="51"/>
      <c r="I699" s="2"/>
      <c r="J699" s="2"/>
      <c r="K699" s="2"/>
      <c r="L699" s="2"/>
      <c r="M699" s="2"/>
      <c r="N699" s="2"/>
      <c r="O699" s="2"/>
      <c r="P699" s="53"/>
      <c r="Q699" s="53"/>
      <c r="R699" s="2"/>
      <c r="S699" s="2"/>
      <c r="T699" s="2"/>
    </row>
    <row r="700" spans="1:20" x14ac:dyDescent="0.25">
      <c r="A700" s="3"/>
      <c r="B700" s="3"/>
      <c r="C700" s="2"/>
      <c r="D700" s="2"/>
      <c r="E700" s="51"/>
      <c r="F700" s="51"/>
      <c r="G700" s="51"/>
      <c r="H700" s="51"/>
      <c r="I700" s="2"/>
      <c r="J700" s="2"/>
      <c r="K700" s="2"/>
      <c r="L700" s="2"/>
      <c r="M700" s="2"/>
      <c r="N700" s="2"/>
      <c r="O700" s="2"/>
      <c r="P700" s="53"/>
      <c r="Q700" s="53"/>
      <c r="R700" s="2"/>
      <c r="S700" s="2"/>
      <c r="T700" s="2"/>
    </row>
    <row r="701" spans="1:20" x14ac:dyDescent="0.25">
      <c r="A701" s="3"/>
      <c r="B701" s="3"/>
      <c r="C701" s="2"/>
      <c r="D701" s="2"/>
      <c r="E701" s="51"/>
      <c r="F701" s="51"/>
      <c r="G701" s="51"/>
      <c r="H701" s="51"/>
      <c r="I701" s="2"/>
      <c r="J701" s="2"/>
      <c r="K701" s="2"/>
      <c r="L701" s="2"/>
      <c r="M701" s="2"/>
      <c r="N701" s="2"/>
      <c r="O701" s="2"/>
      <c r="P701" s="53"/>
      <c r="Q701" s="53"/>
      <c r="R701" s="2"/>
      <c r="S701" s="2"/>
      <c r="T701" s="2"/>
    </row>
    <row r="702" spans="1:20" x14ac:dyDescent="0.25">
      <c r="A702" s="3"/>
      <c r="B702" s="3"/>
      <c r="C702" s="2"/>
      <c r="D702" s="2"/>
      <c r="E702" s="51"/>
      <c r="F702" s="51"/>
      <c r="G702" s="51"/>
      <c r="H702" s="51"/>
      <c r="I702" s="2"/>
      <c r="J702" s="2"/>
      <c r="K702" s="2"/>
      <c r="L702" s="2"/>
      <c r="M702" s="2"/>
      <c r="N702" s="2"/>
      <c r="O702" s="2"/>
      <c r="P702" s="53"/>
      <c r="Q702" s="53"/>
      <c r="R702" s="2"/>
      <c r="S702" s="2"/>
      <c r="T702" s="2"/>
    </row>
    <row r="703" spans="1:20" x14ac:dyDescent="0.25">
      <c r="A703" s="3"/>
      <c r="B703" s="3"/>
      <c r="C703" s="2"/>
      <c r="D703" s="2"/>
      <c r="E703" s="51"/>
      <c r="F703" s="51"/>
      <c r="G703" s="51"/>
      <c r="H703" s="51"/>
      <c r="I703" s="2"/>
      <c r="J703" s="2"/>
      <c r="K703" s="2"/>
      <c r="L703" s="2"/>
      <c r="M703" s="2"/>
      <c r="N703" s="2"/>
      <c r="O703" s="2"/>
      <c r="P703" s="53"/>
      <c r="Q703" s="53"/>
      <c r="R703" s="2"/>
      <c r="S703" s="2"/>
      <c r="T703" s="2"/>
    </row>
    <row r="704" spans="1:20" x14ac:dyDescent="0.25">
      <c r="A704" s="3"/>
      <c r="B704" s="3"/>
      <c r="C704" s="2"/>
      <c r="D704" s="2"/>
      <c r="E704" s="51"/>
      <c r="F704" s="51"/>
      <c r="G704" s="51"/>
      <c r="H704" s="51"/>
      <c r="I704" s="2"/>
      <c r="J704" s="2"/>
      <c r="K704" s="2"/>
      <c r="L704" s="2"/>
      <c r="M704" s="2"/>
      <c r="N704" s="2"/>
      <c r="O704" s="2"/>
      <c r="P704" s="53"/>
      <c r="Q704" s="53"/>
      <c r="R704" s="2"/>
      <c r="S704" s="2"/>
      <c r="T704" s="2"/>
    </row>
    <row r="705" spans="1:20" x14ac:dyDescent="0.25">
      <c r="A705" s="3"/>
      <c r="B705" s="3"/>
      <c r="C705" s="2"/>
      <c r="D705" s="2"/>
      <c r="E705" s="51"/>
      <c r="F705" s="51"/>
      <c r="G705" s="51"/>
      <c r="H705" s="51"/>
      <c r="I705" s="2"/>
      <c r="J705" s="2"/>
      <c r="K705" s="2"/>
      <c r="L705" s="2"/>
      <c r="M705" s="2"/>
      <c r="N705" s="2"/>
      <c r="O705" s="2"/>
      <c r="P705" s="53"/>
      <c r="Q705" s="53"/>
      <c r="R705" s="2"/>
      <c r="S705" s="2"/>
      <c r="T705" s="2"/>
    </row>
    <row r="706" spans="1:20" x14ac:dyDescent="0.25">
      <c r="A706" s="3"/>
      <c r="B706" s="3"/>
      <c r="C706" s="2"/>
      <c r="D706" s="2"/>
      <c r="E706" s="51"/>
      <c r="F706" s="51"/>
      <c r="G706" s="51"/>
      <c r="H706" s="51"/>
      <c r="I706" s="2"/>
      <c r="J706" s="2"/>
      <c r="K706" s="2"/>
      <c r="L706" s="2"/>
      <c r="M706" s="2"/>
      <c r="N706" s="2"/>
      <c r="O706" s="2"/>
      <c r="P706" s="53"/>
      <c r="Q706" s="53"/>
      <c r="R706" s="2"/>
      <c r="S706" s="2"/>
      <c r="T706" s="2"/>
    </row>
    <row r="707" spans="1:20" x14ac:dyDescent="0.25">
      <c r="A707" s="3"/>
      <c r="B707" s="3"/>
      <c r="C707" s="2"/>
      <c r="D707" s="2"/>
      <c r="E707" s="51"/>
      <c r="F707" s="51"/>
      <c r="G707" s="51"/>
      <c r="H707" s="51"/>
      <c r="I707" s="2"/>
      <c r="J707" s="2"/>
      <c r="K707" s="2"/>
      <c r="L707" s="2"/>
      <c r="M707" s="2"/>
      <c r="N707" s="2"/>
      <c r="O707" s="2"/>
      <c r="P707" s="53"/>
      <c r="Q707" s="53"/>
      <c r="R707" s="2"/>
      <c r="S707" s="2"/>
      <c r="T707" s="2"/>
    </row>
    <row r="708" spans="1:20" x14ac:dyDescent="0.25">
      <c r="A708" s="3"/>
      <c r="B708" s="3"/>
      <c r="C708" s="2"/>
      <c r="D708" s="2"/>
      <c r="E708" s="51"/>
      <c r="F708" s="51"/>
      <c r="G708" s="51"/>
      <c r="H708" s="51"/>
      <c r="I708" s="2"/>
      <c r="J708" s="2"/>
      <c r="K708" s="2"/>
      <c r="L708" s="2"/>
      <c r="M708" s="2"/>
      <c r="N708" s="2"/>
      <c r="O708" s="2"/>
      <c r="P708" s="53"/>
      <c r="Q708" s="53"/>
      <c r="R708" s="2"/>
      <c r="S708" s="2"/>
      <c r="T708" s="2"/>
    </row>
    <row r="709" spans="1:20" x14ac:dyDescent="0.25">
      <c r="A709" s="3"/>
      <c r="B709" s="3"/>
      <c r="C709" s="2"/>
      <c r="D709" s="2"/>
      <c r="E709" s="51"/>
      <c r="F709" s="51"/>
      <c r="G709" s="51"/>
      <c r="H709" s="51"/>
      <c r="I709" s="2"/>
      <c r="J709" s="2"/>
      <c r="K709" s="2"/>
      <c r="L709" s="2"/>
      <c r="M709" s="2"/>
      <c r="N709" s="2"/>
      <c r="O709" s="2"/>
      <c r="P709" s="53"/>
      <c r="Q709" s="53"/>
      <c r="R709" s="2"/>
      <c r="S709" s="2"/>
      <c r="T709" s="2"/>
    </row>
    <row r="710" spans="1:20" x14ac:dyDescent="0.25">
      <c r="A710" s="3"/>
      <c r="B710" s="3"/>
      <c r="C710" s="2"/>
      <c r="D710" s="2"/>
      <c r="E710" s="51"/>
      <c r="F710" s="51"/>
      <c r="G710" s="51"/>
      <c r="H710" s="51"/>
      <c r="I710" s="2"/>
      <c r="J710" s="2"/>
      <c r="K710" s="2"/>
      <c r="L710" s="2"/>
      <c r="M710" s="2"/>
      <c r="N710" s="2"/>
      <c r="O710" s="2"/>
      <c r="P710" s="53"/>
      <c r="Q710" s="53"/>
      <c r="R710" s="2"/>
      <c r="S710" s="2"/>
      <c r="T710" s="2"/>
    </row>
    <row r="711" spans="1:20" x14ac:dyDescent="0.25">
      <c r="A711" s="3"/>
      <c r="B711" s="3"/>
      <c r="C711" s="2"/>
      <c r="D711" s="2"/>
      <c r="E711" s="51"/>
      <c r="F711" s="51"/>
      <c r="G711" s="51"/>
      <c r="H711" s="51"/>
      <c r="I711" s="2"/>
      <c r="J711" s="2"/>
      <c r="K711" s="2"/>
      <c r="L711" s="2"/>
      <c r="M711" s="2"/>
      <c r="N711" s="2"/>
      <c r="O711" s="2"/>
      <c r="P711" s="53"/>
      <c r="Q711" s="53"/>
      <c r="R711" s="2"/>
      <c r="S711" s="2"/>
      <c r="T711" s="2"/>
    </row>
    <row r="712" spans="1:20" x14ac:dyDescent="0.25">
      <c r="A712" s="3"/>
      <c r="B712" s="3"/>
      <c r="C712" s="2"/>
      <c r="D712" s="2"/>
      <c r="E712" s="51"/>
      <c r="F712" s="51"/>
      <c r="G712" s="51"/>
      <c r="H712" s="51"/>
      <c r="I712" s="2"/>
      <c r="J712" s="2"/>
      <c r="K712" s="2"/>
      <c r="L712" s="2"/>
      <c r="M712" s="2"/>
      <c r="N712" s="2"/>
      <c r="O712" s="2"/>
      <c r="P712" s="53"/>
      <c r="Q712" s="53"/>
      <c r="R712" s="2"/>
      <c r="S712" s="2"/>
      <c r="T712" s="2"/>
    </row>
    <row r="713" spans="1:20" x14ac:dyDescent="0.25">
      <c r="A713" s="3"/>
      <c r="B713" s="3"/>
      <c r="C713" s="2"/>
      <c r="D713" s="2"/>
      <c r="E713" s="51"/>
      <c r="F713" s="51"/>
      <c r="G713" s="51"/>
      <c r="H713" s="51"/>
      <c r="I713" s="2"/>
      <c r="J713" s="2"/>
      <c r="K713" s="2"/>
      <c r="L713" s="2"/>
      <c r="M713" s="2"/>
      <c r="N713" s="2"/>
      <c r="O713" s="2"/>
      <c r="P713" s="53"/>
      <c r="Q713" s="53"/>
      <c r="R713" s="2"/>
      <c r="S713" s="2"/>
      <c r="T713" s="2"/>
    </row>
    <row r="714" spans="1:20" x14ac:dyDescent="0.25">
      <c r="A714" s="3"/>
      <c r="B714" s="3"/>
      <c r="C714" s="2"/>
      <c r="D714" s="2"/>
      <c r="E714" s="51"/>
      <c r="F714" s="51"/>
      <c r="G714" s="51"/>
      <c r="H714" s="51"/>
      <c r="I714" s="2"/>
      <c r="J714" s="2"/>
      <c r="K714" s="2"/>
      <c r="L714" s="2"/>
      <c r="M714" s="2"/>
      <c r="N714" s="2"/>
      <c r="O714" s="2"/>
      <c r="P714" s="53"/>
      <c r="Q714" s="53"/>
      <c r="R714" s="2"/>
      <c r="S714" s="2"/>
      <c r="T714" s="2"/>
    </row>
    <row r="715" spans="1:20" x14ac:dyDescent="0.25">
      <c r="A715" s="3"/>
      <c r="B715" s="3"/>
      <c r="C715" s="2"/>
      <c r="D715" s="2"/>
      <c r="E715" s="51"/>
      <c r="F715" s="51"/>
      <c r="G715" s="51"/>
      <c r="H715" s="51"/>
      <c r="I715" s="2"/>
      <c r="J715" s="2"/>
      <c r="K715" s="2"/>
      <c r="L715" s="2"/>
      <c r="M715" s="2"/>
      <c r="N715" s="2"/>
      <c r="O715" s="2"/>
      <c r="P715" s="53"/>
      <c r="Q715" s="53"/>
      <c r="R715" s="2"/>
      <c r="S715" s="2"/>
      <c r="T715" s="2"/>
    </row>
    <row r="716" spans="1:20" x14ac:dyDescent="0.25">
      <c r="A716" s="3"/>
      <c r="B716" s="3"/>
      <c r="C716" s="2"/>
      <c r="D716" s="2"/>
      <c r="E716" s="51"/>
      <c r="F716" s="51"/>
      <c r="G716" s="51"/>
      <c r="H716" s="51"/>
      <c r="I716" s="2"/>
      <c r="J716" s="2"/>
      <c r="K716" s="2"/>
      <c r="L716" s="2"/>
      <c r="M716" s="2"/>
      <c r="N716" s="2"/>
      <c r="O716" s="2"/>
      <c r="P716" s="53"/>
      <c r="Q716" s="53"/>
      <c r="R716" s="2"/>
      <c r="S716" s="2"/>
      <c r="T716" s="2"/>
    </row>
    <row r="717" spans="1:20" x14ac:dyDescent="0.25">
      <c r="A717" s="3"/>
      <c r="B717" s="3"/>
      <c r="C717" s="2"/>
      <c r="D717" s="2"/>
      <c r="E717" s="51"/>
      <c r="F717" s="51"/>
      <c r="G717" s="51"/>
      <c r="H717" s="51"/>
      <c r="I717" s="2"/>
      <c r="J717" s="2"/>
      <c r="K717" s="2"/>
      <c r="L717" s="2"/>
      <c r="M717" s="2"/>
      <c r="N717" s="2"/>
      <c r="O717" s="2"/>
      <c r="P717" s="53"/>
      <c r="Q717" s="53"/>
      <c r="R717" s="2"/>
      <c r="S717" s="2"/>
      <c r="T717" s="2"/>
    </row>
    <row r="718" spans="1:20" x14ac:dyDescent="0.25">
      <c r="A718" s="3"/>
      <c r="B718" s="3"/>
      <c r="C718" s="2"/>
      <c r="D718" s="2"/>
      <c r="E718" s="51"/>
      <c r="F718" s="51"/>
      <c r="G718" s="51"/>
      <c r="H718" s="51"/>
      <c r="I718" s="2"/>
      <c r="J718" s="2"/>
      <c r="K718" s="2"/>
      <c r="L718" s="2"/>
      <c r="M718" s="2"/>
      <c r="N718" s="2"/>
      <c r="O718" s="2"/>
      <c r="P718" s="53"/>
      <c r="Q718" s="53"/>
      <c r="R718" s="2"/>
      <c r="S718" s="2"/>
      <c r="T718" s="2"/>
    </row>
    <row r="719" spans="1:20" x14ac:dyDescent="0.25">
      <c r="A719" s="3"/>
      <c r="B719" s="3"/>
      <c r="C719" s="2"/>
      <c r="D719" s="2"/>
      <c r="E719" s="51"/>
      <c r="F719" s="51"/>
      <c r="G719" s="51"/>
      <c r="H719" s="51"/>
      <c r="I719" s="2"/>
      <c r="J719" s="2"/>
      <c r="K719" s="2"/>
      <c r="L719" s="2"/>
      <c r="M719" s="2"/>
      <c r="N719" s="2"/>
      <c r="O719" s="2"/>
      <c r="P719" s="53"/>
      <c r="Q719" s="53"/>
      <c r="R719" s="2"/>
      <c r="S719" s="2"/>
      <c r="T719" s="2"/>
    </row>
    <row r="720" spans="1:20" x14ac:dyDescent="0.25">
      <c r="A720" s="3"/>
      <c r="B720" s="3"/>
      <c r="C720" s="2"/>
      <c r="D720" s="2"/>
      <c r="E720" s="51"/>
      <c r="F720" s="51"/>
      <c r="G720" s="51"/>
      <c r="H720" s="51"/>
      <c r="I720" s="2"/>
      <c r="J720" s="2"/>
      <c r="K720" s="2"/>
      <c r="L720" s="2"/>
      <c r="M720" s="2"/>
      <c r="N720" s="2"/>
      <c r="O720" s="2"/>
      <c r="P720" s="53"/>
      <c r="Q720" s="53"/>
      <c r="R720" s="2"/>
      <c r="S720" s="2"/>
      <c r="T720" s="2"/>
    </row>
    <row r="721" spans="1:20" x14ac:dyDescent="0.25">
      <c r="A721" s="3"/>
      <c r="B721" s="3"/>
      <c r="C721" s="2"/>
      <c r="D721" s="2"/>
      <c r="E721" s="51"/>
      <c r="F721" s="51"/>
      <c r="G721" s="51"/>
      <c r="H721" s="51"/>
      <c r="I721" s="2"/>
      <c r="J721" s="2"/>
      <c r="K721" s="2"/>
      <c r="L721" s="2"/>
      <c r="M721" s="2"/>
      <c r="N721" s="2"/>
      <c r="O721" s="2"/>
      <c r="P721" s="53"/>
      <c r="Q721" s="53"/>
      <c r="R721" s="2"/>
      <c r="S721" s="2"/>
      <c r="T721" s="2"/>
    </row>
    <row r="722" spans="1:20" x14ac:dyDescent="0.25">
      <c r="A722" s="3"/>
      <c r="B722" s="3"/>
      <c r="C722" s="2"/>
      <c r="D722" s="2"/>
      <c r="E722" s="51"/>
      <c r="F722" s="51"/>
      <c r="G722" s="51"/>
      <c r="H722" s="51"/>
      <c r="I722" s="2"/>
      <c r="J722" s="2"/>
      <c r="K722" s="2"/>
      <c r="L722" s="2"/>
      <c r="M722" s="2"/>
      <c r="N722" s="2"/>
      <c r="O722" s="2"/>
      <c r="P722" s="53"/>
      <c r="Q722" s="53"/>
      <c r="R722" s="2"/>
      <c r="S722" s="2"/>
      <c r="T722" s="2"/>
    </row>
    <row r="723" spans="1:20" x14ac:dyDescent="0.25">
      <c r="A723" s="3"/>
      <c r="B723" s="3"/>
      <c r="C723" s="2"/>
      <c r="D723" s="2"/>
      <c r="E723" s="51"/>
      <c r="F723" s="51"/>
      <c r="G723" s="51"/>
      <c r="H723" s="51"/>
      <c r="I723" s="2"/>
      <c r="J723" s="2"/>
      <c r="K723" s="2"/>
      <c r="L723" s="2"/>
      <c r="M723" s="2"/>
      <c r="N723" s="2"/>
      <c r="O723" s="2"/>
      <c r="P723" s="53"/>
      <c r="Q723" s="53"/>
      <c r="R723" s="2"/>
      <c r="S723" s="2"/>
      <c r="T723" s="2"/>
    </row>
    <row r="724" spans="1:20" x14ac:dyDescent="0.25">
      <c r="A724" s="3"/>
      <c r="B724" s="3"/>
      <c r="C724" s="2"/>
      <c r="D724" s="2"/>
      <c r="E724" s="51"/>
      <c r="F724" s="51"/>
      <c r="G724" s="51"/>
      <c r="H724" s="51"/>
      <c r="I724" s="2"/>
      <c r="J724" s="2"/>
      <c r="K724" s="2"/>
      <c r="L724" s="2"/>
      <c r="M724" s="2"/>
      <c r="N724" s="2"/>
      <c r="O724" s="2"/>
      <c r="P724" s="53"/>
      <c r="Q724" s="53"/>
      <c r="R724" s="2"/>
      <c r="S724" s="2"/>
      <c r="T724" s="2"/>
    </row>
    <row r="725" spans="1:20" x14ac:dyDescent="0.25">
      <c r="A725" s="3"/>
      <c r="B725" s="3"/>
      <c r="C725" s="2"/>
      <c r="D725" s="2"/>
      <c r="E725" s="51"/>
      <c r="F725" s="51"/>
      <c r="G725" s="51"/>
      <c r="H725" s="51"/>
      <c r="I725" s="2"/>
      <c r="J725" s="2"/>
      <c r="K725" s="2"/>
      <c r="L725" s="2"/>
      <c r="M725" s="2"/>
      <c r="N725" s="2"/>
      <c r="O725" s="2"/>
      <c r="P725" s="53"/>
      <c r="Q725" s="53"/>
      <c r="R725" s="2"/>
      <c r="S725" s="2"/>
      <c r="T725" s="2"/>
    </row>
    <row r="726" spans="1:20" x14ac:dyDescent="0.25">
      <c r="A726" s="3"/>
      <c r="B726" s="3"/>
      <c r="C726" s="2"/>
      <c r="D726" s="2"/>
      <c r="E726" s="51"/>
      <c r="F726" s="51"/>
      <c r="G726" s="51"/>
      <c r="H726" s="51"/>
      <c r="I726" s="2"/>
      <c r="J726" s="2"/>
      <c r="K726" s="2"/>
      <c r="L726" s="2"/>
      <c r="M726" s="2"/>
      <c r="N726" s="2"/>
      <c r="O726" s="2"/>
      <c r="P726" s="53"/>
      <c r="Q726" s="53"/>
      <c r="R726" s="2"/>
      <c r="S726" s="2"/>
      <c r="T726" s="2"/>
    </row>
    <row r="727" spans="1:20" x14ac:dyDescent="0.25">
      <c r="A727" s="3"/>
      <c r="B727" s="3"/>
      <c r="C727" s="2"/>
      <c r="D727" s="2"/>
      <c r="E727" s="51"/>
      <c r="F727" s="51"/>
      <c r="G727" s="51"/>
      <c r="H727" s="51"/>
      <c r="I727" s="2"/>
      <c r="J727" s="2"/>
      <c r="K727" s="2"/>
      <c r="L727" s="2"/>
      <c r="M727" s="2"/>
      <c r="N727" s="2"/>
      <c r="O727" s="2"/>
      <c r="P727" s="53"/>
      <c r="Q727" s="53"/>
      <c r="R727" s="2"/>
      <c r="S727" s="2"/>
      <c r="T727" s="2"/>
    </row>
    <row r="728" spans="1:20" x14ac:dyDescent="0.25">
      <c r="A728" s="3"/>
      <c r="B728" s="3"/>
      <c r="C728" s="2"/>
      <c r="D728" s="2"/>
      <c r="E728" s="51"/>
      <c r="F728" s="51"/>
      <c r="G728" s="51"/>
      <c r="H728" s="51"/>
      <c r="I728" s="2"/>
      <c r="J728" s="2"/>
      <c r="K728" s="2"/>
      <c r="L728" s="2"/>
      <c r="M728" s="2"/>
      <c r="N728" s="2"/>
      <c r="O728" s="2"/>
      <c r="P728" s="53"/>
      <c r="Q728" s="53"/>
      <c r="R728" s="2"/>
      <c r="S728" s="2"/>
      <c r="T728" s="2"/>
    </row>
    <row r="729" spans="1:20" x14ac:dyDescent="0.25">
      <c r="A729" s="3"/>
      <c r="B729" s="3"/>
      <c r="C729" s="2"/>
      <c r="D729" s="2"/>
      <c r="E729" s="51"/>
      <c r="F729" s="51"/>
      <c r="G729" s="51"/>
      <c r="H729" s="51"/>
      <c r="I729" s="2"/>
      <c r="J729" s="2"/>
      <c r="K729" s="2"/>
      <c r="L729" s="2"/>
      <c r="M729" s="2"/>
      <c r="N729" s="2"/>
      <c r="O729" s="2"/>
      <c r="P729" s="53"/>
      <c r="Q729" s="53"/>
      <c r="R729" s="2"/>
      <c r="S729" s="2"/>
      <c r="T729" s="2"/>
    </row>
    <row r="730" spans="1:20" x14ac:dyDescent="0.25">
      <c r="A730" s="3"/>
      <c r="B730" s="3"/>
      <c r="C730" s="2"/>
      <c r="D730" s="2"/>
      <c r="E730" s="51"/>
      <c r="F730" s="51"/>
      <c r="G730" s="51"/>
      <c r="H730" s="51"/>
      <c r="I730" s="2"/>
      <c r="J730" s="2"/>
      <c r="K730" s="2"/>
      <c r="L730" s="2"/>
      <c r="M730" s="2"/>
      <c r="N730" s="2"/>
      <c r="O730" s="2"/>
      <c r="P730" s="53"/>
      <c r="Q730" s="53"/>
      <c r="R730" s="2"/>
      <c r="S730" s="2"/>
      <c r="T730" s="2"/>
    </row>
    <row r="731" spans="1:20" x14ac:dyDescent="0.25">
      <c r="A731" s="3"/>
      <c r="B731" s="3"/>
      <c r="C731" s="2"/>
      <c r="D731" s="2"/>
      <c r="E731" s="51"/>
      <c r="F731" s="51"/>
      <c r="G731" s="51"/>
      <c r="H731" s="51"/>
      <c r="I731" s="2"/>
      <c r="J731" s="2"/>
      <c r="K731" s="2"/>
      <c r="L731" s="2"/>
      <c r="M731" s="2"/>
      <c r="N731" s="2"/>
      <c r="O731" s="2"/>
      <c r="P731" s="53"/>
      <c r="Q731" s="53"/>
      <c r="R731" s="2"/>
      <c r="S731" s="2"/>
      <c r="T731" s="2"/>
    </row>
    <row r="732" spans="1:20" x14ac:dyDescent="0.25">
      <c r="A732" s="3"/>
      <c r="B732" s="3"/>
      <c r="C732" s="2"/>
      <c r="D732" s="2"/>
      <c r="E732" s="51"/>
      <c r="F732" s="51"/>
      <c r="G732" s="51"/>
      <c r="H732" s="51"/>
      <c r="I732" s="2"/>
      <c r="J732" s="2"/>
      <c r="K732" s="2"/>
      <c r="L732" s="2"/>
      <c r="M732" s="2"/>
      <c r="N732" s="2"/>
      <c r="O732" s="2"/>
      <c r="P732" s="53"/>
      <c r="Q732" s="53"/>
      <c r="R732" s="2"/>
      <c r="S732" s="2"/>
      <c r="T732" s="2"/>
    </row>
    <row r="733" spans="1:20" x14ac:dyDescent="0.25">
      <c r="A733" s="3"/>
      <c r="B733" s="3"/>
      <c r="C733" s="2"/>
      <c r="D733" s="2"/>
      <c r="E733" s="51"/>
      <c r="F733" s="51"/>
      <c r="G733" s="51"/>
      <c r="H733" s="51"/>
      <c r="I733" s="2"/>
      <c r="J733" s="2"/>
      <c r="K733" s="2"/>
      <c r="L733" s="2"/>
      <c r="M733" s="2"/>
      <c r="N733" s="2"/>
      <c r="O733" s="2"/>
      <c r="P733" s="53"/>
      <c r="Q733" s="53"/>
      <c r="R733" s="2"/>
      <c r="S733" s="2"/>
      <c r="T733" s="2"/>
    </row>
    <row r="734" spans="1:20" x14ac:dyDescent="0.25">
      <c r="A734" s="3"/>
      <c r="B734" s="3"/>
      <c r="C734" s="2"/>
      <c r="D734" s="2"/>
      <c r="E734" s="51"/>
      <c r="F734" s="51"/>
      <c r="G734" s="51"/>
      <c r="H734" s="51"/>
      <c r="I734" s="2"/>
      <c r="J734" s="2"/>
      <c r="K734" s="2"/>
      <c r="L734" s="2"/>
      <c r="M734" s="2"/>
      <c r="N734" s="2"/>
      <c r="O734" s="2"/>
      <c r="P734" s="53"/>
      <c r="Q734" s="53"/>
      <c r="R734" s="2"/>
      <c r="S734" s="2"/>
      <c r="T734" s="2"/>
    </row>
    <row r="735" spans="1:20" x14ac:dyDescent="0.25">
      <c r="A735" s="3"/>
      <c r="B735" s="3"/>
      <c r="C735" s="2"/>
      <c r="D735" s="2"/>
      <c r="E735" s="51"/>
      <c r="F735" s="51"/>
      <c r="G735" s="51"/>
      <c r="H735" s="51"/>
      <c r="I735" s="2"/>
      <c r="J735" s="2"/>
      <c r="K735" s="2"/>
      <c r="L735" s="2"/>
      <c r="M735" s="2"/>
      <c r="N735" s="2"/>
      <c r="O735" s="2"/>
      <c r="P735" s="53"/>
      <c r="Q735" s="53"/>
      <c r="R735" s="2"/>
      <c r="S735" s="2"/>
      <c r="T735" s="2"/>
    </row>
    <row r="736" spans="1:20" x14ac:dyDescent="0.25">
      <c r="A736" s="3"/>
      <c r="B736" s="3"/>
      <c r="C736" s="2"/>
      <c r="D736" s="2"/>
      <c r="E736" s="51"/>
      <c r="F736" s="51"/>
      <c r="G736" s="51"/>
      <c r="H736" s="51"/>
      <c r="I736" s="2"/>
      <c r="J736" s="2"/>
      <c r="K736" s="2"/>
      <c r="L736" s="2"/>
      <c r="M736" s="2"/>
      <c r="N736" s="2"/>
      <c r="O736" s="2"/>
      <c r="P736" s="53"/>
      <c r="Q736" s="53"/>
      <c r="R736" s="2"/>
      <c r="S736" s="2"/>
      <c r="T736" s="2"/>
    </row>
    <row r="737" spans="1:20" x14ac:dyDescent="0.25">
      <c r="A737" s="3"/>
      <c r="B737" s="3"/>
      <c r="C737" s="2"/>
      <c r="D737" s="2"/>
      <c r="E737" s="51"/>
      <c r="F737" s="51"/>
      <c r="G737" s="51"/>
      <c r="H737" s="51"/>
      <c r="I737" s="2"/>
      <c r="J737" s="2"/>
      <c r="K737" s="2"/>
      <c r="L737" s="2"/>
      <c r="M737" s="2"/>
      <c r="N737" s="2"/>
      <c r="O737" s="2"/>
      <c r="P737" s="53"/>
      <c r="Q737" s="53"/>
      <c r="R737" s="2"/>
      <c r="S737" s="2"/>
      <c r="T737" s="2"/>
    </row>
    <row r="738" spans="1:20" x14ac:dyDescent="0.25">
      <c r="A738" s="3"/>
      <c r="B738" s="3"/>
      <c r="C738" s="2"/>
      <c r="D738" s="2"/>
      <c r="E738" s="51"/>
      <c r="F738" s="51"/>
      <c r="G738" s="51"/>
      <c r="H738" s="51"/>
      <c r="I738" s="2"/>
      <c r="J738" s="2"/>
      <c r="K738" s="2"/>
      <c r="L738" s="2"/>
      <c r="M738" s="2"/>
      <c r="N738" s="2"/>
      <c r="O738" s="2"/>
      <c r="P738" s="53"/>
      <c r="Q738" s="53"/>
      <c r="R738" s="2"/>
      <c r="S738" s="2"/>
      <c r="T738" s="2"/>
    </row>
    <row r="739" spans="1:20" x14ac:dyDescent="0.25">
      <c r="A739" s="3"/>
      <c r="B739" s="3"/>
      <c r="C739" s="2"/>
      <c r="D739" s="2"/>
      <c r="E739" s="51"/>
      <c r="F739" s="51"/>
      <c r="G739" s="51"/>
      <c r="H739" s="51"/>
      <c r="I739" s="2"/>
      <c r="J739" s="2"/>
      <c r="K739" s="2"/>
      <c r="L739" s="2"/>
      <c r="M739" s="2"/>
      <c r="N739" s="2"/>
      <c r="O739" s="2"/>
      <c r="P739" s="53"/>
      <c r="Q739" s="53"/>
      <c r="R739" s="2"/>
      <c r="S739" s="2"/>
      <c r="T739" s="2"/>
    </row>
    <row r="740" spans="1:20" x14ac:dyDescent="0.25">
      <c r="A740" s="3"/>
      <c r="B740" s="3"/>
      <c r="C740" s="2"/>
      <c r="D740" s="2"/>
      <c r="E740" s="51"/>
      <c r="F740" s="51"/>
      <c r="G740" s="51"/>
      <c r="H740" s="51"/>
      <c r="I740" s="2"/>
      <c r="J740" s="2"/>
      <c r="K740" s="2"/>
      <c r="L740" s="2"/>
      <c r="M740" s="2"/>
      <c r="N740" s="2"/>
      <c r="O740" s="2"/>
      <c r="P740" s="53"/>
      <c r="Q740" s="53"/>
      <c r="R740" s="2"/>
      <c r="S740" s="2"/>
      <c r="T740" s="2"/>
    </row>
    <row r="741" spans="1:20" x14ac:dyDescent="0.25">
      <c r="A741" s="3"/>
      <c r="B741" s="3"/>
      <c r="C741" s="2"/>
      <c r="D741" s="2"/>
      <c r="E741" s="51"/>
      <c r="F741" s="51"/>
      <c r="G741" s="51"/>
      <c r="H741" s="51"/>
      <c r="I741" s="2"/>
      <c r="J741" s="2"/>
      <c r="K741" s="2"/>
      <c r="L741" s="2"/>
      <c r="M741" s="2"/>
      <c r="N741" s="2"/>
      <c r="O741" s="2"/>
      <c r="P741" s="53"/>
      <c r="Q741" s="53"/>
      <c r="R741" s="2"/>
      <c r="S741" s="2"/>
      <c r="T741" s="2"/>
    </row>
    <row r="742" spans="1:20" x14ac:dyDescent="0.25">
      <c r="A742" s="3"/>
      <c r="B742" s="3"/>
      <c r="C742" s="2"/>
      <c r="D742" s="2"/>
      <c r="E742" s="51"/>
      <c r="F742" s="51"/>
      <c r="G742" s="51"/>
      <c r="H742" s="51"/>
      <c r="I742" s="2"/>
      <c r="J742" s="2"/>
      <c r="K742" s="2"/>
      <c r="L742" s="2"/>
      <c r="M742" s="2"/>
      <c r="N742" s="2"/>
      <c r="O742" s="2"/>
      <c r="P742" s="53"/>
      <c r="Q742" s="53"/>
      <c r="R742" s="2"/>
      <c r="S742" s="2"/>
      <c r="T742" s="2"/>
    </row>
    <row r="743" spans="1:20" x14ac:dyDescent="0.25">
      <c r="A743" s="3"/>
      <c r="B743" s="3"/>
      <c r="C743" s="2"/>
      <c r="D743" s="2"/>
      <c r="E743" s="51"/>
      <c r="F743" s="51"/>
      <c r="G743" s="51"/>
      <c r="H743" s="51"/>
      <c r="I743" s="2"/>
      <c r="J743" s="2"/>
      <c r="K743" s="2"/>
      <c r="L743" s="2"/>
      <c r="M743" s="2"/>
      <c r="N743" s="2"/>
      <c r="O743" s="2"/>
      <c r="P743" s="53"/>
      <c r="Q743" s="53"/>
      <c r="R743" s="2"/>
      <c r="S743" s="2"/>
      <c r="T743" s="2"/>
    </row>
    <row r="744" spans="1:20" x14ac:dyDescent="0.25">
      <c r="A744" s="3"/>
      <c r="B744" s="3"/>
      <c r="C744" s="2"/>
      <c r="D744" s="2"/>
      <c r="E744" s="51"/>
      <c r="F744" s="51"/>
      <c r="G744" s="51"/>
      <c r="H744" s="51"/>
      <c r="I744" s="2"/>
      <c r="J744" s="2"/>
      <c r="K744" s="2"/>
      <c r="L744" s="2"/>
      <c r="M744" s="2"/>
      <c r="N744" s="2"/>
      <c r="O744" s="2"/>
      <c r="P744" s="53"/>
      <c r="Q744" s="53"/>
      <c r="R744" s="2"/>
      <c r="S744" s="2"/>
      <c r="T744" s="2"/>
    </row>
    <row r="745" spans="1:20" x14ac:dyDescent="0.25">
      <c r="A745" s="3"/>
      <c r="B745" s="3"/>
      <c r="C745" s="2"/>
      <c r="D745" s="2"/>
      <c r="E745" s="51"/>
      <c r="F745" s="51"/>
      <c r="G745" s="51"/>
      <c r="H745" s="51"/>
      <c r="I745" s="2"/>
      <c r="J745" s="2"/>
      <c r="K745" s="2"/>
      <c r="L745" s="2"/>
      <c r="M745" s="2"/>
      <c r="N745" s="2"/>
      <c r="O745" s="2"/>
      <c r="P745" s="53"/>
      <c r="Q745" s="53"/>
      <c r="R745" s="2"/>
      <c r="S745" s="2"/>
      <c r="T745" s="2"/>
    </row>
    <row r="746" spans="1:20" x14ac:dyDescent="0.25">
      <c r="A746" s="3"/>
      <c r="B746" s="3"/>
      <c r="C746" s="2"/>
      <c r="D746" s="2"/>
      <c r="E746" s="51"/>
      <c r="F746" s="51"/>
      <c r="G746" s="51"/>
      <c r="H746" s="51"/>
      <c r="I746" s="2"/>
      <c r="J746" s="2"/>
      <c r="K746" s="2"/>
      <c r="L746" s="2"/>
      <c r="M746" s="2"/>
      <c r="N746" s="2"/>
      <c r="O746" s="2"/>
      <c r="P746" s="53"/>
      <c r="Q746" s="53"/>
      <c r="R746" s="2"/>
      <c r="S746" s="2"/>
      <c r="T746" s="2"/>
    </row>
    <row r="747" spans="1:20" x14ac:dyDescent="0.25">
      <c r="A747" s="3"/>
      <c r="B747" s="3"/>
      <c r="C747" s="2"/>
      <c r="D747" s="2"/>
      <c r="E747" s="51"/>
      <c r="F747" s="51"/>
      <c r="G747" s="51"/>
      <c r="H747" s="51"/>
      <c r="I747" s="2"/>
      <c r="J747" s="2"/>
      <c r="K747" s="2"/>
      <c r="L747" s="2"/>
      <c r="M747" s="2"/>
      <c r="N747" s="2"/>
      <c r="O747" s="2"/>
      <c r="P747" s="53"/>
      <c r="Q747" s="53"/>
      <c r="R747" s="2"/>
      <c r="S747" s="2"/>
      <c r="T747" s="2"/>
    </row>
    <row r="748" spans="1:20" x14ac:dyDescent="0.25">
      <c r="A748" s="3"/>
      <c r="B748" s="3"/>
      <c r="C748" s="2"/>
      <c r="D748" s="2"/>
      <c r="E748" s="51"/>
      <c r="F748" s="51"/>
      <c r="G748" s="51"/>
      <c r="H748" s="51"/>
      <c r="I748" s="2"/>
      <c r="J748" s="2"/>
      <c r="K748" s="2"/>
      <c r="L748" s="2"/>
      <c r="M748" s="2"/>
      <c r="N748" s="2"/>
      <c r="O748" s="2"/>
      <c r="P748" s="53"/>
      <c r="Q748" s="53"/>
      <c r="R748" s="2"/>
      <c r="S748" s="2"/>
      <c r="T748" s="2"/>
    </row>
    <row r="749" spans="1:20" x14ac:dyDescent="0.25">
      <c r="A749" s="3"/>
      <c r="B749" s="3"/>
      <c r="C749" s="2"/>
      <c r="D749" s="2"/>
      <c r="E749" s="51"/>
      <c r="F749" s="51"/>
      <c r="G749" s="51"/>
      <c r="H749" s="51"/>
      <c r="I749" s="2"/>
      <c r="J749" s="2"/>
      <c r="K749" s="2"/>
      <c r="L749" s="2"/>
      <c r="M749" s="2"/>
      <c r="N749" s="2"/>
      <c r="O749" s="2"/>
      <c r="P749" s="53"/>
      <c r="Q749" s="53"/>
      <c r="R749" s="2"/>
      <c r="S749" s="2"/>
      <c r="T749" s="2"/>
    </row>
    <row r="750" spans="1:20" x14ac:dyDescent="0.25">
      <c r="A750" s="3"/>
      <c r="B750" s="3"/>
      <c r="C750" s="2"/>
      <c r="D750" s="2"/>
      <c r="E750" s="51"/>
      <c r="F750" s="51"/>
      <c r="G750" s="51"/>
      <c r="H750" s="51"/>
      <c r="I750" s="2"/>
      <c r="J750" s="2"/>
      <c r="K750" s="2"/>
      <c r="L750" s="2"/>
      <c r="M750" s="2"/>
      <c r="N750" s="2"/>
      <c r="O750" s="2"/>
      <c r="P750" s="53"/>
      <c r="Q750" s="53"/>
      <c r="R750" s="2"/>
      <c r="S750" s="2"/>
      <c r="T750" s="2"/>
    </row>
    <row r="751" spans="1:20" x14ac:dyDescent="0.25">
      <c r="A751" s="3"/>
      <c r="B751" s="3"/>
      <c r="C751" s="2"/>
      <c r="D751" s="2"/>
      <c r="E751" s="51"/>
      <c r="F751" s="51"/>
      <c r="G751" s="51"/>
      <c r="H751" s="51"/>
      <c r="I751" s="2"/>
      <c r="J751" s="2"/>
      <c r="K751" s="2"/>
      <c r="L751" s="2"/>
      <c r="M751" s="2"/>
      <c r="N751" s="2"/>
      <c r="O751" s="2"/>
      <c r="P751" s="53"/>
      <c r="Q751" s="53"/>
      <c r="R751" s="2"/>
      <c r="S751" s="2"/>
      <c r="T751" s="2"/>
    </row>
    <row r="752" spans="1:20" x14ac:dyDescent="0.25">
      <c r="A752" s="3"/>
      <c r="B752" s="3"/>
      <c r="C752" s="2"/>
      <c r="D752" s="2"/>
      <c r="E752" s="51"/>
      <c r="F752" s="51"/>
      <c r="G752" s="51"/>
      <c r="H752" s="51"/>
      <c r="I752" s="2"/>
      <c r="J752" s="2"/>
      <c r="K752" s="2"/>
      <c r="L752" s="2"/>
      <c r="M752" s="2"/>
      <c r="N752" s="2"/>
      <c r="O752" s="2"/>
      <c r="P752" s="53"/>
      <c r="Q752" s="53"/>
      <c r="R752" s="2"/>
      <c r="S752" s="2"/>
      <c r="T752" s="2"/>
    </row>
    <row r="753" spans="1:20" x14ac:dyDescent="0.25">
      <c r="A753" s="3"/>
      <c r="B753" s="3"/>
      <c r="C753" s="2"/>
      <c r="D753" s="2"/>
      <c r="E753" s="51"/>
      <c r="F753" s="51"/>
      <c r="G753" s="51"/>
      <c r="H753" s="51"/>
      <c r="I753" s="2"/>
      <c r="J753" s="2"/>
      <c r="K753" s="2"/>
      <c r="L753" s="2"/>
      <c r="M753" s="2"/>
      <c r="N753" s="2"/>
      <c r="O753" s="2"/>
      <c r="P753" s="53"/>
      <c r="Q753" s="53"/>
      <c r="R753" s="2"/>
      <c r="S753" s="2"/>
      <c r="T753" s="2"/>
    </row>
    <row r="754" spans="1:20" x14ac:dyDescent="0.25">
      <c r="A754" s="3"/>
      <c r="B754" s="3"/>
      <c r="C754" s="2"/>
      <c r="D754" s="2"/>
      <c r="E754" s="51"/>
      <c r="F754" s="51"/>
      <c r="G754" s="51"/>
      <c r="H754" s="51"/>
      <c r="I754" s="2"/>
      <c r="J754" s="2"/>
      <c r="K754" s="2"/>
      <c r="L754" s="2"/>
      <c r="M754" s="2"/>
      <c r="N754" s="2"/>
      <c r="O754" s="2"/>
      <c r="P754" s="53"/>
      <c r="Q754" s="53"/>
      <c r="R754" s="2"/>
      <c r="S754" s="2"/>
      <c r="T754" s="2"/>
    </row>
    <row r="755" spans="1:20" x14ac:dyDescent="0.25">
      <c r="A755" s="3"/>
      <c r="B755" s="3"/>
      <c r="C755" s="2"/>
      <c r="D755" s="2"/>
      <c r="E755" s="51"/>
      <c r="F755" s="51"/>
      <c r="G755" s="51"/>
      <c r="H755" s="51"/>
      <c r="I755" s="2"/>
      <c r="J755" s="2"/>
      <c r="K755" s="2"/>
      <c r="L755" s="2"/>
      <c r="M755" s="2"/>
      <c r="N755" s="2"/>
      <c r="O755" s="2"/>
      <c r="P755" s="53"/>
      <c r="Q755" s="53"/>
      <c r="R755" s="2"/>
      <c r="S755" s="2"/>
      <c r="T755" s="2"/>
    </row>
    <row r="756" spans="1:20" x14ac:dyDescent="0.25">
      <c r="A756" s="3"/>
      <c r="B756" s="3"/>
      <c r="C756" s="2"/>
      <c r="D756" s="2"/>
      <c r="E756" s="51"/>
      <c r="F756" s="51"/>
      <c r="G756" s="51"/>
      <c r="H756" s="51"/>
      <c r="I756" s="2"/>
      <c r="J756" s="2"/>
      <c r="K756" s="2"/>
      <c r="L756" s="2"/>
      <c r="M756" s="2"/>
      <c r="N756" s="2"/>
      <c r="O756" s="2"/>
      <c r="P756" s="53"/>
      <c r="Q756" s="53"/>
      <c r="R756" s="2"/>
      <c r="S756" s="2"/>
      <c r="T756" s="2"/>
    </row>
    <row r="757" spans="1:20" x14ac:dyDescent="0.25">
      <c r="A757" s="3"/>
      <c r="B757" s="3"/>
      <c r="C757" s="2"/>
      <c r="D757" s="2"/>
      <c r="E757" s="51"/>
      <c r="F757" s="51"/>
      <c r="G757" s="51"/>
      <c r="H757" s="51"/>
      <c r="I757" s="2"/>
      <c r="J757" s="2"/>
      <c r="K757" s="2"/>
      <c r="L757" s="2"/>
      <c r="M757" s="2"/>
      <c r="N757" s="2"/>
      <c r="O757" s="2"/>
      <c r="P757" s="53"/>
      <c r="Q757" s="53"/>
      <c r="R757" s="2"/>
      <c r="S757" s="2"/>
      <c r="T757" s="2"/>
    </row>
    <row r="758" spans="1:20" x14ac:dyDescent="0.25">
      <c r="A758" s="3"/>
      <c r="B758" s="3"/>
      <c r="C758" s="2"/>
      <c r="D758" s="2"/>
      <c r="E758" s="51"/>
      <c r="F758" s="51"/>
      <c r="G758" s="51"/>
      <c r="H758" s="51"/>
      <c r="I758" s="2"/>
      <c r="J758" s="2"/>
      <c r="K758" s="2"/>
      <c r="L758" s="2"/>
      <c r="M758" s="2"/>
      <c r="N758" s="2"/>
      <c r="O758" s="2"/>
      <c r="P758" s="53"/>
      <c r="Q758" s="53"/>
      <c r="R758" s="2"/>
      <c r="S758" s="2"/>
      <c r="T758" s="2"/>
    </row>
    <row r="759" spans="1:20" x14ac:dyDescent="0.25">
      <c r="A759" s="3"/>
      <c r="B759" s="3"/>
      <c r="C759" s="2"/>
      <c r="D759" s="2"/>
      <c r="E759" s="51"/>
      <c r="F759" s="51"/>
      <c r="G759" s="51"/>
      <c r="H759" s="51"/>
      <c r="I759" s="2"/>
      <c r="J759" s="2"/>
      <c r="K759" s="2"/>
      <c r="L759" s="2"/>
      <c r="M759" s="2"/>
      <c r="N759" s="2"/>
      <c r="O759" s="2"/>
      <c r="P759" s="53"/>
      <c r="Q759" s="53"/>
      <c r="R759" s="2"/>
      <c r="S759" s="2"/>
      <c r="T759" s="2"/>
    </row>
    <row r="760" spans="1:20" x14ac:dyDescent="0.25">
      <c r="A760" s="3"/>
      <c r="B760" s="3"/>
      <c r="C760" s="2"/>
      <c r="D760" s="2"/>
      <c r="E760" s="51"/>
      <c r="F760" s="51"/>
      <c r="G760" s="51"/>
      <c r="H760" s="51"/>
      <c r="I760" s="2"/>
      <c r="J760" s="2"/>
      <c r="K760" s="2"/>
      <c r="L760" s="2"/>
      <c r="M760" s="2"/>
      <c r="N760" s="2"/>
      <c r="O760" s="2"/>
      <c r="P760" s="53"/>
      <c r="Q760" s="53"/>
      <c r="R760" s="2"/>
      <c r="S760" s="2"/>
      <c r="T760" s="2"/>
    </row>
    <row r="761" spans="1:20" x14ac:dyDescent="0.25">
      <c r="A761" s="3"/>
      <c r="B761" s="3"/>
      <c r="C761" s="2"/>
      <c r="D761" s="2"/>
      <c r="E761" s="51"/>
      <c r="F761" s="51"/>
      <c r="G761" s="51"/>
      <c r="H761" s="51"/>
      <c r="I761" s="2"/>
      <c r="J761" s="2"/>
      <c r="K761" s="2"/>
      <c r="L761" s="2"/>
      <c r="M761" s="2"/>
      <c r="N761" s="2"/>
      <c r="O761" s="2"/>
      <c r="P761" s="53"/>
      <c r="Q761" s="53"/>
      <c r="R761" s="2"/>
      <c r="S761" s="2"/>
      <c r="T761" s="2"/>
    </row>
    <row r="762" spans="1:20" x14ac:dyDescent="0.25">
      <c r="A762" s="3"/>
      <c r="B762" s="3"/>
      <c r="C762" s="2"/>
      <c r="D762" s="2"/>
      <c r="E762" s="51"/>
      <c r="F762" s="51"/>
      <c r="G762" s="51"/>
      <c r="H762" s="51"/>
      <c r="I762" s="2"/>
      <c r="J762" s="2"/>
      <c r="K762" s="2"/>
      <c r="L762" s="2"/>
      <c r="M762" s="2"/>
      <c r="N762" s="2"/>
      <c r="O762" s="2"/>
      <c r="P762" s="53"/>
      <c r="Q762" s="53"/>
      <c r="R762" s="2"/>
      <c r="S762" s="2"/>
      <c r="T762" s="2"/>
    </row>
    <row r="763" spans="1:20" x14ac:dyDescent="0.25">
      <c r="A763" s="3"/>
      <c r="B763" s="3"/>
      <c r="C763" s="2"/>
      <c r="D763" s="2"/>
      <c r="E763" s="51"/>
      <c r="F763" s="51"/>
      <c r="G763" s="51"/>
      <c r="H763" s="51"/>
      <c r="I763" s="2"/>
      <c r="J763" s="2"/>
      <c r="K763" s="2"/>
      <c r="L763" s="2"/>
      <c r="M763" s="2"/>
      <c r="N763" s="2"/>
      <c r="O763" s="2"/>
      <c r="P763" s="53"/>
      <c r="Q763" s="53"/>
      <c r="R763" s="2"/>
      <c r="S763" s="2"/>
      <c r="T763" s="2"/>
    </row>
    <row r="764" spans="1:20" x14ac:dyDescent="0.25">
      <c r="A764" s="3"/>
      <c r="B764" s="3"/>
      <c r="C764" s="2"/>
      <c r="D764" s="2"/>
      <c r="E764" s="51"/>
      <c r="F764" s="51"/>
      <c r="G764" s="51"/>
      <c r="H764" s="51"/>
      <c r="I764" s="2"/>
      <c r="J764" s="2"/>
      <c r="K764" s="2"/>
      <c r="L764" s="2"/>
      <c r="M764" s="2"/>
      <c r="N764" s="2"/>
      <c r="O764" s="2"/>
      <c r="P764" s="53"/>
      <c r="Q764" s="53"/>
      <c r="R764" s="2"/>
      <c r="S764" s="2"/>
      <c r="T764" s="2"/>
    </row>
    <row r="765" spans="1:20" x14ac:dyDescent="0.25">
      <c r="A765" s="3"/>
      <c r="B765" s="3"/>
      <c r="C765" s="2"/>
      <c r="D765" s="2"/>
      <c r="E765" s="51"/>
      <c r="F765" s="51"/>
      <c r="G765" s="51"/>
      <c r="H765" s="51"/>
      <c r="I765" s="2"/>
      <c r="J765" s="2"/>
      <c r="K765" s="2"/>
      <c r="L765" s="2"/>
      <c r="M765" s="2"/>
      <c r="N765" s="2"/>
      <c r="O765" s="2"/>
      <c r="P765" s="53"/>
      <c r="Q765" s="53"/>
      <c r="R765" s="2"/>
      <c r="S765" s="2"/>
      <c r="T765" s="2"/>
    </row>
    <row r="766" spans="1:20" x14ac:dyDescent="0.25">
      <c r="A766" s="3"/>
      <c r="B766" s="3"/>
      <c r="C766" s="2"/>
      <c r="D766" s="2"/>
      <c r="E766" s="51"/>
      <c r="F766" s="51"/>
      <c r="G766" s="51"/>
      <c r="H766" s="51"/>
      <c r="I766" s="2"/>
      <c r="J766" s="2"/>
      <c r="K766" s="2"/>
      <c r="L766" s="2"/>
      <c r="M766" s="2"/>
      <c r="N766" s="2"/>
      <c r="O766" s="2"/>
      <c r="P766" s="53"/>
      <c r="Q766" s="53"/>
      <c r="R766" s="2"/>
      <c r="S766" s="2"/>
      <c r="T766" s="2"/>
    </row>
    <row r="767" spans="1:20" x14ac:dyDescent="0.25">
      <c r="A767" s="3"/>
      <c r="B767" s="3"/>
      <c r="C767" s="2"/>
      <c r="D767" s="2"/>
      <c r="E767" s="51"/>
      <c r="F767" s="51"/>
      <c r="G767" s="51"/>
      <c r="H767" s="51"/>
      <c r="I767" s="2"/>
      <c r="J767" s="2"/>
      <c r="K767" s="2"/>
      <c r="L767" s="2"/>
      <c r="M767" s="2"/>
      <c r="N767" s="2"/>
      <c r="O767" s="2"/>
      <c r="P767" s="53"/>
      <c r="Q767" s="53"/>
      <c r="R767" s="2"/>
      <c r="S767" s="2"/>
      <c r="T767" s="2"/>
    </row>
    <row r="768" spans="1:20" x14ac:dyDescent="0.25">
      <c r="A768" s="3"/>
      <c r="B768" s="3"/>
      <c r="C768" s="2"/>
      <c r="D768" s="2"/>
      <c r="E768" s="51"/>
      <c r="F768" s="51"/>
      <c r="G768" s="51"/>
      <c r="H768" s="51"/>
      <c r="I768" s="2"/>
      <c r="J768" s="2"/>
      <c r="K768" s="2"/>
      <c r="L768" s="2"/>
      <c r="M768" s="2"/>
      <c r="N768" s="2"/>
      <c r="O768" s="2"/>
      <c r="P768" s="53"/>
      <c r="Q768" s="53"/>
      <c r="R768" s="2"/>
      <c r="S768" s="2"/>
      <c r="T768" s="2"/>
    </row>
    <row r="769" spans="1:20" x14ac:dyDescent="0.25">
      <c r="A769" s="3"/>
      <c r="B769" s="3"/>
      <c r="C769" s="2"/>
      <c r="D769" s="2"/>
      <c r="E769" s="51"/>
      <c r="F769" s="51"/>
      <c r="G769" s="51"/>
      <c r="H769" s="51"/>
      <c r="I769" s="2"/>
      <c r="J769" s="2"/>
      <c r="K769" s="2"/>
      <c r="L769" s="2"/>
      <c r="M769" s="2"/>
      <c r="N769" s="2"/>
      <c r="O769" s="2"/>
      <c r="P769" s="53"/>
      <c r="Q769" s="53"/>
      <c r="R769" s="2"/>
      <c r="S769" s="2"/>
      <c r="T769" s="2"/>
    </row>
    <row r="770" spans="1:20" x14ac:dyDescent="0.25">
      <c r="A770" s="3"/>
      <c r="B770" s="3"/>
      <c r="C770" s="2"/>
      <c r="D770" s="2"/>
      <c r="E770" s="51"/>
      <c r="F770" s="51"/>
      <c r="G770" s="51"/>
      <c r="H770" s="51"/>
      <c r="I770" s="2"/>
      <c r="J770" s="2"/>
      <c r="K770" s="2"/>
      <c r="L770" s="2"/>
      <c r="M770" s="2"/>
      <c r="N770" s="2"/>
      <c r="O770" s="2"/>
      <c r="P770" s="53"/>
      <c r="Q770" s="53"/>
      <c r="R770" s="2"/>
      <c r="S770" s="2"/>
      <c r="T770" s="2"/>
    </row>
    <row r="771" spans="1:20" x14ac:dyDescent="0.25">
      <c r="A771" s="3"/>
      <c r="B771" s="3"/>
      <c r="C771" s="2"/>
      <c r="D771" s="2"/>
      <c r="E771" s="51"/>
      <c r="F771" s="51"/>
      <c r="G771" s="51"/>
      <c r="H771" s="51"/>
      <c r="I771" s="2"/>
      <c r="J771" s="2"/>
      <c r="K771" s="2"/>
      <c r="L771" s="2"/>
      <c r="M771" s="2"/>
      <c r="N771" s="2"/>
      <c r="O771" s="2"/>
      <c r="P771" s="53"/>
      <c r="Q771" s="53"/>
      <c r="R771" s="2"/>
      <c r="S771" s="2"/>
      <c r="T771" s="2"/>
    </row>
    <row r="772" spans="1:20" x14ac:dyDescent="0.25">
      <c r="A772" s="3"/>
      <c r="B772" s="3"/>
      <c r="C772" s="2"/>
      <c r="D772" s="2"/>
      <c r="E772" s="51"/>
      <c r="F772" s="51"/>
      <c r="G772" s="51"/>
      <c r="H772" s="51"/>
      <c r="I772" s="2"/>
      <c r="J772" s="2"/>
      <c r="K772" s="2"/>
      <c r="L772" s="2"/>
      <c r="M772" s="2"/>
      <c r="N772" s="2"/>
      <c r="O772" s="2"/>
      <c r="P772" s="53"/>
      <c r="Q772" s="53"/>
      <c r="R772" s="2"/>
      <c r="S772" s="2"/>
      <c r="T772" s="2"/>
    </row>
    <row r="773" spans="1:20" x14ac:dyDescent="0.25">
      <c r="A773" s="3"/>
      <c r="B773" s="3"/>
      <c r="C773" s="2"/>
      <c r="D773" s="2"/>
      <c r="E773" s="51"/>
      <c r="F773" s="51"/>
      <c r="G773" s="51"/>
      <c r="H773" s="51"/>
      <c r="I773" s="2"/>
      <c r="J773" s="2"/>
      <c r="K773" s="2"/>
      <c r="L773" s="2"/>
      <c r="M773" s="2"/>
      <c r="N773" s="2"/>
      <c r="O773" s="2"/>
      <c r="P773" s="53"/>
      <c r="Q773" s="53"/>
      <c r="R773" s="2"/>
      <c r="S773" s="2"/>
      <c r="T773" s="2"/>
    </row>
    <row r="774" spans="1:20" x14ac:dyDescent="0.25">
      <c r="A774" s="3"/>
      <c r="B774" s="3"/>
      <c r="C774" s="2"/>
      <c r="D774" s="2"/>
      <c r="E774" s="51"/>
      <c r="F774" s="51"/>
      <c r="G774" s="51"/>
      <c r="H774" s="51"/>
      <c r="I774" s="2"/>
      <c r="J774" s="2"/>
      <c r="K774" s="2"/>
      <c r="L774" s="2"/>
      <c r="M774" s="2"/>
      <c r="N774" s="2"/>
      <c r="O774" s="2"/>
      <c r="P774" s="53"/>
      <c r="Q774" s="53"/>
      <c r="R774" s="2"/>
      <c r="S774" s="2"/>
      <c r="T774" s="2"/>
    </row>
    <row r="775" spans="1:20" x14ac:dyDescent="0.25">
      <c r="A775" s="3"/>
      <c r="B775" s="3"/>
      <c r="C775" s="2"/>
      <c r="D775" s="2"/>
      <c r="E775" s="51"/>
      <c r="F775" s="51"/>
      <c r="G775" s="51"/>
      <c r="H775" s="51"/>
      <c r="I775" s="2"/>
      <c r="J775" s="2"/>
      <c r="K775" s="2"/>
      <c r="L775" s="2"/>
      <c r="M775" s="2"/>
      <c r="N775" s="2"/>
      <c r="O775" s="2"/>
      <c r="P775" s="53"/>
      <c r="Q775" s="53"/>
      <c r="R775" s="2"/>
      <c r="S775" s="2"/>
      <c r="T775" s="2"/>
    </row>
    <row r="776" spans="1:20" x14ac:dyDescent="0.25">
      <c r="A776" s="3"/>
      <c r="B776" s="3"/>
      <c r="C776" s="2"/>
      <c r="D776" s="2"/>
      <c r="E776" s="51"/>
      <c r="F776" s="51"/>
      <c r="G776" s="51"/>
      <c r="H776" s="51"/>
      <c r="I776" s="2"/>
      <c r="J776" s="2"/>
      <c r="K776" s="2"/>
      <c r="L776" s="2"/>
      <c r="M776" s="2"/>
      <c r="N776" s="2"/>
      <c r="O776" s="2"/>
      <c r="P776" s="53"/>
      <c r="Q776" s="53"/>
      <c r="R776" s="2"/>
      <c r="S776" s="2"/>
      <c r="T776" s="2"/>
    </row>
    <row r="777" spans="1:20" x14ac:dyDescent="0.25">
      <c r="A777" s="3"/>
      <c r="B777" s="3"/>
      <c r="C777" s="2"/>
      <c r="D777" s="2"/>
      <c r="E777" s="51"/>
      <c r="F777" s="51"/>
      <c r="G777" s="51"/>
      <c r="H777" s="51"/>
      <c r="I777" s="2"/>
      <c r="J777" s="2"/>
      <c r="K777" s="2"/>
      <c r="L777" s="2"/>
      <c r="M777" s="2"/>
      <c r="N777" s="2"/>
      <c r="O777" s="2"/>
      <c r="P777" s="53"/>
      <c r="Q777" s="53"/>
      <c r="R777" s="2"/>
      <c r="S777" s="2"/>
      <c r="T777" s="2"/>
    </row>
    <row r="778" spans="1:20" x14ac:dyDescent="0.25">
      <c r="A778" s="3"/>
      <c r="B778" s="3"/>
      <c r="C778" s="2"/>
      <c r="D778" s="2"/>
      <c r="E778" s="51"/>
      <c r="F778" s="51"/>
      <c r="G778" s="51"/>
      <c r="H778" s="51"/>
      <c r="I778" s="2"/>
      <c r="J778" s="2"/>
      <c r="K778" s="2"/>
      <c r="L778" s="2"/>
      <c r="M778" s="2"/>
      <c r="N778" s="2"/>
      <c r="O778" s="2"/>
      <c r="P778" s="53"/>
      <c r="Q778" s="53"/>
      <c r="R778" s="2"/>
      <c r="S778" s="2"/>
      <c r="T778" s="2"/>
    </row>
    <row r="779" spans="1:20" x14ac:dyDescent="0.25">
      <c r="A779" s="3"/>
      <c r="B779" s="3"/>
      <c r="C779" s="2"/>
      <c r="D779" s="2"/>
      <c r="E779" s="51"/>
      <c r="F779" s="51"/>
      <c r="G779" s="51"/>
      <c r="H779" s="51"/>
      <c r="I779" s="2"/>
      <c r="J779" s="2"/>
      <c r="K779" s="2"/>
      <c r="L779" s="2"/>
      <c r="M779" s="2"/>
      <c r="N779" s="2"/>
      <c r="O779" s="2"/>
      <c r="P779" s="53"/>
      <c r="Q779" s="53"/>
      <c r="R779" s="2"/>
      <c r="S779" s="2"/>
      <c r="T779" s="2"/>
    </row>
    <row r="780" spans="1:20" x14ac:dyDescent="0.25">
      <c r="A780" s="3"/>
      <c r="B780" s="3"/>
      <c r="C780" s="2"/>
      <c r="D780" s="2"/>
      <c r="E780" s="51"/>
      <c r="F780" s="51"/>
      <c r="G780" s="51"/>
      <c r="H780" s="51"/>
      <c r="I780" s="2"/>
      <c r="J780" s="2"/>
      <c r="K780" s="2"/>
      <c r="L780" s="2"/>
      <c r="M780" s="2"/>
      <c r="N780" s="2"/>
      <c r="O780" s="2"/>
      <c r="P780" s="53"/>
      <c r="Q780" s="53"/>
      <c r="R780" s="2"/>
      <c r="S780" s="2"/>
      <c r="T780" s="2"/>
    </row>
    <row r="781" spans="1:20" x14ac:dyDescent="0.25">
      <c r="A781" s="3"/>
      <c r="B781" s="3"/>
      <c r="C781" s="2"/>
      <c r="D781" s="2"/>
      <c r="E781" s="51"/>
      <c r="F781" s="51"/>
      <c r="G781" s="51"/>
      <c r="H781" s="51"/>
      <c r="I781" s="2"/>
      <c r="J781" s="2"/>
      <c r="K781" s="2"/>
      <c r="L781" s="2"/>
      <c r="M781" s="2"/>
      <c r="N781" s="2"/>
      <c r="O781" s="2"/>
      <c r="P781" s="53"/>
      <c r="Q781" s="53"/>
      <c r="R781" s="2"/>
      <c r="S781" s="2"/>
      <c r="T781" s="2"/>
    </row>
    <row r="782" spans="1:20" x14ac:dyDescent="0.25">
      <c r="A782" s="3"/>
      <c r="B782" s="3"/>
      <c r="C782" s="2"/>
      <c r="D782" s="2"/>
      <c r="E782" s="51"/>
      <c r="F782" s="51"/>
      <c r="G782" s="51"/>
      <c r="H782" s="51"/>
      <c r="I782" s="2"/>
      <c r="J782" s="2"/>
      <c r="K782" s="2"/>
      <c r="L782" s="2"/>
      <c r="M782" s="2"/>
      <c r="N782" s="2"/>
      <c r="O782" s="2"/>
      <c r="P782" s="53"/>
      <c r="Q782" s="53"/>
      <c r="R782" s="2"/>
      <c r="S782" s="2"/>
      <c r="T782" s="2"/>
    </row>
    <row r="783" spans="1:20" x14ac:dyDescent="0.25">
      <c r="A783" s="3"/>
      <c r="B783" s="3"/>
      <c r="C783" s="2"/>
      <c r="D783" s="2"/>
      <c r="E783" s="51"/>
      <c r="F783" s="51"/>
      <c r="G783" s="51"/>
      <c r="H783" s="51"/>
      <c r="I783" s="2"/>
      <c r="J783" s="2"/>
      <c r="K783" s="2"/>
      <c r="L783" s="2"/>
      <c r="M783" s="2"/>
      <c r="N783" s="2"/>
      <c r="O783" s="2"/>
      <c r="P783" s="53"/>
      <c r="Q783" s="53"/>
      <c r="R783" s="2"/>
      <c r="S783" s="2"/>
      <c r="T783" s="2"/>
    </row>
    <row r="784" spans="1:20" x14ac:dyDescent="0.25">
      <c r="A784" s="3"/>
      <c r="B784" s="3"/>
      <c r="C784" s="2"/>
      <c r="D784" s="2"/>
      <c r="E784" s="51"/>
      <c r="F784" s="51"/>
      <c r="G784" s="51"/>
      <c r="H784" s="51"/>
      <c r="I784" s="2"/>
      <c r="J784" s="2"/>
      <c r="K784" s="2"/>
      <c r="L784" s="2"/>
      <c r="M784" s="2"/>
      <c r="N784" s="2"/>
      <c r="O784" s="2"/>
      <c r="P784" s="53"/>
      <c r="Q784" s="53"/>
      <c r="R784" s="2"/>
      <c r="S784" s="2"/>
      <c r="T784" s="2"/>
    </row>
    <row r="785" spans="1:20" x14ac:dyDescent="0.25">
      <c r="A785" s="3"/>
      <c r="B785" s="3"/>
      <c r="C785" s="2"/>
      <c r="D785" s="2"/>
      <c r="E785" s="51"/>
      <c r="F785" s="51"/>
      <c r="G785" s="51"/>
      <c r="H785" s="51"/>
      <c r="I785" s="2"/>
      <c r="J785" s="2"/>
      <c r="K785" s="2"/>
      <c r="L785" s="2"/>
      <c r="M785" s="2"/>
      <c r="N785" s="2"/>
      <c r="O785" s="2"/>
      <c r="P785" s="53"/>
      <c r="Q785" s="53"/>
      <c r="R785" s="2"/>
      <c r="S785" s="2"/>
      <c r="T785" s="2"/>
    </row>
    <row r="786" spans="1:20" x14ac:dyDescent="0.25">
      <c r="A786" s="3"/>
      <c r="B786" s="3"/>
      <c r="C786" s="2"/>
      <c r="D786" s="2"/>
      <c r="E786" s="51"/>
      <c r="F786" s="51"/>
      <c r="G786" s="51"/>
      <c r="H786" s="51"/>
      <c r="I786" s="2"/>
      <c r="J786" s="2"/>
      <c r="K786" s="2"/>
      <c r="L786" s="2"/>
      <c r="M786" s="2"/>
      <c r="N786" s="2"/>
      <c r="O786" s="2"/>
      <c r="P786" s="53"/>
      <c r="Q786" s="53"/>
      <c r="R786" s="2"/>
      <c r="S786" s="2"/>
      <c r="T786" s="2"/>
    </row>
    <row r="787" spans="1:20" x14ac:dyDescent="0.25">
      <c r="A787" s="3"/>
      <c r="B787" s="3"/>
      <c r="C787" s="2"/>
      <c r="D787" s="2"/>
      <c r="E787" s="51"/>
      <c r="F787" s="51"/>
      <c r="G787" s="51"/>
      <c r="H787" s="51"/>
      <c r="I787" s="2"/>
      <c r="J787" s="2"/>
      <c r="K787" s="2"/>
      <c r="L787" s="2"/>
      <c r="M787" s="2"/>
      <c r="N787" s="2"/>
      <c r="O787" s="2"/>
      <c r="P787" s="53"/>
      <c r="Q787" s="53"/>
      <c r="R787" s="2"/>
      <c r="S787" s="2"/>
      <c r="T787" s="2"/>
    </row>
    <row r="788" spans="1:20" x14ac:dyDescent="0.25">
      <c r="A788" s="3"/>
      <c r="B788" s="3"/>
      <c r="C788" s="2"/>
      <c r="D788" s="2"/>
      <c r="E788" s="51"/>
      <c r="F788" s="51"/>
      <c r="G788" s="51"/>
      <c r="H788" s="51"/>
      <c r="I788" s="2"/>
      <c r="J788" s="2"/>
      <c r="K788" s="2"/>
      <c r="L788" s="2"/>
      <c r="M788" s="2"/>
      <c r="N788" s="2"/>
      <c r="O788" s="2"/>
      <c r="P788" s="53"/>
      <c r="Q788" s="53"/>
      <c r="R788" s="2"/>
      <c r="S788" s="2"/>
      <c r="T788" s="2"/>
    </row>
    <row r="789" spans="1:20" x14ac:dyDescent="0.25">
      <c r="A789" s="3"/>
      <c r="B789" s="3"/>
      <c r="C789" s="2"/>
      <c r="D789" s="2"/>
      <c r="E789" s="51"/>
      <c r="F789" s="51"/>
      <c r="G789" s="51"/>
      <c r="H789" s="51"/>
      <c r="I789" s="2"/>
      <c r="J789" s="2"/>
      <c r="K789" s="2"/>
      <c r="L789" s="2"/>
      <c r="M789" s="2"/>
      <c r="N789" s="2"/>
      <c r="O789" s="2"/>
      <c r="P789" s="53"/>
      <c r="Q789" s="53"/>
      <c r="R789" s="2"/>
      <c r="S789" s="2"/>
      <c r="T789" s="2"/>
    </row>
    <row r="790" spans="1:20" x14ac:dyDescent="0.25">
      <c r="A790" s="3"/>
      <c r="B790" s="3"/>
      <c r="C790" s="2"/>
      <c r="D790" s="2"/>
      <c r="E790" s="51"/>
      <c r="F790" s="51"/>
      <c r="G790" s="51"/>
      <c r="H790" s="51"/>
      <c r="I790" s="2"/>
      <c r="J790" s="2"/>
      <c r="K790" s="2"/>
      <c r="L790" s="2"/>
      <c r="M790" s="2"/>
      <c r="N790" s="2"/>
      <c r="O790" s="2"/>
      <c r="P790" s="53"/>
      <c r="Q790" s="53"/>
      <c r="R790" s="2"/>
      <c r="S790" s="2"/>
      <c r="T790" s="2"/>
    </row>
    <row r="791" spans="1:20" x14ac:dyDescent="0.25">
      <c r="A791" s="3"/>
      <c r="B791" s="3"/>
      <c r="C791" s="2"/>
      <c r="D791" s="2"/>
      <c r="E791" s="51"/>
      <c r="F791" s="51"/>
      <c r="G791" s="51"/>
      <c r="H791" s="51"/>
      <c r="I791" s="2"/>
      <c r="J791" s="2"/>
      <c r="K791" s="2"/>
      <c r="L791" s="2"/>
      <c r="M791" s="2"/>
      <c r="N791" s="2"/>
      <c r="O791" s="2"/>
      <c r="P791" s="53"/>
      <c r="Q791" s="53"/>
      <c r="R791" s="2"/>
      <c r="S791" s="2"/>
      <c r="T791" s="2"/>
    </row>
    <row r="792" spans="1:20" x14ac:dyDescent="0.25">
      <c r="A792" s="3"/>
      <c r="B792" s="3"/>
      <c r="C792" s="2"/>
      <c r="D792" s="2"/>
      <c r="E792" s="51"/>
      <c r="F792" s="51"/>
      <c r="G792" s="51"/>
      <c r="H792" s="51"/>
      <c r="I792" s="2"/>
      <c r="J792" s="2"/>
      <c r="K792" s="2"/>
      <c r="L792" s="2"/>
      <c r="M792" s="2"/>
      <c r="N792" s="2"/>
      <c r="O792" s="2"/>
      <c r="P792" s="53"/>
      <c r="Q792" s="53"/>
      <c r="R792" s="2"/>
      <c r="S792" s="2"/>
      <c r="T792" s="2"/>
    </row>
    <row r="793" spans="1:20" x14ac:dyDescent="0.25">
      <c r="A793" s="3"/>
      <c r="B793" s="3"/>
      <c r="C793" s="2"/>
      <c r="D793" s="2"/>
      <c r="E793" s="51"/>
      <c r="F793" s="51"/>
      <c r="G793" s="51"/>
      <c r="H793" s="51"/>
      <c r="I793" s="2"/>
      <c r="J793" s="2"/>
      <c r="K793" s="2"/>
      <c r="L793" s="2"/>
      <c r="M793" s="2"/>
      <c r="N793" s="2"/>
      <c r="O793" s="2"/>
      <c r="P793" s="53"/>
      <c r="Q793" s="53"/>
      <c r="R793" s="2"/>
      <c r="S793" s="2"/>
      <c r="T793" s="2"/>
    </row>
    <row r="794" spans="1:20" x14ac:dyDescent="0.25">
      <c r="A794" s="3"/>
      <c r="B794" s="3"/>
      <c r="C794" s="2"/>
      <c r="D794" s="2"/>
      <c r="E794" s="51"/>
      <c r="F794" s="51"/>
      <c r="G794" s="51"/>
      <c r="H794" s="51"/>
      <c r="I794" s="2"/>
      <c r="J794" s="2"/>
      <c r="K794" s="2"/>
      <c r="L794" s="2"/>
      <c r="M794" s="2"/>
      <c r="N794" s="2"/>
      <c r="O794" s="2"/>
      <c r="P794" s="53"/>
      <c r="Q794" s="53"/>
      <c r="R794" s="2"/>
      <c r="S794" s="2"/>
      <c r="T794" s="2"/>
    </row>
    <row r="795" spans="1:20" x14ac:dyDescent="0.25">
      <c r="A795" s="3"/>
      <c r="B795" s="3"/>
      <c r="C795" s="2"/>
      <c r="D795" s="2"/>
      <c r="E795" s="51"/>
      <c r="F795" s="51"/>
      <c r="G795" s="51"/>
      <c r="H795" s="51"/>
      <c r="I795" s="2"/>
      <c r="J795" s="2"/>
      <c r="K795" s="2"/>
      <c r="L795" s="2"/>
      <c r="M795" s="2"/>
      <c r="N795" s="2"/>
      <c r="O795" s="2"/>
      <c r="P795" s="53"/>
      <c r="Q795" s="53"/>
      <c r="R795" s="2"/>
      <c r="S795" s="2"/>
      <c r="T795" s="2"/>
    </row>
    <row r="796" spans="1:20" x14ac:dyDescent="0.25">
      <c r="A796" s="3"/>
      <c r="B796" s="3"/>
      <c r="C796" s="2"/>
      <c r="D796" s="2"/>
      <c r="E796" s="51"/>
      <c r="F796" s="51"/>
      <c r="G796" s="51"/>
      <c r="H796" s="51"/>
      <c r="I796" s="2"/>
      <c r="J796" s="2"/>
      <c r="K796" s="2"/>
      <c r="L796" s="2"/>
      <c r="M796" s="2"/>
      <c r="N796" s="2"/>
      <c r="O796" s="2"/>
      <c r="P796" s="53"/>
      <c r="Q796" s="53"/>
      <c r="R796" s="2"/>
      <c r="S796" s="2"/>
      <c r="T796" s="2"/>
    </row>
    <row r="797" spans="1:20" x14ac:dyDescent="0.25">
      <c r="A797" s="3"/>
      <c r="B797" s="3"/>
      <c r="C797" s="2"/>
      <c r="D797" s="2"/>
      <c r="E797" s="51"/>
      <c r="F797" s="51"/>
      <c r="G797" s="51"/>
      <c r="H797" s="51"/>
      <c r="I797" s="2"/>
      <c r="J797" s="2"/>
      <c r="K797" s="2"/>
      <c r="L797" s="2"/>
      <c r="M797" s="2"/>
      <c r="N797" s="2"/>
      <c r="O797" s="2"/>
      <c r="P797" s="53"/>
      <c r="Q797" s="53"/>
      <c r="R797" s="2"/>
      <c r="S797" s="2"/>
      <c r="T797" s="2"/>
    </row>
    <row r="798" spans="1:20" x14ac:dyDescent="0.25">
      <c r="A798" s="3"/>
      <c r="B798" s="3"/>
      <c r="C798" s="2"/>
      <c r="D798" s="2"/>
      <c r="E798" s="51"/>
      <c r="F798" s="51"/>
      <c r="G798" s="51"/>
      <c r="H798" s="51"/>
      <c r="I798" s="2"/>
      <c r="J798" s="2"/>
      <c r="K798" s="2"/>
      <c r="L798" s="2"/>
      <c r="M798" s="2"/>
      <c r="N798" s="2"/>
      <c r="O798" s="2"/>
      <c r="P798" s="53"/>
      <c r="Q798" s="53"/>
      <c r="R798" s="2"/>
      <c r="S798" s="2"/>
      <c r="T798" s="2"/>
    </row>
    <row r="799" spans="1:20" x14ac:dyDescent="0.25">
      <c r="A799" s="3"/>
      <c r="B799" s="3"/>
      <c r="C799" s="2"/>
      <c r="D799" s="2"/>
      <c r="E799" s="51"/>
      <c r="F799" s="51"/>
      <c r="G799" s="51"/>
      <c r="H799" s="51"/>
      <c r="I799" s="2"/>
      <c r="J799" s="2"/>
      <c r="K799" s="2"/>
      <c r="L799" s="2"/>
      <c r="M799" s="2"/>
      <c r="N799" s="2"/>
      <c r="O799" s="2"/>
      <c r="P799" s="53"/>
      <c r="Q799" s="53"/>
      <c r="R799" s="2"/>
      <c r="S799" s="2"/>
      <c r="T799" s="2"/>
    </row>
    <row r="800" spans="1:20" x14ac:dyDescent="0.25">
      <c r="A800" s="3"/>
      <c r="B800" s="3"/>
      <c r="C800" s="2"/>
      <c r="D800" s="2"/>
      <c r="E800" s="51"/>
      <c r="F800" s="51"/>
      <c r="G800" s="51"/>
      <c r="H800" s="51"/>
      <c r="I800" s="2"/>
      <c r="J800" s="2"/>
      <c r="K800" s="2"/>
      <c r="L800" s="2"/>
      <c r="M800" s="2"/>
      <c r="N800" s="2"/>
      <c r="O800" s="2"/>
      <c r="P800" s="53"/>
      <c r="Q800" s="53"/>
      <c r="R800" s="2"/>
      <c r="S800" s="2"/>
      <c r="T800" s="2"/>
    </row>
    <row r="801" spans="1:20" x14ac:dyDescent="0.25">
      <c r="A801" s="3"/>
      <c r="B801" s="3"/>
      <c r="C801" s="2"/>
      <c r="D801" s="2"/>
      <c r="E801" s="51"/>
      <c r="F801" s="51"/>
      <c r="G801" s="51"/>
      <c r="H801" s="51"/>
      <c r="I801" s="2"/>
      <c r="J801" s="2"/>
      <c r="K801" s="2"/>
      <c r="L801" s="2"/>
      <c r="M801" s="2"/>
      <c r="N801" s="2"/>
      <c r="O801" s="2"/>
      <c r="P801" s="53"/>
      <c r="Q801" s="53"/>
      <c r="R801" s="2"/>
      <c r="S801" s="2"/>
      <c r="T801" s="2"/>
    </row>
    <row r="802" spans="1:20" x14ac:dyDescent="0.25">
      <c r="A802" s="3"/>
      <c r="B802" s="3"/>
      <c r="C802" s="2"/>
      <c r="D802" s="2"/>
      <c r="E802" s="51"/>
      <c r="F802" s="51"/>
      <c r="G802" s="51"/>
      <c r="H802" s="51"/>
      <c r="I802" s="2"/>
      <c r="J802" s="2"/>
      <c r="K802" s="2"/>
      <c r="L802" s="2"/>
      <c r="M802" s="2"/>
      <c r="N802" s="2"/>
      <c r="O802" s="2"/>
      <c r="P802" s="53"/>
      <c r="Q802" s="53"/>
      <c r="R802" s="2"/>
      <c r="S802" s="2"/>
      <c r="T802" s="2"/>
    </row>
    <row r="803" spans="1:20" x14ac:dyDescent="0.25">
      <c r="A803" s="3"/>
      <c r="B803" s="3"/>
      <c r="C803" s="2"/>
      <c r="D803" s="2"/>
      <c r="E803" s="51"/>
      <c r="F803" s="51"/>
      <c r="G803" s="51"/>
      <c r="H803" s="51"/>
      <c r="I803" s="2"/>
      <c r="J803" s="2"/>
      <c r="K803" s="2"/>
      <c r="L803" s="2"/>
      <c r="M803" s="2"/>
      <c r="N803" s="2"/>
      <c r="O803" s="2"/>
      <c r="P803" s="53"/>
      <c r="Q803" s="53"/>
      <c r="R803" s="2"/>
      <c r="S803" s="2"/>
      <c r="T803" s="2"/>
    </row>
    <row r="804" spans="1:20" x14ac:dyDescent="0.25">
      <c r="A804" s="3"/>
      <c r="B804" s="3"/>
      <c r="C804" s="2"/>
      <c r="D804" s="2"/>
      <c r="E804" s="51"/>
      <c r="F804" s="51"/>
      <c r="G804" s="51"/>
      <c r="H804" s="51"/>
      <c r="I804" s="2"/>
      <c r="J804" s="2"/>
      <c r="K804" s="2"/>
      <c r="L804" s="2"/>
      <c r="M804" s="2"/>
      <c r="N804" s="2"/>
      <c r="O804" s="2"/>
      <c r="P804" s="53"/>
      <c r="Q804" s="53"/>
      <c r="R804" s="2"/>
      <c r="S804" s="2"/>
      <c r="T804" s="2"/>
    </row>
    <row r="805" spans="1:20" x14ac:dyDescent="0.25">
      <c r="A805" s="3"/>
      <c r="B805" s="3"/>
      <c r="C805" s="2"/>
      <c r="D805" s="2"/>
      <c r="E805" s="51"/>
      <c r="F805" s="51"/>
      <c r="G805" s="51"/>
      <c r="H805" s="51"/>
      <c r="I805" s="2"/>
      <c r="J805" s="2"/>
      <c r="K805" s="2"/>
      <c r="L805" s="2"/>
      <c r="M805" s="2"/>
      <c r="N805" s="2"/>
      <c r="O805" s="2"/>
      <c r="P805" s="53"/>
      <c r="Q805" s="53"/>
      <c r="R805" s="2"/>
      <c r="S805" s="2"/>
      <c r="T805" s="2"/>
    </row>
    <row r="806" spans="1:20" x14ac:dyDescent="0.25">
      <c r="A806" s="3"/>
      <c r="B806" s="3"/>
      <c r="C806" s="2"/>
      <c r="D806" s="2"/>
      <c r="E806" s="51"/>
      <c r="F806" s="51"/>
      <c r="G806" s="51"/>
      <c r="H806" s="51"/>
      <c r="I806" s="2"/>
      <c r="J806" s="2"/>
      <c r="K806" s="2"/>
      <c r="L806" s="2"/>
      <c r="M806" s="2"/>
      <c r="N806" s="2"/>
      <c r="O806" s="2"/>
      <c r="P806" s="53"/>
      <c r="Q806" s="53"/>
      <c r="R806" s="2"/>
      <c r="S806" s="2"/>
      <c r="T806" s="2"/>
    </row>
    <row r="807" spans="1:20" x14ac:dyDescent="0.25">
      <c r="A807" s="3"/>
      <c r="B807" s="3"/>
      <c r="C807" s="2"/>
      <c r="D807" s="2"/>
      <c r="E807" s="51"/>
      <c r="F807" s="51"/>
      <c r="G807" s="51"/>
      <c r="H807" s="51"/>
      <c r="I807" s="2"/>
      <c r="J807" s="2"/>
      <c r="K807" s="2"/>
      <c r="L807" s="2"/>
      <c r="M807" s="2"/>
      <c r="N807" s="2"/>
      <c r="O807" s="2"/>
      <c r="P807" s="53"/>
      <c r="Q807" s="53"/>
      <c r="R807" s="2"/>
      <c r="S807" s="2"/>
      <c r="T807" s="2"/>
    </row>
    <row r="808" spans="1:20" x14ac:dyDescent="0.25">
      <c r="A808" s="3"/>
      <c r="B808" s="3"/>
      <c r="C808" s="2"/>
      <c r="D808" s="2"/>
      <c r="E808" s="51"/>
      <c r="F808" s="51"/>
      <c r="G808" s="51"/>
      <c r="H808" s="51"/>
      <c r="I808" s="2"/>
      <c r="J808" s="2"/>
      <c r="K808" s="2"/>
      <c r="L808" s="2"/>
      <c r="M808" s="2"/>
      <c r="N808" s="2"/>
      <c r="O808" s="2"/>
      <c r="P808" s="53"/>
      <c r="Q808" s="53"/>
      <c r="R808" s="2"/>
      <c r="S808" s="2"/>
      <c r="T808" s="2"/>
    </row>
    <row r="809" spans="1:20" x14ac:dyDescent="0.25">
      <c r="A809" s="3"/>
      <c r="B809" s="3"/>
      <c r="C809" s="2"/>
      <c r="D809" s="2"/>
      <c r="E809" s="51"/>
      <c r="F809" s="51"/>
      <c r="G809" s="51"/>
      <c r="H809" s="51"/>
      <c r="I809" s="2"/>
      <c r="J809" s="2"/>
      <c r="K809" s="2"/>
      <c r="L809" s="2"/>
      <c r="M809" s="2"/>
      <c r="N809" s="2"/>
      <c r="O809" s="2"/>
      <c r="P809" s="53"/>
      <c r="Q809" s="53"/>
      <c r="R809" s="2"/>
      <c r="S809" s="2"/>
      <c r="T809" s="2"/>
    </row>
    <row r="810" spans="1:20" x14ac:dyDescent="0.25">
      <c r="A810" s="3"/>
      <c r="B810" s="3"/>
      <c r="C810" s="2"/>
      <c r="D810" s="2"/>
      <c r="E810" s="51"/>
      <c r="F810" s="51"/>
      <c r="G810" s="51"/>
      <c r="H810" s="51"/>
      <c r="I810" s="2"/>
      <c r="J810" s="2"/>
      <c r="K810" s="2"/>
      <c r="L810" s="2"/>
      <c r="M810" s="2"/>
      <c r="N810" s="2"/>
      <c r="O810" s="2"/>
      <c r="P810" s="53"/>
      <c r="Q810" s="53"/>
      <c r="R810" s="2"/>
      <c r="S810" s="2"/>
      <c r="T810" s="2"/>
    </row>
    <row r="811" spans="1:20" x14ac:dyDescent="0.25">
      <c r="A811" s="3"/>
      <c r="B811" s="3"/>
      <c r="C811" s="2"/>
      <c r="D811" s="2"/>
      <c r="E811" s="51"/>
      <c r="F811" s="51"/>
      <c r="G811" s="51"/>
      <c r="H811" s="51"/>
      <c r="I811" s="2"/>
      <c r="J811" s="2"/>
      <c r="K811" s="2"/>
      <c r="L811" s="2"/>
      <c r="M811" s="2"/>
      <c r="N811" s="2"/>
      <c r="O811" s="2"/>
      <c r="P811" s="53"/>
      <c r="Q811" s="53"/>
      <c r="R811" s="2"/>
      <c r="S811" s="2"/>
      <c r="T811" s="2"/>
    </row>
    <row r="812" spans="1:20" x14ac:dyDescent="0.25">
      <c r="A812" s="3"/>
      <c r="B812" s="3"/>
      <c r="C812" s="2"/>
      <c r="D812" s="2"/>
      <c r="E812" s="51"/>
      <c r="F812" s="51"/>
      <c r="G812" s="51"/>
      <c r="H812" s="51"/>
      <c r="I812" s="2"/>
      <c r="J812" s="2"/>
      <c r="K812" s="2"/>
      <c r="L812" s="2"/>
      <c r="M812" s="2"/>
      <c r="N812" s="2"/>
      <c r="O812" s="2"/>
      <c r="P812" s="53"/>
      <c r="Q812" s="53"/>
      <c r="R812" s="2"/>
      <c r="S812" s="2"/>
      <c r="T812" s="2"/>
    </row>
    <row r="813" spans="1:20" x14ac:dyDescent="0.25">
      <c r="A813" s="3"/>
      <c r="B813" s="3"/>
      <c r="C813" s="2"/>
      <c r="D813" s="2"/>
      <c r="E813" s="51"/>
      <c r="F813" s="51"/>
      <c r="G813" s="51"/>
      <c r="H813" s="51"/>
      <c r="I813" s="2"/>
      <c r="J813" s="2"/>
      <c r="K813" s="2"/>
      <c r="L813" s="2"/>
      <c r="M813" s="2"/>
      <c r="N813" s="2"/>
      <c r="O813" s="2"/>
      <c r="P813" s="53"/>
      <c r="Q813" s="53"/>
      <c r="R813" s="2"/>
      <c r="S813" s="2"/>
      <c r="T813" s="2"/>
    </row>
    <row r="814" spans="1:20" x14ac:dyDescent="0.25">
      <c r="A814" s="3"/>
      <c r="B814" s="3"/>
      <c r="C814" s="2"/>
      <c r="D814" s="2"/>
      <c r="E814" s="51"/>
      <c r="F814" s="51"/>
      <c r="G814" s="51"/>
      <c r="H814" s="51"/>
      <c r="I814" s="2"/>
      <c r="J814" s="2"/>
      <c r="K814" s="2"/>
      <c r="L814" s="2"/>
      <c r="M814" s="2"/>
      <c r="N814" s="2"/>
      <c r="O814" s="2"/>
      <c r="P814" s="53"/>
      <c r="Q814" s="53"/>
      <c r="R814" s="2"/>
      <c r="S814" s="2"/>
      <c r="T814" s="2"/>
    </row>
    <row r="815" spans="1:20" x14ac:dyDescent="0.25">
      <c r="A815" s="3"/>
      <c r="B815" s="3"/>
      <c r="C815" s="2"/>
      <c r="D815" s="2"/>
      <c r="E815" s="51"/>
      <c r="F815" s="51"/>
      <c r="G815" s="51"/>
      <c r="H815" s="51"/>
      <c r="I815" s="2"/>
      <c r="J815" s="2"/>
      <c r="K815" s="2"/>
      <c r="L815" s="2"/>
      <c r="M815" s="2"/>
      <c r="N815" s="2"/>
      <c r="O815" s="2"/>
      <c r="P815" s="53"/>
      <c r="Q815" s="53"/>
      <c r="R815" s="2"/>
      <c r="S815" s="2"/>
      <c r="T815" s="2"/>
    </row>
    <row r="816" spans="1:20" x14ac:dyDescent="0.25">
      <c r="A816" s="3"/>
      <c r="B816" s="3"/>
      <c r="C816" s="2"/>
      <c r="D816" s="2"/>
      <c r="E816" s="51"/>
      <c r="F816" s="51"/>
      <c r="G816" s="51"/>
      <c r="H816" s="51"/>
      <c r="I816" s="2"/>
      <c r="J816" s="2"/>
      <c r="K816" s="2"/>
      <c r="L816" s="2"/>
      <c r="M816" s="2"/>
      <c r="N816" s="2"/>
      <c r="O816" s="2"/>
      <c r="P816" s="53"/>
      <c r="Q816" s="53"/>
      <c r="R816" s="2"/>
      <c r="S816" s="2"/>
      <c r="T816" s="2"/>
    </row>
    <row r="817" spans="1:20" x14ac:dyDescent="0.25">
      <c r="A817" s="3"/>
      <c r="B817" s="3"/>
      <c r="C817" s="2"/>
      <c r="D817" s="2"/>
      <c r="E817" s="51"/>
      <c r="F817" s="51"/>
      <c r="G817" s="51"/>
      <c r="H817" s="51"/>
      <c r="I817" s="2"/>
      <c r="J817" s="2"/>
      <c r="K817" s="2"/>
      <c r="L817" s="2"/>
      <c r="M817" s="2"/>
      <c r="N817" s="2"/>
      <c r="O817" s="2"/>
      <c r="P817" s="53"/>
      <c r="Q817" s="53"/>
      <c r="R817" s="2"/>
      <c r="S817" s="2"/>
      <c r="T817" s="2"/>
    </row>
    <row r="818" spans="1:20" x14ac:dyDescent="0.25">
      <c r="A818" s="3"/>
      <c r="B818" s="3"/>
      <c r="C818" s="2"/>
      <c r="D818" s="2"/>
      <c r="E818" s="51"/>
      <c r="F818" s="51"/>
      <c r="G818" s="51"/>
      <c r="H818" s="51"/>
      <c r="I818" s="2"/>
      <c r="J818" s="2"/>
      <c r="K818" s="2"/>
      <c r="L818" s="2"/>
      <c r="M818" s="2"/>
      <c r="N818" s="2"/>
      <c r="O818" s="2"/>
      <c r="P818" s="53"/>
      <c r="Q818" s="53"/>
      <c r="R818" s="2"/>
      <c r="S818" s="2"/>
      <c r="T818" s="2"/>
    </row>
    <row r="819" spans="1:20" x14ac:dyDescent="0.25">
      <c r="A819" s="3"/>
      <c r="B819" s="3"/>
      <c r="C819" s="2"/>
      <c r="D819" s="2"/>
      <c r="E819" s="51"/>
      <c r="F819" s="51"/>
      <c r="G819" s="51"/>
      <c r="H819" s="51"/>
      <c r="I819" s="2"/>
      <c r="J819" s="2"/>
      <c r="K819" s="2"/>
      <c r="L819" s="2"/>
      <c r="M819" s="2"/>
      <c r="N819" s="2"/>
      <c r="O819" s="2"/>
      <c r="P819" s="53"/>
      <c r="Q819" s="53"/>
      <c r="R819" s="2"/>
      <c r="S819" s="2"/>
      <c r="T819" s="2"/>
    </row>
    <row r="820" spans="1:20" x14ac:dyDescent="0.25">
      <c r="A820" s="3"/>
      <c r="B820" s="3"/>
      <c r="C820" s="2"/>
      <c r="D820" s="2"/>
      <c r="E820" s="51"/>
      <c r="F820" s="51"/>
      <c r="G820" s="51"/>
      <c r="H820" s="51"/>
      <c r="I820" s="2"/>
      <c r="J820" s="2"/>
      <c r="K820" s="2"/>
      <c r="L820" s="2"/>
      <c r="M820" s="2"/>
      <c r="N820" s="2"/>
      <c r="O820" s="2"/>
      <c r="P820" s="53"/>
      <c r="Q820" s="53"/>
      <c r="R820" s="2"/>
      <c r="S820" s="2"/>
      <c r="T820" s="2"/>
    </row>
    <row r="821" spans="1:20" x14ac:dyDescent="0.25">
      <c r="A821" s="3"/>
      <c r="B821" s="3"/>
      <c r="C821" s="2"/>
      <c r="D821" s="2"/>
      <c r="E821" s="51"/>
      <c r="F821" s="51"/>
      <c r="G821" s="51"/>
      <c r="H821" s="51"/>
      <c r="I821" s="2"/>
      <c r="J821" s="2"/>
      <c r="K821" s="2"/>
      <c r="L821" s="2"/>
      <c r="M821" s="2"/>
      <c r="N821" s="2"/>
      <c r="O821" s="2"/>
      <c r="P821" s="53"/>
      <c r="Q821" s="53"/>
      <c r="R821" s="2"/>
      <c r="S821" s="2"/>
      <c r="T821" s="2"/>
    </row>
    <row r="822" spans="1:20" x14ac:dyDescent="0.25">
      <c r="A822" s="3"/>
      <c r="B822" s="3"/>
      <c r="C822" s="2"/>
      <c r="D822" s="2"/>
      <c r="E822" s="51"/>
      <c r="F822" s="51"/>
      <c r="G822" s="51"/>
      <c r="H822" s="51"/>
      <c r="I822" s="2"/>
      <c r="J822" s="2"/>
      <c r="K822" s="2"/>
      <c r="L822" s="2"/>
      <c r="M822" s="2"/>
      <c r="N822" s="2"/>
      <c r="O822" s="2"/>
      <c r="P822" s="53"/>
      <c r="Q822" s="53"/>
      <c r="R822" s="2"/>
      <c r="S822" s="2"/>
      <c r="T822" s="2"/>
    </row>
    <row r="823" spans="1:20" x14ac:dyDescent="0.25">
      <c r="A823" s="3"/>
      <c r="B823" s="3"/>
      <c r="C823" s="2"/>
      <c r="D823" s="2"/>
      <c r="E823" s="51"/>
      <c r="F823" s="51"/>
      <c r="G823" s="51"/>
      <c r="H823" s="51"/>
      <c r="I823" s="2"/>
      <c r="J823" s="2"/>
      <c r="K823" s="2"/>
      <c r="L823" s="2"/>
      <c r="M823" s="2"/>
      <c r="N823" s="2"/>
      <c r="O823" s="2"/>
      <c r="P823" s="53"/>
      <c r="Q823" s="53"/>
      <c r="R823" s="2"/>
      <c r="S823" s="2"/>
      <c r="T823" s="2"/>
    </row>
    <row r="824" spans="1:20" x14ac:dyDescent="0.25">
      <c r="A824" s="3"/>
      <c r="B824" s="3"/>
      <c r="C824" s="2"/>
      <c r="D824" s="2"/>
      <c r="E824" s="51"/>
      <c r="F824" s="51"/>
      <c r="G824" s="51"/>
      <c r="H824" s="51"/>
      <c r="I824" s="2"/>
      <c r="J824" s="2"/>
      <c r="K824" s="2"/>
      <c r="L824" s="2"/>
      <c r="M824" s="2"/>
      <c r="N824" s="2"/>
      <c r="O824" s="2"/>
      <c r="P824" s="53"/>
      <c r="Q824" s="53"/>
      <c r="R824" s="2"/>
      <c r="S824" s="2"/>
      <c r="T824" s="2"/>
    </row>
    <row r="825" spans="1:20" x14ac:dyDescent="0.25">
      <c r="A825" s="3"/>
      <c r="B825" s="3"/>
      <c r="C825" s="2"/>
      <c r="D825" s="2"/>
      <c r="E825" s="51"/>
      <c r="F825" s="51"/>
      <c r="G825" s="51"/>
      <c r="H825" s="51"/>
      <c r="I825" s="2"/>
      <c r="J825" s="2"/>
      <c r="K825" s="2"/>
      <c r="L825" s="2"/>
      <c r="M825" s="2"/>
      <c r="N825" s="2"/>
      <c r="O825" s="2"/>
      <c r="P825" s="53"/>
      <c r="Q825" s="53"/>
      <c r="R825" s="2"/>
      <c r="S825" s="2"/>
      <c r="T825" s="2"/>
    </row>
    <row r="826" spans="1:20" x14ac:dyDescent="0.25">
      <c r="A826" s="3"/>
      <c r="B826" s="3"/>
      <c r="C826" s="2"/>
      <c r="D826" s="2"/>
      <c r="E826" s="51"/>
      <c r="F826" s="51"/>
      <c r="G826" s="51"/>
      <c r="H826" s="51"/>
      <c r="I826" s="2"/>
      <c r="J826" s="2"/>
      <c r="K826" s="2"/>
      <c r="L826" s="2"/>
      <c r="M826" s="2"/>
      <c r="N826" s="2"/>
      <c r="O826" s="2"/>
      <c r="P826" s="53"/>
      <c r="Q826" s="53"/>
      <c r="R826" s="2"/>
      <c r="S826" s="2"/>
      <c r="T826" s="2"/>
    </row>
    <row r="827" spans="1:20" x14ac:dyDescent="0.25">
      <c r="A827" s="3"/>
      <c r="B827" s="3"/>
      <c r="C827" s="2"/>
      <c r="D827" s="2"/>
      <c r="E827" s="51"/>
      <c r="F827" s="51"/>
      <c r="G827" s="51"/>
      <c r="H827" s="51"/>
      <c r="I827" s="2"/>
      <c r="J827" s="2"/>
      <c r="K827" s="2"/>
      <c r="L827" s="2"/>
      <c r="M827" s="2"/>
      <c r="N827" s="2"/>
      <c r="O827" s="2"/>
      <c r="P827" s="53"/>
      <c r="Q827" s="53"/>
      <c r="R827" s="2"/>
      <c r="S827" s="2"/>
      <c r="T827" s="2"/>
    </row>
    <row r="828" spans="1:20" x14ac:dyDescent="0.25">
      <c r="A828" s="3"/>
      <c r="B828" s="3"/>
      <c r="C828" s="2"/>
      <c r="D828" s="2"/>
      <c r="E828" s="51"/>
      <c r="F828" s="51"/>
      <c r="G828" s="51"/>
      <c r="H828" s="51"/>
      <c r="I828" s="2"/>
      <c r="J828" s="2"/>
      <c r="K828" s="2"/>
      <c r="L828" s="2"/>
      <c r="M828" s="2"/>
      <c r="N828" s="2"/>
      <c r="O828" s="2"/>
      <c r="P828" s="53"/>
      <c r="Q828" s="53"/>
      <c r="R828" s="2"/>
      <c r="S828" s="2"/>
      <c r="T828" s="2"/>
    </row>
    <row r="829" spans="1:20" x14ac:dyDescent="0.25">
      <c r="A829" s="3"/>
      <c r="B829" s="3"/>
      <c r="C829" s="2"/>
      <c r="D829" s="2"/>
      <c r="E829" s="51"/>
      <c r="F829" s="51"/>
      <c r="G829" s="51"/>
      <c r="H829" s="51"/>
      <c r="I829" s="2"/>
      <c r="J829" s="2"/>
      <c r="K829" s="2"/>
      <c r="L829" s="2"/>
      <c r="M829" s="2"/>
      <c r="N829" s="2"/>
      <c r="O829" s="2"/>
      <c r="P829" s="53"/>
      <c r="Q829" s="53"/>
      <c r="R829" s="2"/>
      <c r="S829" s="2"/>
      <c r="T829" s="2"/>
    </row>
    <row r="830" spans="1:20" x14ac:dyDescent="0.25">
      <c r="A830" s="3"/>
      <c r="B830" s="3"/>
      <c r="C830" s="2"/>
      <c r="D830" s="2"/>
      <c r="E830" s="51"/>
      <c r="F830" s="51"/>
      <c r="G830" s="51"/>
      <c r="H830" s="51"/>
      <c r="I830" s="2"/>
      <c r="J830" s="2"/>
      <c r="K830" s="2"/>
      <c r="L830" s="2"/>
      <c r="M830" s="2"/>
      <c r="N830" s="2"/>
      <c r="O830" s="2"/>
      <c r="P830" s="53"/>
      <c r="Q830" s="53"/>
      <c r="R830" s="2"/>
      <c r="S830" s="2"/>
      <c r="T830" s="2"/>
    </row>
    <row r="831" spans="1:20" x14ac:dyDescent="0.25">
      <c r="A831" s="3"/>
      <c r="B831" s="3"/>
      <c r="C831" s="2"/>
      <c r="D831" s="2"/>
      <c r="E831" s="51"/>
      <c r="F831" s="51"/>
      <c r="G831" s="51"/>
      <c r="H831" s="51"/>
      <c r="I831" s="2"/>
      <c r="J831" s="2"/>
      <c r="K831" s="2"/>
      <c r="L831" s="2"/>
      <c r="M831" s="2"/>
      <c r="N831" s="2"/>
      <c r="O831" s="2"/>
      <c r="P831" s="53"/>
      <c r="Q831" s="53"/>
      <c r="R831" s="2"/>
      <c r="S831" s="2"/>
      <c r="T831" s="2"/>
    </row>
    <row r="832" spans="1:20" x14ac:dyDescent="0.25">
      <c r="A832" s="3"/>
      <c r="B832" s="3"/>
      <c r="C832" s="2"/>
      <c r="D832" s="2"/>
      <c r="E832" s="51"/>
      <c r="F832" s="51"/>
      <c r="G832" s="51"/>
      <c r="H832" s="51"/>
      <c r="I832" s="2"/>
      <c r="J832" s="2"/>
      <c r="K832" s="2"/>
      <c r="L832" s="2"/>
      <c r="M832" s="2"/>
      <c r="N832" s="2"/>
      <c r="O832" s="2"/>
      <c r="P832" s="53"/>
      <c r="Q832" s="53"/>
      <c r="R832" s="2"/>
      <c r="S832" s="2"/>
      <c r="T832" s="2"/>
    </row>
    <row r="833" spans="1:20" x14ac:dyDescent="0.25">
      <c r="A833" s="3"/>
      <c r="B833" s="3"/>
      <c r="C833" s="2"/>
      <c r="D833" s="2"/>
      <c r="E833" s="51"/>
      <c r="F833" s="51"/>
      <c r="G833" s="51"/>
      <c r="H833" s="51"/>
      <c r="I833" s="2"/>
      <c r="J833" s="2"/>
      <c r="K833" s="2"/>
      <c r="L833" s="2"/>
      <c r="M833" s="2"/>
      <c r="N833" s="2"/>
      <c r="O833" s="2"/>
      <c r="P833" s="53"/>
      <c r="Q833" s="53"/>
      <c r="R833" s="2"/>
      <c r="S833" s="2"/>
      <c r="T833" s="2"/>
    </row>
    <row r="834" spans="1:20" x14ac:dyDescent="0.25">
      <c r="A834" s="3"/>
      <c r="B834" s="3"/>
      <c r="C834" s="2"/>
      <c r="D834" s="2"/>
      <c r="E834" s="51"/>
      <c r="F834" s="51"/>
      <c r="G834" s="51"/>
      <c r="H834" s="51"/>
      <c r="I834" s="2"/>
      <c r="J834" s="2"/>
      <c r="K834" s="2"/>
      <c r="L834" s="2"/>
      <c r="M834" s="2"/>
      <c r="N834" s="2"/>
      <c r="O834" s="2"/>
      <c r="P834" s="53"/>
      <c r="Q834" s="53"/>
      <c r="R834" s="2"/>
      <c r="S834" s="2"/>
      <c r="T834" s="2"/>
    </row>
    <row r="835" spans="1:20" x14ac:dyDescent="0.25">
      <c r="A835" s="3"/>
      <c r="B835" s="3"/>
      <c r="C835" s="2"/>
      <c r="D835" s="2"/>
      <c r="E835" s="51"/>
      <c r="F835" s="51"/>
      <c r="G835" s="51"/>
      <c r="H835" s="51"/>
      <c r="I835" s="2"/>
      <c r="J835" s="2"/>
      <c r="K835" s="2"/>
      <c r="L835" s="2"/>
      <c r="M835" s="2"/>
      <c r="N835" s="2"/>
      <c r="O835" s="2"/>
      <c r="P835" s="53"/>
      <c r="Q835" s="53"/>
      <c r="R835" s="2"/>
      <c r="S835" s="2"/>
      <c r="T835" s="2"/>
    </row>
    <row r="836" spans="1:20" x14ac:dyDescent="0.25">
      <c r="A836" s="3"/>
      <c r="B836" s="3"/>
      <c r="C836" s="2"/>
      <c r="D836" s="2"/>
      <c r="E836" s="51"/>
      <c r="F836" s="51"/>
      <c r="G836" s="51"/>
      <c r="H836" s="51"/>
      <c r="I836" s="2"/>
      <c r="J836" s="2"/>
      <c r="K836" s="2"/>
      <c r="L836" s="2"/>
      <c r="M836" s="2"/>
      <c r="N836" s="2"/>
      <c r="O836" s="2"/>
      <c r="P836" s="53"/>
      <c r="Q836" s="53"/>
      <c r="R836" s="2"/>
      <c r="S836" s="2"/>
      <c r="T836" s="2"/>
    </row>
    <row r="837" spans="1:20" x14ac:dyDescent="0.25">
      <c r="A837" s="3"/>
      <c r="B837" s="3"/>
      <c r="C837" s="2"/>
      <c r="D837" s="2"/>
      <c r="E837" s="51"/>
      <c r="F837" s="51"/>
      <c r="G837" s="51"/>
      <c r="H837" s="51"/>
      <c r="I837" s="2"/>
      <c r="J837" s="2"/>
      <c r="K837" s="2"/>
      <c r="L837" s="2"/>
      <c r="M837" s="2"/>
      <c r="N837" s="2"/>
      <c r="O837" s="2"/>
      <c r="P837" s="53"/>
      <c r="Q837" s="53"/>
      <c r="R837" s="2"/>
      <c r="S837" s="2"/>
      <c r="T837" s="2"/>
    </row>
    <row r="838" spans="1:20" x14ac:dyDescent="0.25">
      <c r="A838" s="3"/>
      <c r="B838" s="3"/>
      <c r="C838" s="2"/>
      <c r="D838" s="2"/>
      <c r="E838" s="51"/>
      <c r="F838" s="51"/>
      <c r="G838" s="51"/>
      <c r="H838" s="51"/>
      <c r="I838" s="2"/>
      <c r="J838" s="2"/>
      <c r="K838" s="2"/>
      <c r="L838" s="2"/>
      <c r="M838" s="2"/>
      <c r="N838" s="2"/>
      <c r="O838" s="2"/>
      <c r="P838" s="53"/>
      <c r="Q838" s="53"/>
      <c r="R838" s="2"/>
      <c r="S838" s="2"/>
      <c r="T838" s="2"/>
    </row>
    <row r="839" spans="1:20" x14ac:dyDescent="0.25">
      <c r="A839" s="3"/>
      <c r="B839" s="3"/>
      <c r="C839" s="2"/>
      <c r="D839" s="2"/>
      <c r="E839" s="51"/>
      <c r="F839" s="51"/>
      <c r="G839" s="51"/>
      <c r="H839" s="51"/>
      <c r="I839" s="2"/>
      <c r="J839" s="2"/>
      <c r="K839" s="2"/>
      <c r="L839" s="2"/>
      <c r="M839" s="2"/>
      <c r="N839" s="2"/>
      <c r="O839" s="2"/>
      <c r="P839" s="53"/>
      <c r="Q839" s="53"/>
      <c r="R839" s="2"/>
      <c r="S839" s="2"/>
      <c r="T839" s="2"/>
    </row>
    <row r="840" spans="1:20" x14ac:dyDescent="0.25">
      <c r="A840" s="3"/>
      <c r="B840" s="3"/>
      <c r="C840" s="2"/>
      <c r="D840" s="2"/>
      <c r="E840" s="51"/>
      <c r="F840" s="51"/>
      <c r="G840" s="51"/>
      <c r="H840" s="51"/>
      <c r="I840" s="2"/>
      <c r="J840" s="2"/>
      <c r="K840" s="2"/>
      <c r="L840" s="2"/>
      <c r="M840" s="2"/>
      <c r="N840" s="2"/>
      <c r="O840" s="2"/>
      <c r="P840" s="53"/>
      <c r="Q840" s="53"/>
      <c r="R840" s="2"/>
      <c r="S840" s="2"/>
      <c r="T840" s="2"/>
    </row>
    <row r="841" spans="1:20" x14ac:dyDescent="0.25">
      <c r="A841" s="3"/>
      <c r="B841" s="3"/>
      <c r="C841" s="2"/>
      <c r="D841" s="2"/>
      <c r="E841" s="51"/>
      <c r="F841" s="51"/>
      <c r="G841" s="51"/>
      <c r="H841" s="51"/>
      <c r="I841" s="2"/>
      <c r="J841" s="2"/>
      <c r="K841" s="2"/>
      <c r="L841" s="2"/>
      <c r="M841" s="2"/>
      <c r="N841" s="2"/>
      <c r="O841" s="2"/>
      <c r="P841" s="53"/>
      <c r="Q841" s="53"/>
      <c r="R841" s="2"/>
      <c r="S841" s="2"/>
      <c r="T841" s="2"/>
    </row>
    <row r="842" spans="1:20" x14ac:dyDescent="0.25">
      <c r="A842" s="3"/>
      <c r="B842" s="3"/>
      <c r="C842" s="2"/>
      <c r="D842" s="2"/>
      <c r="E842" s="51"/>
      <c r="F842" s="51"/>
      <c r="G842" s="51"/>
      <c r="H842" s="51"/>
      <c r="I842" s="2"/>
      <c r="J842" s="2"/>
      <c r="K842" s="2"/>
      <c r="L842" s="2"/>
      <c r="M842" s="2"/>
      <c r="N842" s="2"/>
      <c r="O842" s="2"/>
      <c r="P842" s="53"/>
      <c r="Q842" s="53"/>
      <c r="R842" s="2"/>
      <c r="S842" s="2"/>
      <c r="T842" s="2"/>
    </row>
    <row r="843" spans="1:20" x14ac:dyDescent="0.25">
      <c r="A843" s="3"/>
      <c r="B843" s="3"/>
      <c r="C843" s="2"/>
      <c r="D843" s="2"/>
      <c r="E843" s="51"/>
      <c r="F843" s="51"/>
      <c r="G843" s="51"/>
      <c r="H843" s="51"/>
      <c r="I843" s="2"/>
      <c r="J843" s="2"/>
      <c r="K843" s="2"/>
      <c r="L843" s="2"/>
      <c r="M843" s="2"/>
      <c r="N843" s="2"/>
      <c r="O843" s="2"/>
      <c r="P843" s="53"/>
      <c r="Q843" s="53"/>
      <c r="R843" s="2"/>
      <c r="S843" s="2"/>
      <c r="T843" s="2"/>
    </row>
    <row r="844" spans="1:20" x14ac:dyDescent="0.25">
      <c r="A844" s="3"/>
      <c r="B844" s="3"/>
      <c r="C844" s="2"/>
      <c r="D844" s="2"/>
      <c r="E844" s="51"/>
      <c r="F844" s="51"/>
      <c r="G844" s="51"/>
      <c r="H844" s="51"/>
      <c r="I844" s="2"/>
      <c r="J844" s="2"/>
      <c r="K844" s="2"/>
      <c r="L844" s="2"/>
      <c r="M844" s="2"/>
      <c r="N844" s="2"/>
      <c r="O844" s="2"/>
      <c r="P844" s="53"/>
      <c r="Q844" s="53"/>
      <c r="R844" s="2"/>
      <c r="S844" s="2"/>
      <c r="T844" s="2"/>
    </row>
    <row r="845" spans="1:20" x14ac:dyDescent="0.25">
      <c r="A845" s="3"/>
      <c r="B845" s="3"/>
      <c r="C845" s="2"/>
      <c r="D845" s="2"/>
      <c r="E845" s="51"/>
      <c r="F845" s="51"/>
      <c r="G845" s="51"/>
      <c r="H845" s="51"/>
      <c r="I845" s="2"/>
      <c r="J845" s="2"/>
      <c r="K845" s="2"/>
      <c r="L845" s="2"/>
      <c r="M845" s="2"/>
      <c r="N845" s="2"/>
      <c r="O845" s="2"/>
      <c r="P845" s="53"/>
      <c r="Q845" s="53"/>
      <c r="R845" s="2"/>
      <c r="S845" s="2"/>
      <c r="T845" s="2"/>
    </row>
    <row r="846" spans="1:20" x14ac:dyDescent="0.25">
      <c r="A846" s="3"/>
      <c r="B846" s="3"/>
      <c r="C846" s="2"/>
      <c r="D846" s="2"/>
      <c r="E846" s="51"/>
      <c r="F846" s="51"/>
      <c r="G846" s="51"/>
      <c r="H846" s="51"/>
      <c r="I846" s="2"/>
      <c r="J846" s="2"/>
      <c r="K846" s="2"/>
      <c r="L846" s="2"/>
      <c r="M846" s="2"/>
      <c r="N846" s="2"/>
      <c r="O846" s="2"/>
      <c r="P846" s="53"/>
      <c r="Q846" s="53"/>
      <c r="R846" s="2"/>
      <c r="S846" s="2"/>
      <c r="T846" s="2"/>
    </row>
    <row r="847" spans="1:20" x14ac:dyDescent="0.25">
      <c r="A847" s="3"/>
      <c r="B847" s="3"/>
      <c r="C847" s="2"/>
      <c r="D847" s="2"/>
      <c r="E847" s="51"/>
      <c r="F847" s="51"/>
      <c r="G847" s="51"/>
      <c r="H847" s="51"/>
      <c r="I847" s="2"/>
      <c r="J847" s="2"/>
      <c r="K847" s="2"/>
      <c r="L847" s="2"/>
      <c r="M847" s="2"/>
      <c r="N847" s="2"/>
      <c r="O847" s="2"/>
      <c r="P847" s="53"/>
      <c r="Q847" s="53"/>
      <c r="R847" s="2"/>
      <c r="S847" s="2"/>
      <c r="T847" s="2"/>
    </row>
    <row r="848" spans="1:20" x14ac:dyDescent="0.25">
      <c r="A848" s="3"/>
      <c r="B848" s="3"/>
      <c r="C848" s="2"/>
      <c r="D848" s="2"/>
      <c r="E848" s="51"/>
      <c r="F848" s="51"/>
      <c r="G848" s="51"/>
      <c r="H848" s="51"/>
      <c r="I848" s="2"/>
      <c r="J848" s="2"/>
      <c r="K848" s="2"/>
      <c r="L848" s="2"/>
      <c r="M848" s="2"/>
      <c r="N848" s="2"/>
      <c r="O848" s="2"/>
      <c r="P848" s="53"/>
      <c r="Q848" s="53"/>
      <c r="R848" s="2"/>
      <c r="S848" s="2"/>
      <c r="T848" s="2"/>
    </row>
    <row r="849" spans="1:20" x14ac:dyDescent="0.25">
      <c r="A849" s="3"/>
      <c r="B849" s="3"/>
      <c r="C849" s="2"/>
      <c r="D849" s="2"/>
      <c r="E849" s="51"/>
      <c r="F849" s="51"/>
      <c r="G849" s="51"/>
      <c r="H849" s="51"/>
      <c r="I849" s="2"/>
      <c r="J849" s="2"/>
      <c r="K849" s="2"/>
      <c r="L849" s="2"/>
      <c r="M849" s="2"/>
      <c r="N849" s="2"/>
      <c r="O849" s="2"/>
      <c r="P849" s="53"/>
      <c r="Q849" s="53"/>
      <c r="R849" s="2"/>
      <c r="S849" s="2"/>
      <c r="T849" s="2"/>
    </row>
    <row r="850" spans="1:20" x14ac:dyDescent="0.25">
      <c r="A850" s="3"/>
      <c r="B850" s="3"/>
      <c r="C850" s="2"/>
      <c r="D850" s="2"/>
      <c r="E850" s="51"/>
      <c r="F850" s="51"/>
      <c r="G850" s="51"/>
      <c r="H850" s="51"/>
      <c r="I850" s="2"/>
      <c r="J850" s="2"/>
      <c r="K850" s="2"/>
      <c r="L850" s="2"/>
      <c r="M850" s="2"/>
      <c r="N850" s="2"/>
      <c r="O850" s="2"/>
      <c r="P850" s="53"/>
      <c r="Q850" s="53"/>
      <c r="R850" s="2"/>
      <c r="S850" s="2"/>
      <c r="T850" s="2"/>
    </row>
    <row r="851" spans="1:20" x14ac:dyDescent="0.25">
      <c r="A851" s="3"/>
      <c r="B851" s="3"/>
      <c r="C851" s="2"/>
      <c r="D851" s="2"/>
      <c r="E851" s="51"/>
      <c r="F851" s="51"/>
      <c r="G851" s="51"/>
      <c r="H851" s="51"/>
      <c r="I851" s="2"/>
      <c r="J851" s="2"/>
      <c r="K851" s="2"/>
      <c r="L851" s="2"/>
      <c r="M851" s="2"/>
      <c r="N851" s="2"/>
      <c r="O851" s="2"/>
      <c r="P851" s="53"/>
      <c r="Q851" s="53"/>
      <c r="R851" s="2"/>
      <c r="S851" s="2"/>
      <c r="T851" s="2"/>
    </row>
    <row r="852" spans="1:20" x14ac:dyDescent="0.25">
      <c r="A852" s="3"/>
      <c r="B852" s="3"/>
      <c r="C852" s="2"/>
      <c r="D852" s="2"/>
      <c r="E852" s="51"/>
      <c r="F852" s="51"/>
      <c r="G852" s="51"/>
      <c r="H852" s="51"/>
      <c r="I852" s="2"/>
      <c r="J852" s="2"/>
      <c r="K852" s="2"/>
      <c r="L852" s="2"/>
      <c r="M852" s="2"/>
      <c r="N852" s="2"/>
      <c r="O852" s="2"/>
      <c r="P852" s="53"/>
      <c r="Q852" s="53"/>
      <c r="R852" s="2"/>
      <c r="S852" s="2"/>
      <c r="T852" s="2"/>
    </row>
    <row r="853" spans="1:20" x14ac:dyDescent="0.25">
      <c r="A853" s="3"/>
      <c r="B853" s="3"/>
      <c r="C853" s="2"/>
      <c r="D853" s="2"/>
      <c r="E853" s="51"/>
      <c r="F853" s="51"/>
      <c r="G853" s="51"/>
      <c r="H853" s="51"/>
      <c r="I853" s="2"/>
      <c r="J853" s="2"/>
      <c r="K853" s="2"/>
      <c r="L853" s="2"/>
      <c r="M853" s="2"/>
      <c r="N853" s="2"/>
      <c r="O853" s="2"/>
      <c r="P853" s="53"/>
      <c r="Q853" s="53"/>
      <c r="R853" s="2"/>
      <c r="S853" s="2"/>
      <c r="T853" s="2"/>
    </row>
    <row r="854" spans="1:20" x14ac:dyDescent="0.25">
      <c r="A854" s="3"/>
      <c r="B854" s="3"/>
      <c r="C854" s="2"/>
      <c r="D854" s="2"/>
      <c r="E854" s="51"/>
      <c r="F854" s="51"/>
      <c r="G854" s="51"/>
      <c r="H854" s="51"/>
      <c r="I854" s="2"/>
      <c r="J854" s="2"/>
      <c r="K854" s="2"/>
      <c r="L854" s="2"/>
      <c r="M854" s="2"/>
      <c r="N854" s="2"/>
      <c r="O854" s="2"/>
      <c r="P854" s="53"/>
      <c r="Q854" s="53"/>
      <c r="R854" s="2"/>
      <c r="S854" s="2"/>
      <c r="T854" s="2"/>
    </row>
    <row r="855" spans="1:20" x14ac:dyDescent="0.25">
      <c r="A855" s="3"/>
      <c r="B855" s="3"/>
      <c r="C855" s="2"/>
      <c r="D855" s="2"/>
      <c r="E855" s="51"/>
      <c r="F855" s="51"/>
      <c r="G855" s="51"/>
      <c r="H855" s="51"/>
      <c r="I855" s="2"/>
      <c r="J855" s="2"/>
      <c r="K855" s="2"/>
      <c r="L855" s="2"/>
      <c r="M855" s="2"/>
      <c r="N855" s="2"/>
      <c r="O855" s="2"/>
      <c r="P855" s="53"/>
      <c r="Q855" s="53"/>
      <c r="R855" s="2"/>
      <c r="S855" s="2"/>
      <c r="T855" s="2"/>
    </row>
    <row r="856" spans="1:20" x14ac:dyDescent="0.25">
      <c r="A856" s="3"/>
      <c r="B856" s="3"/>
      <c r="C856" s="2"/>
      <c r="D856" s="2"/>
      <c r="E856" s="51"/>
      <c r="F856" s="51"/>
      <c r="G856" s="51"/>
      <c r="H856" s="51"/>
      <c r="I856" s="2"/>
      <c r="J856" s="2"/>
      <c r="K856" s="2"/>
      <c r="L856" s="2"/>
      <c r="M856" s="2"/>
      <c r="N856" s="2"/>
      <c r="O856" s="2"/>
      <c r="P856" s="53"/>
      <c r="Q856" s="53"/>
      <c r="R856" s="2"/>
      <c r="S856" s="2"/>
      <c r="T856" s="2"/>
    </row>
    <row r="857" spans="1:20" x14ac:dyDescent="0.25">
      <c r="A857" s="3"/>
      <c r="B857" s="3"/>
      <c r="C857" s="2"/>
      <c r="D857" s="2"/>
      <c r="E857" s="51"/>
      <c r="F857" s="51"/>
      <c r="G857" s="51"/>
      <c r="H857" s="51"/>
      <c r="I857" s="2"/>
      <c r="J857" s="2"/>
      <c r="K857" s="2"/>
      <c r="L857" s="2"/>
      <c r="M857" s="2"/>
      <c r="N857" s="2"/>
      <c r="O857" s="2"/>
      <c r="P857" s="53"/>
      <c r="Q857" s="53"/>
      <c r="R857" s="2"/>
      <c r="S857" s="2"/>
      <c r="T857" s="2"/>
    </row>
    <row r="858" spans="1:20" x14ac:dyDescent="0.25">
      <c r="A858" s="3"/>
      <c r="B858" s="3"/>
      <c r="C858" s="2"/>
      <c r="D858" s="2"/>
      <c r="E858" s="51"/>
      <c r="F858" s="51"/>
      <c r="G858" s="51"/>
      <c r="H858" s="51"/>
      <c r="I858" s="2"/>
      <c r="J858" s="2"/>
      <c r="K858" s="2"/>
      <c r="L858" s="2"/>
      <c r="M858" s="2"/>
      <c r="N858" s="2"/>
      <c r="O858" s="2"/>
      <c r="P858" s="53"/>
      <c r="Q858" s="53"/>
      <c r="R858" s="2"/>
      <c r="S858" s="2"/>
      <c r="T858" s="2"/>
    </row>
    <row r="859" spans="1:20" x14ac:dyDescent="0.25">
      <c r="A859" s="3"/>
      <c r="B859" s="3"/>
      <c r="C859" s="2"/>
      <c r="D859" s="2"/>
      <c r="E859" s="51"/>
      <c r="F859" s="51"/>
      <c r="G859" s="51"/>
      <c r="H859" s="51"/>
      <c r="I859" s="2"/>
      <c r="J859" s="2"/>
      <c r="K859" s="2"/>
      <c r="L859" s="2"/>
      <c r="M859" s="2"/>
      <c r="N859" s="2"/>
      <c r="O859" s="2"/>
      <c r="P859" s="53"/>
      <c r="Q859" s="53"/>
      <c r="R859" s="2"/>
      <c r="S859" s="2"/>
      <c r="T859" s="2"/>
    </row>
    <row r="860" spans="1:20" x14ac:dyDescent="0.25">
      <c r="A860" s="3"/>
      <c r="B860" s="3"/>
      <c r="C860" s="2"/>
      <c r="D860" s="2"/>
      <c r="E860" s="51"/>
      <c r="F860" s="51"/>
      <c r="G860" s="51"/>
      <c r="H860" s="51"/>
      <c r="I860" s="2"/>
      <c r="J860" s="2"/>
      <c r="K860" s="2"/>
      <c r="L860" s="2"/>
      <c r="M860" s="2"/>
      <c r="N860" s="2"/>
      <c r="O860" s="2"/>
      <c r="P860" s="53"/>
      <c r="Q860" s="53"/>
      <c r="R860" s="2"/>
      <c r="S860" s="2"/>
      <c r="T860" s="2"/>
    </row>
    <row r="861" spans="1:20" x14ac:dyDescent="0.25">
      <c r="A861" s="3"/>
      <c r="B861" s="3"/>
      <c r="C861" s="2"/>
      <c r="D861" s="2"/>
      <c r="E861" s="51"/>
      <c r="F861" s="51"/>
      <c r="G861" s="51"/>
      <c r="H861" s="51"/>
      <c r="I861" s="2"/>
      <c r="J861" s="2"/>
      <c r="K861" s="2"/>
      <c r="L861" s="2"/>
      <c r="M861" s="2"/>
      <c r="N861" s="2"/>
      <c r="O861" s="2"/>
      <c r="P861" s="53"/>
      <c r="Q861" s="53"/>
      <c r="R861" s="2"/>
      <c r="S861" s="2"/>
      <c r="T861" s="2"/>
    </row>
    <row r="862" spans="1:20" x14ac:dyDescent="0.25">
      <c r="A862" s="3"/>
      <c r="B862" s="3"/>
      <c r="C862" s="2"/>
      <c r="D862" s="2"/>
      <c r="E862" s="51"/>
      <c r="F862" s="51"/>
      <c r="G862" s="51"/>
      <c r="H862" s="51"/>
      <c r="I862" s="2"/>
      <c r="J862" s="2"/>
      <c r="K862" s="2"/>
      <c r="L862" s="2"/>
      <c r="M862" s="2"/>
      <c r="N862" s="2"/>
      <c r="O862" s="2"/>
      <c r="P862" s="53"/>
      <c r="Q862" s="53"/>
      <c r="R862" s="2"/>
      <c r="S862" s="2"/>
      <c r="T862" s="2"/>
    </row>
    <row r="863" spans="1:20" x14ac:dyDescent="0.25">
      <c r="A863" s="3"/>
      <c r="B863" s="3"/>
      <c r="C863" s="2"/>
      <c r="D863" s="2"/>
      <c r="E863" s="51"/>
      <c r="F863" s="51"/>
      <c r="G863" s="51"/>
      <c r="H863" s="51"/>
      <c r="I863" s="2"/>
      <c r="J863" s="2"/>
      <c r="K863" s="2"/>
      <c r="L863" s="2"/>
      <c r="M863" s="2"/>
      <c r="N863" s="2"/>
      <c r="O863" s="2"/>
      <c r="P863" s="53"/>
      <c r="Q863" s="53"/>
      <c r="R863" s="2"/>
      <c r="S863" s="2"/>
      <c r="T863" s="2"/>
    </row>
    <row r="864" spans="1:20" x14ac:dyDescent="0.25">
      <c r="A864" s="3"/>
      <c r="B864" s="3"/>
      <c r="C864" s="2"/>
      <c r="D864" s="2"/>
      <c r="E864" s="51"/>
      <c r="F864" s="51"/>
      <c r="G864" s="51"/>
      <c r="H864" s="51"/>
      <c r="I864" s="2"/>
      <c r="J864" s="2"/>
      <c r="K864" s="2"/>
      <c r="L864" s="2"/>
      <c r="M864" s="2"/>
      <c r="N864" s="2"/>
      <c r="O864" s="2"/>
      <c r="P864" s="53"/>
      <c r="Q864" s="53"/>
      <c r="R864" s="2"/>
      <c r="S864" s="2"/>
      <c r="T864" s="2"/>
    </row>
    <row r="865" spans="1:20" x14ac:dyDescent="0.25">
      <c r="A865" s="3"/>
      <c r="B865" s="3"/>
      <c r="C865" s="2"/>
      <c r="D865" s="2"/>
      <c r="E865" s="51"/>
      <c r="F865" s="51"/>
      <c r="G865" s="51"/>
      <c r="H865" s="51"/>
      <c r="I865" s="2"/>
      <c r="J865" s="2"/>
      <c r="K865" s="2"/>
      <c r="L865" s="2"/>
      <c r="M865" s="2"/>
      <c r="N865" s="2"/>
      <c r="O865" s="2"/>
      <c r="P865" s="53"/>
      <c r="Q865" s="53"/>
      <c r="R865" s="2"/>
      <c r="S865" s="2"/>
      <c r="T865" s="2"/>
    </row>
    <row r="866" spans="1:20" x14ac:dyDescent="0.25">
      <c r="A866" s="3"/>
      <c r="B866" s="3"/>
      <c r="C866" s="2"/>
      <c r="D866" s="2"/>
      <c r="E866" s="51"/>
      <c r="F866" s="51"/>
      <c r="G866" s="51"/>
      <c r="H866" s="51"/>
      <c r="I866" s="2"/>
      <c r="J866" s="2"/>
      <c r="K866" s="2"/>
      <c r="L866" s="2"/>
      <c r="M866" s="2"/>
      <c r="N866" s="2"/>
      <c r="O866" s="2"/>
      <c r="P866" s="53"/>
      <c r="Q866" s="53"/>
      <c r="R866" s="2"/>
      <c r="S866" s="2"/>
      <c r="T866" s="2"/>
    </row>
    <row r="867" spans="1:20" x14ac:dyDescent="0.25">
      <c r="A867" s="3"/>
      <c r="B867" s="3"/>
      <c r="C867" s="2"/>
      <c r="D867" s="2"/>
      <c r="E867" s="51"/>
      <c r="F867" s="51"/>
      <c r="G867" s="51"/>
      <c r="H867" s="51"/>
      <c r="I867" s="2"/>
      <c r="J867" s="2"/>
      <c r="K867" s="2"/>
      <c r="L867" s="2"/>
      <c r="M867" s="2"/>
      <c r="N867" s="2"/>
      <c r="O867" s="2"/>
      <c r="P867" s="53"/>
      <c r="Q867" s="53"/>
      <c r="R867" s="2"/>
      <c r="S867" s="2"/>
      <c r="T867" s="2"/>
    </row>
    <row r="868" spans="1:20" x14ac:dyDescent="0.25">
      <c r="A868" s="3"/>
      <c r="B868" s="3"/>
      <c r="C868" s="2"/>
      <c r="D868" s="2"/>
      <c r="E868" s="51"/>
      <c r="F868" s="51"/>
      <c r="G868" s="51"/>
      <c r="H868" s="51"/>
      <c r="I868" s="2"/>
      <c r="J868" s="2"/>
      <c r="K868" s="2"/>
      <c r="L868" s="2"/>
      <c r="M868" s="2"/>
      <c r="N868" s="2"/>
      <c r="O868" s="2"/>
      <c r="P868" s="53"/>
      <c r="Q868" s="53"/>
      <c r="R868" s="2"/>
      <c r="S868" s="2"/>
      <c r="T868" s="2"/>
    </row>
    <row r="869" spans="1:20" x14ac:dyDescent="0.25">
      <c r="A869" s="3"/>
      <c r="B869" s="3"/>
      <c r="C869" s="2"/>
      <c r="D869" s="2"/>
      <c r="E869" s="51"/>
      <c r="F869" s="51"/>
      <c r="G869" s="51"/>
      <c r="H869" s="51"/>
      <c r="I869" s="2"/>
      <c r="J869" s="2"/>
      <c r="K869" s="2"/>
      <c r="L869" s="2"/>
      <c r="M869" s="2"/>
      <c r="N869" s="2"/>
      <c r="O869" s="2"/>
      <c r="P869" s="53"/>
      <c r="Q869" s="53"/>
      <c r="R869" s="2"/>
      <c r="S869" s="2"/>
      <c r="T869" s="2"/>
    </row>
    <row r="870" spans="1:20" x14ac:dyDescent="0.25">
      <c r="A870" s="3"/>
      <c r="B870" s="3"/>
      <c r="C870" s="2"/>
      <c r="D870" s="2"/>
      <c r="E870" s="51"/>
      <c r="F870" s="51"/>
      <c r="G870" s="51"/>
      <c r="H870" s="51"/>
      <c r="I870" s="2"/>
      <c r="J870" s="2"/>
      <c r="K870" s="2"/>
      <c r="L870" s="2"/>
      <c r="M870" s="2"/>
      <c r="N870" s="2"/>
      <c r="O870" s="2"/>
      <c r="P870" s="53"/>
      <c r="Q870" s="53"/>
      <c r="R870" s="2"/>
      <c r="S870" s="2"/>
      <c r="T870" s="2"/>
    </row>
    <row r="871" spans="1:20" x14ac:dyDescent="0.25">
      <c r="A871" s="3"/>
      <c r="B871" s="3"/>
      <c r="C871" s="2"/>
      <c r="D871" s="2"/>
      <c r="E871" s="51"/>
      <c r="F871" s="51"/>
      <c r="G871" s="51"/>
      <c r="H871" s="51"/>
      <c r="I871" s="2"/>
      <c r="J871" s="2"/>
      <c r="K871" s="2"/>
      <c r="L871" s="2"/>
      <c r="M871" s="2"/>
      <c r="N871" s="2"/>
      <c r="O871" s="2"/>
      <c r="P871" s="53"/>
      <c r="Q871" s="53"/>
      <c r="R871" s="2"/>
      <c r="S871" s="2"/>
      <c r="T871" s="2"/>
    </row>
    <row r="872" spans="1:20" x14ac:dyDescent="0.25">
      <c r="A872" s="3"/>
      <c r="B872" s="3"/>
      <c r="C872" s="2"/>
      <c r="D872" s="2"/>
      <c r="E872" s="51"/>
      <c r="F872" s="51"/>
      <c r="G872" s="51"/>
      <c r="H872" s="51"/>
      <c r="I872" s="2"/>
      <c r="J872" s="2"/>
      <c r="K872" s="2"/>
      <c r="L872" s="2"/>
      <c r="M872" s="2"/>
      <c r="N872" s="2"/>
      <c r="O872" s="2"/>
      <c r="P872" s="53"/>
      <c r="Q872" s="53"/>
      <c r="R872" s="2"/>
      <c r="S872" s="2"/>
      <c r="T872" s="2"/>
    </row>
    <row r="873" spans="1:20" x14ac:dyDescent="0.25">
      <c r="A873" s="3"/>
      <c r="B873" s="3"/>
      <c r="C873" s="2"/>
      <c r="D873" s="2"/>
      <c r="E873" s="51"/>
      <c r="F873" s="51"/>
      <c r="G873" s="51"/>
      <c r="H873" s="51"/>
      <c r="I873" s="2"/>
      <c r="J873" s="2"/>
      <c r="K873" s="2"/>
      <c r="L873" s="2"/>
      <c r="M873" s="2"/>
      <c r="N873" s="2"/>
      <c r="O873" s="2"/>
      <c r="P873" s="53"/>
      <c r="Q873" s="53"/>
      <c r="R873" s="2"/>
      <c r="S873" s="2"/>
      <c r="T873" s="2"/>
    </row>
    <row r="874" spans="1:20" x14ac:dyDescent="0.25">
      <c r="A874" s="3"/>
      <c r="B874" s="3"/>
      <c r="C874" s="2"/>
      <c r="D874" s="2"/>
      <c r="E874" s="51"/>
      <c r="F874" s="51"/>
      <c r="G874" s="51"/>
      <c r="H874" s="51"/>
      <c r="I874" s="2"/>
      <c r="J874" s="2"/>
      <c r="K874" s="2"/>
      <c r="L874" s="2"/>
      <c r="M874" s="2"/>
      <c r="N874" s="2"/>
      <c r="O874" s="2"/>
      <c r="P874" s="53"/>
      <c r="Q874" s="53"/>
      <c r="R874" s="2"/>
      <c r="S874" s="2"/>
      <c r="T874" s="2"/>
    </row>
    <row r="875" spans="1:20" x14ac:dyDescent="0.25">
      <c r="A875" s="3"/>
      <c r="B875" s="3"/>
      <c r="C875" s="2"/>
      <c r="D875" s="2"/>
      <c r="E875" s="51"/>
      <c r="F875" s="51"/>
      <c r="G875" s="51"/>
      <c r="H875" s="51"/>
      <c r="I875" s="2"/>
      <c r="J875" s="2"/>
      <c r="K875" s="2"/>
      <c r="L875" s="2"/>
      <c r="M875" s="2"/>
      <c r="N875" s="2"/>
      <c r="O875" s="2"/>
      <c r="P875" s="53"/>
      <c r="Q875" s="53"/>
      <c r="R875" s="2"/>
      <c r="S875" s="2"/>
      <c r="T875" s="2"/>
    </row>
    <row r="876" spans="1:20" x14ac:dyDescent="0.25">
      <c r="A876" s="3"/>
      <c r="B876" s="3"/>
      <c r="C876" s="2"/>
      <c r="D876" s="2"/>
      <c r="E876" s="51"/>
      <c r="F876" s="51"/>
      <c r="G876" s="51"/>
      <c r="H876" s="51"/>
      <c r="I876" s="2"/>
      <c r="J876" s="2"/>
      <c r="K876" s="2"/>
      <c r="L876" s="2"/>
      <c r="M876" s="2"/>
      <c r="N876" s="2"/>
      <c r="O876" s="2"/>
      <c r="P876" s="53"/>
      <c r="Q876" s="53"/>
      <c r="R876" s="2"/>
      <c r="S876" s="2"/>
      <c r="T876" s="2"/>
    </row>
    <row r="877" spans="1:20" x14ac:dyDescent="0.25">
      <c r="A877" s="3"/>
      <c r="B877" s="3"/>
      <c r="C877" s="2"/>
      <c r="D877" s="2"/>
      <c r="E877" s="51"/>
      <c r="F877" s="51"/>
      <c r="G877" s="51"/>
      <c r="H877" s="51"/>
      <c r="I877" s="2"/>
      <c r="J877" s="2"/>
      <c r="K877" s="2"/>
      <c r="L877" s="2"/>
      <c r="M877" s="2"/>
      <c r="N877" s="2"/>
      <c r="O877" s="2"/>
      <c r="P877" s="53"/>
      <c r="Q877" s="53"/>
      <c r="R877" s="2"/>
      <c r="S877" s="2"/>
      <c r="T877" s="2"/>
    </row>
    <row r="878" spans="1:20" x14ac:dyDescent="0.25">
      <c r="A878" s="3"/>
      <c r="B878" s="3"/>
      <c r="C878" s="2"/>
      <c r="D878" s="2"/>
      <c r="E878" s="51"/>
      <c r="F878" s="51"/>
      <c r="G878" s="51"/>
      <c r="H878" s="51"/>
      <c r="I878" s="2"/>
      <c r="J878" s="2"/>
      <c r="K878" s="2"/>
      <c r="L878" s="2"/>
      <c r="M878" s="2"/>
      <c r="N878" s="2"/>
      <c r="O878" s="2"/>
      <c r="P878" s="53"/>
      <c r="Q878" s="53"/>
      <c r="R878" s="2"/>
      <c r="S878" s="2"/>
      <c r="T878" s="2"/>
    </row>
    <row r="879" spans="1:20" x14ac:dyDescent="0.25">
      <c r="A879" s="3"/>
      <c r="B879" s="3"/>
      <c r="C879" s="2"/>
      <c r="D879" s="2"/>
      <c r="E879" s="51"/>
      <c r="F879" s="51"/>
      <c r="G879" s="51"/>
      <c r="H879" s="51"/>
      <c r="I879" s="2"/>
      <c r="J879" s="2"/>
      <c r="K879" s="2"/>
      <c r="L879" s="2"/>
      <c r="M879" s="2"/>
      <c r="N879" s="2"/>
      <c r="O879" s="2"/>
      <c r="P879" s="53"/>
      <c r="Q879" s="53"/>
      <c r="R879" s="2"/>
      <c r="S879" s="2"/>
      <c r="T879" s="2"/>
    </row>
    <row r="880" spans="1:20" x14ac:dyDescent="0.25">
      <c r="A880" s="3"/>
      <c r="B880" s="3"/>
      <c r="C880" s="2"/>
      <c r="D880" s="2"/>
      <c r="E880" s="51"/>
      <c r="F880" s="51"/>
      <c r="G880" s="51"/>
      <c r="H880" s="51"/>
      <c r="I880" s="2"/>
      <c r="J880" s="2"/>
      <c r="K880" s="2"/>
      <c r="L880" s="2"/>
      <c r="M880" s="2"/>
      <c r="N880" s="2"/>
      <c r="O880" s="2"/>
      <c r="P880" s="53"/>
      <c r="Q880" s="53"/>
      <c r="R880" s="2"/>
      <c r="S880" s="2"/>
      <c r="T880" s="2"/>
    </row>
    <row r="881" spans="1:20" x14ac:dyDescent="0.25">
      <c r="A881" s="3"/>
      <c r="B881" s="3"/>
      <c r="C881" s="2"/>
      <c r="D881" s="2"/>
      <c r="E881" s="51"/>
      <c r="F881" s="51"/>
      <c r="G881" s="51"/>
      <c r="H881" s="51"/>
      <c r="I881" s="2"/>
      <c r="J881" s="2"/>
      <c r="K881" s="2"/>
      <c r="L881" s="2"/>
      <c r="M881" s="2"/>
      <c r="N881" s="2"/>
      <c r="O881" s="2"/>
      <c r="P881" s="53"/>
      <c r="Q881" s="53"/>
      <c r="R881" s="2"/>
      <c r="S881" s="2"/>
      <c r="T881" s="2"/>
    </row>
    <row r="882" spans="1:20" x14ac:dyDescent="0.25">
      <c r="A882" s="3"/>
      <c r="B882" s="3"/>
      <c r="C882" s="2"/>
      <c r="D882" s="2"/>
      <c r="E882" s="51"/>
      <c r="F882" s="51"/>
      <c r="G882" s="51"/>
      <c r="H882" s="51"/>
      <c r="I882" s="2"/>
      <c r="J882" s="2"/>
      <c r="K882" s="2"/>
      <c r="L882" s="2"/>
      <c r="M882" s="2"/>
      <c r="N882" s="2"/>
      <c r="O882" s="2"/>
      <c r="P882" s="53"/>
      <c r="Q882" s="53"/>
      <c r="R882" s="2"/>
      <c r="S882" s="2"/>
      <c r="T882" s="2"/>
    </row>
    <row r="883" spans="1:20" x14ac:dyDescent="0.25">
      <c r="A883" s="3"/>
      <c r="B883" s="3"/>
      <c r="C883" s="2"/>
      <c r="D883" s="2"/>
      <c r="E883" s="51"/>
      <c r="F883" s="51"/>
      <c r="G883" s="51"/>
      <c r="H883" s="51"/>
      <c r="I883" s="2"/>
      <c r="J883" s="2"/>
      <c r="K883" s="2"/>
      <c r="L883" s="2"/>
      <c r="M883" s="2"/>
      <c r="N883" s="2"/>
      <c r="O883" s="2"/>
      <c r="P883" s="53"/>
      <c r="Q883" s="53"/>
      <c r="R883" s="2"/>
      <c r="S883" s="2"/>
      <c r="T883" s="2"/>
    </row>
    <row r="884" spans="1:20" x14ac:dyDescent="0.25">
      <c r="A884" s="3"/>
      <c r="B884" s="3"/>
      <c r="C884" s="2"/>
      <c r="D884" s="2"/>
      <c r="E884" s="51"/>
      <c r="F884" s="51"/>
      <c r="G884" s="51"/>
      <c r="H884" s="51"/>
      <c r="I884" s="2"/>
      <c r="J884" s="2"/>
      <c r="K884" s="2"/>
      <c r="L884" s="2"/>
      <c r="M884" s="2"/>
      <c r="N884" s="2"/>
      <c r="O884" s="2"/>
      <c r="P884" s="53"/>
      <c r="Q884" s="53"/>
      <c r="R884" s="2"/>
      <c r="S884" s="2"/>
      <c r="T884" s="2"/>
    </row>
    <row r="885" spans="1:20" x14ac:dyDescent="0.25">
      <c r="A885" s="3"/>
      <c r="B885" s="3"/>
      <c r="C885" s="2"/>
      <c r="D885" s="2"/>
      <c r="E885" s="51"/>
      <c r="F885" s="51"/>
      <c r="G885" s="51"/>
      <c r="H885" s="51"/>
      <c r="I885" s="2"/>
      <c r="J885" s="2"/>
      <c r="K885" s="2"/>
      <c r="L885" s="2"/>
      <c r="M885" s="2"/>
      <c r="N885" s="2"/>
      <c r="O885" s="2"/>
      <c r="P885" s="53"/>
      <c r="Q885" s="53"/>
      <c r="R885" s="2"/>
      <c r="S885" s="2"/>
      <c r="T885" s="2"/>
    </row>
    <row r="886" spans="1:20" x14ac:dyDescent="0.25">
      <c r="A886" s="3"/>
      <c r="B886" s="3"/>
      <c r="C886" s="2"/>
      <c r="D886" s="2"/>
      <c r="E886" s="51"/>
      <c r="F886" s="51"/>
      <c r="G886" s="51"/>
      <c r="H886" s="51"/>
      <c r="I886" s="2"/>
      <c r="J886" s="2"/>
      <c r="K886" s="2"/>
      <c r="L886" s="2"/>
      <c r="M886" s="2"/>
      <c r="N886" s="2"/>
      <c r="O886" s="2"/>
      <c r="P886" s="53"/>
      <c r="Q886" s="53"/>
      <c r="R886" s="2"/>
      <c r="S886" s="2"/>
      <c r="T886" s="2"/>
    </row>
    <row r="887" spans="1:20" x14ac:dyDescent="0.25">
      <c r="A887" s="3"/>
      <c r="B887" s="3"/>
      <c r="C887" s="2"/>
      <c r="D887" s="2"/>
      <c r="E887" s="51"/>
      <c r="F887" s="51"/>
      <c r="G887" s="51"/>
      <c r="H887" s="51"/>
      <c r="I887" s="2"/>
      <c r="J887" s="2"/>
      <c r="K887" s="2"/>
      <c r="L887" s="2"/>
      <c r="M887" s="2"/>
      <c r="N887" s="2"/>
      <c r="O887" s="2"/>
      <c r="P887" s="53"/>
      <c r="Q887" s="53"/>
      <c r="R887" s="2"/>
      <c r="S887" s="2"/>
      <c r="T887" s="2"/>
    </row>
    <row r="888" spans="1:20" x14ac:dyDescent="0.25">
      <c r="A888" s="3"/>
      <c r="B888" s="3"/>
      <c r="C888" s="2"/>
      <c r="D888" s="2"/>
      <c r="E888" s="51"/>
      <c r="F888" s="51"/>
      <c r="G888" s="51"/>
      <c r="H888" s="51"/>
      <c r="I888" s="2"/>
      <c r="J888" s="2"/>
      <c r="K888" s="2"/>
      <c r="L888" s="2"/>
      <c r="M888" s="2"/>
      <c r="N888" s="2"/>
      <c r="O888" s="2"/>
      <c r="P888" s="53"/>
      <c r="Q888" s="53"/>
      <c r="R888" s="2"/>
      <c r="S888" s="2"/>
      <c r="T888" s="2"/>
    </row>
    <row r="889" spans="1:20" x14ac:dyDescent="0.25">
      <c r="A889" s="3"/>
      <c r="B889" s="3"/>
      <c r="C889" s="2"/>
      <c r="D889" s="2"/>
      <c r="E889" s="51"/>
      <c r="F889" s="51"/>
      <c r="G889" s="51"/>
      <c r="H889" s="51"/>
      <c r="I889" s="2"/>
      <c r="J889" s="2"/>
      <c r="K889" s="2"/>
      <c r="L889" s="2"/>
      <c r="M889" s="2"/>
      <c r="N889" s="2"/>
      <c r="O889" s="2"/>
      <c r="P889" s="53"/>
      <c r="Q889" s="53"/>
      <c r="R889" s="2"/>
      <c r="S889" s="2"/>
      <c r="T889" s="2"/>
    </row>
    <row r="890" spans="1:20" x14ac:dyDescent="0.25">
      <c r="A890" s="3"/>
      <c r="B890" s="3"/>
      <c r="C890" s="2"/>
      <c r="D890" s="2"/>
      <c r="E890" s="51"/>
      <c r="F890" s="51"/>
      <c r="G890" s="51"/>
      <c r="H890" s="51"/>
      <c r="I890" s="2"/>
      <c r="J890" s="2"/>
      <c r="K890" s="2"/>
      <c r="L890" s="2"/>
      <c r="M890" s="2"/>
      <c r="N890" s="2"/>
      <c r="O890" s="2"/>
      <c r="P890" s="53"/>
      <c r="Q890" s="53"/>
      <c r="R890" s="2"/>
      <c r="S890" s="2"/>
      <c r="T890" s="2"/>
    </row>
    <row r="891" spans="1:20" x14ac:dyDescent="0.25">
      <c r="A891" s="3"/>
      <c r="B891" s="3"/>
      <c r="C891" s="2"/>
      <c r="D891" s="2"/>
      <c r="E891" s="51"/>
      <c r="F891" s="51"/>
      <c r="G891" s="51"/>
      <c r="H891" s="51"/>
      <c r="I891" s="2"/>
      <c r="J891" s="2"/>
      <c r="K891" s="2"/>
      <c r="L891" s="2"/>
      <c r="M891" s="2"/>
      <c r="N891" s="2"/>
      <c r="O891" s="2"/>
      <c r="P891" s="53"/>
      <c r="Q891" s="53"/>
      <c r="R891" s="2"/>
      <c r="S891" s="2"/>
      <c r="T891" s="2"/>
    </row>
    <row r="892" spans="1:20" x14ac:dyDescent="0.25">
      <c r="A892" s="3"/>
      <c r="B892" s="3"/>
      <c r="C892" s="2"/>
      <c r="D892" s="2"/>
      <c r="E892" s="51"/>
      <c r="F892" s="51"/>
      <c r="G892" s="51"/>
      <c r="H892" s="51"/>
      <c r="I892" s="2"/>
      <c r="J892" s="2"/>
      <c r="K892" s="2"/>
      <c r="L892" s="2"/>
      <c r="M892" s="2"/>
      <c r="N892" s="2"/>
      <c r="O892" s="2"/>
      <c r="P892" s="53"/>
      <c r="Q892" s="53"/>
      <c r="R892" s="2"/>
      <c r="S892" s="2"/>
      <c r="T892" s="2"/>
    </row>
    <row r="893" spans="1:20" x14ac:dyDescent="0.25">
      <c r="A893" s="3"/>
      <c r="B893" s="3"/>
      <c r="C893" s="2"/>
      <c r="D893" s="2"/>
      <c r="E893" s="51"/>
      <c r="F893" s="51"/>
      <c r="G893" s="51"/>
      <c r="H893" s="51"/>
      <c r="I893" s="2"/>
      <c r="J893" s="2"/>
      <c r="K893" s="2"/>
      <c r="L893" s="2"/>
      <c r="M893" s="2"/>
      <c r="N893" s="2"/>
      <c r="O893" s="2"/>
      <c r="P893" s="53"/>
      <c r="Q893" s="53"/>
      <c r="R893" s="2"/>
      <c r="S893" s="2"/>
      <c r="T893" s="2"/>
    </row>
    <row r="894" spans="1:20" x14ac:dyDescent="0.25">
      <c r="A894" s="3"/>
      <c r="B894" s="3"/>
      <c r="C894" s="2"/>
      <c r="D894" s="2"/>
      <c r="E894" s="51"/>
      <c r="F894" s="51"/>
      <c r="G894" s="51"/>
      <c r="H894" s="51"/>
      <c r="I894" s="2"/>
      <c r="J894" s="2"/>
      <c r="K894" s="2"/>
      <c r="L894" s="2"/>
      <c r="M894" s="2"/>
      <c r="N894" s="2"/>
      <c r="O894" s="2"/>
      <c r="P894" s="53"/>
      <c r="Q894" s="53"/>
      <c r="R894" s="2"/>
      <c r="S894" s="2"/>
      <c r="T894" s="2"/>
    </row>
    <row r="895" spans="1:20" x14ac:dyDescent="0.25">
      <c r="A895" s="3"/>
      <c r="B895" s="3"/>
      <c r="C895" s="2"/>
      <c r="D895" s="2"/>
      <c r="E895" s="51"/>
      <c r="F895" s="51"/>
      <c r="G895" s="51"/>
      <c r="H895" s="51"/>
      <c r="I895" s="2"/>
      <c r="J895" s="2"/>
      <c r="K895" s="2"/>
      <c r="L895" s="2"/>
      <c r="M895" s="2"/>
      <c r="N895" s="2"/>
      <c r="O895" s="2"/>
      <c r="P895" s="53"/>
      <c r="Q895" s="53"/>
      <c r="R895" s="2"/>
      <c r="S895" s="2"/>
      <c r="T895" s="2"/>
    </row>
    <row r="896" spans="1:20" x14ac:dyDescent="0.25">
      <c r="A896" s="3"/>
      <c r="B896" s="3"/>
      <c r="C896" s="2"/>
      <c r="D896" s="2"/>
      <c r="E896" s="51"/>
      <c r="F896" s="51"/>
      <c r="G896" s="51"/>
      <c r="H896" s="51"/>
      <c r="I896" s="2"/>
      <c r="J896" s="2"/>
      <c r="K896" s="2"/>
      <c r="L896" s="2"/>
      <c r="M896" s="2"/>
      <c r="N896" s="2"/>
      <c r="O896" s="2"/>
      <c r="P896" s="53"/>
      <c r="Q896" s="53"/>
      <c r="R896" s="2"/>
      <c r="S896" s="2"/>
      <c r="T896" s="2"/>
    </row>
    <row r="897" spans="1:20" x14ac:dyDescent="0.25">
      <c r="A897" s="3"/>
      <c r="B897" s="3"/>
      <c r="C897" s="2"/>
      <c r="D897" s="2"/>
      <c r="E897" s="51"/>
      <c r="F897" s="51"/>
      <c r="G897" s="51"/>
      <c r="H897" s="51"/>
      <c r="I897" s="2"/>
      <c r="J897" s="2"/>
      <c r="K897" s="2"/>
      <c r="L897" s="2"/>
      <c r="M897" s="2"/>
      <c r="N897" s="2"/>
      <c r="O897" s="2"/>
      <c r="P897" s="53"/>
      <c r="Q897" s="53"/>
      <c r="R897" s="2"/>
      <c r="S897" s="2"/>
      <c r="T897" s="2"/>
    </row>
    <row r="898" spans="1:20" x14ac:dyDescent="0.25">
      <c r="A898" s="3"/>
      <c r="B898" s="3"/>
      <c r="C898" s="2"/>
      <c r="D898" s="2"/>
      <c r="E898" s="51"/>
      <c r="F898" s="51"/>
      <c r="G898" s="51"/>
      <c r="H898" s="51"/>
      <c r="I898" s="2"/>
      <c r="J898" s="2"/>
      <c r="K898" s="2"/>
      <c r="L898" s="2"/>
      <c r="M898" s="2"/>
      <c r="N898" s="2"/>
      <c r="O898" s="2"/>
      <c r="P898" s="53"/>
      <c r="Q898" s="53"/>
      <c r="R898" s="2"/>
      <c r="S898" s="2"/>
      <c r="T898" s="2"/>
    </row>
    <row r="899" spans="1:20" x14ac:dyDescent="0.25">
      <c r="A899" s="3"/>
      <c r="B899" s="3"/>
      <c r="C899" s="2"/>
      <c r="D899" s="2"/>
      <c r="E899" s="51"/>
      <c r="F899" s="51"/>
      <c r="G899" s="51"/>
      <c r="H899" s="51"/>
      <c r="I899" s="2"/>
      <c r="J899" s="2"/>
      <c r="K899" s="2"/>
      <c r="L899" s="2"/>
      <c r="M899" s="2"/>
      <c r="N899" s="2"/>
      <c r="O899" s="2"/>
      <c r="P899" s="53"/>
      <c r="Q899" s="53"/>
      <c r="R899" s="2"/>
      <c r="S899" s="2"/>
      <c r="T899" s="2"/>
    </row>
    <row r="900" spans="1:20" x14ac:dyDescent="0.25">
      <c r="A900" s="3"/>
      <c r="B900" s="3"/>
      <c r="C900" s="2"/>
      <c r="D900" s="2"/>
      <c r="E900" s="51"/>
      <c r="F900" s="51"/>
      <c r="G900" s="51"/>
      <c r="H900" s="51"/>
      <c r="I900" s="2"/>
      <c r="J900" s="2"/>
      <c r="K900" s="2"/>
      <c r="L900" s="2"/>
      <c r="M900" s="2"/>
      <c r="N900" s="2"/>
      <c r="O900" s="2"/>
      <c r="P900" s="53"/>
      <c r="Q900" s="53"/>
      <c r="R900" s="2"/>
      <c r="S900" s="2"/>
      <c r="T900" s="2"/>
    </row>
    <row r="901" spans="1:20" x14ac:dyDescent="0.25">
      <c r="A901" s="3"/>
      <c r="B901" s="3"/>
      <c r="C901" s="2"/>
      <c r="D901" s="2"/>
      <c r="E901" s="51"/>
      <c r="F901" s="51"/>
      <c r="G901" s="51"/>
      <c r="H901" s="51"/>
      <c r="I901" s="2"/>
      <c r="J901" s="2"/>
      <c r="K901" s="2"/>
      <c r="L901" s="2"/>
      <c r="M901" s="2"/>
      <c r="N901" s="2"/>
      <c r="O901" s="2"/>
      <c r="P901" s="53"/>
      <c r="Q901" s="53"/>
      <c r="R901" s="2"/>
      <c r="S901" s="2"/>
      <c r="T901" s="2"/>
    </row>
    <row r="902" spans="1:20" x14ac:dyDescent="0.25">
      <c r="A902" s="3"/>
      <c r="B902" s="3"/>
      <c r="C902" s="2"/>
      <c r="D902" s="2"/>
      <c r="E902" s="51"/>
      <c r="F902" s="51"/>
      <c r="G902" s="51"/>
      <c r="H902" s="51"/>
      <c r="I902" s="2"/>
      <c r="J902" s="2"/>
      <c r="K902" s="2"/>
      <c r="L902" s="2"/>
      <c r="M902" s="2"/>
      <c r="N902" s="2"/>
      <c r="O902" s="2"/>
      <c r="P902" s="53"/>
      <c r="Q902" s="53"/>
      <c r="R902" s="2"/>
      <c r="S902" s="2"/>
      <c r="T902" s="2"/>
    </row>
    <row r="903" spans="1:20" x14ac:dyDescent="0.25">
      <c r="A903" s="3"/>
      <c r="B903" s="3"/>
      <c r="C903" s="2"/>
      <c r="D903" s="2"/>
      <c r="E903" s="51"/>
      <c r="F903" s="51"/>
      <c r="G903" s="51"/>
      <c r="H903" s="51"/>
      <c r="I903" s="2"/>
      <c r="J903" s="2"/>
      <c r="K903" s="2"/>
      <c r="L903" s="2"/>
      <c r="M903" s="2"/>
      <c r="N903" s="2"/>
      <c r="O903" s="2"/>
      <c r="P903" s="53"/>
      <c r="Q903" s="53"/>
      <c r="R903" s="2"/>
      <c r="S903" s="2"/>
      <c r="T903" s="2"/>
    </row>
    <row r="904" spans="1:20" x14ac:dyDescent="0.25">
      <c r="A904" s="3"/>
      <c r="B904" s="3"/>
      <c r="C904" s="2"/>
      <c r="D904" s="2"/>
      <c r="E904" s="51"/>
      <c r="F904" s="51"/>
      <c r="G904" s="51"/>
      <c r="H904" s="51"/>
      <c r="I904" s="2"/>
      <c r="J904" s="2"/>
      <c r="K904" s="2"/>
      <c r="L904" s="2"/>
      <c r="M904" s="2"/>
      <c r="N904" s="2"/>
      <c r="O904" s="2"/>
      <c r="P904" s="53"/>
      <c r="Q904" s="53"/>
      <c r="R904" s="2"/>
      <c r="S904" s="2"/>
      <c r="T904" s="2"/>
    </row>
    <row r="905" spans="1:20" x14ac:dyDescent="0.25">
      <c r="A905" s="3"/>
      <c r="B905" s="3"/>
      <c r="C905" s="2"/>
      <c r="D905" s="2"/>
      <c r="E905" s="51"/>
      <c r="F905" s="51"/>
      <c r="G905" s="51"/>
      <c r="H905" s="51"/>
      <c r="I905" s="2"/>
      <c r="J905" s="2"/>
      <c r="K905" s="2"/>
      <c r="L905" s="2"/>
      <c r="M905" s="2"/>
      <c r="N905" s="2"/>
      <c r="O905" s="2"/>
      <c r="P905" s="53"/>
      <c r="Q905" s="53"/>
      <c r="R905" s="2"/>
      <c r="S905" s="2"/>
      <c r="T905" s="2"/>
    </row>
    <row r="906" spans="1:20" x14ac:dyDescent="0.25">
      <c r="A906" s="3"/>
      <c r="B906" s="3"/>
      <c r="C906" s="2"/>
      <c r="D906" s="2"/>
      <c r="E906" s="51"/>
      <c r="F906" s="51"/>
      <c r="G906" s="51"/>
      <c r="H906" s="51"/>
      <c r="I906" s="2"/>
      <c r="J906" s="2"/>
      <c r="K906" s="2"/>
      <c r="L906" s="2"/>
      <c r="M906" s="2"/>
      <c r="N906" s="2"/>
      <c r="O906" s="2"/>
      <c r="P906" s="53"/>
      <c r="Q906" s="53"/>
      <c r="R906" s="2"/>
      <c r="S906" s="2"/>
      <c r="T906" s="2"/>
    </row>
    <row r="907" spans="1:20" x14ac:dyDescent="0.25">
      <c r="A907" s="3"/>
      <c r="B907" s="3"/>
      <c r="C907" s="2"/>
      <c r="D907" s="2"/>
      <c r="E907" s="51"/>
      <c r="F907" s="51"/>
      <c r="G907" s="51"/>
      <c r="H907" s="51"/>
      <c r="I907" s="2"/>
      <c r="J907" s="2"/>
      <c r="K907" s="2"/>
      <c r="L907" s="2"/>
      <c r="M907" s="2"/>
      <c r="N907" s="2"/>
      <c r="O907" s="2"/>
      <c r="P907" s="53"/>
      <c r="Q907" s="53"/>
      <c r="R907" s="2"/>
      <c r="S907" s="2"/>
      <c r="T907" s="2"/>
    </row>
    <row r="908" spans="1:20" x14ac:dyDescent="0.25">
      <c r="A908" s="3"/>
      <c r="B908" s="3"/>
      <c r="C908" s="2"/>
      <c r="D908" s="2"/>
      <c r="E908" s="51"/>
      <c r="F908" s="51"/>
      <c r="G908" s="51"/>
      <c r="H908" s="51"/>
      <c r="I908" s="2"/>
      <c r="J908" s="2"/>
      <c r="K908" s="2"/>
      <c r="L908" s="2"/>
      <c r="M908" s="2"/>
      <c r="N908" s="2"/>
      <c r="O908" s="2"/>
      <c r="P908" s="53"/>
      <c r="Q908" s="53"/>
      <c r="R908" s="2"/>
      <c r="S908" s="2"/>
      <c r="T908" s="2"/>
    </row>
    <row r="909" spans="1:20" x14ac:dyDescent="0.25">
      <c r="A909" s="3"/>
      <c r="B909" s="3"/>
      <c r="C909" s="2"/>
      <c r="D909" s="2"/>
      <c r="E909" s="51"/>
      <c r="F909" s="51"/>
      <c r="G909" s="51"/>
      <c r="H909" s="51"/>
      <c r="I909" s="2"/>
      <c r="J909" s="2"/>
      <c r="K909" s="2"/>
      <c r="L909" s="2"/>
      <c r="M909" s="2"/>
      <c r="N909" s="2"/>
      <c r="O909" s="2"/>
      <c r="P909" s="53"/>
      <c r="Q909" s="53"/>
      <c r="R909" s="2"/>
      <c r="S909" s="2"/>
      <c r="T909" s="2"/>
    </row>
    <row r="910" spans="1:20" x14ac:dyDescent="0.25">
      <c r="A910" s="3"/>
      <c r="B910" s="3"/>
      <c r="C910" s="2"/>
      <c r="D910" s="2"/>
      <c r="E910" s="51"/>
      <c r="F910" s="51"/>
      <c r="G910" s="51"/>
      <c r="H910" s="51"/>
      <c r="I910" s="2"/>
      <c r="J910" s="2"/>
      <c r="K910" s="2"/>
      <c r="L910" s="2"/>
      <c r="M910" s="2"/>
      <c r="N910" s="2"/>
      <c r="O910" s="2"/>
      <c r="P910" s="53"/>
      <c r="Q910" s="53"/>
      <c r="R910" s="2"/>
      <c r="S910" s="2"/>
      <c r="T910" s="2"/>
    </row>
    <row r="911" spans="1:20" x14ac:dyDescent="0.25">
      <c r="A911" s="3"/>
      <c r="B911" s="3"/>
      <c r="C911" s="2"/>
      <c r="D911" s="2"/>
      <c r="E911" s="51"/>
      <c r="F911" s="51"/>
      <c r="G911" s="51"/>
      <c r="H911" s="51"/>
      <c r="I911" s="2"/>
      <c r="J911" s="2"/>
      <c r="K911" s="2"/>
      <c r="L911" s="2"/>
      <c r="M911" s="2"/>
      <c r="N911" s="2"/>
      <c r="O911" s="2"/>
      <c r="P911" s="53"/>
      <c r="Q911" s="53"/>
      <c r="R911" s="2"/>
      <c r="S911" s="2"/>
      <c r="T911" s="2"/>
    </row>
    <row r="912" spans="1:20" x14ac:dyDescent="0.25">
      <c r="A912" s="3"/>
      <c r="B912" s="3"/>
      <c r="C912" s="2"/>
      <c r="D912" s="2"/>
      <c r="E912" s="51"/>
      <c r="F912" s="51"/>
      <c r="G912" s="51"/>
      <c r="H912" s="51"/>
      <c r="I912" s="2"/>
      <c r="J912" s="2"/>
      <c r="K912" s="2"/>
      <c r="L912" s="2"/>
      <c r="M912" s="2"/>
      <c r="N912" s="2"/>
      <c r="O912" s="2"/>
      <c r="P912" s="53"/>
      <c r="Q912" s="53"/>
      <c r="R912" s="2"/>
      <c r="S912" s="2"/>
      <c r="T912" s="2"/>
    </row>
    <row r="913" spans="1:20" x14ac:dyDescent="0.25">
      <c r="A913" s="3"/>
      <c r="B913" s="3"/>
      <c r="C913" s="2"/>
      <c r="D913" s="2"/>
      <c r="E913" s="51"/>
      <c r="F913" s="51"/>
      <c r="G913" s="51"/>
      <c r="H913" s="51"/>
      <c r="I913" s="2"/>
      <c r="J913" s="2"/>
      <c r="K913" s="2"/>
      <c r="L913" s="2"/>
      <c r="M913" s="2"/>
      <c r="N913" s="2"/>
      <c r="O913" s="2"/>
      <c r="P913" s="53"/>
      <c r="Q913" s="53"/>
      <c r="R913" s="2"/>
      <c r="S913" s="2"/>
      <c r="T913" s="2"/>
    </row>
    <row r="914" spans="1:20" x14ac:dyDescent="0.25">
      <c r="A914" s="3"/>
      <c r="B914" s="3"/>
      <c r="C914" s="2"/>
      <c r="D914" s="2"/>
      <c r="E914" s="51"/>
      <c r="F914" s="51"/>
      <c r="G914" s="51"/>
      <c r="H914" s="51"/>
      <c r="I914" s="2"/>
      <c r="J914" s="2"/>
      <c r="K914" s="2"/>
      <c r="L914" s="2"/>
      <c r="M914" s="2"/>
      <c r="N914" s="2"/>
      <c r="O914" s="2"/>
      <c r="P914" s="53"/>
      <c r="Q914" s="53"/>
      <c r="R914" s="2"/>
      <c r="S914" s="2"/>
      <c r="T914" s="2"/>
    </row>
    <row r="915" spans="1:20" x14ac:dyDescent="0.25">
      <c r="A915" s="3"/>
      <c r="B915" s="3"/>
      <c r="C915" s="2"/>
      <c r="D915" s="2"/>
      <c r="E915" s="51"/>
      <c r="F915" s="51"/>
      <c r="G915" s="51"/>
      <c r="H915" s="51"/>
      <c r="I915" s="2"/>
      <c r="J915" s="2"/>
      <c r="K915" s="2"/>
      <c r="L915" s="2"/>
      <c r="M915" s="2"/>
      <c r="N915" s="2"/>
      <c r="O915" s="2"/>
      <c r="P915" s="53"/>
      <c r="Q915" s="53"/>
      <c r="R915" s="2"/>
      <c r="S915" s="2"/>
      <c r="T915" s="2"/>
    </row>
    <row r="916" spans="1:20" x14ac:dyDescent="0.25">
      <c r="A916" s="3"/>
      <c r="B916" s="3"/>
      <c r="C916" s="2"/>
      <c r="D916" s="2"/>
      <c r="E916" s="51"/>
      <c r="F916" s="51"/>
      <c r="G916" s="51"/>
      <c r="H916" s="51"/>
      <c r="I916" s="2"/>
      <c r="J916" s="2"/>
      <c r="K916" s="2"/>
      <c r="L916" s="2"/>
      <c r="M916" s="2"/>
      <c r="N916" s="2"/>
      <c r="O916" s="2"/>
      <c r="P916" s="53"/>
      <c r="Q916" s="53"/>
      <c r="R916" s="2"/>
      <c r="S916" s="2"/>
      <c r="T916" s="2"/>
    </row>
    <row r="917" spans="1:20" x14ac:dyDescent="0.25">
      <c r="A917" s="3"/>
      <c r="B917" s="3"/>
      <c r="C917" s="2"/>
      <c r="D917" s="2"/>
      <c r="E917" s="51"/>
      <c r="F917" s="51"/>
      <c r="G917" s="51"/>
      <c r="H917" s="51"/>
      <c r="I917" s="2"/>
      <c r="J917" s="2"/>
      <c r="K917" s="2"/>
      <c r="L917" s="2"/>
      <c r="M917" s="2"/>
      <c r="N917" s="2"/>
      <c r="O917" s="2"/>
      <c r="P917" s="53"/>
      <c r="Q917" s="53"/>
      <c r="R917" s="2"/>
      <c r="S917" s="2"/>
      <c r="T917" s="2"/>
    </row>
    <row r="918" spans="1:20" x14ac:dyDescent="0.25">
      <c r="A918" s="3"/>
      <c r="B918" s="3"/>
      <c r="C918" s="2"/>
      <c r="D918" s="2"/>
      <c r="E918" s="51"/>
      <c r="F918" s="51"/>
      <c r="G918" s="51"/>
      <c r="H918" s="51"/>
      <c r="I918" s="2"/>
      <c r="J918" s="2"/>
      <c r="K918" s="2"/>
      <c r="L918" s="2"/>
      <c r="M918" s="2"/>
      <c r="N918" s="2"/>
      <c r="O918" s="2"/>
      <c r="P918" s="53"/>
      <c r="Q918" s="53"/>
      <c r="R918" s="2"/>
      <c r="S918" s="2"/>
      <c r="T918" s="2"/>
    </row>
    <row r="919" spans="1:20" x14ac:dyDescent="0.25">
      <c r="A919" s="3"/>
      <c r="B919" s="3"/>
      <c r="C919" s="2"/>
      <c r="D919" s="2"/>
      <c r="E919" s="51"/>
      <c r="F919" s="51"/>
      <c r="G919" s="51"/>
      <c r="H919" s="51"/>
      <c r="I919" s="2"/>
      <c r="J919" s="2"/>
      <c r="K919" s="2"/>
      <c r="L919" s="2"/>
      <c r="M919" s="2"/>
      <c r="N919" s="2"/>
      <c r="O919" s="2"/>
      <c r="P919" s="53"/>
      <c r="Q919" s="53"/>
      <c r="R919" s="2"/>
      <c r="S919" s="2"/>
      <c r="T919" s="2"/>
    </row>
    <row r="920" spans="1:20" x14ac:dyDescent="0.25">
      <c r="A920" s="3"/>
      <c r="B920" s="3"/>
      <c r="C920" s="2"/>
      <c r="D920" s="2"/>
      <c r="E920" s="51"/>
      <c r="F920" s="51"/>
      <c r="G920" s="51"/>
      <c r="H920" s="51"/>
      <c r="I920" s="2"/>
      <c r="J920" s="2"/>
      <c r="K920" s="2"/>
      <c r="L920" s="2"/>
      <c r="M920" s="2"/>
      <c r="N920" s="2"/>
      <c r="O920" s="2"/>
      <c r="P920" s="53"/>
      <c r="Q920" s="53"/>
      <c r="R920" s="2"/>
      <c r="S920" s="2"/>
      <c r="T920" s="2"/>
    </row>
    <row r="921" spans="1:20" x14ac:dyDescent="0.25">
      <c r="A921" s="3"/>
      <c r="B921" s="3"/>
      <c r="C921" s="2"/>
      <c r="D921" s="2"/>
      <c r="E921" s="51"/>
      <c r="F921" s="51"/>
      <c r="G921" s="51"/>
      <c r="H921" s="51"/>
      <c r="I921" s="2"/>
      <c r="J921" s="2"/>
      <c r="K921" s="2"/>
      <c r="L921" s="2"/>
      <c r="M921" s="2"/>
      <c r="N921" s="2"/>
      <c r="O921" s="2"/>
      <c r="P921" s="53"/>
      <c r="Q921" s="53"/>
      <c r="R921" s="2"/>
      <c r="S921" s="2"/>
      <c r="T921" s="2"/>
    </row>
    <row r="922" spans="1:20" x14ac:dyDescent="0.25">
      <c r="A922" s="3"/>
      <c r="B922" s="3"/>
      <c r="C922" s="2"/>
      <c r="D922" s="2"/>
      <c r="E922" s="51"/>
      <c r="F922" s="51"/>
      <c r="G922" s="51"/>
      <c r="H922" s="51"/>
      <c r="I922" s="2"/>
      <c r="J922" s="2"/>
      <c r="K922" s="2"/>
      <c r="L922" s="2"/>
      <c r="M922" s="2"/>
      <c r="N922" s="2"/>
      <c r="O922" s="2"/>
      <c r="P922" s="53"/>
      <c r="Q922" s="53"/>
      <c r="R922" s="2"/>
      <c r="S922" s="2"/>
      <c r="T922" s="2"/>
    </row>
    <row r="923" spans="1:20" x14ac:dyDescent="0.25">
      <c r="A923" s="3"/>
      <c r="B923" s="3"/>
      <c r="C923" s="2"/>
      <c r="D923" s="2"/>
      <c r="E923" s="51"/>
      <c r="F923" s="51"/>
      <c r="G923" s="51"/>
      <c r="H923" s="51"/>
      <c r="I923" s="2"/>
      <c r="J923" s="2"/>
      <c r="K923" s="2"/>
      <c r="L923" s="2"/>
      <c r="M923" s="2"/>
      <c r="N923" s="2"/>
      <c r="O923" s="2"/>
      <c r="P923" s="53"/>
      <c r="Q923" s="53"/>
      <c r="R923" s="2"/>
      <c r="S923" s="2"/>
      <c r="T923" s="2"/>
    </row>
    <row r="924" spans="1:20" x14ac:dyDescent="0.25">
      <c r="A924" s="3"/>
      <c r="B924" s="3"/>
      <c r="C924" s="2"/>
      <c r="D924" s="2"/>
      <c r="E924" s="51"/>
      <c r="F924" s="51"/>
      <c r="G924" s="51"/>
      <c r="H924" s="51"/>
      <c r="I924" s="2"/>
      <c r="J924" s="2"/>
      <c r="K924" s="2"/>
      <c r="L924" s="2"/>
      <c r="M924" s="2"/>
      <c r="N924" s="2"/>
      <c r="O924" s="2"/>
      <c r="P924" s="53"/>
      <c r="Q924" s="53"/>
      <c r="R924" s="2"/>
      <c r="S924" s="2"/>
      <c r="T924" s="2"/>
    </row>
    <row r="925" spans="1:20" x14ac:dyDescent="0.25">
      <c r="A925" s="3"/>
      <c r="B925" s="3"/>
      <c r="C925" s="2"/>
      <c r="D925" s="2"/>
      <c r="E925" s="51"/>
      <c r="F925" s="51"/>
      <c r="G925" s="51"/>
      <c r="H925" s="51"/>
      <c r="I925" s="2"/>
      <c r="J925" s="2"/>
      <c r="K925" s="2"/>
      <c r="L925" s="2"/>
      <c r="M925" s="2"/>
      <c r="N925" s="2"/>
      <c r="O925" s="2"/>
      <c r="P925" s="53"/>
      <c r="Q925" s="53"/>
      <c r="R925" s="2"/>
      <c r="S925" s="2"/>
      <c r="T925" s="2"/>
    </row>
    <row r="926" spans="1:20" x14ac:dyDescent="0.25">
      <c r="A926" s="3"/>
      <c r="B926" s="3"/>
      <c r="C926" s="2"/>
      <c r="D926" s="2"/>
      <c r="E926" s="51"/>
      <c r="F926" s="51"/>
      <c r="G926" s="51"/>
      <c r="H926" s="51"/>
      <c r="I926" s="2"/>
      <c r="J926" s="2"/>
      <c r="K926" s="2"/>
      <c r="L926" s="2"/>
      <c r="M926" s="2"/>
      <c r="N926" s="2"/>
      <c r="O926" s="2"/>
      <c r="P926" s="53"/>
      <c r="Q926" s="53"/>
      <c r="R926" s="2"/>
      <c r="S926" s="2"/>
      <c r="T926" s="2"/>
    </row>
    <row r="927" spans="1:20" x14ac:dyDescent="0.25">
      <c r="A927" s="3"/>
      <c r="B927" s="3"/>
      <c r="C927" s="2"/>
      <c r="D927" s="2"/>
      <c r="E927" s="51"/>
      <c r="F927" s="51"/>
      <c r="G927" s="51"/>
      <c r="H927" s="51"/>
      <c r="I927" s="2"/>
      <c r="J927" s="2"/>
      <c r="K927" s="2"/>
      <c r="L927" s="2"/>
      <c r="M927" s="2"/>
      <c r="N927" s="2"/>
      <c r="O927" s="2"/>
      <c r="P927" s="53"/>
      <c r="Q927" s="53"/>
      <c r="R927" s="2"/>
      <c r="S927" s="2"/>
      <c r="T927" s="2"/>
    </row>
    <row r="928" spans="1:20" x14ac:dyDescent="0.25">
      <c r="A928" s="3"/>
      <c r="B928" s="3"/>
      <c r="C928" s="2"/>
      <c r="D928" s="2"/>
      <c r="E928" s="51"/>
      <c r="F928" s="51"/>
      <c r="G928" s="51"/>
      <c r="H928" s="51"/>
      <c r="I928" s="2"/>
      <c r="J928" s="2"/>
      <c r="K928" s="2"/>
      <c r="L928" s="2"/>
      <c r="M928" s="2"/>
      <c r="N928" s="2"/>
      <c r="O928" s="2"/>
      <c r="P928" s="53"/>
      <c r="Q928" s="53"/>
      <c r="R928" s="2"/>
      <c r="S928" s="2"/>
      <c r="T928" s="2"/>
    </row>
    <row r="929" spans="1:20" x14ac:dyDescent="0.25">
      <c r="A929" s="3"/>
      <c r="B929" s="3"/>
      <c r="C929" s="2"/>
      <c r="D929" s="2"/>
      <c r="E929" s="51"/>
      <c r="F929" s="51"/>
      <c r="G929" s="51"/>
      <c r="H929" s="51"/>
      <c r="I929" s="2"/>
      <c r="J929" s="2"/>
      <c r="K929" s="2"/>
      <c r="L929" s="2"/>
      <c r="M929" s="2"/>
      <c r="N929" s="2"/>
      <c r="O929" s="2"/>
      <c r="P929" s="53"/>
      <c r="Q929" s="53"/>
      <c r="R929" s="2"/>
      <c r="S929" s="2"/>
      <c r="T929" s="2"/>
    </row>
    <row r="930" spans="1:20" x14ac:dyDescent="0.25">
      <c r="A930" s="3"/>
      <c r="B930" s="3"/>
      <c r="C930" s="2"/>
      <c r="D930" s="2"/>
      <c r="E930" s="51"/>
      <c r="F930" s="51"/>
      <c r="G930" s="51"/>
      <c r="H930" s="51"/>
      <c r="I930" s="2"/>
      <c r="J930" s="2"/>
      <c r="K930" s="2"/>
      <c r="L930" s="2"/>
      <c r="M930" s="2"/>
      <c r="N930" s="2"/>
      <c r="O930" s="2"/>
      <c r="P930" s="53"/>
      <c r="Q930" s="53"/>
      <c r="R930" s="2"/>
      <c r="S930" s="2"/>
      <c r="T930" s="2"/>
    </row>
    <row r="931" spans="1:20" x14ac:dyDescent="0.25">
      <c r="A931" s="3"/>
      <c r="B931" s="3"/>
      <c r="C931" s="2"/>
      <c r="D931" s="2"/>
      <c r="E931" s="51"/>
      <c r="F931" s="51"/>
      <c r="G931" s="51"/>
      <c r="H931" s="51"/>
      <c r="I931" s="2"/>
      <c r="J931" s="2"/>
      <c r="K931" s="2"/>
      <c r="L931" s="2"/>
      <c r="M931" s="2"/>
      <c r="N931" s="2"/>
      <c r="O931" s="2"/>
      <c r="P931" s="53"/>
      <c r="Q931" s="53"/>
      <c r="R931" s="2"/>
      <c r="S931" s="2"/>
      <c r="T931" s="2"/>
    </row>
    <row r="932" spans="1:20" x14ac:dyDescent="0.25">
      <c r="A932" s="3"/>
      <c r="B932" s="3"/>
      <c r="C932" s="2"/>
      <c r="D932" s="2"/>
      <c r="E932" s="51"/>
      <c r="F932" s="51"/>
      <c r="G932" s="51"/>
      <c r="H932" s="51"/>
      <c r="I932" s="2"/>
      <c r="J932" s="2"/>
      <c r="K932" s="2"/>
      <c r="L932" s="2"/>
      <c r="M932" s="2"/>
      <c r="N932" s="2"/>
      <c r="O932" s="2"/>
      <c r="P932" s="53"/>
      <c r="Q932" s="53"/>
      <c r="R932" s="2"/>
      <c r="S932" s="2"/>
      <c r="T932" s="2"/>
    </row>
    <row r="933" spans="1:20" x14ac:dyDescent="0.25">
      <c r="A933" s="3"/>
      <c r="B933" s="3"/>
      <c r="C933" s="2"/>
      <c r="D933" s="2"/>
      <c r="E933" s="51"/>
      <c r="F933" s="51"/>
      <c r="G933" s="51"/>
      <c r="H933" s="51"/>
      <c r="I933" s="2"/>
      <c r="J933" s="2"/>
      <c r="K933" s="2"/>
      <c r="L933" s="2"/>
      <c r="M933" s="2"/>
      <c r="N933" s="2"/>
      <c r="O933" s="2"/>
      <c r="P933" s="53"/>
      <c r="Q933" s="53"/>
      <c r="R933" s="2"/>
      <c r="S933" s="2"/>
      <c r="T933" s="2"/>
    </row>
    <row r="934" spans="1:20" x14ac:dyDescent="0.25">
      <c r="A934" s="3"/>
      <c r="B934" s="3"/>
      <c r="C934" s="2"/>
      <c r="D934" s="2"/>
      <c r="E934" s="51"/>
      <c r="F934" s="51"/>
      <c r="G934" s="51"/>
      <c r="H934" s="51"/>
      <c r="I934" s="2"/>
      <c r="J934" s="2"/>
      <c r="K934" s="2"/>
      <c r="L934" s="2"/>
      <c r="M934" s="2"/>
      <c r="N934" s="2"/>
      <c r="O934" s="2"/>
      <c r="P934" s="53"/>
      <c r="Q934" s="53"/>
      <c r="R934" s="2"/>
      <c r="S934" s="2"/>
      <c r="T934" s="2"/>
    </row>
    <row r="935" spans="1:20" x14ac:dyDescent="0.25">
      <c r="A935" s="3"/>
      <c r="B935" s="3"/>
      <c r="C935" s="2"/>
      <c r="D935" s="2"/>
      <c r="E935" s="51"/>
      <c r="F935" s="51"/>
      <c r="G935" s="51"/>
      <c r="H935" s="51"/>
      <c r="I935" s="2"/>
      <c r="J935" s="2"/>
      <c r="K935" s="2"/>
      <c r="L935" s="2"/>
      <c r="M935" s="2"/>
      <c r="N935" s="2"/>
      <c r="O935" s="2"/>
      <c r="P935" s="53"/>
      <c r="Q935" s="53"/>
      <c r="R935" s="2"/>
      <c r="S935" s="2"/>
      <c r="T935" s="2"/>
    </row>
    <row r="936" spans="1:20" x14ac:dyDescent="0.25">
      <c r="A936" s="3"/>
      <c r="B936" s="3"/>
      <c r="C936" s="2"/>
      <c r="D936" s="2"/>
      <c r="E936" s="51"/>
      <c r="F936" s="51"/>
      <c r="G936" s="51"/>
      <c r="H936" s="51"/>
      <c r="I936" s="2"/>
      <c r="J936" s="2"/>
      <c r="K936" s="2"/>
      <c r="L936" s="2"/>
      <c r="M936" s="2"/>
      <c r="N936" s="2"/>
      <c r="O936" s="2"/>
      <c r="P936" s="53"/>
      <c r="Q936" s="53"/>
      <c r="R936" s="2"/>
      <c r="S936" s="2"/>
      <c r="T936" s="2"/>
    </row>
    <row r="937" spans="1:20" x14ac:dyDescent="0.25">
      <c r="A937" s="3"/>
      <c r="B937" s="3"/>
      <c r="C937" s="2"/>
      <c r="D937" s="2"/>
      <c r="E937" s="51"/>
      <c r="F937" s="51"/>
      <c r="G937" s="51"/>
      <c r="H937" s="51"/>
      <c r="I937" s="2"/>
      <c r="J937" s="2"/>
      <c r="K937" s="2"/>
      <c r="L937" s="2"/>
      <c r="M937" s="2"/>
      <c r="N937" s="2"/>
      <c r="O937" s="2"/>
      <c r="P937" s="53"/>
      <c r="Q937" s="53"/>
      <c r="R937" s="2"/>
      <c r="S937" s="2"/>
      <c r="T937" s="2"/>
    </row>
    <row r="938" spans="1:20" x14ac:dyDescent="0.25">
      <c r="A938" s="3"/>
      <c r="B938" s="3"/>
      <c r="C938" s="2"/>
      <c r="D938" s="2"/>
      <c r="E938" s="51"/>
      <c r="F938" s="51"/>
      <c r="G938" s="51"/>
      <c r="H938" s="51"/>
      <c r="I938" s="2"/>
      <c r="J938" s="2"/>
      <c r="K938" s="2"/>
      <c r="L938" s="2"/>
      <c r="M938" s="2"/>
      <c r="N938" s="2"/>
      <c r="O938" s="2"/>
      <c r="P938" s="53"/>
      <c r="Q938" s="53"/>
      <c r="R938" s="2"/>
      <c r="S938" s="2"/>
      <c r="T938" s="2"/>
    </row>
    <row r="939" spans="1:20" x14ac:dyDescent="0.25">
      <c r="A939" s="3"/>
      <c r="B939" s="3"/>
      <c r="C939" s="2"/>
      <c r="D939" s="2"/>
      <c r="E939" s="51"/>
      <c r="F939" s="51"/>
      <c r="G939" s="51"/>
      <c r="H939" s="51"/>
      <c r="I939" s="2"/>
      <c r="J939" s="2"/>
      <c r="K939" s="2"/>
      <c r="L939" s="2"/>
      <c r="M939" s="2"/>
      <c r="N939" s="2"/>
      <c r="O939" s="2"/>
      <c r="P939" s="53"/>
      <c r="Q939" s="53"/>
      <c r="R939" s="2"/>
      <c r="S939" s="2"/>
      <c r="T939" s="2"/>
    </row>
    <row r="940" spans="1:20" x14ac:dyDescent="0.25">
      <c r="A940" s="3"/>
      <c r="B940" s="3"/>
      <c r="C940" s="2"/>
      <c r="D940" s="2"/>
      <c r="E940" s="51"/>
      <c r="F940" s="51"/>
      <c r="G940" s="51"/>
      <c r="H940" s="51"/>
      <c r="I940" s="2"/>
      <c r="J940" s="2"/>
      <c r="K940" s="2"/>
      <c r="L940" s="2"/>
      <c r="M940" s="2"/>
      <c r="N940" s="2"/>
      <c r="O940" s="2"/>
      <c r="P940" s="53"/>
      <c r="Q940" s="53"/>
      <c r="R940" s="2"/>
      <c r="S940" s="2"/>
      <c r="T940" s="2"/>
    </row>
    <row r="941" spans="1:20" x14ac:dyDescent="0.25">
      <c r="A941" s="3"/>
      <c r="B941" s="3"/>
      <c r="C941" s="2"/>
      <c r="D941" s="2"/>
      <c r="E941" s="51"/>
      <c r="F941" s="51"/>
      <c r="G941" s="51"/>
      <c r="H941" s="51"/>
      <c r="I941" s="2"/>
      <c r="J941" s="2"/>
      <c r="K941" s="2"/>
      <c r="L941" s="2"/>
      <c r="M941" s="2"/>
      <c r="N941" s="2"/>
      <c r="O941" s="2"/>
      <c r="P941" s="53"/>
      <c r="Q941" s="53"/>
      <c r="R941" s="2"/>
      <c r="S941" s="2"/>
      <c r="T941" s="2"/>
    </row>
    <row r="942" spans="1:20" x14ac:dyDescent="0.25">
      <c r="A942" s="3"/>
      <c r="B942" s="3"/>
      <c r="C942" s="2"/>
      <c r="D942" s="2"/>
      <c r="E942" s="51"/>
      <c r="F942" s="51"/>
      <c r="G942" s="51"/>
      <c r="H942" s="51"/>
      <c r="I942" s="2"/>
      <c r="J942" s="2"/>
      <c r="K942" s="2"/>
      <c r="L942" s="2"/>
      <c r="M942" s="2"/>
      <c r="N942" s="2"/>
      <c r="O942" s="2"/>
      <c r="P942" s="53"/>
      <c r="Q942" s="53"/>
      <c r="R942" s="2"/>
      <c r="S942" s="2"/>
      <c r="T942" s="2"/>
    </row>
    <row r="943" spans="1:20" x14ac:dyDescent="0.25">
      <c r="A943" s="3"/>
      <c r="B943" s="3"/>
      <c r="C943" s="2"/>
      <c r="D943" s="2"/>
      <c r="E943" s="51"/>
      <c r="F943" s="51"/>
      <c r="G943" s="51"/>
      <c r="H943" s="51"/>
      <c r="I943" s="2"/>
      <c r="J943" s="2"/>
      <c r="K943" s="2"/>
      <c r="L943" s="2"/>
      <c r="M943" s="2"/>
      <c r="N943" s="2"/>
      <c r="O943" s="2"/>
      <c r="P943" s="53"/>
      <c r="Q943" s="53"/>
      <c r="R943" s="2"/>
      <c r="S943" s="2"/>
      <c r="T943" s="2"/>
    </row>
    <row r="944" spans="1:20" x14ac:dyDescent="0.25">
      <c r="A944" s="3"/>
      <c r="B944" s="3"/>
      <c r="C944" s="2"/>
      <c r="D944" s="2"/>
      <c r="E944" s="51"/>
      <c r="F944" s="51"/>
      <c r="G944" s="51"/>
      <c r="H944" s="51"/>
      <c r="I944" s="2"/>
      <c r="J944" s="2"/>
      <c r="K944" s="2"/>
      <c r="L944" s="2"/>
      <c r="M944" s="2"/>
      <c r="N944" s="2"/>
      <c r="O944" s="2"/>
      <c r="P944" s="53"/>
      <c r="Q944" s="53"/>
      <c r="R944" s="2"/>
      <c r="S944" s="2"/>
      <c r="T944" s="2"/>
    </row>
    <row r="945" spans="1:20" x14ac:dyDescent="0.25">
      <c r="A945" s="3"/>
      <c r="B945" s="3"/>
      <c r="C945" s="2"/>
      <c r="D945" s="2"/>
      <c r="E945" s="51"/>
      <c r="F945" s="51"/>
      <c r="G945" s="51"/>
      <c r="H945" s="51"/>
      <c r="I945" s="2"/>
      <c r="J945" s="2"/>
      <c r="K945" s="2"/>
      <c r="L945" s="2"/>
      <c r="M945" s="2"/>
      <c r="N945" s="2"/>
      <c r="O945" s="2"/>
      <c r="P945" s="53"/>
      <c r="Q945" s="53"/>
      <c r="R945" s="2"/>
      <c r="S945" s="2"/>
      <c r="T945" s="2"/>
    </row>
    <row r="946" spans="1:20" x14ac:dyDescent="0.25">
      <c r="A946" s="3"/>
      <c r="B946" s="3"/>
      <c r="C946" s="2"/>
      <c r="D946" s="2"/>
      <c r="E946" s="51"/>
      <c r="F946" s="51"/>
      <c r="G946" s="51"/>
      <c r="H946" s="51"/>
      <c r="I946" s="2"/>
      <c r="J946" s="2"/>
      <c r="K946" s="2"/>
      <c r="L946" s="2"/>
      <c r="M946" s="2"/>
      <c r="N946" s="2"/>
      <c r="O946" s="2"/>
      <c r="P946" s="53"/>
      <c r="Q946" s="53"/>
      <c r="R946" s="2"/>
      <c r="S946" s="2"/>
      <c r="T946" s="2"/>
    </row>
    <row r="947" spans="1:20" x14ac:dyDescent="0.25">
      <c r="A947" s="3"/>
      <c r="B947" s="3"/>
      <c r="C947" s="2"/>
      <c r="D947" s="2"/>
      <c r="E947" s="51"/>
      <c r="F947" s="51"/>
      <c r="G947" s="51"/>
      <c r="H947" s="51"/>
      <c r="I947" s="2"/>
      <c r="J947" s="2"/>
      <c r="K947" s="2"/>
      <c r="L947" s="2"/>
      <c r="M947" s="2"/>
      <c r="N947" s="2"/>
      <c r="O947" s="2"/>
      <c r="P947" s="53"/>
      <c r="Q947" s="53"/>
      <c r="R947" s="2"/>
      <c r="S947" s="2"/>
      <c r="T947" s="2"/>
    </row>
    <row r="948" spans="1:20" x14ac:dyDescent="0.25">
      <c r="A948" s="3"/>
      <c r="B948" s="3"/>
      <c r="C948" s="2"/>
      <c r="D948" s="2"/>
      <c r="E948" s="51"/>
      <c r="F948" s="51"/>
      <c r="G948" s="51"/>
      <c r="H948" s="51"/>
      <c r="I948" s="2"/>
      <c r="J948" s="2"/>
      <c r="K948" s="2"/>
      <c r="L948" s="2"/>
      <c r="M948" s="2"/>
      <c r="N948" s="2"/>
      <c r="O948" s="2"/>
      <c r="P948" s="53"/>
      <c r="Q948" s="53"/>
      <c r="R948" s="2"/>
      <c r="S948" s="2"/>
      <c r="T948" s="2"/>
    </row>
    <row r="949" spans="1:20" x14ac:dyDescent="0.25">
      <c r="A949" s="3"/>
      <c r="B949" s="3"/>
      <c r="C949" s="2"/>
      <c r="D949" s="2"/>
      <c r="E949" s="51"/>
      <c r="F949" s="51"/>
      <c r="G949" s="51"/>
      <c r="H949" s="51"/>
      <c r="I949" s="2"/>
      <c r="J949" s="2"/>
      <c r="K949" s="2"/>
      <c r="L949" s="2"/>
      <c r="M949" s="2"/>
      <c r="N949" s="2"/>
      <c r="O949" s="2"/>
      <c r="P949" s="53"/>
      <c r="Q949" s="53"/>
      <c r="R949" s="2"/>
      <c r="S949" s="2"/>
      <c r="T949" s="2"/>
    </row>
    <row r="950" spans="1:20" x14ac:dyDescent="0.25">
      <c r="A950" s="3"/>
      <c r="B950" s="3"/>
      <c r="C950" s="2"/>
      <c r="D950" s="2"/>
      <c r="E950" s="51"/>
      <c r="F950" s="51"/>
      <c r="G950" s="51"/>
      <c r="H950" s="51"/>
      <c r="I950" s="2"/>
      <c r="J950" s="2"/>
      <c r="K950" s="2"/>
      <c r="L950" s="2"/>
      <c r="M950" s="2"/>
      <c r="N950" s="2"/>
      <c r="O950" s="2"/>
      <c r="P950" s="53"/>
      <c r="Q950" s="53"/>
      <c r="R950" s="2"/>
      <c r="S950" s="2"/>
      <c r="T950" s="2"/>
    </row>
    <row r="951" spans="1:20" x14ac:dyDescent="0.25">
      <c r="A951" s="3"/>
      <c r="B951" s="3"/>
      <c r="C951" s="2"/>
      <c r="D951" s="2"/>
      <c r="E951" s="51"/>
      <c r="F951" s="51"/>
      <c r="G951" s="51"/>
      <c r="H951" s="51"/>
      <c r="I951" s="2"/>
      <c r="J951" s="2"/>
      <c r="K951" s="2"/>
      <c r="L951" s="2"/>
      <c r="M951" s="2"/>
      <c r="N951" s="2"/>
      <c r="O951" s="2"/>
      <c r="P951" s="53"/>
      <c r="Q951" s="53"/>
      <c r="R951" s="2"/>
      <c r="S951" s="2"/>
      <c r="T951" s="2"/>
    </row>
    <row r="952" spans="1:20" x14ac:dyDescent="0.25">
      <c r="A952" s="3"/>
      <c r="B952" s="3"/>
      <c r="C952" s="2"/>
      <c r="D952" s="2"/>
      <c r="E952" s="51"/>
      <c r="F952" s="51"/>
      <c r="G952" s="51"/>
      <c r="H952" s="51"/>
      <c r="I952" s="2"/>
      <c r="J952" s="2"/>
      <c r="K952" s="2"/>
      <c r="L952" s="2"/>
      <c r="M952" s="2"/>
      <c r="N952" s="2"/>
      <c r="O952" s="2"/>
      <c r="P952" s="53"/>
      <c r="Q952" s="53"/>
      <c r="R952" s="2"/>
      <c r="S952" s="2"/>
      <c r="T952" s="2"/>
    </row>
    <row r="953" spans="1:20" x14ac:dyDescent="0.25">
      <c r="A953" s="3"/>
      <c r="B953" s="3"/>
      <c r="C953" s="2"/>
      <c r="D953" s="2"/>
      <c r="E953" s="51"/>
      <c r="F953" s="51"/>
      <c r="G953" s="51"/>
      <c r="H953" s="51"/>
      <c r="I953" s="2"/>
      <c r="J953" s="2"/>
      <c r="K953" s="2"/>
      <c r="L953" s="2"/>
      <c r="M953" s="2"/>
      <c r="N953" s="2"/>
      <c r="O953" s="2"/>
      <c r="P953" s="53"/>
      <c r="Q953" s="53"/>
      <c r="R953" s="2"/>
      <c r="S953" s="2"/>
      <c r="T953" s="2"/>
    </row>
    <row r="954" spans="1:20" x14ac:dyDescent="0.25">
      <c r="A954" s="3"/>
      <c r="B954" s="3"/>
      <c r="C954" s="2"/>
      <c r="D954" s="2"/>
      <c r="E954" s="51"/>
      <c r="F954" s="51"/>
      <c r="G954" s="51"/>
      <c r="H954" s="51"/>
      <c r="I954" s="2"/>
      <c r="J954" s="2"/>
      <c r="K954" s="2"/>
      <c r="L954" s="2"/>
      <c r="M954" s="2"/>
      <c r="N954" s="2"/>
      <c r="O954" s="2"/>
      <c r="P954" s="53"/>
      <c r="Q954" s="53"/>
      <c r="R954" s="2"/>
      <c r="S954" s="2"/>
      <c r="T954" s="2"/>
    </row>
    <row r="955" spans="1:20" x14ac:dyDescent="0.25">
      <c r="A955" s="3"/>
      <c r="B955" s="3"/>
      <c r="C955" s="2"/>
      <c r="D955" s="2"/>
      <c r="E955" s="51"/>
      <c r="F955" s="51"/>
      <c r="G955" s="51"/>
      <c r="H955" s="51"/>
      <c r="I955" s="2"/>
      <c r="J955" s="2"/>
      <c r="K955" s="2"/>
      <c r="L955" s="2"/>
      <c r="M955" s="2"/>
      <c r="N955" s="2"/>
      <c r="O955" s="2"/>
      <c r="P955" s="53"/>
      <c r="Q955" s="53"/>
      <c r="R955" s="2"/>
      <c r="S955" s="2"/>
      <c r="T955" s="2"/>
    </row>
    <row r="956" spans="1:20" x14ac:dyDescent="0.25">
      <c r="A956" s="3"/>
      <c r="B956" s="3"/>
      <c r="C956" s="2"/>
      <c r="D956" s="2"/>
      <c r="E956" s="51"/>
      <c r="F956" s="51"/>
      <c r="G956" s="51"/>
      <c r="H956" s="51"/>
      <c r="I956" s="2"/>
      <c r="J956" s="2"/>
      <c r="K956" s="2"/>
      <c r="L956" s="2"/>
      <c r="M956" s="2"/>
      <c r="N956" s="2"/>
      <c r="O956" s="2"/>
      <c r="P956" s="53"/>
      <c r="Q956" s="53"/>
      <c r="R956" s="2"/>
      <c r="S956" s="2"/>
      <c r="T956" s="2"/>
    </row>
    <row r="957" spans="1:20" x14ac:dyDescent="0.25">
      <c r="A957" s="3"/>
      <c r="B957" s="3"/>
      <c r="C957" s="2"/>
      <c r="D957" s="2"/>
      <c r="E957" s="51"/>
      <c r="F957" s="51"/>
      <c r="G957" s="51"/>
      <c r="H957" s="51"/>
      <c r="I957" s="2"/>
      <c r="J957" s="2"/>
      <c r="K957" s="2"/>
      <c r="L957" s="2"/>
      <c r="M957" s="2"/>
      <c r="N957" s="2"/>
      <c r="O957" s="2"/>
      <c r="P957" s="53"/>
      <c r="Q957" s="53"/>
      <c r="R957" s="2"/>
      <c r="S957" s="2"/>
      <c r="T957" s="2"/>
    </row>
    <row r="958" spans="1:20" x14ac:dyDescent="0.25">
      <c r="A958" s="3"/>
      <c r="B958" s="3"/>
      <c r="C958" s="2"/>
      <c r="D958" s="2"/>
      <c r="E958" s="51"/>
      <c r="F958" s="51"/>
      <c r="G958" s="51"/>
      <c r="H958" s="51"/>
      <c r="I958" s="2"/>
      <c r="J958" s="2"/>
      <c r="K958" s="2"/>
      <c r="L958" s="2"/>
      <c r="M958" s="2"/>
      <c r="N958" s="2"/>
      <c r="O958" s="2"/>
      <c r="P958" s="53"/>
      <c r="Q958" s="53"/>
      <c r="R958" s="2"/>
      <c r="S958" s="2"/>
      <c r="T958" s="2"/>
    </row>
    <row r="959" spans="1:20" x14ac:dyDescent="0.25">
      <c r="A959" s="3"/>
      <c r="B959" s="3"/>
      <c r="C959" s="2"/>
      <c r="D959" s="2"/>
      <c r="E959" s="51"/>
      <c r="F959" s="51"/>
      <c r="G959" s="51"/>
      <c r="H959" s="51"/>
      <c r="I959" s="2"/>
      <c r="J959" s="2"/>
      <c r="K959" s="2"/>
      <c r="L959" s="2"/>
      <c r="M959" s="2"/>
      <c r="N959" s="2"/>
      <c r="O959" s="2"/>
      <c r="P959" s="53"/>
      <c r="Q959" s="53"/>
      <c r="R959" s="2"/>
      <c r="S959" s="2"/>
      <c r="T959" s="2"/>
    </row>
    <row r="960" spans="1:20" x14ac:dyDescent="0.25">
      <c r="A960" s="3"/>
      <c r="B960" s="3"/>
      <c r="C960" s="2"/>
      <c r="D960" s="2"/>
      <c r="E960" s="51"/>
      <c r="F960" s="51"/>
      <c r="G960" s="51"/>
      <c r="H960" s="51"/>
      <c r="I960" s="2"/>
      <c r="J960" s="2"/>
      <c r="K960" s="2"/>
      <c r="L960" s="2"/>
      <c r="M960" s="2"/>
      <c r="N960" s="2"/>
      <c r="O960" s="2"/>
      <c r="P960" s="53"/>
      <c r="Q960" s="53"/>
      <c r="R960" s="2"/>
      <c r="S960" s="2"/>
      <c r="T960" s="2"/>
    </row>
    <row r="961" spans="1:20" x14ac:dyDescent="0.25">
      <c r="A961" s="3"/>
      <c r="B961" s="3"/>
      <c r="C961" s="2"/>
      <c r="D961" s="2"/>
      <c r="E961" s="51"/>
      <c r="F961" s="51"/>
      <c r="G961" s="51"/>
      <c r="H961" s="51"/>
      <c r="I961" s="2"/>
      <c r="J961" s="2"/>
      <c r="K961" s="2"/>
      <c r="L961" s="2"/>
      <c r="M961" s="2"/>
      <c r="N961" s="2"/>
      <c r="O961" s="2"/>
      <c r="P961" s="53"/>
      <c r="Q961" s="53"/>
      <c r="R961" s="2"/>
      <c r="S961" s="2"/>
      <c r="T961" s="2"/>
    </row>
    <row r="962" spans="1:20" x14ac:dyDescent="0.25">
      <c r="A962" s="3"/>
      <c r="B962" s="3"/>
      <c r="C962" s="2"/>
      <c r="D962" s="2"/>
      <c r="E962" s="51"/>
      <c r="F962" s="51"/>
      <c r="G962" s="51"/>
      <c r="H962" s="51"/>
      <c r="I962" s="2"/>
      <c r="J962" s="2"/>
      <c r="K962" s="2"/>
      <c r="L962" s="2"/>
      <c r="M962" s="2"/>
      <c r="N962" s="2"/>
      <c r="O962" s="2"/>
      <c r="P962" s="53"/>
      <c r="Q962" s="53"/>
      <c r="R962" s="2"/>
      <c r="S962" s="2"/>
      <c r="T962" s="2"/>
    </row>
    <row r="963" spans="1:20" x14ac:dyDescent="0.25">
      <c r="A963" s="3"/>
      <c r="B963" s="3"/>
      <c r="C963" s="2"/>
      <c r="D963" s="2"/>
      <c r="E963" s="51"/>
      <c r="F963" s="51"/>
      <c r="G963" s="51"/>
      <c r="H963" s="51"/>
      <c r="I963" s="2"/>
      <c r="J963" s="2"/>
      <c r="K963" s="2"/>
      <c r="L963" s="2"/>
      <c r="M963" s="2"/>
      <c r="N963" s="2"/>
      <c r="O963" s="2"/>
      <c r="P963" s="53"/>
      <c r="Q963" s="53"/>
      <c r="R963" s="2"/>
      <c r="S963" s="2"/>
      <c r="T963" s="2"/>
    </row>
    <row r="964" spans="1:20" x14ac:dyDescent="0.25">
      <c r="A964" s="3"/>
      <c r="B964" s="3"/>
      <c r="C964" s="2"/>
      <c r="D964" s="2"/>
      <c r="E964" s="51"/>
      <c r="F964" s="51"/>
      <c r="G964" s="51"/>
      <c r="H964" s="51"/>
      <c r="I964" s="2"/>
      <c r="J964" s="2"/>
      <c r="K964" s="2"/>
      <c r="L964" s="2"/>
      <c r="M964" s="2"/>
      <c r="N964" s="2"/>
      <c r="O964" s="2"/>
      <c r="P964" s="53"/>
      <c r="Q964" s="53"/>
      <c r="R964" s="2"/>
      <c r="S964" s="2"/>
      <c r="T964" s="2"/>
    </row>
    <row r="965" spans="1:20" x14ac:dyDescent="0.25">
      <c r="A965" s="3"/>
      <c r="B965" s="3"/>
      <c r="C965" s="2"/>
      <c r="D965" s="2"/>
      <c r="E965" s="51"/>
      <c r="F965" s="51"/>
      <c r="G965" s="51"/>
      <c r="H965" s="51"/>
      <c r="I965" s="2"/>
      <c r="J965" s="2"/>
      <c r="K965" s="2"/>
      <c r="L965" s="2"/>
      <c r="M965" s="2"/>
      <c r="N965" s="2"/>
      <c r="O965" s="2"/>
      <c r="P965" s="53"/>
      <c r="Q965" s="53"/>
      <c r="R965" s="2"/>
      <c r="S965" s="2"/>
      <c r="T965" s="2"/>
    </row>
    <row r="966" spans="1:20" x14ac:dyDescent="0.25">
      <c r="A966" s="3"/>
      <c r="B966" s="3"/>
      <c r="C966" s="2"/>
      <c r="D966" s="2"/>
      <c r="E966" s="51"/>
      <c r="F966" s="51"/>
      <c r="G966" s="51"/>
      <c r="H966" s="51"/>
      <c r="I966" s="2"/>
      <c r="J966" s="2"/>
      <c r="K966" s="2"/>
      <c r="L966" s="2"/>
      <c r="M966" s="2"/>
      <c r="N966" s="2"/>
      <c r="O966" s="2"/>
      <c r="P966" s="53"/>
      <c r="Q966" s="53"/>
      <c r="R966" s="2"/>
      <c r="S966" s="2"/>
      <c r="T966" s="2"/>
    </row>
    <row r="967" spans="1:20" x14ac:dyDescent="0.25">
      <c r="A967" s="3"/>
      <c r="B967" s="3"/>
      <c r="C967" s="2"/>
      <c r="D967" s="2"/>
      <c r="E967" s="51"/>
      <c r="F967" s="51"/>
      <c r="G967" s="51"/>
      <c r="H967" s="51"/>
      <c r="I967" s="2"/>
      <c r="J967" s="2"/>
      <c r="K967" s="2"/>
      <c r="L967" s="2"/>
      <c r="M967" s="2"/>
      <c r="N967" s="2"/>
      <c r="O967" s="2"/>
      <c r="P967" s="53"/>
      <c r="Q967" s="53"/>
      <c r="R967" s="2"/>
      <c r="S967" s="2"/>
      <c r="T967" s="2"/>
    </row>
    <row r="968" spans="1:20" x14ac:dyDescent="0.25">
      <c r="A968" s="3"/>
      <c r="B968" s="3"/>
      <c r="C968" s="2"/>
      <c r="D968" s="2"/>
      <c r="E968" s="51"/>
      <c r="F968" s="51"/>
      <c r="G968" s="51"/>
      <c r="H968" s="51"/>
      <c r="I968" s="2"/>
      <c r="J968" s="2"/>
      <c r="K968" s="2"/>
      <c r="L968" s="2"/>
      <c r="M968" s="2"/>
      <c r="N968" s="2"/>
      <c r="O968" s="2"/>
      <c r="P968" s="53"/>
      <c r="Q968" s="53"/>
      <c r="R968" s="2"/>
      <c r="S968" s="2"/>
      <c r="T968" s="2"/>
    </row>
    <row r="969" spans="1:20" x14ac:dyDescent="0.25">
      <c r="A969" s="3"/>
      <c r="B969" s="3"/>
      <c r="C969" s="2"/>
      <c r="D969" s="2"/>
      <c r="E969" s="51"/>
      <c r="F969" s="51"/>
      <c r="G969" s="51"/>
      <c r="H969" s="51"/>
      <c r="I969" s="2"/>
      <c r="J969" s="2"/>
      <c r="K969" s="2"/>
      <c r="L969" s="2"/>
      <c r="M969" s="2"/>
      <c r="N969" s="2"/>
      <c r="O969" s="2"/>
      <c r="P969" s="53"/>
      <c r="Q969" s="53"/>
      <c r="R969" s="2"/>
      <c r="S969" s="2"/>
      <c r="T969" s="2"/>
    </row>
    <row r="970" spans="1:20" x14ac:dyDescent="0.25">
      <c r="A970" s="3"/>
      <c r="B970" s="3"/>
      <c r="C970" s="2"/>
      <c r="D970" s="2"/>
      <c r="E970" s="51"/>
      <c r="F970" s="51"/>
      <c r="G970" s="51"/>
      <c r="H970" s="51"/>
      <c r="I970" s="2"/>
      <c r="J970" s="2"/>
      <c r="K970" s="2"/>
      <c r="L970" s="2"/>
      <c r="M970" s="2"/>
      <c r="N970" s="2"/>
      <c r="O970" s="2"/>
      <c r="P970" s="53"/>
      <c r="Q970" s="53"/>
      <c r="R970" s="2"/>
      <c r="S970" s="2"/>
      <c r="T970" s="2"/>
    </row>
    <row r="971" spans="1:20" x14ac:dyDescent="0.25">
      <c r="A971" s="3"/>
      <c r="B971" s="3"/>
      <c r="C971" s="2"/>
      <c r="D971" s="2"/>
      <c r="E971" s="51"/>
      <c r="F971" s="51"/>
      <c r="G971" s="51"/>
      <c r="H971" s="51"/>
      <c r="I971" s="2"/>
      <c r="J971" s="2"/>
      <c r="K971" s="2"/>
      <c r="L971" s="2"/>
      <c r="M971" s="2"/>
      <c r="N971" s="2"/>
      <c r="O971" s="2"/>
      <c r="P971" s="53"/>
      <c r="Q971" s="53"/>
      <c r="R971" s="2"/>
      <c r="S971" s="2"/>
      <c r="T971" s="2"/>
    </row>
    <row r="972" spans="1:20" x14ac:dyDescent="0.25">
      <c r="A972" s="3"/>
      <c r="B972" s="3"/>
      <c r="C972" s="2"/>
      <c r="D972" s="2"/>
      <c r="E972" s="51"/>
      <c r="F972" s="51"/>
      <c r="G972" s="51"/>
      <c r="H972" s="51"/>
      <c r="I972" s="2"/>
      <c r="J972" s="2"/>
      <c r="K972" s="2"/>
      <c r="L972" s="2"/>
      <c r="M972" s="2"/>
      <c r="N972" s="2"/>
      <c r="O972" s="2"/>
      <c r="P972" s="53"/>
      <c r="Q972" s="53"/>
      <c r="R972" s="2"/>
      <c r="S972" s="2"/>
      <c r="T972" s="2"/>
    </row>
    <row r="973" spans="1:20" x14ac:dyDescent="0.25">
      <c r="A973" s="3"/>
      <c r="B973" s="3"/>
      <c r="C973" s="2"/>
      <c r="D973" s="2"/>
      <c r="E973" s="51"/>
      <c r="F973" s="51"/>
      <c r="G973" s="51"/>
      <c r="H973" s="51"/>
      <c r="I973" s="2"/>
      <c r="J973" s="2"/>
      <c r="K973" s="2"/>
      <c r="L973" s="2"/>
      <c r="M973" s="2"/>
      <c r="N973" s="2"/>
      <c r="O973" s="2"/>
      <c r="P973" s="53"/>
      <c r="Q973" s="53"/>
      <c r="R973" s="2"/>
      <c r="S973" s="2"/>
      <c r="T973" s="2"/>
    </row>
    <row r="974" spans="1:20" x14ac:dyDescent="0.25">
      <c r="A974" s="3"/>
      <c r="B974" s="3"/>
      <c r="C974" s="2"/>
      <c r="D974" s="2"/>
      <c r="E974" s="51"/>
      <c r="F974" s="51"/>
      <c r="G974" s="51"/>
      <c r="H974" s="51"/>
      <c r="I974" s="2"/>
      <c r="J974" s="2"/>
      <c r="K974" s="2"/>
      <c r="L974" s="2"/>
      <c r="M974" s="2"/>
      <c r="N974" s="2"/>
      <c r="O974" s="2"/>
      <c r="P974" s="53"/>
      <c r="Q974" s="53"/>
      <c r="R974" s="2"/>
      <c r="S974" s="2"/>
      <c r="T974" s="2"/>
    </row>
    <row r="975" spans="1:20" x14ac:dyDescent="0.25">
      <c r="A975" s="3"/>
      <c r="B975" s="3"/>
      <c r="C975" s="2"/>
      <c r="D975" s="2"/>
      <c r="E975" s="51"/>
      <c r="F975" s="51"/>
      <c r="G975" s="51"/>
      <c r="H975" s="51"/>
      <c r="I975" s="2"/>
      <c r="J975" s="2"/>
      <c r="K975" s="2"/>
      <c r="L975" s="2"/>
      <c r="M975" s="2"/>
      <c r="N975" s="2"/>
      <c r="O975" s="2"/>
      <c r="P975" s="53"/>
      <c r="Q975" s="53"/>
      <c r="R975" s="2"/>
      <c r="S975" s="2"/>
      <c r="T975" s="2"/>
    </row>
    <row r="976" spans="1:20" x14ac:dyDescent="0.25">
      <c r="A976" s="3"/>
      <c r="B976" s="3"/>
      <c r="C976" s="2"/>
      <c r="D976" s="2"/>
      <c r="E976" s="51"/>
      <c r="F976" s="51"/>
      <c r="G976" s="51"/>
      <c r="H976" s="51"/>
      <c r="I976" s="2"/>
      <c r="J976" s="2"/>
      <c r="K976" s="2"/>
      <c r="L976" s="2"/>
      <c r="M976" s="2"/>
      <c r="N976" s="2"/>
      <c r="O976" s="2"/>
      <c r="P976" s="53"/>
      <c r="Q976" s="53"/>
      <c r="R976" s="2"/>
      <c r="S976" s="2"/>
      <c r="T976" s="2"/>
    </row>
    <row r="977" spans="1:20" x14ac:dyDescent="0.25">
      <c r="A977" s="3"/>
      <c r="B977" s="3"/>
      <c r="C977" s="2"/>
      <c r="D977" s="2"/>
      <c r="E977" s="51"/>
      <c r="F977" s="51"/>
      <c r="G977" s="51"/>
      <c r="H977" s="51"/>
      <c r="I977" s="2"/>
      <c r="J977" s="2"/>
      <c r="K977" s="2"/>
      <c r="L977" s="2"/>
      <c r="M977" s="2"/>
      <c r="N977" s="2"/>
      <c r="O977" s="2"/>
      <c r="P977" s="53"/>
      <c r="Q977" s="53"/>
      <c r="R977" s="2"/>
      <c r="S977" s="2"/>
      <c r="T977" s="2"/>
    </row>
    <row r="978" spans="1:20" x14ac:dyDescent="0.25">
      <c r="A978" s="3"/>
      <c r="B978" s="3"/>
      <c r="C978" s="2"/>
      <c r="D978" s="2"/>
      <c r="E978" s="51"/>
      <c r="F978" s="51"/>
      <c r="G978" s="51"/>
      <c r="H978" s="51"/>
      <c r="I978" s="2"/>
      <c r="J978" s="2"/>
      <c r="K978" s="2"/>
      <c r="L978" s="2"/>
      <c r="M978" s="2"/>
      <c r="N978" s="2"/>
      <c r="O978" s="2"/>
      <c r="P978" s="53"/>
      <c r="Q978" s="53"/>
      <c r="R978" s="2"/>
      <c r="S978" s="2"/>
      <c r="T978" s="2"/>
    </row>
    <row r="979" spans="1:20" x14ac:dyDescent="0.25">
      <c r="A979" s="3"/>
      <c r="B979" s="3"/>
      <c r="C979" s="2"/>
      <c r="D979" s="2"/>
      <c r="E979" s="51"/>
      <c r="F979" s="51"/>
      <c r="G979" s="51"/>
      <c r="H979" s="51"/>
      <c r="I979" s="2"/>
      <c r="J979" s="2"/>
      <c r="K979" s="2"/>
      <c r="L979" s="2"/>
      <c r="M979" s="2"/>
      <c r="N979" s="2"/>
      <c r="O979" s="2"/>
      <c r="P979" s="53"/>
      <c r="Q979" s="53"/>
      <c r="R979" s="2"/>
      <c r="S979" s="2"/>
      <c r="T979" s="2"/>
    </row>
    <row r="980" spans="1:20" x14ac:dyDescent="0.25">
      <c r="A980" s="3"/>
      <c r="B980" s="3"/>
      <c r="C980" s="2"/>
      <c r="D980" s="2"/>
      <c r="E980" s="51"/>
      <c r="F980" s="51"/>
      <c r="G980" s="51"/>
      <c r="H980" s="51"/>
      <c r="I980" s="2"/>
      <c r="J980" s="2"/>
      <c r="K980" s="2"/>
      <c r="L980" s="2"/>
      <c r="M980" s="2"/>
      <c r="N980" s="2"/>
      <c r="O980" s="2"/>
      <c r="P980" s="53"/>
      <c r="Q980" s="53"/>
      <c r="R980" s="2"/>
      <c r="S980" s="2"/>
      <c r="T980" s="2"/>
    </row>
    <row r="981" spans="1:20" x14ac:dyDescent="0.25">
      <c r="A981" s="3"/>
      <c r="B981" s="3"/>
      <c r="C981" s="2"/>
      <c r="D981" s="2"/>
      <c r="E981" s="51"/>
      <c r="F981" s="51"/>
      <c r="G981" s="51"/>
      <c r="H981" s="51"/>
      <c r="I981" s="2"/>
      <c r="J981" s="2"/>
      <c r="K981" s="2"/>
      <c r="L981" s="2"/>
      <c r="M981" s="2"/>
      <c r="N981" s="2"/>
      <c r="O981" s="2"/>
      <c r="P981" s="53"/>
      <c r="Q981" s="53"/>
      <c r="R981" s="2"/>
      <c r="S981" s="2"/>
      <c r="T981" s="2"/>
    </row>
    <row r="982" spans="1:20" x14ac:dyDescent="0.25">
      <c r="A982" s="3"/>
      <c r="B982" s="3"/>
      <c r="C982" s="2"/>
      <c r="D982" s="2"/>
      <c r="E982" s="51"/>
      <c r="F982" s="51"/>
      <c r="G982" s="51"/>
      <c r="H982" s="51"/>
      <c r="I982" s="2"/>
      <c r="J982" s="2"/>
      <c r="K982" s="2"/>
      <c r="L982" s="2"/>
      <c r="M982" s="2"/>
      <c r="N982" s="2"/>
      <c r="O982" s="2"/>
      <c r="P982" s="53"/>
      <c r="Q982" s="53"/>
      <c r="R982" s="2"/>
      <c r="S982" s="2"/>
      <c r="T982" s="2"/>
    </row>
    <row r="983" spans="1:20" x14ac:dyDescent="0.25">
      <c r="A983" s="3"/>
      <c r="B983" s="3"/>
      <c r="C983" s="2"/>
      <c r="D983" s="2"/>
      <c r="E983" s="51"/>
      <c r="F983" s="51"/>
      <c r="G983" s="51"/>
      <c r="H983" s="51"/>
      <c r="I983" s="2"/>
      <c r="J983" s="2"/>
      <c r="K983" s="2"/>
      <c r="L983" s="2"/>
      <c r="M983" s="2"/>
      <c r="N983" s="2"/>
      <c r="O983" s="2"/>
      <c r="P983" s="53"/>
      <c r="Q983" s="53"/>
      <c r="R983" s="2"/>
      <c r="S983" s="2"/>
      <c r="T983" s="2"/>
    </row>
    <row r="984" spans="1:20" x14ac:dyDescent="0.25">
      <c r="A984" s="3"/>
      <c r="B984" s="3"/>
      <c r="C984" s="2"/>
      <c r="D984" s="2"/>
      <c r="E984" s="51"/>
      <c r="F984" s="51"/>
      <c r="G984" s="51"/>
      <c r="H984" s="51"/>
      <c r="I984" s="2"/>
      <c r="J984" s="2"/>
      <c r="K984" s="2"/>
      <c r="L984" s="2"/>
      <c r="M984" s="2"/>
      <c r="N984" s="2"/>
      <c r="O984" s="2"/>
      <c r="P984" s="53"/>
      <c r="Q984" s="53"/>
      <c r="R984" s="2"/>
      <c r="S984" s="2"/>
      <c r="T984" s="2"/>
    </row>
    <row r="985" spans="1:20" x14ac:dyDescent="0.25">
      <c r="A985" s="3"/>
      <c r="B985" s="3"/>
      <c r="C985" s="2"/>
      <c r="D985" s="2"/>
      <c r="E985" s="51"/>
      <c r="F985" s="51"/>
      <c r="G985" s="51"/>
      <c r="H985" s="51"/>
      <c r="I985" s="2"/>
      <c r="J985" s="2"/>
      <c r="K985" s="2"/>
      <c r="L985" s="2"/>
      <c r="M985" s="2"/>
      <c r="N985" s="2"/>
      <c r="O985" s="2"/>
      <c r="P985" s="53"/>
      <c r="Q985" s="53"/>
      <c r="R985" s="2"/>
      <c r="S985" s="2"/>
      <c r="T985" s="2"/>
    </row>
    <row r="986" spans="1:20" x14ac:dyDescent="0.25">
      <c r="A986" s="3"/>
      <c r="B986" s="3"/>
      <c r="C986" s="2"/>
      <c r="D986" s="2"/>
      <c r="E986" s="51"/>
      <c r="F986" s="51"/>
      <c r="G986" s="51"/>
      <c r="H986" s="51"/>
      <c r="I986" s="2"/>
      <c r="J986" s="2"/>
      <c r="K986" s="2"/>
      <c r="L986" s="2"/>
      <c r="M986" s="2"/>
      <c r="N986" s="2"/>
      <c r="O986" s="2"/>
      <c r="P986" s="53"/>
      <c r="Q986" s="53"/>
      <c r="R986" s="2"/>
      <c r="S986" s="2"/>
      <c r="T986" s="2"/>
    </row>
    <row r="987" spans="1:20" x14ac:dyDescent="0.25">
      <c r="A987" s="3"/>
      <c r="B987" s="3"/>
      <c r="C987" s="2"/>
      <c r="D987" s="2"/>
      <c r="E987" s="51"/>
      <c r="F987" s="51"/>
      <c r="G987" s="51"/>
      <c r="H987" s="51"/>
      <c r="I987" s="2"/>
      <c r="J987" s="2"/>
      <c r="K987" s="2"/>
      <c r="L987" s="2"/>
      <c r="M987" s="2"/>
      <c r="N987" s="2"/>
      <c r="O987" s="2"/>
      <c r="P987" s="53"/>
      <c r="Q987" s="53"/>
      <c r="R987" s="2"/>
      <c r="S987" s="2"/>
      <c r="T987" s="2"/>
    </row>
    <row r="988" spans="1:20" x14ac:dyDescent="0.25">
      <c r="A988" s="3"/>
      <c r="B988" s="3"/>
      <c r="C988" s="2"/>
      <c r="D988" s="2"/>
      <c r="E988" s="51"/>
      <c r="F988" s="51"/>
      <c r="G988" s="51"/>
      <c r="H988" s="51"/>
      <c r="I988" s="2"/>
      <c r="J988" s="2"/>
      <c r="K988" s="2"/>
      <c r="L988" s="2"/>
      <c r="M988" s="2"/>
      <c r="N988" s="2"/>
      <c r="O988" s="2"/>
      <c r="P988" s="53"/>
      <c r="Q988" s="53"/>
      <c r="R988" s="2"/>
      <c r="S988" s="2"/>
      <c r="T988" s="2"/>
    </row>
    <row r="989" spans="1:20" x14ac:dyDescent="0.25">
      <c r="A989" s="3"/>
      <c r="B989" s="3"/>
      <c r="C989" s="2"/>
      <c r="D989" s="2"/>
      <c r="E989" s="51"/>
      <c r="F989" s="51"/>
      <c r="G989" s="51"/>
      <c r="H989" s="51"/>
      <c r="I989" s="2"/>
      <c r="J989" s="2"/>
      <c r="K989" s="2"/>
      <c r="L989" s="2"/>
      <c r="M989" s="2"/>
      <c r="N989" s="2"/>
      <c r="O989" s="2"/>
      <c r="P989" s="53"/>
      <c r="Q989" s="53"/>
      <c r="R989" s="2"/>
      <c r="S989" s="2"/>
      <c r="T989" s="2"/>
    </row>
    <row r="990" spans="1:20" x14ac:dyDescent="0.25">
      <c r="A990" s="3"/>
      <c r="B990" s="3"/>
      <c r="C990" s="2"/>
      <c r="D990" s="2"/>
      <c r="E990" s="51"/>
      <c r="F990" s="51"/>
      <c r="G990" s="51"/>
      <c r="H990" s="51"/>
      <c r="I990" s="2"/>
      <c r="J990" s="2"/>
      <c r="K990" s="2"/>
      <c r="L990" s="2"/>
      <c r="M990" s="2"/>
      <c r="N990" s="2"/>
      <c r="O990" s="2"/>
      <c r="P990" s="53"/>
      <c r="Q990" s="53"/>
      <c r="R990" s="2"/>
      <c r="S990" s="2"/>
      <c r="T990" s="2"/>
    </row>
    <row r="991" spans="1:20" x14ac:dyDescent="0.25">
      <c r="A991" s="3"/>
      <c r="B991" s="3"/>
      <c r="C991" s="2"/>
      <c r="D991" s="2"/>
      <c r="E991" s="51"/>
      <c r="F991" s="51"/>
      <c r="G991" s="51"/>
      <c r="H991" s="51"/>
      <c r="I991" s="2"/>
      <c r="J991" s="2"/>
      <c r="K991" s="2"/>
      <c r="L991" s="2"/>
      <c r="M991" s="2"/>
      <c r="N991" s="2"/>
      <c r="O991" s="2"/>
      <c r="P991" s="53"/>
      <c r="Q991" s="53"/>
      <c r="R991" s="2"/>
      <c r="S991" s="2"/>
      <c r="T991" s="2"/>
    </row>
    <row r="992" spans="1:20" x14ac:dyDescent="0.25">
      <c r="A992" s="3"/>
      <c r="B992" s="3"/>
      <c r="C992" s="2"/>
      <c r="D992" s="2"/>
      <c r="E992" s="51"/>
      <c r="F992" s="51"/>
      <c r="G992" s="51"/>
      <c r="H992" s="51"/>
      <c r="I992" s="2"/>
      <c r="J992" s="2"/>
      <c r="K992" s="2"/>
      <c r="L992" s="2"/>
      <c r="M992" s="2"/>
      <c r="N992" s="2"/>
      <c r="O992" s="2"/>
      <c r="P992" s="53"/>
      <c r="Q992" s="53"/>
      <c r="R992" s="2"/>
      <c r="S992" s="2"/>
      <c r="T992" s="2"/>
    </row>
    <row r="993" spans="1:20" x14ac:dyDescent="0.25">
      <c r="A993" s="3"/>
      <c r="B993" s="3"/>
      <c r="C993" s="2"/>
      <c r="D993" s="2"/>
      <c r="E993" s="51"/>
      <c r="F993" s="51"/>
      <c r="G993" s="51"/>
      <c r="H993" s="51"/>
      <c r="I993" s="2"/>
      <c r="J993" s="2"/>
      <c r="K993" s="2"/>
      <c r="L993" s="2"/>
      <c r="M993" s="2"/>
      <c r="N993" s="2"/>
      <c r="O993" s="2"/>
      <c r="P993" s="53"/>
      <c r="Q993" s="53"/>
      <c r="R993" s="2"/>
      <c r="S993" s="2"/>
      <c r="T993" s="2"/>
    </row>
    <row r="994" spans="1:20" x14ac:dyDescent="0.25">
      <c r="A994" s="3"/>
      <c r="B994" s="3"/>
      <c r="C994" s="2"/>
      <c r="D994" s="2"/>
      <c r="E994" s="51"/>
      <c r="F994" s="51"/>
      <c r="G994" s="51"/>
      <c r="H994" s="51"/>
      <c r="I994" s="2"/>
      <c r="J994" s="2"/>
      <c r="K994" s="2"/>
      <c r="L994" s="2"/>
      <c r="M994" s="2"/>
      <c r="N994" s="2"/>
      <c r="O994" s="2"/>
      <c r="P994" s="53"/>
      <c r="Q994" s="53"/>
      <c r="R994" s="2"/>
      <c r="S994" s="2"/>
      <c r="T994" s="2"/>
    </row>
    <row r="995" spans="1:20" x14ac:dyDescent="0.25">
      <c r="A995" s="3"/>
      <c r="B995" s="3"/>
      <c r="C995" s="2"/>
      <c r="D995" s="2"/>
      <c r="E995" s="51"/>
      <c r="F995" s="51"/>
      <c r="G995" s="51"/>
      <c r="H995" s="51"/>
      <c r="I995" s="2"/>
      <c r="J995" s="2"/>
      <c r="K995" s="2"/>
      <c r="L995" s="2"/>
      <c r="M995" s="2"/>
      <c r="N995" s="2"/>
      <c r="O995" s="2"/>
      <c r="P995" s="53"/>
      <c r="Q995" s="53"/>
      <c r="R995" s="2"/>
      <c r="S995" s="2"/>
      <c r="T995" s="2"/>
    </row>
    <row r="996" spans="1:20" x14ac:dyDescent="0.25">
      <c r="A996" s="3"/>
      <c r="B996" s="3"/>
      <c r="C996" s="2"/>
      <c r="D996" s="2"/>
      <c r="E996" s="51"/>
      <c r="F996" s="51"/>
      <c r="G996" s="51"/>
      <c r="H996" s="51"/>
      <c r="I996" s="2"/>
      <c r="J996" s="2"/>
      <c r="K996" s="2"/>
      <c r="L996" s="2"/>
      <c r="M996" s="2"/>
      <c r="N996" s="2"/>
      <c r="O996" s="2"/>
      <c r="P996" s="53"/>
      <c r="Q996" s="53"/>
      <c r="R996" s="2"/>
      <c r="S996" s="2"/>
      <c r="T996" s="2"/>
    </row>
    <row r="997" spans="1:20" x14ac:dyDescent="0.25">
      <c r="A997" s="3"/>
      <c r="B997" s="3"/>
      <c r="C997" s="2"/>
      <c r="D997" s="2"/>
      <c r="E997" s="51"/>
      <c r="F997" s="51"/>
      <c r="G997" s="51"/>
      <c r="H997" s="51"/>
      <c r="I997" s="2"/>
      <c r="J997" s="2"/>
      <c r="K997" s="2"/>
      <c r="L997" s="2"/>
      <c r="M997" s="2"/>
      <c r="N997" s="2"/>
      <c r="O997" s="2"/>
      <c r="P997" s="53"/>
      <c r="Q997" s="53"/>
      <c r="R997" s="2"/>
      <c r="S997" s="2"/>
      <c r="T997" s="2"/>
    </row>
    <row r="998" spans="1:20" x14ac:dyDescent="0.25">
      <c r="A998" s="3"/>
      <c r="B998" s="3"/>
      <c r="C998" s="2"/>
      <c r="D998" s="2"/>
      <c r="E998" s="51"/>
      <c r="F998" s="51"/>
      <c r="G998" s="51"/>
      <c r="H998" s="51"/>
      <c r="I998" s="2"/>
      <c r="J998" s="2"/>
      <c r="K998" s="2"/>
      <c r="L998" s="2"/>
      <c r="M998" s="2"/>
      <c r="N998" s="2"/>
      <c r="O998" s="2"/>
      <c r="P998" s="53"/>
      <c r="Q998" s="53"/>
      <c r="R998" s="2"/>
      <c r="S998" s="2"/>
      <c r="T998" s="2"/>
    </row>
    <row r="999" spans="1:20" x14ac:dyDescent="0.25">
      <c r="A999" s="3"/>
      <c r="B999" s="3"/>
      <c r="C999" s="2"/>
      <c r="D999" s="2"/>
      <c r="E999" s="51"/>
      <c r="F999" s="51"/>
      <c r="G999" s="51"/>
      <c r="H999" s="51"/>
      <c r="I999" s="2"/>
      <c r="J999" s="2"/>
      <c r="K999" s="2"/>
      <c r="L999" s="2"/>
      <c r="M999" s="2"/>
      <c r="N999" s="2"/>
      <c r="O999" s="2"/>
      <c r="P999" s="53"/>
      <c r="Q999" s="53"/>
      <c r="R999" s="2"/>
      <c r="S999" s="2"/>
      <c r="T999" s="2"/>
    </row>
    <row r="1000" spans="1:20" x14ac:dyDescent="0.25">
      <c r="A1000" s="3"/>
      <c r="B1000" s="3"/>
      <c r="C1000" s="2"/>
      <c r="D1000" s="2"/>
      <c r="E1000" s="51"/>
      <c r="F1000" s="51"/>
      <c r="G1000" s="51"/>
      <c r="H1000" s="51"/>
      <c r="I1000" s="2"/>
      <c r="J1000" s="2"/>
      <c r="K1000" s="2"/>
      <c r="L1000" s="2"/>
      <c r="M1000" s="2"/>
      <c r="N1000" s="2"/>
      <c r="O1000" s="2"/>
      <c r="P1000" s="53"/>
      <c r="Q1000" s="53"/>
      <c r="R1000" s="2"/>
      <c r="S1000" s="2"/>
      <c r="T1000" s="2"/>
    </row>
    <row r="1001" spans="1:20" x14ac:dyDescent="0.25">
      <c r="A1001" s="3"/>
      <c r="B1001" s="3"/>
      <c r="C1001" s="2"/>
      <c r="D1001" s="2"/>
      <c r="E1001" s="51"/>
      <c r="F1001" s="51"/>
      <c r="G1001" s="51"/>
      <c r="H1001" s="51"/>
      <c r="I1001" s="2"/>
      <c r="J1001" s="2"/>
      <c r="K1001" s="2"/>
      <c r="L1001" s="2"/>
      <c r="M1001" s="2"/>
      <c r="N1001" s="2"/>
      <c r="O1001" s="2"/>
      <c r="P1001" s="53"/>
      <c r="Q1001" s="53"/>
      <c r="R1001" s="2"/>
      <c r="S1001" s="2"/>
      <c r="T1001" s="2"/>
    </row>
    <row r="1002" spans="1:20" x14ac:dyDescent="0.25">
      <c r="A1002" s="3"/>
      <c r="B1002" s="3"/>
      <c r="C1002" s="2"/>
      <c r="D1002" s="2"/>
      <c r="E1002" s="51"/>
      <c r="F1002" s="51"/>
      <c r="G1002" s="51"/>
      <c r="H1002" s="51"/>
      <c r="I1002" s="2"/>
      <c r="J1002" s="2"/>
      <c r="K1002" s="2"/>
      <c r="L1002" s="2"/>
      <c r="M1002" s="2"/>
      <c r="N1002" s="2"/>
      <c r="O1002" s="2"/>
      <c r="P1002" s="53"/>
      <c r="Q1002" s="53"/>
      <c r="R1002" s="2"/>
      <c r="S1002" s="2"/>
      <c r="T1002" s="2"/>
    </row>
    <row r="1003" spans="1:20" x14ac:dyDescent="0.25">
      <c r="A1003" s="3"/>
      <c r="B1003" s="3"/>
      <c r="C1003" s="2"/>
      <c r="D1003" s="2"/>
      <c r="E1003" s="51"/>
      <c r="F1003" s="51"/>
      <c r="G1003" s="51"/>
      <c r="H1003" s="51"/>
      <c r="I1003" s="2"/>
      <c r="J1003" s="2"/>
      <c r="K1003" s="2"/>
      <c r="L1003" s="2"/>
      <c r="M1003" s="2"/>
      <c r="N1003" s="2"/>
      <c r="O1003" s="2"/>
      <c r="P1003" s="53"/>
      <c r="Q1003" s="53"/>
      <c r="R1003" s="2"/>
      <c r="S1003" s="2"/>
      <c r="T1003" s="2"/>
    </row>
    <row r="1004" spans="1:20" x14ac:dyDescent="0.25">
      <c r="A1004" s="3"/>
      <c r="B1004" s="3"/>
      <c r="C1004" s="2"/>
      <c r="D1004" s="2"/>
      <c r="E1004" s="51"/>
      <c r="F1004" s="51"/>
      <c r="G1004" s="51"/>
      <c r="H1004" s="51"/>
      <c r="I1004" s="2"/>
      <c r="J1004" s="2"/>
      <c r="K1004" s="2"/>
      <c r="L1004" s="2"/>
      <c r="M1004" s="2"/>
      <c r="N1004" s="2"/>
      <c r="O1004" s="2"/>
      <c r="P1004" s="53"/>
      <c r="Q1004" s="53"/>
      <c r="R1004" s="2"/>
      <c r="S1004" s="2"/>
      <c r="T1004" s="2"/>
    </row>
    <row r="1005" spans="1:20" x14ac:dyDescent="0.25">
      <c r="A1005" s="3"/>
      <c r="B1005" s="3"/>
      <c r="C1005" s="2"/>
      <c r="D1005" s="2"/>
      <c r="E1005" s="51"/>
      <c r="F1005" s="51"/>
      <c r="G1005" s="51"/>
      <c r="H1005" s="51"/>
      <c r="I1005" s="2"/>
      <c r="J1005" s="2"/>
      <c r="K1005" s="2"/>
      <c r="L1005" s="2"/>
      <c r="M1005" s="2"/>
      <c r="N1005" s="2"/>
      <c r="O1005" s="2"/>
      <c r="P1005" s="53"/>
      <c r="Q1005" s="53"/>
      <c r="R1005" s="2"/>
      <c r="S1005" s="2"/>
      <c r="T1005" s="2"/>
    </row>
    <row r="1006" spans="1:20" x14ac:dyDescent="0.25">
      <c r="A1006" s="3"/>
      <c r="B1006" s="3"/>
      <c r="C1006" s="2"/>
      <c r="D1006" s="2"/>
      <c r="E1006" s="51"/>
      <c r="F1006" s="51"/>
      <c r="G1006" s="51"/>
      <c r="H1006" s="51"/>
      <c r="I1006" s="2"/>
      <c r="J1006" s="2"/>
      <c r="K1006" s="2"/>
      <c r="L1006" s="2"/>
      <c r="M1006" s="2"/>
      <c r="N1006" s="2"/>
      <c r="O1006" s="2"/>
      <c r="P1006" s="53"/>
      <c r="Q1006" s="53"/>
      <c r="R1006" s="2"/>
      <c r="S1006" s="2"/>
      <c r="T1006" s="2"/>
    </row>
    <row r="1007" spans="1:20" x14ac:dyDescent="0.25">
      <c r="A1007" s="3"/>
      <c r="B1007" s="3"/>
      <c r="C1007" s="2"/>
      <c r="D1007" s="2"/>
      <c r="E1007" s="51"/>
      <c r="F1007" s="51"/>
      <c r="G1007" s="51"/>
      <c r="H1007" s="51"/>
      <c r="I1007" s="2"/>
      <c r="J1007" s="2"/>
      <c r="K1007" s="2"/>
      <c r="L1007" s="2"/>
      <c r="M1007" s="2"/>
      <c r="N1007" s="2"/>
      <c r="O1007" s="2"/>
      <c r="P1007" s="53"/>
      <c r="Q1007" s="53"/>
      <c r="R1007" s="2"/>
      <c r="S1007" s="2"/>
      <c r="T1007" s="2"/>
    </row>
    <row r="1008" spans="1:20" x14ac:dyDescent="0.25">
      <c r="A1008" s="3"/>
      <c r="B1008" s="3"/>
      <c r="C1008" s="2"/>
      <c r="D1008" s="2"/>
      <c r="E1008" s="51"/>
      <c r="F1008" s="51"/>
      <c r="G1008" s="51"/>
      <c r="H1008" s="51"/>
      <c r="I1008" s="2"/>
      <c r="J1008" s="2"/>
      <c r="K1008" s="2"/>
      <c r="L1008" s="2"/>
      <c r="M1008" s="2"/>
      <c r="N1008" s="2"/>
      <c r="O1008" s="2"/>
      <c r="P1008" s="53"/>
      <c r="Q1008" s="53"/>
      <c r="R1008" s="2"/>
      <c r="S1008" s="2"/>
      <c r="T1008" s="2"/>
    </row>
    <row r="1009" spans="1:20" x14ac:dyDescent="0.25">
      <c r="A1009" s="3"/>
      <c r="B1009" s="3"/>
      <c r="C1009" s="2"/>
      <c r="D1009" s="2"/>
      <c r="E1009" s="51"/>
      <c r="F1009" s="51"/>
      <c r="G1009" s="51"/>
      <c r="H1009" s="51"/>
      <c r="I1009" s="2"/>
      <c r="J1009" s="2"/>
      <c r="K1009" s="2"/>
      <c r="L1009" s="2"/>
      <c r="M1009" s="2"/>
      <c r="N1009" s="2"/>
      <c r="O1009" s="2"/>
      <c r="P1009" s="53"/>
      <c r="Q1009" s="53"/>
      <c r="R1009" s="2"/>
      <c r="S1009" s="2"/>
      <c r="T1009" s="2"/>
    </row>
    <row r="1010" spans="1:20" x14ac:dyDescent="0.25">
      <c r="A1010" s="3"/>
      <c r="B1010" s="3"/>
      <c r="C1010" s="2"/>
      <c r="D1010" s="2"/>
      <c r="E1010" s="51"/>
      <c r="F1010" s="51"/>
      <c r="G1010" s="51"/>
      <c r="H1010" s="51"/>
      <c r="I1010" s="2"/>
      <c r="J1010" s="2"/>
      <c r="K1010" s="2"/>
      <c r="L1010" s="2"/>
      <c r="M1010" s="2"/>
      <c r="N1010" s="2"/>
      <c r="O1010" s="2"/>
      <c r="P1010" s="53"/>
      <c r="Q1010" s="53"/>
      <c r="R1010" s="2"/>
      <c r="S1010" s="2"/>
      <c r="T1010" s="2"/>
    </row>
    <row r="1011" spans="1:20" x14ac:dyDescent="0.25">
      <c r="A1011" s="3"/>
      <c r="B1011" s="3"/>
      <c r="C1011" s="2"/>
      <c r="D1011" s="2"/>
      <c r="E1011" s="51"/>
      <c r="F1011" s="51"/>
      <c r="G1011" s="51"/>
      <c r="H1011" s="51"/>
      <c r="I1011" s="2"/>
      <c r="J1011" s="2"/>
      <c r="K1011" s="2"/>
      <c r="L1011" s="2"/>
      <c r="M1011" s="2"/>
      <c r="N1011" s="2"/>
      <c r="O1011" s="2"/>
      <c r="P1011" s="53"/>
      <c r="Q1011" s="53"/>
      <c r="R1011" s="2"/>
      <c r="S1011" s="2"/>
      <c r="T1011" s="2"/>
    </row>
    <row r="1012" spans="1:20" x14ac:dyDescent="0.25">
      <c r="A1012" s="3"/>
      <c r="B1012" s="3"/>
      <c r="C1012" s="2"/>
      <c r="D1012" s="2"/>
      <c r="E1012" s="51"/>
      <c r="F1012" s="51"/>
      <c r="G1012" s="51"/>
      <c r="H1012" s="51"/>
      <c r="I1012" s="2"/>
      <c r="J1012" s="2"/>
      <c r="K1012" s="2"/>
      <c r="L1012" s="2"/>
      <c r="M1012" s="2"/>
      <c r="N1012" s="2"/>
      <c r="O1012" s="2"/>
      <c r="P1012" s="53"/>
      <c r="Q1012" s="53"/>
      <c r="R1012" s="2"/>
      <c r="S1012" s="2"/>
      <c r="T1012" s="2"/>
    </row>
    <row r="1013" spans="1:20" x14ac:dyDescent="0.25">
      <c r="A1013" s="3"/>
      <c r="B1013" s="3"/>
      <c r="C1013" s="2"/>
      <c r="D1013" s="2"/>
      <c r="E1013" s="51"/>
      <c r="F1013" s="51"/>
      <c r="G1013" s="51"/>
      <c r="H1013" s="51"/>
      <c r="I1013" s="2"/>
      <c r="J1013" s="2"/>
      <c r="K1013" s="2"/>
      <c r="L1013" s="2"/>
      <c r="M1013" s="2"/>
      <c r="N1013" s="2"/>
      <c r="O1013" s="2"/>
      <c r="P1013" s="53"/>
      <c r="Q1013" s="53"/>
      <c r="R1013" s="2"/>
      <c r="S1013" s="2"/>
      <c r="T1013" s="2"/>
    </row>
    <row r="1014" spans="1:20" x14ac:dyDescent="0.25">
      <c r="A1014" s="3"/>
      <c r="B1014" s="3"/>
      <c r="C1014" s="2"/>
      <c r="D1014" s="2"/>
      <c r="E1014" s="51"/>
      <c r="F1014" s="51"/>
      <c r="G1014" s="51"/>
      <c r="H1014" s="51"/>
      <c r="I1014" s="2"/>
      <c r="J1014" s="2"/>
      <c r="K1014" s="2"/>
      <c r="L1014" s="2"/>
      <c r="M1014" s="2"/>
      <c r="N1014" s="2"/>
      <c r="O1014" s="2"/>
      <c r="P1014" s="53"/>
      <c r="Q1014" s="53"/>
      <c r="R1014" s="2"/>
      <c r="S1014" s="2"/>
      <c r="T1014" s="2"/>
    </row>
    <row r="1015" spans="1:20" x14ac:dyDescent="0.25">
      <c r="A1015" s="3"/>
      <c r="B1015" s="3"/>
      <c r="C1015" s="2"/>
      <c r="D1015" s="2"/>
      <c r="E1015" s="51"/>
      <c r="F1015" s="51"/>
      <c r="G1015" s="51"/>
      <c r="H1015" s="51"/>
      <c r="I1015" s="2"/>
      <c r="J1015" s="2"/>
      <c r="K1015" s="2"/>
      <c r="L1015" s="2"/>
      <c r="M1015" s="2"/>
      <c r="N1015" s="2"/>
      <c r="O1015" s="2"/>
      <c r="P1015" s="53"/>
      <c r="Q1015" s="53"/>
      <c r="R1015" s="2"/>
      <c r="S1015" s="2"/>
      <c r="T1015" s="2"/>
    </row>
    <row r="1016" spans="1:20" x14ac:dyDescent="0.25">
      <c r="A1016" s="3"/>
      <c r="B1016" s="3"/>
      <c r="C1016" s="2"/>
      <c r="D1016" s="2"/>
      <c r="E1016" s="51"/>
      <c r="F1016" s="51"/>
      <c r="G1016" s="51"/>
      <c r="H1016" s="51"/>
      <c r="I1016" s="2"/>
      <c r="J1016" s="2"/>
      <c r="K1016" s="2"/>
      <c r="L1016" s="2"/>
      <c r="M1016" s="2"/>
      <c r="N1016" s="2"/>
      <c r="O1016" s="2"/>
      <c r="P1016" s="53"/>
      <c r="Q1016" s="53"/>
      <c r="R1016" s="2"/>
      <c r="S1016" s="2"/>
      <c r="T1016" s="2"/>
    </row>
    <row r="1017" spans="1:20" x14ac:dyDescent="0.25">
      <c r="A1017" s="3"/>
      <c r="B1017" s="3"/>
      <c r="C1017" s="2"/>
      <c r="D1017" s="2"/>
      <c r="E1017" s="51"/>
      <c r="F1017" s="51"/>
      <c r="G1017" s="51"/>
      <c r="H1017" s="51"/>
      <c r="I1017" s="2"/>
      <c r="J1017" s="2"/>
      <c r="K1017" s="2"/>
      <c r="L1017" s="2"/>
      <c r="M1017" s="2"/>
      <c r="N1017" s="2"/>
      <c r="O1017" s="2"/>
      <c r="P1017" s="53"/>
      <c r="Q1017" s="53"/>
      <c r="R1017" s="2"/>
      <c r="S1017" s="2"/>
      <c r="T1017" s="2"/>
    </row>
    <row r="1018" spans="1:20" x14ac:dyDescent="0.25">
      <c r="A1018" s="3"/>
      <c r="B1018" s="3"/>
      <c r="C1018" s="2"/>
      <c r="D1018" s="2"/>
      <c r="E1018" s="51"/>
      <c r="F1018" s="51"/>
      <c r="G1018" s="51"/>
      <c r="H1018" s="51"/>
      <c r="I1018" s="2"/>
      <c r="J1018" s="2"/>
      <c r="K1018" s="2"/>
      <c r="L1018" s="2"/>
      <c r="M1018" s="2"/>
      <c r="N1018" s="2"/>
      <c r="O1018" s="2"/>
      <c r="P1018" s="53"/>
      <c r="Q1018" s="53"/>
      <c r="R1018" s="2"/>
      <c r="S1018" s="2"/>
      <c r="T1018" s="2"/>
    </row>
    <row r="1019" spans="1:20" x14ac:dyDescent="0.25">
      <c r="A1019" s="3"/>
      <c r="B1019" s="3"/>
      <c r="C1019" s="2"/>
      <c r="D1019" s="2"/>
      <c r="E1019" s="51"/>
      <c r="F1019" s="51"/>
      <c r="G1019" s="51"/>
      <c r="H1019" s="51"/>
      <c r="I1019" s="2"/>
      <c r="J1019" s="2"/>
      <c r="K1019" s="2"/>
      <c r="L1019" s="2"/>
      <c r="M1019" s="2"/>
      <c r="N1019" s="2"/>
      <c r="O1019" s="2"/>
      <c r="P1019" s="53"/>
      <c r="Q1019" s="53"/>
      <c r="R1019" s="2"/>
      <c r="S1019" s="2"/>
      <c r="T1019" s="2"/>
    </row>
    <row r="1020" spans="1:20" x14ac:dyDescent="0.25">
      <c r="A1020" s="3"/>
      <c r="B1020" s="3"/>
      <c r="C1020" s="2"/>
      <c r="D1020" s="2"/>
      <c r="E1020" s="51"/>
      <c r="F1020" s="51"/>
      <c r="G1020" s="51"/>
      <c r="H1020" s="51"/>
      <c r="I1020" s="2"/>
      <c r="J1020" s="2"/>
      <c r="K1020" s="2"/>
      <c r="L1020" s="2"/>
      <c r="M1020" s="2"/>
      <c r="N1020" s="2"/>
      <c r="O1020" s="2"/>
      <c r="P1020" s="53"/>
      <c r="Q1020" s="53"/>
      <c r="R1020" s="2"/>
      <c r="S1020" s="2"/>
      <c r="T1020" s="2"/>
    </row>
    <row r="1021" spans="1:20" x14ac:dyDescent="0.25">
      <c r="A1021" s="3"/>
      <c r="B1021" s="3"/>
      <c r="C1021" s="2"/>
      <c r="D1021" s="2"/>
      <c r="E1021" s="51"/>
      <c r="F1021" s="51"/>
      <c r="G1021" s="51"/>
      <c r="H1021" s="51"/>
      <c r="I1021" s="2"/>
      <c r="J1021" s="2"/>
      <c r="K1021" s="2"/>
      <c r="L1021" s="2"/>
      <c r="M1021" s="2"/>
      <c r="N1021" s="2"/>
      <c r="O1021" s="2"/>
      <c r="P1021" s="53"/>
      <c r="Q1021" s="53"/>
      <c r="R1021" s="2"/>
      <c r="S1021" s="2"/>
      <c r="T1021" s="2"/>
    </row>
    <row r="1022" spans="1:20" x14ac:dyDescent="0.25">
      <c r="A1022" s="3"/>
      <c r="B1022" s="3"/>
      <c r="C1022" s="2"/>
      <c r="D1022" s="2"/>
      <c r="E1022" s="51"/>
      <c r="F1022" s="51"/>
      <c r="G1022" s="51"/>
      <c r="H1022" s="51"/>
      <c r="I1022" s="2"/>
      <c r="J1022" s="2"/>
      <c r="K1022" s="2"/>
      <c r="L1022" s="2"/>
      <c r="M1022" s="2"/>
      <c r="N1022" s="2"/>
      <c r="O1022" s="2"/>
      <c r="P1022" s="53"/>
      <c r="Q1022" s="53"/>
      <c r="R1022" s="2"/>
      <c r="S1022" s="2"/>
      <c r="T1022" s="2"/>
    </row>
    <row r="1023" spans="1:20" x14ac:dyDescent="0.25">
      <c r="A1023" s="3"/>
      <c r="B1023" s="3"/>
      <c r="C1023" s="2"/>
      <c r="D1023" s="2"/>
      <c r="E1023" s="51"/>
      <c r="F1023" s="51"/>
      <c r="G1023" s="51"/>
      <c r="H1023" s="51"/>
      <c r="I1023" s="2"/>
      <c r="J1023" s="2"/>
      <c r="K1023" s="2"/>
      <c r="L1023" s="2"/>
      <c r="M1023" s="2"/>
      <c r="N1023" s="2"/>
      <c r="O1023" s="2"/>
      <c r="P1023" s="53"/>
      <c r="Q1023" s="53"/>
      <c r="R1023" s="2"/>
      <c r="S1023" s="2"/>
      <c r="T1023" s="2"/>
    </row>
    <row r="1024" spans="1:20" x14ac:dyDescent="0.25">
      <c r="A1024" s="3"/>
      <c r="B1024" s="3"/>
      <c r="C1024" s="2"/>
      <c r="D1024" s="2"/>
      <c r="E1024" s="51"/>
      <c r="F1024" s="51"/>
      <c r="G1024" s="51"/>
      <c r="H1024" s="51"/>
      <c r="I1024" s="2"/>
      <c r="J1024" s="2"/>
      <c r="K1024" s="2"/>
      <c r="L1024" s="2"/>
      <c r="M1024" s="2"/>
      <c r="N1024" s="2"/>
      <c r="O1024" s="2"/>
      <c r="P1024" s="53"/>
      <c r="Q1024" s="53"/>
      <c r="R1024" s="2"/>
      <c r="S1024" s="2"/>
      <c r="T1024" s="2"/>
    </row>
    <row r="1025" spans="1:20" x14ac:dyDescent="0.25">
      <c r="A1025" s="3"/>
      <c r="B1025" s="3"/>
      <c r="C1025" s="2"/>
      <c r="D1025" s="2"/>
      <c r="E1025" s="51"/>
      <c r="F1025" s="51"/>
      <c r="G1025" s="51"/>
      <c r="H1025" s="51"/>
      <c r="I1025" s="2"/>
      <c r="J1025" s="2"/>
      <c r="K1025" s="2"/>
      <c r="L1025" s="2"/>
      <c r="M1025" s="2"/>
      <c r="N1025" s="2"/>
      <c r="O1025" s="2"/>
      <c r="P1025" s="53"/>
      <c r="Q1025" s="53"/>
      <c r="R1025" s="2"/>
      <c r="S1025" s="2"/>
      <c r="T1025" s="2"/>
    </row>
    <row r="1026" spans="1:20" x14ac:dyDescent="0.25">
      <c r="A1026" s="3"/>
      <c r="B1026" s="3"/>
      <c r="C1026" s="2"/>
      <c r="D1026" s="2"/>
      <c r="E1026" s="51"/>
      <c r="F1026" s="51"/>
      <c r="G1026" s="51"/>
      <c r="H1026" s="51"/>
      <c r="I1026" s="2"/>
      <c r="J1026" s="2"/>
      <c r="K1026" s="2"/>
      <c r="L1026" s="2"/>
      <c r="M1026" s="2"/>
      <c r="N1026" s="2"/>
      <c r="O1026" s="2"/>
      <c r="P1026" s="53"/>
      <c r="Q1026" s="53"/>
      <c r="R1026" s="2"/>
      <c r="S1026" s="2"/>
      <c r="T1026" s="2"/>
    </row>
    <row r="1027" spans="1:20" x14ac:dyDescent="0.25">
      <c r="A1027" s="3"/>
      <c r="B1027" s="3"/>
      <c r="C1027" s="2"/>
      <c r="D1027" s="2"/>
      <c r="E1027" s="51"/>
      <c r="F1027" s="51"/>
      <c r="G1027" s="51"/>
      <c r="H1027" s="51"/>
      <c r="I1027" s="2"/>
      <c r="J1027" s="2"/>
      <c r="K1027" s="2"/>
      <c r="L1027" s="2"/>
      <c r="M1027" s="2"/>
      <c r="N1027" s="2"/>
      <c r="O1027" s="2"/>
      <c r="P1027" s="53"/>
      <c r="Q1027" s="53"/>
      <c r="R1027" s="2"/>
      <c r="S1027" s="2"/>
      <c r="T1027" s="2"/>
    </row>
    <row r="1028" spans="1:20" x14ac:dyDescent="0.25">
      <c r="A1028" s="3"/>
      <c r="B1028" s="3"/>
      <c r="C1028" s="2"/>
      <c r="D1028" s="2"/>
      <c r="E1028" s="51"/>
      <c r="F1028" s="51"/>
      <c r="G1028" s="51"/>
      <c r="H1028" s="51"/>
      <c r="I1028" s="2"/>
      <c r="J1028" s="2"/>
      <c r="K1028" s="2"/>
      <c r="L1028" s="2"/>
      <c r="M1028" s="2"/>
      <c r="N1028" s="2"/>
      <c r="O1028" s="2"/>
      <c r="P1028" s="53"/>
      <c r="Q1028" s="53"/>
      <c r="R1028" s="2"/>
      <c r="S1028" s="2"/>
      <c r="T1028" s="2"/>
    </row>
    <row r="1029" spans="1:20" x14ac:dyDescent="0.25">
      <c r="A1029" s="3"/>
      <c r="B1029" s="3"/>
      <c r="C1029" s="2"/>
      <c r="D1029" s="2"/>
      <c r="E1029" s="51"/>
      <c r="F1029" s="51"/>
      <c r="G1029" s="51"/>
      <c r="H1029" s="51"/>
      <c r="I1029" s="2"/>
      <c r="J1029" s="2"/>
      <c r="K1029" s="2"/>
      <c r="L1029" s="2"/>
      <c r="M1029" s="2"/>
      <c r="N1029" s="2"/>
      <c r="O1029" s="2"/>
      <c r="P1029" s="53"/>
      <c r="Q1029" s="53"/>
      <c r="R1029" s="2"/>
      <c r="S1029" s="2"/>
      <c r="T1029" s="2"/>
    </row>
    <row r="1030" spans="1:20" x14ac:dyDescent="0.25">
      <c r="A1030" s="3"/>
      <c r="B1030" s="3"/>
      <c r="C1030" s="2"/>
      <c r="D1030" s="2"/>
      <c r="E1030" s="51"/>
      <c r="F1030" s="51"/>
      <c r="G1030" s="51"/>
      <c r="H1030" s="51"/>
      <c r="I1030" s="2"/>
      <c r="J1030" s="2"/>
      <c r="K1030" s="2"/>
      <c r="L1030" s="2"/>
      <c r="M1030" s="2"/>
      <c r="N1030" s="2"/>
      <c r="O1030" s="2"/>
      <c r="P1030" s="53"/>
      <c r="Q1030" s="53"/>
      <c r="R1030" s="2"/>
      <c r="S1030" s="2"/>
      <c r="T1030" s="2"/>
    </row>
    <row r="1031" spans="1:20" x14ac:dyDescent="0.25">
      <c r="A1031" s="3"/>
      <c r="B1031" s="3"/>
      <c r="C1031" s="2"/>
      <c r="D1031" s="2"/>
      <c r="E1031" s="51"/>
      <c r="F1031" s="51"/>
      <c r="G1031" s="51"/>
      <c r="H1031" s="51"/>
      <c r="I1031" s="2"/>
      <c r="J1031" s="2"/>
      <c r="K1031" s="2"/>
      <c r="L1031" s="2"/>
      <c r="M1031" s="2"/>
      <c r="N1031" s="2"/>
      <c r="O1031" s="2"/>
      <c r="P1031" s="53"/>
      <c r="Q1031" s="53"/>
      <c r="R1031" s="2"/>
      <c r="S1031" s="2"/>
      <c r="T1031" s="2"/>
    </row>
    <row r="1032" spans="1:20" x14ac:dyDescent="0.25">
      <c r="A1032" s="3"/>
      <c r="B1032" s="3"/>
      <c r="C1032" s="2"/>
      <c r="D1032" s="2"/>
      <c r="E1032" s="51"/>
      <c r="F1032" s="51"/>
      <c r="G1032" s="51"/>
      <c r="H1032" s="51"/>
      <c r="I1032" s="2"/>
      <c r="J1032" s="2"/>
      <c r="K1032" s="2"/>
      <c r="L1032" s="2"/>
      <c r="M1032" s="2"/>
      <c r="N1032" s="2"/>
      <c r="O1032" s="2"/>
      <c r="P1032" s="53"/>
      <c r="Q1032" s="53"/>
      <c r="R1032" s="2"/>
      <c r="S1032" s="2"/>
      <c r="T1032" s="2"/>
    </row>
    <row r="1033" spans="1:20" x14ac:dyDescent="0.25">
      <c r="A1033" s="3"/>
      <c r="B1033" s="3"/>
      <c r="C1033" s="2"/>
      <c r="D1033" s="2"/>
      <c r="E1033" s="51"/>
      <c r="F1033" s="51"/>
      <c r="G1033" s="51"/>
      <c r="H1033" s="51"/>
      <c r="I1033" s="2"/>
      <c r="J1033" s="2"/>
      <c r="K1033" s="2"/>
      <c r="L1033" s="2"/>
      <c r="M1033" s="2"/>
      <c r="N1033" s="2"/>
      <c r="O1033" s="2"/>
      <c r="P1033" s="53"/>
      <c r="Q1033" s="53"/>
      <c r="R1033" s="2"/>
      <c r="S1033" s="2"/>
      <c r="T1033" s="2"/>
    </row>
    <row r="1034" spans="1:20" x14ac:dyDescent="0.25">
      <c r="A1034" s="3"/>
      <c r="B1034" s="3"/>
      <c r="C1034" s="2"/>
      <c r="D1034" s="2"/>
      <c r="E1034" s="51"/>
      <c r="F1034" s="51"/>
      <c r="G1034" s="51"/>
      <c r="H1034" s="51"/>
      <c r="I1034" s="2"/>
      <c r="J1034" s="2"/>
      <c r="K1034" s="2"/>
      <c r="L1034" s="2"/>
      <c r="M1034" s="2"/>
      <c r="N1034" s="2"/>
      <c r="O1034" s="2"/>
      <c r="P1034" s="53"/>
      <c r="Q1034" s="53"/>
      <c r="R1034" s="2"/>
      <c r="S1034" s="2"/>
      <c r="T1034" s="2"/>
    </row>
    <row r="1035" spans="1:20" x14ac:dyDescent="0.25">
      <c r="A1035" s="3"/>
      <c r="B1035" s="3"/>
      <c r="C1035" s="2"/>
      <c r="D1035" s="2"/>
      <c r="E1035" s="51"/>
      <c r="F1035" s="51"/>
      <c r="G1035" s="51"/>
      <c r="H1035" s="51"/>
      <c r="I1035" s="2"/>
      <c r="J1035" s="2"/>
      <c r="K1035" s="2"/>
      <c r="L1035" s="2"/>
      <c r="M1035" s="2"/>
      <c r="N1035" s="2"/>
      <c r="O1035" s="2"/>
      <c r="P1035" s="53"/>
      <c r="Q1035" s="53"/>
      <c r="R1035" s="2"/>
      <c r="S1035" s="2"/>
      <c r="T1035" s="2"/>
    </row>
    <row r="1036" spans="1:20" x14ac:dyDescent="0.25">
      <c r="A1036" s="3"/>
      <c r="B1036" s="3"/>
      <c r="C1036" s="2"/>
      <c r="D1036" s="2"/>
      <c r="E1036" s="51"/>
      <c r="F1036" s="51"/>
      <c r="G1036" s="51"/>
      <c r="H1036" s="51"/>
      <c r="I1036" s="2"/>
      <c r="J1036" s="2"/>
      <c r="K1036" s="2"/>
      <c r="L1036" s="2"/>
      <c r="M1036" s="2"/>
      <c r="N1036" s="2"/>
      <c r="O1036" s="2"/>
      <c r="P1036" s="53"/>
      <c r="Q1036" s="53"/>
      <c r="R1036" s="2"/>
      <c r="S1036" s="2"/>
      <c r="T1036" s="2"/>
    </row>
    <row r="1037" spans="1:20" x14ac:dyDescent="0.25">
      <c r="A1037" s="3"/>
      <c r="B1037" s="3"/>
      <c r="C1037" s="2"/>
      <c r="D1037" s="2"/>
      <c r="E1037" s="51"/>
      <c r="F1037" s="51"/>
      <c r="G1037" s="51"/>
      <c r="H1037" s="51"/>
      <c r="I1037" s="2"/>
      <c r="J1037" s="2"/>
      <c r="K1037" s="2"/>
      <c r="L1037" s="2"/>
      <c r="M1037" s="2"/>
      <c r="N1037" s="2"/>
      <c r="O1037" s="2"/>
      <c r="P1037" s="53"/>
      <c r="Q1037" s="53"/>
      <c r="R1037" s="2"/>
      <c r="S1037" s="2"/>
      <c r="T1037" s="2"/>
    </row>
    <row r="1038" spans="1:20" x14ac:dyDescent="0.25">
      <c r="A1038" s="3"/>
      <c r="B1038" s="3"/>
      <c r="C1038" s="2"/>
      <c r="D1038" s="2"/>
      <c r="E1038" s="51"/>
      <c r="F1038" s="51"/>
      <c r="G1038" s="51"/>
      <c r="H1038" s="51"/>
      <c r="I1038" s="2"/>
      <c r="J1038" s="2"/>
      <c r="K1038" s="2"/>
      <c r="L1038" s="2"/>
      <c r="M1038" s="2"/>
      <c r="N1038" s="2"/>
      <c r="O1038" s="2"/>
      <c r="P1038" s="53"/>
      <c r="Q1038" s="53"/>
      <c r="R1038" s="2"/>
      <c r="S1038" s="2"/>
      <c r="T1038" s="2"/>
    </row>
    <row r="1039" spans="1:20" x14ac:dyDescent="0.25">
      <c r="A1039" s="3"/>
      <c r="B1039" s="3"/>
      <c r="C1039" s="2"/>
      <c r="D1039" s="2"/>
      <c r="E1039" s="51"/>
      <c r="F1039" s="51"/>
      <c r="G1039" s="51"/>
      <c r="H1039" s="51"/>
      <c r="I1039" s="2"/>
      <c r="J1039" s="2"/>
      <c r="K1039" s="2"/>
      <c r="L1039" s="2"/>
      <c r="M1039" s="2"/>
      <c r="N1039" s="2"/>
      <c r="O1039" s="2"/>
      <c r="P1039" s="53"/>
      <c r="Q1039" s="53"/>
      <c r="R1039" s="2"/>
      <c r="S1039" s="2"/>
      <c r="T1039" s="2"/>
    </row>
    <row r="1040" spans="1:20" x14ac:dyDescent="0.25">
      <c r="A1040" s="3"/>
      <c r="B1040" s="3"/>
      <c r="C1040" s="2"/>
      <c r="D1040" s="2"/>
      <c r="E1040" s="51"/>
      <c r="F1040" s="51"/>
      <c r="G1040" s="51"/>
      <c r="H1040" s="51"/>
      <c r="I1040" s="2"/>
      <c r="J1040" s="2"/>
      <c r="K1040" s="2"/>
      <c r="L1040" s="2"/>
      <c r="M1040" s="2"/>
      <c r="N1040" s="2"/>
      <c r="O1040" s="2"/>
      <c r="P1040" s="53"/>
      <c r="Q1040" s="53"/>
      <c r="R1040" s="2"/>
      <c r="S1040" s="2"/>
      <c r="T1040" s="2"/>
    </row>
    <row r="1041" spans="1:20" x14ac:dyDescent="0.25">
      <c r="A1041" s="3"/>
      <c r="B1041" s="3"/>
      <c r="C1041" s="2"/>
      <c r="D1041" s="2"/>
      <c r="E1041" s="51"/>
      <c r="F1041" s="51"/>
      <c r="G1041" s="51"/>
      <c r="H1041" s="51"/>
      <c r="I1041" s="2"/>
      <c r="J1041" s="2"/>
      <c r="K1041" s="2"/>
      <c r="L1041" s="2"/>
      <c r="M1041" s="2"/>
      <c r="N1041" s="2"/>
      <c r="O1041" s="2"/>
      <c r="P1041" s="53"/>
      <c r="Q1041" s="53"/>
      <c r="R1041" s="2"/>
      <c r="S1041" s="2"/>
      <c r="T1041" s="2"/>
    </row>
    <row r="1042" spans="1:20" x14ac:dyDescent="0.25">
      <c r="A1042" s="3"/>
      <c r="B1042" s="3"/>
      <c r="C1042" s="2"/>
      <c r="D1042" s="2"/>
      <c r="E1042" s="51"/>
      <c r="F1042" s="51"/>
      <c r="G1042" s="51"/>
      <c r="H1042" s="51"/>
      <c r="I1042" s="2"/>
      <c r="J1042" s="2"/>
      <c r="K1042" s="2"/>
      <c r="L1042" s="2"/>
      <c r="M1042" s="2"/>
      <c r="N1042" s="2"/>
      <c r="O1042" s="2"/>
      <c r="P1042" s="53"/>
      <c r="Q1042" s="53"/>
      <c r="R1042" s="2"/>
      <c r="S1042" s="2"/>
      <c r="T1042" s="2"/>
    </row>
    <row r="1043" spans="1:20" x14ac:dyDescent="0.25">
      <c r="A1043" s="3"/>
      <c r="B1043" s="3"/>
      <c r="C1043" s="2"/>
      <c r="D1043" s="2"/>
      <c r="E1043" s="51"/>
      <c r="F1043" s="51"/>
      <c r="G1043" s="51"/>
      <c r="H1043" s="51"/>
      <c r="I1043" s="2"/>
      <c r="J1043" s="2"/>
      <c r="K1043" s="2"/>
      <c r="L1043" s="2"/>
      <c r="M1043" s="2"/>
      <c r="N1043" s="2"/>
      <c r="O1043" s="2"/>
      <c r="P1043" s="53"/>
      <c r="Q1043" s="53"/>
      <c r="R1043" s="2"/>
      <c r="S1043" s="2"/>
      <c r="T1043" s="2"/>
    </row>
    <row r="1044" spans="1:20" x14ac:dyDescent="0.25">
      <c r="A1044" s="3"/>
      <c r="B1044" s="3"/>
      <c r="C1044" s="2"/>
      <c r="D1044" s="2"/>
      <c r="E1044" s="51"/>
      <c r="F1044" s="51"/>
      <c r="G1044" s="51"/>
      <c r="H1044" s="51"/>
      <c r="I1044" s="2"/>
      <c r="J1044" s="2"/>
      <c r="K1044" s="2"/>
      <c r="L1044" s="2"/>
      <c r="M1044" s="2"/>
      <c r="N1044" s="2"/>
      <c r="O1044" s="2"/>
      <c r="P1044" s="53"/>
      <c r="Q1044" s="53"/>
      <c r="R1044" s="2"/>
      <c r="S1044" s="2"/>
      <c r="T1044" s="2"/>
    </row>
    <row r="1045" spans="1:20" x14ac:dyDescent="0.25">
      <c r="A1045" s="3"/>
      <c r="B1045" s="3"/>
      <c r="C1045" s="2"/>
      <c r="D1045" s="2"/>
      <c r="E1045" s="51"/>
      <c r="F1045" s="51"/>
      <c r="G1045" s="51"/>
      <c r="H1045" s="51"/>
      <c r="I1045" s="2"/>
      <c r="J1045" s="2"/>
      <c r="K1045" s="2"/>
      <c r="L1045" s="2"/>
      <c r="M1045" s="2"/>
      <c r="N1045" s="2"/>
      <c r="O1045" s="2"/>
      <c r="P1045" s="53"/>
      <c r="Q1045" s="53"/>
      <c r="R1045" s="2"/>
      <c r="S1045" s="2"/>
      <c r="T1045" s="2"/>
    </row>
    <row r="1046" spans="1:20" x14ac:dyDescent="0.25">
      <c r="A1046" s="3"/>
      <c r="B1046" s="3"/>
      <c r="C1046" s="2"/>
      <c r="D1046" s="2"/>
      <c r="E1046" s="51"/>
      <c r="F1046" s="51"/>
      <c r="G1046" s="51"/>
      <c r="H1046" s="51"/>
      <c r="I1046" s="2"/>
      <c r="J1046" s="2"/>
      <c r="K1046" s="2"/>
      <c r="L1046" s="2"/>
      <c r="M1046" s="2"/>
      <c r="N1046" s="2"/>
      <c r="O1046" s="2"/>
      <c r="P1046" s="53"/>
      <c r="Q1046" s="53"/>
      <c r="R1046" s="2"/>
      <c r="S1046" s="2"/>
      <c r="T1046" s="2"/>
    </row>
    <row r="1047" spans="1:20" x14ac:dyDescent="0.25">
      <c r="A1047" s="3"/>
      <c r="B1047" s="3"/>
      <c r="C1047" s="2"/>
      <c r="D1047" s="2"/>
      <c r="E1047" s="51"/>
      <c r="F1047" s="51"/>
      <c r="G1047" s="51"/>
      <c r="H1047" s="51"/>
      <c r="I1047" s="2"/>
      <c r="J1047" s="2"/>
      <c r="K1047" s="2"/>
      <c r="L1047" s="2"/>
      <c r="M1047" s="2"/>
      <c r="N1047" s="2"/>
      <c r="O1047" s="2"/>
      <c r="P1047" s="53"/>
      <c r="Q1047" s="53"/>
      <c r="R1047" s="2"/>
      <c r="S1047" s="2"/>
      <c r="T1047" s="2"/>
    </row>
    <row r="1048" spans="1:20" x14ac:dyDescent="0.25">
      <c r="A1048" s="3"/>
      <c r="B1048" s="3"/>
      <c r="C1048" s="2"/>
      <c r="D1048" s="2"/>
      <c r="E1048" s="51"/>
      <c r="F1048" s="51"/>
      <c r="G1048" s="51"/>
      <c r="H1048" s="51"/>
      <c r="I1048" s="2"/>
      <c r="J1048" s="2"/>
      <c r="K1048" s="2"/>
      <c r="L1048" s="2"/>
      <c r="M1048" s="2"/>
      <c r="N1048" s="2"/>
      <c r="O1048" s="2"/>
      <c r="P1048" s="53"/>
      <c r="Q1048" s="53"/>
      <c r="R1048" s="2"/>
      <c r="S1048" s="2"/>
      <c r="T1048" s="2"/>
    </row>
    <row r="1049" spans="1:20" x14ac:dyDescent="0.25">
      <c r="A1049" s="3"/>
      <c r="B1049" s="3"/>
      <c r="C1049" s="2"/>
      <c r="D1049" s="2"/>
      <c r="E1049" s="51"/>
      <c r="F1049" s="51"/>
      <c r="G1049" s="51"/>
      <c r="H1049" s="51"/>
      <c r="I1049" s="2"/>
      <c r="J1049" s="2"/>
      <c r="K1049" s="2"/>
      <c r="L1049" s="2"/>
      <c r="M1049" s="2"/>
      <c r="N1049" s="2"/>
      <c r="O1049" s="2"/>
      <c r="P1049" s="53"/>
      <c r="Q1049" s="53"/>
      <c r="R1049" s="2"/>
      <c r="S1049" s="2"/>
      <c r="T1049" s="2"/>
    </row>
    <row r="1050" spans="1:20" x14ac:dyDescent="0.25">
      <c r="A1050" s="3"/>
      <c r="B1050" s="3"/>
      <c r="C1050" s="2"/>
      <c r="D1050" s="2"/>
      <c r="E1050" s="51"/>
      <c r="F1050" s="51"/>
      <c r="G1050" s="51"/>
      <c r="H1050" s="51"/>
      <c r="I1050" s="2"/>
      <c r="J1050" s="2"/>
      <c r="K1050" s="2"/>
      <c r="L1050" s="2"/>
      <c r="M1050" s="2"/>
      <c r="N1050" s="2"/>
      <c r="O1050" s="2"/>
      <c r="P1050" s="53"/>
      <c r="Q1050" s="53"/>
      <c r="R1050" s="2"/>
      <c r="S1050" s="2"/>
      <c r="T1050" s="2"/>
    </row>
    <row r="1051" spans="1:20" x14ac:dyDescent="0.25">
      <c r="A1051" s="3"/>
      <c r="B1051" s="3"/>
      <c r="C1051" s="2"/>
      <c r="D1051" s="2"/>
      <c r="E1051" s="51"/>
      <c r="F1051" s="51"/>
      <c r="G1051" s="51"/>
      <c r="H1051" s="51"/>
      <c r="I1051" s="2"/>
      <c r="J1051" s="2"/>
      <c r="K1051" s="2"/>
      <c r="L1051" s="2"/>
      <c r="M1051" s="2"/>
      <c r="N1051" s="2"/>
      <c r="O1051" s="2"/>
      <c r="P1051" s="53"/>
      <c r="Q1051" s="53"/>
      <c r="R1051" s="2"/>
      <c r="S1051" s="2"/>
      <c r="T1051" s="2"/>
    </row>
    <row r="1052" spans="1:20" x14ac:dyDescent="0.25">
      <c r="A1052" s="3"/>
      <c r="B1052" s="3"/>
      <c r="C1052" s="2"/>
      <c r="D1052" s="2"/>
      <c r="E1052" s="51"/>
      <c r="F1052" s="51"/>
      <c r="G1052" s="51"/>
      <c r="H1052" s="51"/>
      <c r="I1052" s="2"/>
      <c r="J1052" s="2"/>
      <c r="K1052" s="2"/>
      <c r="L1052" s="2"/>
      <c r="M1052" s="2"/>
      <c r="N1052" s="2"/>
      <c r="O1052" s="2"/>
      <c r="P1052" s="53"/>
      <c r="Q1052" s="53"/>
      <c r="R1052" s="2"/>
      <c r="S1052" s="2"/>
      <c r="T1052" s="2"/>
    </row>
    <row r="1053" spans="1:20" x14ac:dyDescent="0.25">
      <c r="A1053" s="3"/>
      <c r="B1053" s="3"/>
      <c r="C1053" s="2"/>
      <c r="D1053" s="2"/>
      <c r="E1053" s="51"/>
      <c r="F1053" s="51"/>
      <c r="G1053" s="51"/>
      <c r="H1053" s="51"/>
      <c r="I1053" s="2"/>
      <c r="J1053" s="2"/>
      <c r="K1053" s="2"/>
      <c r="L1053" s="2"/>
      <c r="M1053" s="2"/>
      <c r="N1053" s="2"/>
      <c r="O1053" s="2"/>
      <c r="P1053" s="53"/>
      <c r="Q1053" s="53"/>
      <c r="R1053" s="2"/>
      <c r="S1053" s="2"/>
      <c r="T1053" s="2"/>
    </row>
    <row r="1054" spans="1:20" x14ac:dyDescent="0.25">
      <c r="A1054" s="3"/>
      <c r="B1054" s="3"/>
      <c r="C1054" s="2"/>
      <c r="D1054" s="2"/>
      <c r="E1054" s="51"/>
      <c r="F1054" s="51"/>
      <c r="G1054" s="51"/>
      <c r="H1054" s="51"/>
      <c r="I1054" s="2"/>
      <c r="J1054" s="2"/>
      <c r="K1054" s="2"/>
      <c r="L1054" s="2"/>
      <c r="M1054" s="2"/>
      <c r="N1054" s="2"/>
      <c r="O1054" s="2"/>
      <c r="P1054" s="53"/>
      <c r="Q1054" s="53"/>
      <c r="R1054" s="2"/>
      <c r="S1054" s="2"/>
      <c r="T1054" s="2"/>
    </row>
    <row r="1055" spans="1:20" x14ac:dyDescent="0.25">
      <c r="A1055" s="3"/>
      <c r="B1055" s="3"/>
      <c r="C1055" s="2"/>
      <c r="D1055" s="2"/>
      <c r="E1055" s="51"/>
      <c r="F1055" s="51"/>
      <c r="G1055" s="51"/>
      <c r="H1055" s="51"/>
      <c r="I1055" s="2"/>
      <c r="J1055" s="2"/>
      <c r="K1055" s="2"/>
      <c r="L1055" s="2"/>
      <c r="M1055" s="2"/>
      <c r="N1055" s="2"/>
      <c r="O1055" s="2"/>
      <c r="P1055" s="53"/>
      <c r="Q1055" s="53"/>
      <c r="R1055" s="2"/>
      <c r="S1055" s="2"/>
      <c r="T1055" s="2"/>
    </row>
    <row r="1056" spans="1:20" x14ac:dyDescent="0.25">
      <c r="A1056" s="3"/>
      <c r="B1056" s="3"/>
      <c r="C1056" s="2"/>
      <c r="D1056" s="2"/>
      <c r="E1056" s="51"/>
      <c r="F1056" s="51"/>
      <c r="G1056" s="51"/>
      <c r="H1056" s="51"/>
      <c r="I1056" s="2"/>
      <c r="J1056" s="2"/>
      <c r="K1056" s="2"/>
      <c r="L1056" s="2"/>
      <c r="M1056" s="2"/>
      <c r="N1056" s="2"/>
      <c r="O1056" s="2"/>
      <c r="P1056" s="53"/>
      <c r="Q1056" s="53"/>
      <c r="R1056" s="2"/>
      <c r="S1056" s="2"/>
      <c r="T1056" s="2"/>
    </row>
    <row r="1057" spans="1:20" x14ac:dyDescent="0.25">
      <c r="A1057" s="3"/>
      <c r="B1057" s="3"/>
      <c r="C1057" s="2"/>
      <c r="D1057" s="2"/>
      <c r="E1057" s="51"/>
      <c r="F1057" s="51"/>
      <c r="G1057" s="51"/>
      <c r="H1057" s="51"/>
      <c r="I1057" s="2"/>
      <c r="J1057" s="2"/>
      <c r="K1057" s="2"/>
      <c r="L1057" s="2"/>
      <c r="M1057" s="2"/>
      <c r="N1057" s="2"/>
      <c r="O1057" s="2"/>
      <c r="P1057" s="53"/>
      <c r="Q1057" s="53"/>
      <c r="R1057" s="2"/>
      <c r="S1057" s="2"/>
      <c r="T1057" s="2"/>
    </row>
    <row r="1058" spans="1:20" x14ac:dyDescent="0.25">
      <c r="A1058" s="3"/>
      <c r="B1058" s="3"/>
      <c r="C1058" s="2"/>
      <c r="D1058" s="2"/>
      <c r="E1058" s="51"/>
      <c r="F1058" s="51"/>
      <c r="G1058" s="51"/>
      <c r="H1058" s="51"/>
      <c r="I1058" s="2"/>
      <c r="J1058" s="2"/>
      <c r="K1058" s="2"/>
      <c r="L1058" s="2"/>
      <c r="M1058" s="2"/>
      <c r="N1058" s="2"/>
      <c r="O1058" s="2"/>
      <c r="P1058" s="53"/>
      <c r="Q1058" s="53"/>
      <c r="R1058" s="2"/>
      <c r="S1058" s="2"/>
      <c r="T1058" s="2"/>
    </row>
    <row r="1059" spans="1:20" x14ac:dyDescent="0.25">
      <c r="A1059" s="3"/>
      <c r="B1059" s="3"/>
      <c r="C1059" s="2"/>
      <c r="D1059" s="2"/>
      <c r="E1059" s="51"/>
      <c r="F1059" s="51"/>
      <c r="G1059" s="51"/>
      <c r="H1059" s="51"/>
      <c r="I1059" s="2"/>
      <c r="J1059" s="2"/>
      <c r="K1059" s="2"/>
      <c r="L1059" s="2"/>
      <c r="M1059" s="2"/>
      <c r="N1059" s="2"/>
      <c r="O1059" s="2"/>
      <c r="P1059" s="53"/>
      <c r="Q1059" s="53"/>
      <c r="R1059" s="2"/>
      <c r="S1059" s="2"/>
      <c r="T1059" s="2"/>
    </row>
    <row r="1060" spans="1:20" x14ac:dyDescent="0.25">
      <c r="A1060" s="3"/>
      <c r="B1060" s="3"/>
      <c r="C1060" s="2"/>
      <c r="D1060" s="2"/>
      <c r="E1060" s="51"/>
      <c r="F1060" s="51"/>
      <c r="G1060" s="51"/>
      <c r="H1060" s="51"/>
      <c r="I1060" s="2"/>
      <c r="J1060" s="2"/>
      <c r="K1060" s="2"/>
      <c r="L1060" s="2"/>
      <c r="M1060" s="2"/>
      <c r="N1060" s="2"/>
      <c r="O1060" s="2"/>
      <c r="P1060" s="53"/>
      <c r="Q1060" s="53"/>
      <c r="R1060" s="2"/>
      <c r="S1060" s="2"/>
      <c r="T1060" s="2"/>
    </row>
    <row r="1061" spans="1:20" x14ac:dyDescent="0.25">
      <c r="A1061" s="3"/>
      <c r="B1061" s="3"/>
      <c r="C1061" s="2"/>
      <c r="D1061" s="2"/>
      <c r="E1061" s="51"/>
      <c r="F1061" s="51"/>
      <c r="G1061" s="51"/>
      <c r="H1061" s="51"/>
      <c r="I1061" s="2"/>
      <c r="J1061" s="2"/>
      <c r="K1061" s="2"/>
      <c r="L1061" s="2"/>
      <c r="M1061" s="2"/>
      <c r="N1061" s="2"/>
      <c r="O1061" s="2"/>
      <c r="P1061" s="53"/>
      <c r="Q1061" s="53"/>
      <c r="R1061" s="2"/>
      <c r="S1061" s="2"/>
      <c r="T1061" s="2"/>
    </row>
    <row r="1062" spans="1:20" x14ac:dyDescent="0.25">
      <c r="A1062" s="3"/>
      <c r="B1062" s="3"/>
      <c r="C1062" s="2"/>
      <c r="D1062" s="2"/>
      <c r="E1062" s="51"/>
      <c r="F1062" s="51"/>
      <c r="G1062" s="51"/>
      <c r="H1062" s="51"/>
      <c r="I1062" s="2"/>
      <c r="J1062" s="2"/>
      <c r="K1062" s="2"/>
      <c r="L1062" s="2"/>
      <c r="M1062" s="2"/>
      <c r="N1062" s="2"/>
      <c r="O1062" s="2"/>
      <c r="P1062" s="53"/>
      <c r="Q1062" s="53"/>
      <c r="R1062" s="2"/>
      <c r="S1062" s="2"/>
      <c r="T1062" s="2"/>
    </row>
    <row r="1063" spans="1:20" x14ac:dyDescent="0.25">
      <c r="A1063" s="3"/>
      <c r="B1063" s="3"/>
      <c r="C1063" s="2"/>
      <c r="D1063" s="2"/>
      <c r="E1063" s="51"/>
      <c r="F1063" s="51"/>
      <c r="G1063" s="51"/>
      <c r="H1063" s="51"/>
      <c r="I1063" s="2"/>
      <c r="J1063" s="2"/>
      <c r="K1063" s="2"/>
      <c r="L1063" s="2"/>
      <c r="M1063" s="2"/>
      <c r="N1063" s="2"/>
      <c r="O1063" s="2"/>
      <c r="P1063" s="53"/>
      <c r="Q1063" s="53"/>
      <c r="R1063" s="2"/>
      <c r="S1063" s="2"/>
      <c r="T1063" s="2"/>
    </row>
    <row r="1064" spans="1:20" x14ac:dyDescent="0.25">
      <c r="A1064" s="3"/>
      <c r="B1064" s="3"/>
      <c r="C1064" s="2"/>
      <c r="D1064" s="2"/>
      <c r="E1064" s="51"/>
      <c r="F1064" s="51"/>
      <c r="G1064" s="51"/>
      <c r="H1064" s="51"/>
      <c r="I1064" s="2"/>
      <c r="J1064" s="2"/>
      <c r="K1064" s="2"/>
      <c r="L1064" s="2"/>
      <c r="M1064" s="2"/>
      <c r="N1064" s="2"/>
      <c r="O1064" s="2"/>
      <c r="P1064" s="53"/>
      <c r="Q1064" s="53"/>
      <c r="R1064" s="2"/>
      <c r="S1064" s="2"/>
      <c r="T1064" s="2"/>
    </row>
    <row r="1065" spans="1:20" x14ac:dyDescent="0.25">
      <c r="A1065" s="3"/>
      <c r="B1065" s="3"/>
      <c r="C1065" s="2"/>
      <c r="D1065" s="2"/>
      <c r="E1065" s="51"/>
      <c r="F1065" s="51"/>
      <c r="G1065" s="51"/>
      <c r="H1065" s="51"/>
      <c r="I1065" s="2"/>
      <c r="J1065" s="2"/>
      <c r="K1065" s="2"/>
      <c r="L1065" s="2"/>
      <c r="M1065" s="2"/>
      <c r="N1065" s="2"/>
      <c r="O1065" s="2"/>
      <c r="P1065" s="53"/>
      <c r="Q1065" s="53"/>
      <c r="R1065" s="2"/>
      <c r="S1065" s="2"/>
      <c r="T1065" s="2"/>
    </row>
    <row r="1066" spans="1:20" x14ac:dyDescent="0.25">
      <c r="A1066" s="3"/>
      <c r="B1066" s="3"/>
      <c r="C1066" s="2"/>
      <c r="D1066" s="2"/>
      <c r="E1066" s="51"/>
      <c r="F1066" s="51"/>
      <c r="G1066" s="51"/>
      <c r="H1066" s="51"/>
      <c r="I1066" s="2"/>
      <c r="J1066" s="2"/>
      <c r="K1066" s="2"/>
      <c r="L1066" s="2"/>
      <c r="M1066" s="2"/>
      <c r="N1066" s="2"/>
      <c r="O1066" s="2"/>
      <c r="P1066" s="53"/>
      <c r="Q1066" s="53"/>
      <c r="R1066" s="2"/>
      <c r="S1066" s="2"/>
      <c r="T1066" s="2"/>
    </row>
    <row r="1067" spans="1:20" x14ac:dyDescent="0.25">
      <c r="A1067" s="3"/>
      <c r="B1067" s="3"/>
      <c r="C1067" s="2"/>
      <c r="D1067" s="2"/>
      <c r="E1067" s="51"/>
      <c r="F1067" s="51"/>
      <c r="G1067" s="51"/>
      <c r="H1067" s="51"/>
      <c r="I1067" s="2"/>
      <c r="J1067" s="2"/>
      <c r="K1067" s="2"/>
      <c r="L1067" s="2"/>
      <c r="M1067" s="2"/>
      <c r="N1067" s="2"/>
      <c r="O1067" s="2"/>
      <c r="P1067" s="53"/>
      <c r="Q1067" s="53"/>
      <c r="R1067" s="2"/>
      <c r="S1067" s="2"/>
      <c r="T1067" s="2"/>
    </row>
    <row r="1068" spans="1:20" x14ac:dyDescent="0.25">
      <c r="A1068" s="3"/>
      <c r="B1068" s="3"/>
      <c r="C1068" s="2"/>
      <c r="D1068" s="2"/>
      <c r="E1068" s="51"/>
      <c r="F1068" s="51"/>
      <c r="G1068" s="51"/>
      <c r="H1068" s="51"/>
      <c r="I1068" s="2"/>
      <c r="J1068" s="2"/>
      <c r="K1068" s="2"/>
      <c r="L1068" s="2"/>
      <c r="M1068" s="2"/>
      <c r="N1068" s="2"/>
      <c r="O1068" s="2"/>
      <c r="P1068" s="53"/>
      <c r="Q1068" s="53"/>
      <c r="R1068" s="2"/>
      <c r="S1068" s="2"/>
      <c r="T1068" s="2"/>
    </row>
    <row r="1069" spans="1:20" x14ac:dyDescent="0.25">
      <c r="A1069" s="3"/>
      <c r="B1069" s="3"/>
      <c r="C1069" s="2"/>
      <c r="D1069" s="2"/>
      <c r="E1069" s="51"/>
      <c r="F1069" s="51"/>
      <c r="G1069" s="51"/>
      <c r="H1069" s="51"/>
      <c r="I1069" s="2"/>
      <c r="J1069" s="2"/>
      <c r="K1069" s="2"/>
      <c r="L1069" s="2"/>
      <c r="M1069" s="2"/>
      <c r="N1069" s="2"/>
      <c r="O1069" s="2"/>
      <c r="P1069" s="53"/>
      <c r="Q1069" s="53"/>
      <c r="R1069" s="2"/>
      <c r="S1069" s="2"/>
      <c r="T1069" s="2"/>
    </row>
    <row r="1070" spans="1:20" x14ac:dyDescent="0.25">
      <c r="A1070" s="3"/>
      <c r="B1070" s="3"/>
      <c r="C1070" s="2"/>
      <c r="D1070" s="2"/>
      <c r="E1070" s="51"/>
      <c r="F1070" s="51"/>
      <c r="G1070" s="51"/>
      <c r="H1070" s="51"/>
      <c r="I1070" s="2"/>
      <c r="J1070" s="2"/>
      <c r="K1070" s="2"/>
      <c r="L1070" s="2"/>
      <c r="M1070" s="2"/>
      <c r="N1070" s="2"/>
      <c r="O1070" s="2"/>
      <c r="P1070" s="53"/>
      <c r="Q1070" s="53"/>
      <c r="R1070" s="2"/>
      <c r="S1070" s="2"/>
      <c r="T1070" s="2"/>
    </row>
    <row r="1071" spans="1:20" x14ac:dyDescent="0.25">
      <c r="A1071" s="3"/>
      <c r="B1071" s="3"/>
      <c r="C1071" s="2"/>
      <c r="D1071" s="2"/>
      <c r="E1071" s="51"/>
      <c r="F1071" s="51"/>
      <c r="G1071" s="51"/>
      <c r="H1071" s="51"/>
      <c r="I1071" s="2"/>
      <c r="J1071" s="2"/>
      <c r="K1071" s="2"/>
      <c r="L1071" s="2"/>
      <c r="M1071" s="2"/>
      <c r="N1071" s="2"/>
      <c r="O1071" s="2"/>
      <c r="P1071" s="53"/>
      <c r="Q1071" s="53"/>
      <c r="R1071" s="2"/>
      <c r="S1071" s="2"/>
      <c r="T1071" s="2"/>
    </row>
    <row r="1072" spans="1:20" x14ac:dyDescent="0.25">
      <c r="A1072" s="3"/>
      <c r="B1072" s="3"/>
      <c r="C1072" s="2"/>
      <c r="D1072" s="2"/>
      <c r="E1072" s="51"/>
      <c r="F1072" s="51"/>
      <c r="G1072" s="51"/>
      <c r="H1072" s="51"/>
      <c r="I1072" s="2"/>
      <c r="J1072" s="2"/>
      <c r="K1072" s="2"/>
      <c r="L1072" s="2"/>
      <c r="M1072" s="2"/>
      <c r="N1072" s="2"/>
      <c r="O1072" s="2"/>
      <c r="P1072" s="53"/>
      <c r="Q1072" s="53"/>
      <c r="R1072" s="2"/>
      <c r="S1072" s="2"/>
      <c r="T1072" s="2"/>
    </row>
    <row r="1073" spans="1:20" x14ac:dyDescent="0.25">
      <c r="A1073" s="3"/>
      <c r="B1073" s="3"/>
      <c r="C1073" s="2"/>
      <c r="D1073" s="2"/>
      <c r="E1073" s="51"/>
      <c r="F1073" s="51"/>
      <c r="G1073" s="51"/>
      <c r="H1073" s="51"/>
      <c r="I1073" s="2"/>
      <c r="J1073" s="2"/>
      <c r="K1073" s="2"/>
      <c r="L1073" s="2"/>
      <c r="M1073" s="2"/>
      <c r="N1073" s="2"/>
      <c r="O1073" s="2"/>
      <c r="P1073" s="53"/>
      <c r="Q1073" s="53"/>
      <c r="R1073" s="2"/>
      <c r="S1073" s="2"/>
      <c r="T1073" s="2"/>
    </row>
    <row r="1074" spans="1:20" x14ac:dyDescent="0.25">
      <c r="A1074" s="3"/>
      <c r="B1074" s="3"/>
      <c r="C1074" s="2"/>
      <c r="D1074" s="2"/>
      <c r="E1074" s="51"/>
      <c r="F1074" s="51"/>
      <c r="G1074" s="51"/>
      <c r="H1074" s="51"/>
      <c r="I1074" s="2"/>
      <c r="J1074" s="2"/>
      <c r="K1074" s="2"/>
      <c r="L1074" s="2"/>
      <c r="M1074" s="2"/>
      <c r="N1074" s="2"/>
      <c r="O1074" s="2"/>
      <c r="P1074" s="53"/>
      <c r="Q1074" s="53"/>
      <c r="R1074" s="2"/>
      <c r="S1074" s="2"/>
      <c r="T1074" s="2"/>
    </row>
    <row r="1075" spans="1:20" x14ac:dyDescent="0.25">
      <c r="A1075" s="3"/>
      <c r="B1075" s="3"/>
      <c r="C1075" s="2"/>
      <c r="D1075" s="2"/>
      <c r="E1075" s="51"/>
      <c r="F1075" s="51"/>
      <c r="G1075" s="51"/>
      <c r="H1075" s="51"/>
      <c r="I1075" s="2"/>
      <c r="J1075" s="2"/>
      <c r="K1075" s="2"/>
      <c r="L1075" s="2"/>
      <c r="M1075" s="2"/>
      <c r="N1075" s="2"/>
      <c r="O1075" s="2"/>
      <c r="P1075" s="53"/>
      <c r="Q1075" s="53"/>
      <c r="R1075" s="2"/>
      <c r="S1075" s="2"/>
      <c r="T1075" s="2"/>
    </row>
    <row r="1076" spans="1:20" x14ac:dyDescent="0.25">
      <c r="A1076" s="3"/>
      <c r="B1076" s="3"/>
      <c r="C1076" s="2"/>
      <c r="D1076" s="2"/>
      <c r="E1076" s="51"/>
      <c r="F1076" s="51"/>
      <c r="G1076" s="51"/>
      <c r="H1076" s="51"/>
      <c r="I1076" s="2"/>
      <c r="J1076" s="2"/>
      <c r="K1076" s="2"/>
      <c r="L1076" s="2"/>
      <c r="M1076" s="2"/>
      <c r="N1076" s="2"/>
      <c r="O1076" s="2"/>
      <c r="P1076" s="53"/>
      <c r="Q1076" s="53"/>
      <c r="R1076" s="2"/>
      <c r="S1076" s="2"/>
      <c r="T1076" s="2"/>
    </row>
    <row r="1077" spans="1:20" x14ac:dyDescent="0.25">
      <c r="A1077" s="3"/>
      <c r="B1077" s="3"/>
      <c r="C1077" s="2"/>
      <c r="D1077" s="2"/>
      <c r="E1077" s="51"/>
      <c r="F1077" s="51"/>
      <c r="G1077" s="51"/>
      <c r="H1077" s="51"/>
      <c r="I1077" s="2"/>
      <c r="J1077" s="2"/>
      <c r="K1077" s="2"/>
      <c r="L1077" s="2"/>
      <c r="M1077" s="2"/>
      <c r="N1077" s="2"/>
      <c r="O1077" s="2"/>
      <c r="P1077" s="53"/>
      <c r="Q1077" s="53"/>
      <c r="R1077" s="2"/>
      <c r="S1077" s="2"/>
      <c r="T1077" s="2"/>
    </row>
    <row r="1078" spans="1:20" x14ac:dyDescent="0.25">
      <c r="A1078" s="3"/>
      <c r="B1078" s="3"/>
      <c r="C1078" s="2"/>
      <c r="D1078" s="2"/>
      <c r="E1078" s="51"/>
      <c r="F1078" s="51"/>
      <c r="G1078" s="51"/>
      <c r="H1078" s="51"/>
      <c r="I1078" s="2"/>
      <c r="J1078" s="2"/>
      <c r="K1078" s="2"/>
      <c r="L1078" s="2"/>
      <c r="M1078" s="2"/>
      <c r="N1078" s="2"/>
      <c r="O1078" s="2"/>
      <c r="P1078" s="53"/>
      <c r="Q1078" s="53"/>
      <c r="R1078" s="2"/>
      <c r="S1078" s="2"/>
      <c r="T1078" s="2"/>
    </row>
    <row r="1079" spans="1:20" x14ac:dyDescent="0.25">
      <c r="A1079" s="3"/>
      <c r="B1079" s="3"/>
      <c r="C1079" s="2"/>
      <c r="D1079" s="2"/>
      <c r="E1079" s="51"/>
      <c r="F1079" s="51"/>
      <c r="G1079" s="51"/>
      <c r="H1079" s="51"/>
      <c r="I1079" s="2"/>
      <c r="J1079" s="2"/>
      <c r="K1079" s="2"/>
      <c r="L1079" s="2"/>
      <c r="M1079" s="2"/>
      <c r="N1079" s="2"/>
      <c r="O1079" s="2"/>
      <c r="P1079" s="53"/>
      <c r="Q1079" s="53"/>
      <c r="R1079" s="2"/>
      <c r="S1079" s="2"/>
      <c r="T1079" s="2"/>
    </row>
    <row r="1080" spans="1:20" x14ac:dyDescent="0.25">
      <c r="A1080" s="3"/>
      <c r="B1080" s="3"/>
      <c r="C1080" s="2"/>
      <c r="D1080" s="2"/>
      <c r="E1080" s="51"/>
      <c r="F1080" s="51"/>
      <c r="G1080" s="51"/>
      <c r="H1080" s="51"/>
      <c r="I1080" s="2"/>
      <c r="J1080" s="2"/>
      <c r="K1080" s="2"/>
      <c r="L1080" s="2"/>
      <c r="M1080" s="2"/>
      <c r="N1080" s="2"/>
      <c r="O1080" s="2"/>
      <c r="P1080" s="53"/>
      <c r="Q1080" s="53"/>
      <c r="R1080" s="2"/>
      <c r="S1080" s="2"/>
      <c r="T1080" s="2"/>
    </row>
    <row r="1081" spans="1:20" x14ac:dyDescent="0.25">
      <c r="A1081" s="3"/>
      <c r="B1081" s="3"/>
      <c r="C1081" s="2"/>
      <c r="D1081" s="2"/>
      <c r="E1081" s="51"/>
      <c r="F1081" s="51"/>
      <c r="G1081" s="51"/>
      <c r="H1081" s="51"/>
      <c r="I1081" s="2"/>
      <c r="J1081" s="2"/>
      <c r="K1081" s="2"/>
      <c r="L1081" s="2"/>
      <c r="M1081" s="2"/>
      <c r="N1081" s="2"/>
      <c r="O1081" s="2"/>
      <c r="P1081" s="53"/>
      <c r="Q1081" s="53"/>
      <c r="R1081" s="2"/>
      <c r="S1081" s="2"/>
      <c r="T1081" s="2"/>
    </row>
    <row r="1082" spans="1:20" x14ac:dyDescent="0.25">
      <c r="A1082" s="3"/>
      <c r="B1082" s="3"/>
      <c r="C1082" s="2"/>
      <c r="D1082" s="2"/>
      <c r="E1082" s="51"/>
      <c r="F1082" s="51"/>
      <c r="G1082" s="51"/>
      <c r="H1082" s="51"/>
      <c r="I1082" s="2"/>
      <c r="J1082" s="2"/>
      <c r="K1082" s="2"/>
      <c r="L1082" s="2"/>
      <c r="M1082" s="2"/>
      <c r="N1082" s="2"/>
      <c r="O1082" s="2"/>
      <c r="P1082" s="53"/>
      <c r="Q1082" s="53"/>
      <c r="R1082" s="2"/>
      <c r="S1082" s="2"/>
      <c r="T1082" s="2"/>
    </row>
    <row r="1083" spans="1:20" x14ac:dyDescent="0.25">
      <c r="A1083" s="3"/>
      <c r="B1083" s="3"/>
      <c r="C1083" s="2"/>
      <c r="D1083" s="2"/>
      <c r="E1083" s="51"/>
      <c r="F1083" s="51"/>
      <c r="G1083" s="51"/>
      <c r="H1083" s="51"/>
      <c r="I1083" s="2"/>
      <c r="J1083" s="2"/>
      <c r="K1083" s="2"/>
      <c r="L1083" s="2"/>
      <c r="M1083" s="2"/>
      <c r="N1083" s="2"/>
      <c r="O1083" s="2"/>
      <c r="P1083" s="53"/>
      <c r="Q1083" s="53"/>
      <c r="R1083" s="2"/>
      <c r="S1083" s="2"/>
      <c r="T1083" s="2"/>
    </row>
    <row r="1084" spans="1:20" x14ac:dyDescent="0.25">
      <c r="A1084" s="3"/>
      <c r="B1084" s="3"/>
      <c r="C1084" s="2"/>
      <c r="D1084" s="2"/>
      <c r="E1084" s="51"/>
      <c r="F1084" s="51"/>
      <c r="G1084" s="51"/>
      <c r="H1084" s="51"/>
      <c r="I1084" s="2"/>
      <c r="J1084" s="2"/>
      <c r="K1084" s="2"/>
      <c r="L1084" s="2"/>
      <c r="M1084" s="2"/>
      <c r="N1084" s="2"/>
      <c r="O1084" s="2"/>
      <c r="P1084" s="53"/>
      <c r="Q1084" s="53"/>
      <c r="R1084" s="2"/>
      <c r="S1084" s="2"/>
      <c r="T1084" s="2"/>
    </row>
    <row r="1085" spans="1:20" x14ac:dyDescent="0.25">
      <c r="A1085" s="3"/>
      <c r="B1085" s="3"/>
      <c r="C1085" s="2"/>
      <c r="D1085" s="2"/>
      <c r="E1085" s="51"/>
      <c r="F1085" s="51"/>
      <c r="G1085" s="51"/>
      <c r="H1085" s="51"/>
      <c r="I1085" s="2"/>
      <c r="J1085" s="2"/>
      <c r="K1085" s="2"/>
      <c r="L1085" s="2"/>
      <c r="M1085" s="2"/>
      <c r="N1085" s="2"/>
      <c r="O1085" s="2"/>
      <c r="P1085" s="53"/>
      <c r="Q1085" s="53"/>
      <c r="R1085" s="2"/>
      <c r="S1085" s="2"/>
      <c r="T1085" s="2"/>
    </row>
    <row r="1086" spans="1:20" x14ac:dyDescent="0.25">
      <c r="A1086" s="3"/>
      <c r="B1086" s="3"/>
      <c r="C1086" s="2"/>
      <c r="D1086" s="2"/>
      <c r="E1086" s="51"/>
      <c r="F1086" s="51"/>
      <c r="G1086" s="51"/>
      <c r="H1086" s="51"/>
      <c r="I1086" s="2"/>
      <c r="J1086" s="2"/>
      <c r="K1086" s="2"/>
      <c r="L1086" s="2"/>
      <c r="M1086" s="2"/>
      <c r="N1086" s="2"/>
      <c r="O1086" s="2"/>
      <c r="P1086" s="53"/>
      <c r="Q1086" s="53"/>
      <c r="R1086" s="2"/>
      <c r="S1086" s="2"/>
      <c r="T1086" s="2"/>
    </row>
    <row r="1087" spans="1:20" x14ac:dyDescent="0.25">
      <c r="A1087" s="3"/>
      <c r="B1087" s="3"/>
      <c r="C1087" s="2"/>
      <c r="D1087" s="2"/>
      <c r="E1087" s="51"/>
      <c r="F1087" s="51"/>
      <c r="G1087" s="51"/>
      <c r="H1087" s="51"/>
      <c r="I1087" s="2"/>
      <c r="J1087" s="2"/>
      <c r="K1087" s="2"/>
      <c r="L1087" s="2"/>
      <c r="M1087" s="2"/>
      <c r="N1087" s="2"/>
      <c r="O1087" s="2"/>
      <c r="P1087" s="53"/>
      <c r="Q1087" s="53"/>
      <c r="R1087" s="2"/>
      <c r="S1087" s="2"/>
      <c r="T1087" s="2"/>
    </row>
    <row r="1088" spans="1:20" x14ac:dyDescent="0.25">
      <c r="A1088" s="3"/>
      <c r="B1088" s="3"/>
      <c r="C1088" s="2"/>
      <c r="D1088" s="2"/>
      <c r="E1088" s="51"/>
      <c r="F1088" s="51"/>
      <c r="G1088" s="51"/>
      <c r="H1088" s="51"/>
      <c r="I1088" s="2"/>
      <c r="J1088" s="2"/>
      <c r="K1088" s="2"/>
      <c r="L1088" s="2"/>
      <c r="M1088" s="2"/>
      <c r="N1088" s="2"/>
      <c r="O1088" s="2"/>
      <c r="P1088" s="53"/>
      <c r="Q1088" s="53"/>
      <c r="R1088" s="2"/>
      <c r="S1088" s="2"/>
      <c r="T1088" s="2"/>
    </row>
    <row r="1089" spans="1:20" x14ac:dyDescent="0.25">
      <c r="A1089" s="3"/>
      <c r="B1089" s="3"/>
      <c r="C1089" s="2"/>
      <c r="D1089" s="2"/>
      <c r="E1089" s="51"/>
      <c r="F1089" s="51"/>
      <c r="G1089" s="51"/>
      <c r="H1089" s="51"/>
      <c r="I1089" s="2"/>
      <c r="J1089" s="2"/>
      <c r="K1089" s="2"/>
      <c r="L1089" s="2"/>
      <c r="M1089" s="2"/>
      <c r="N1089" s="2"/>
      <c r="O1089" s="2"/>
      <c r="P1089" s="53"/>
      <c r="Q1089" s="53"/>
      <c r="R1089" s="2"/>
      <c r="S1089" s="2"/>
      <c r="T1089" s="2"/>
    </row>
    <row r="1090" spans="1:20" x14ac:dyDescent="0.25">
      <c r="A1090" s="3"/>
      <c r="B1090" s="3"/>
      <c r="C1090" s="2"/>
      <c r="D1090" s="2"/>
      <c r="E1090" s="51"/>
      <c r="F1090" s="51"/>
      <c r="G1090" s="51"/>
      <c r="H1090" s="51"/>
      <c r="I1090" s="2"/>
      <c r="J1090" s="2"/>
      <c r="K1090" s="2"/>
      <c r="L1090" s="2"/>
      <c r="M1090" s="2"/>
      <c r="N1090" s="2"/>
      <c r="O1090" s="2"/>
      <c r="P1090" s="53"/>
      <c r="Q1090" s="53"/>
      <c r="R1090" s="2"/>
      <c r="S1090" s="2"/>
      <c r="T1090" s="2"/>
    </row>
    <row r="1091" spans="1:20" x14ac:dyDescent="0.25">
      <c r="A1091" s="3"/>
      <c r="B1091" s="3"/>
      <c r="C1091" s="2"/>
      <c r="D1091" s="2"/>
      <c r="E1091" s="51"/>
      <c r="F1091" s="51"/>
      <c r="G1091" s="51"/>
      <c r="H1091" s="51"/>
      <c r="I1091" s="2"/>
      <c r="J1091" s="2"/>
      <c r="K1091" s="2"/>
      <c r="L1091" s="2"/>
      <c r="M1091" s="2"/>
      <c r="N1091" s="2"/>
      <c r="O1091" s="2"/>
      <c r="P1091" s="53"/>
      <c r="Q1091" s="53"/>
      <c r="R1091" s="2"/>
      <c r="S1091" s="2"/>
      <c r="T1091" s="2"/>
    </row>
    <row r="1092" spans="1:20" x14ac:dyDescent="0.25">
      <c r="A1092" s="3"/>
      <c r="B1092" s="3"/>
      <c r="C1092" s="2"/>
      <c r="D1092" s="2"/>
      <c r="E1092" s="51"/>
      <c r="F1092" s="51"/>
      <c r="G1092" s="51"/>
      <c r="H1092" s="51"/>
      <c r="I1092" s="2"/>
      <c r="J1092" s="2"/>
      <c r="K1092" s="2"/>
      <c r="L1092" s="2"/>
      <c r="M1092" s="2"/>
      <c r="N1092" s="2"/>
      <c r="O1092" s="2"/>
      <c r="P1092" s="53"/>
      <c r="Q1092" s="53"/>
      <c r="R1092" s="2"/>
      <c r="S1092" s="2"/>
      <c r="T1092" s="2"/>
    </row>
    <row r="1093" spans="1:20" x14ac:dyDescent="0.25">
      <c r="A1093" s="3"/>
      <c r="B1093" s="3"/>
      <c r="C1093" s="2"/>
      <c r="D1093" s="2"/>
      <c r="E1093" s="51"/>
      <c r="F1093" s="51"/>
      <c r="G1093" s="51"/>
      <c r="H1093" s="51"/>
      <c r="I1093" s="2"/>
      <c r="J1093" s="2"/>
      <c r="K1093" s="2"/>
      <c r="L1093" s="2"/>
      <c r="M1093" s="2"/>
      <c r="N1093" s="2"/>
      <c r="O1093" s="2"/>
      <c r="P1093" s="53"/>
      <c r="Q1093" s="53"/>
      <c r="R1093" s="2"/>
      <c r="S1093" s="2"/>
      <c r="T1093" s="2"/>
    </row>
    <row r="1094" spans="1:20" x14ac:dyDescent="0.25">
      <c r="A1094" s="3"/>
      <c r="B1094" s="3"/>
      <c r="C1094" s="2"/>
      <c r="D1094" s="2"/>
      <c r="E1094" s="51"/>
      <c r="F1094" s="51"/>
      <c r="G1094" s="51"/>
      <c r="H1094" s="51"/>
      <c r="I1094" s="2"/>
      <c r="J1094" s="2"/>
      <c r="K1094" s="2"/>
      <c r="L1094" s="2"/>
      <c r="M1094" s="2"/>
      <c r="N1094" s="2"/>
      <c r="O1094" s="2"/>
      <c r="P1094" s="53"/>
      <c r="Q1094" s="53"/>
      <c r="R1094" s="2"/>
      <c r="S1094" s="2"/>
      <c r="T1094" s="2"/>
    </row>
    <row r="1095" spans="1:20" x14ac:dyDescent="0.25">
      <c r="A1095" s="3"/>
      <c r="B1095" s="3"/>
      <c r="C1095" s="2"/>
      <c r="D1095" s="2"/>
      <c r="E1095" s="51"/>
      <c r="F1095" s="51"/>
      <c r="G1095" s="51"/>
      <c r="H1095" s="51"/>
      <c r="I1095" s="2"/>
      <c r="J1095" s="2"/>
      <c r="K1095" s="2"/>
      <c r="L1095" s="2"/>
      <c r="M1095" s="2"/>
      <c r="N1095" s="2"/>
      <c r="O1095" s="2"/>
      <c r="P1095" s="53"/>
      <c r="Q1095" s="53"/>
      <c r="R1095" s="2"/>
      <c r="S1095" s="2"/>
      <c r="T1095" s="2"/>
    </row>
    <row r="1096" spans="1:20" x14ac:dyDescent="0.25">
      <c r="A1096" s="3"/>
      <c r="B1096" s="3"/>
      <c r="C1096" s="2"/>
      <c r="D1096" s="2"/>
      <c r="E1096" s="51"/>
      <c r="F1096" s="51"/>
      <c r="G1096" s="51"/>
      <c r="H1096" s="51"/>
      <c r="I1096" s="2"/>
      <c r="J1096" s="2"/>
      <c r="K1096" s="2"/>
      <c r="L1096" s="2"/>
      <c r="M1096" s="2"/>
      <c r="N1096" s="2"/>
      <c r="O1096" s="2"/>
      <c r="P1096" s="53"/>
      <c r="Q1096" s="53"/>
      <c r="R1096" s="2"/>
      <c r="S1096" s="2"/>
      <c r="T1096" s="2"/>
    </row>
    <row r="1097" spans="1:20" x14ac:dyDescent="0.25">
      <c r="A1097" s="3"/>
      <c r="B1097" s="3"/>
      <c r="C1097" s="2"/>
      <c r="D1097" s="2"/>
      <c r="E1097" s="51"/>
      <c r="F1097" s="51"/>
      <c r="G1097" s="51"/>
      <c r="H1097" s="51"/>
      <c r="I1097" s="2"/>
      <c r="J1097" s="2"/>
      <c r="K1097" s="2"/>
      <c r="L1097" s="2"/>
      <c r="M1097" s="2"/>
      <c r="N1097" s="2"/>
      <c r="O1097" s="2"/>
      <c r="P1097" s="53"/>
      <c r="Q1097" s="53"/>
      <c r="R1097" s="2"/>
      <c r="S1097" s="2"/>
      <c r="T1097" s="2"/>
    </row>
    <row r="1098" spans="1:20" x14ac:dyDescent="0.25">
      <c r="A1098" s="3"/>
      <c r="B1098" s="3"/>
      <c r="C1098" s="2"/>
      <c r="D1098" s="2"/>
      <c r="E1098" s="51"/>
      <c r="F1098" s="51"/>
      <c r="G1098" s="51"/>
      <c r="H1098" s="51"/>
      <c r="I1098" s="2"/>
      <c r="J1098" s="2"/>
      <c r="K1098" s="2"/>
      <c r="L1098" s="2"/>
      <c r="M1098" s="2"/>
      <c r="N1098" s="2"/>
      <c r="O1098" s="2"/>
      <c r="P1098" s="53"/>
      <c r="Q1098" s="53"/>
      <c r="R1098" s="2"/>
      <c r="S1098" s="2"/>
      <c r="T1098" s="2"/>
    </row>
    <row r="1099" spans="1:20" x14ac:dyDescent="0.25">
      <c r="A1099" s="3"/>
      <c r="B1099" s="3"/>
      <c r="C1099" s="2"/>
      <c r="D1099" s="2"/>
      <c r="E1099" s="51"/>
      <c r="F1099" s="51"/>
      <c r="G1099" s="51"/>
      <c r="H1099" s="51"/>
      <c r="I1099" s="2"/>
      <c r="J1099" s="2"/>
      <c r="K1099" s="2"/>
      <c r="L1099" s="2"/>
      <c r="M1099" s="2"/>
      <c r="N1099" s="2"/>
      <c r="O1099" s="2"/>
      <c r="P1099" s="53"/>
      <c r="Q1099" s="53"/>
      <c r="R1099" s="2"/>
      <c r="S1099" s="2"/>
      <c r="T1099" s="2"/>
    </row>
    <row r="1100" spans="1:20" x14ac:dyDescent="0.25">
      <c r="A1100" s="3"/>
      <c r="B1100" s="3"/>
      <c r="C1100" s="2"/>
      <c r="D1100" s="2"/>
      <c r="E1100" s="51"/>
      <c r="F1100" s="51"/>
      <c r="G1100" s="51"/>
      <c r="H1100" s="51"/>
      <c r="I1100" s="2"/>
      <c r="J1100" s="2"/>
      <c r="K1100" s="2"/>
      <c r="L1100" s="2"/>
      <c r="M1100" s="2"/>
      <c r="N1100" s="2"/>
      <c r="O1100" s="2"/>
      <c r="P1100" s="53"/>
      <c r="Q1100" s="53"/>
      <c r="R1100" s="2"/>
      <c r="S1100" s="2"/>
      <c r="T1100" s="2"/>
    </row>
    <row r="1101" spans="1:20" x14ac:dyDescent="0.25">
      <c r="A1101" s="3"/>
      <c r="B1101" s="3"/>
      <c r="C1101" s="2"/>
      <c r="D1101" s="2"/>
      <c r="E1101" s="51"/>
      <c r="F1101" s="51"/>
      <c r="G1101" s="51"/>
      <c r="H1101" s="51"/>
      <c r="I1101" s="2"/>
      <c r="J1101" s="2"/>
      <c r="K1101" s="2"/>
      <c r="L1101" s="2"/>
      <c r="M1101" s="2"/>
      <c r="N1101" s="2"/>
      <c r="O1101" s="2"/>
      <c r="P1101" s="53"/>
      <c r="Q1101" s="53"/>
      <c r="R1101" s="2"/>
      <c r="S1101" s="2"/>
      <c r="T1101" s="2"/>
    </row>
    <row r="1102" spans="1:20" x14ac:dyDescent="0.25">
      <c r="A1102" s="3"/>
      <c r="B1102" s="3"/>
      <c r="C1102" s="2"/>
      <c r="D1102" s="2"/>
      <c r="E1102" s="51"/>
      <c r="F1102" s="51"/>
      <c r="G1102" s="51"/>
      <c r="H1102" s="51"/>
      <c r="I1102" s="2"/>
      <c r="J1102" s="2"/>
      <c r="K1102" s="2"/>
      <c r="L1102" s="2"/>
      <c r="M1102" s="2"/>
      <c r="N1102" s="2"/>
      <c r="O1102" s="2"/>
      <c r="P1102" s="53"/>
      <c r="Q1102" s="53"/>
      <c r="R1102" s="2"/>
      <c r="S1102" s="2"/>
      <c r="T1102" s="2"/>
    </row>
    <row r="1103" spans="1:20" x14ac:dyDescent="0.25">
      <c r="A1103" s="3"/>
      <c r="B1103" s="3"/>
      <c r="C1103" s="2"/>
      <c r="D1103" s="2"/>
      <c r="E1103" s="51"/>
      <c r="F1103" s="51"/>
      <c r="G1103" s="51"/>
      <c r="H1103" s="51"/>
      <c r="I1103" s="2"/>
      <c r="J1103" s="2"/>
      <c r="K1103" s="2"/>
      <c r="L1103" s="2"/>
      <c r="M1103" s="2"/>
      <c r="N1103" s="2"/>
      <c r="O1103" s="2"/>
      <c r="P1103" s="53"/>
      <c r="Q1103" s="53"/>
      <c r="R1103" s="2"/>
      <c r="S1103" s="2"/>
      <c r="T1103" s="2"/>
    </row>
    <row r="1104" spans="1:20" x14ac:dyDescent="0.25">
      <c r="A1104" s="3"/>
      <c r="B1104" s="3"/>
      <c r="C1104" s="2"/>
      <c r="D1104" s="2"/>
      <c r="E1104" s="51"/>
      <c r="F1104" s="51"/>
      <c r="G1104" s="51"/>
      <c r="H1104" s="51"/>
      <c r="I1104" s="2"/>
      <c r="J1104" s="2"/>
      <c r="K1104" s="2"/>
      <c r="L1104" s="2"/>
      <c r="M1104" s="2"/>
      <c r="N1104" s="2"/>
      <c r="O1104" s="2"/>
      <c r="P1104" s="53"/>
      <c r="Q1104" s="53"/>
      <c r="R1104" s="2"/>
      <c r="S1104" s="2"/>
      <c r="T1104" s="2"/>
    </row>
    <row r="1105" spans="1:20" x14ac:dyDescent="0.25">
      <c r="A1105" s="3"/>
      <c r="B1105" s="3"/>
      <c r="C1105" s="2"/>
      <c r="D1105" s="2"/>
      <c r="E1105" s="51"/>
      <c r="F1105" s="51"/>
      <c r="G1105" s="51"/>
      <c r="H1105" s="51"/>
      <c r="I1105" s="2"/>
      <c r="J1105" s="2"/>
      <c r="K1105" s="2"/>
      <c r="L1105" s="2"/>
      <c r="M1105" s="2"/>
      <c r="N1105" s="2"/>
      <c r="O1105" s="2"/>
      <c r="P1105" s="53"/>
      <c r="Q1105" s="53"/>
      <c r="R1105" s="2"/>
      <c r="S1105" s="2"/>
      <c r="T1105" s="2"/>
    </row>
    <row r="1106" spans="1:20" x14ac:dyDescent="0.25">
      <c r="A1106" s="3"/>
      <c r="B1106" s="3"/>
      <c r="C1106" s="2"/>
      <c r="D1106" s="2"/>
      <c r="E1106" s="51"/>
      <c r="F1106" s="51"/>
      <c r="G1106" s="51"/>
      <c r="H1106" s="51"/>
      <c r="I1106" s="2"/>
      <c r="J1106" s="2"/>
      <c r="K1106" s="2"/>
      <c r="L1106" s="2"/>
      <c r="M1106" s="2"/>
      <c r="N1106" s="2"/>
      <c r="O1106" s="2"/>
      <c r="P1106" s="53"/>
      <c r="Q1106" s="53"/>
      <c r="R1106" s="2"/>
      <c r="S1106" s="2"/>
      <c r="T1106" s="2"/>
    </row>
    <row r="1107" spans="1:20" x14ac:dyDescent="0.25">
      <c r="A1107" s="3"/>
      <c r="B1107" s="3"/>
      <c r="C1107" s="2"/>
      <c r="D1107" s="2"/>
      <c r="E1107" s="51"/>
      <c r="F1107" s="51"/>
      <c r="G1107" s="51"/>
      <c r="H1107" s="51"/>
      <c r="I1107" s="2"/>
      <c r="J1107" s="2"/>
      <c r="K1107" s="2"/>
      <c r="L1107" s="2"/>
      <c r="M1107" s="2"/>
      <c r="N1107" s="2"/>
      <c r="O1107" s="2"/>
      <c r="P1107" s="53"/>
      <c r="Q1107" s="53"/>
      <c r="R1107" s="2"/>
      <c r="S1107" s="2"/>
      <c r="T1107" s="2"/>
    </row>
    <row r="1108" spans="1:20" x14ac:dyDescent="0.25">
      <c r="A1108" s="3"/>
      <c r="B1108" s="3"/>
      <c r="C1108" s="2"/>
      <c r="D1108" s="2"/>
      <c r="E1108" s="51"/>
      <c r="F1108" s="51"/>
      <c r="G1108" s="51"/>
      <c r="H1108" s="51"/>
      <c r="I1108" s="2"/>
      <c r="J1108" s="2"/>
      <c r="K1108" s="2"/>
      <c r="L1108" s="2"/>
      <c r="M1108" s="2"/>
      <c r="N1108" s="2"/>
      <c r="O1108" s="2"/>
      <c r="P1108" s="53"/>
      <c r="Q1108" s="53"/>
      <c r="R1108" s="2"/>
      <c r="S1108" s="2"/>
      <c r="T1108" s="2"/>
    </row>
    <row r="1109" spans="1:20" x14ac:dyDescent="0.25">
      <c r="A1109" s="3"/>
      <c r="B1109" s="3"/>
      <c r="C1109" s="2"/>
      <c r="D1109" s="2"/>
      <c r="E1109" s="51"/>
      <c r="F1109" s="51"/>
      <c r="G1109" s="51"/>
      <c r="H1109" s="51"/>
      <c r="I1109" s="2"/>
      <c r="J1109" s="2"/>
      <c r="K1109" s="2"/>
      <c r="L1109" s="2"/>
      <c r="M1109" s="2"/>
      <c r="N1109" s="2"/>
      <c r="O1109" s="2"/>
      <c r="P1109" s="53"/>
      <c r="Q1109" s="53"/>
      <c r="R1109" s="2"/>
      <c r="S1109" s="2"/>
      <c r="T1109" s="2"/>
    </row>
    <row r="1110" spans="1:20" x14ac:dyDescent="0.25">
      <c r="A1110" s="3"/>
      <c r="B1110" s="3"/>
      <c r="C1110" s="2"/>
      <c r="D1110" s="2"/>
      <c r="E1110" s="51"/>
      <c r="F1110" s="51"/>
      <c r="G1110" s="51"/>
      <c r="H1110" s="51"/>
      <c r="I1110" s="2"/>
      <c r="J1110" s="2"/>
      <c r="K1110" s="2"/>
      <c r="L1110" s="2"/>
      <c r="M1110" s="2"/>
      <c r="N1110" s="2"/>
      <c r="O1110" s="2"/>
      <c r="P1110" s="53"/>
      <c r="Q1110" s="53"/>
      <c r="R1110" s="2"/>
      <c r="S1110" s="2"/>
      <c r="T1110" s="2"/>
    </row>
    <row r="1111" spans="1:20" x14ac:dyDescent="0.25">
      <c r="A1111" s="3"/>
      <c r="B1111" s="3"/>
      <c r="C1111" s="2"/>
      <c r="D1111" s="2"/>
      <c r="E1111" s="51"/>
      <c r="F1111" s="51"/>
      <c r="G1111" s="51"/>
      <c r="H1111" s="51"/>
      <c r="I1111" s="2"/>
      <c r="J1111" s="2"/>
      <c r="K1111" s="2"/>
      <c r="L1111" s="2"/>
      <c r="M1111" s="2"/>
      <c r="N1111" s="2"/>
      <c r="O1111" s="2"/>
      <c r="P1111" s="53"/>
      <c r="Q1111" s="53"/>
      <c r="R1111" s="2"/>
      <c r="S1111" s="2"/>
      <c r="T1111" s="2"/>
    </row>
    <row r="1112" spans="1:20" x14ac:dyDescent="0.25">
      <c r="A1112" s="3"/>
      <c r="B1112" s="3"/>
      <c r="C1112" s="2"/>
      <c r="D1112" s="2"/>
      <c r="E1112" s="51"/>
      <c r="F1112" s="51"/>
      <c r="G1112" s="51"/>
      <c r="H1112" s="51"/>
      <c r="I1112" s="2"/>
      <c r="J1112" s="2"/>
      <c r="K1112" s="2"/>
      <c r="L1112" s="2"/>
      <c r="M1112" s="2"/>
      <c r="N1112" s="2"/>
      <c r="O1112" s="2"/>
      <c r="P1112" s="53"/>
      <c r="Q1112" s="53"/>
      <c r="R1112" s="2"/>
      <c r="S1112" s="2"/>
      <c r="T1112" s="2"/>
    </row>
    <row r="1113" spans="1:20" x14ac:dyDescent="0.25">
      <c r="A1113" s="3"/>
      <c r="B1113" s="3"/>
      <c r="C1113" s="2"/>
      <c r="D1113" s="2"/>
      <c r="E1113" s="51"/>
      <c r="F1113" s="51"/>
      <c r="G1113" s="51"/>
      <c r="H1113" s="51"/>
      <c r="I1113" s="2"/>
      <c r="J1113" s="2"/>
      <c r="K1113" s="2"/>
      <c r="L1113" s="2"/>
      <c r="M1113" s="2"/>
      <c r="N1113" s="2"/>
      <c r="O1113" s="2"/>
      <c r="P1113" s="53"/>
      <c r="Q1113" s="53"/>
      <c r="R1113" s="2"/>
      <c r="S1113" s="2"/>
      <c r="T1113" s="2"/>
    </row>
    <row r="1114" spans="1:20" x14ac:dyDescent="0.25">
      <c r="A1114" s="3"/>
      <c r="B1114" s="3"/>
      <c r="C1114" s="2"/>
      <c r="D1114" s="2"/>
      <c r="E1114" s="51"/>
      <c r="F1114" s="51"/>
      <c r="G1114" s="51"/>
      <c r="H1114" s="51"/>
      <c r="I1114" s="2"/>
      <c r="J1114" s="2"/>
      <c r="K1114" s="2"/>
      <c r="L1114" s="2"/>
      <c r="M1114" s="2"/>
      <c r="N1114" s="2"/>
      <c r="O1114" s="2"/>
      <c r="P1114" s="53"/>
      <c r="Q1114" s="53"/>
      <c r="R1114" s="2"/>
      <c r="S1114" s="2"/>
      <c r="T1114" s="2"/>
    </row>
    <row r="1115" spans="1:20" x14ac:dyDescent="0.25">
      <c r="A1115" s="3"/>
      <c r="B1115" s="3"/>
      <c r="C1115" s="2"/>
      <c r="D1115" s="2"/>
      <c r="E1115" s="51"/>
      <c r="F1115" s="51"/>
      <c r="G1115" s="51"/>
      <c r="H1115" s="51"/>
      <c r="I1115" s="2"/>
      <c r="J1115" s="2"/>
      <c r="K1115" s="2"/>
      <c r="L1115" s="2"/>
      <c r="M1115" s="2"/>
      <c r="N1115" s="2"/>
      <c r="O1115" s="2"/>
      <c r="P1115" s="53"/>
      <c r="Q1115" s="53"/>
      <c r="R1115" s="2"/>
      <c r="S1115" s="2"/>
      <c r="T1115" s="2"/>
    </row>
    <row r="1116" spans="1:20" x14ac:dyDescent="0.25">
      <c r="A1116" s="3"/>
      <c r="B1116" s="3"/>
      <c r="C1116" s="2"/>
      <c r="D1116" s="2"/>
      <c r="E1116" s="51"/>
      <c r="F1116" s="51"/>
      <c r="G1116" s="51"/>
      <c r="H1116" s="51"/>
      <c r="I1116" s="2"/>
      <c r="J1116" s="2"/>
      <c r="K1116" s="2"/>
      <c r="L1116" s="2"/>
      <c r="M1116" s="2"/>
      <c r="N1116" s="2"/>
      <c r="O1116" s="2"/>
      <c r="P1116" s="53"/>
      <c r="Q1116" s="53"/>
      <c r="R1116" s="2"/>
      <c r="S1116" s="2"/>
      <c r="T1116" s="2"/>
    </row>
    <row r="1117" spans="1:20" x14ac:dyDescent="0.25">
      <c r="A1117" s="3"/>
      <c r="B1117" s="3"/>
      <c r="C1117" s="2"/>
      <c r="D1117" s="2"/>
      <c r="E1117" s="51"/>
      <c r="F1117" s="51"/>
      <c r="G1117" s="51"/>
      <c r="H1117" s="51"/>
      <c r="I1117" s="2"/>
      <c r="J1117" s="2"/>
      <c r="K1117" s="2"/>
      <c r="L1117" s="2"/>
      <c r="M1117" s="2"/>
      <c r="N1117" s="2"/>
      <c r="O1117" s="2"/>
      <c r="P1117" s="53"/>
      <c r="Q1117" s="53"/>
      <c r="R1117" s="2"/>
      <c r="S1117" s="2"/>
      <c r="T1117" s="2"/>
    </row>
    <row r="1118" spans="1:20" x14ac:dyDescent="0.25">
      <c r="A1118" s="3"/>
      <c r="B1118" s="3"/>
      <c r="C1118" s="2"/>
      <c r="D1118" s="2"/>
      <c r="E1118" s="51"/>
      <c r="F1118" s="51"/>
      <c r="G1118" s="51"/>
      <c r="H1118" s="51"/>
      <c r="I1118" s="2"/>
      <c r="J1118" s="2"/>
      <c r="K1118" s="2"/>
      <c r="L1118" s="2"/>
      <c r="M1118" s="2"/>
      <c r="N1118" s="2"/>
      <c r="O1118" s="2"/>
      <c r="P1118" s="53"/>
      <c r="Q1118" s="53"/>
      <c r="R1118" s="2"/>
      <c r="S1118" s="2"/>
      <c r="T1118" s="2"/>
    </row>
    <row r="1119" spans="1:20" x14ac:dyDescent="0.25">
      <c r="A1119" s="3"/>
      <c r="B1119" s="3"/>
      <c r="C1119" s="2"/>
      <c r="D1119" s="2"/>
      <c r="E1119" s="51"/>
      <c r="F1119" s="51"/>
      <c r="G1119" s="51"/>
      <c r="H1119" s="51"/>
      <c r="I1119" s="2"/>
      <c r="J1119" s="2"/>
      <c r="K1119" s="2"/>
      <c r="L1119" s="2"/>
      <c r="M1119" s="2"/>
      <c r="N1119" s="2"/>
      <c r="O1119" s="2"/>
      <c r="P1119" s="53"/>
      <c r="Q1119" s="53"/>
      <c r="R1119" s="2"/>
      <c r="S1119" s="2"/>
      <c r="T1119" s="2"/>
    </row>
    <row r="1120" spans="1:20" x14ac:dyDescent="0.25">
      <c r="A1120" s="3"/>
      <c r="B1120" s="3"/>
      <c r="C1120" s="2"/>
      <c r="D1120" s="2"/>
      <c r="E1120" s="51"/>
      <c r="F1120" s="51"/>
      <c r="G1120" s="51"/>
      <c r="H1120" s="51"/>
      <c r="I1120" s="2"/>
      <c r="J1120" s="2"/>
      <c r="K1120" s="2"/>
      <c r="L1120" s="2"/>
      <c r="M1120" s="2"/>
      <c r="N1120" s="2"/>
      <c r="O1120" s="2"/>
      <c r="P1120" s="53"/>
      <c r="Q1120" s="53"/>
      <c r="R1120" s="2"/>
      <c r="S1120" s="2"/>
      <c r="T1120" s="2"/>
    </row>
    <row r="1121" spans="1:20" x14ac:dyDescent="0.25">
      <c r="A1121" s="3"/>
      <c r="B1121" s="3"/>
      <c r="C1121" s="2"/>
      <c r="D1121" s="2"/>
      <c r="E1121" s="51"/>
      <c r="F1121" s="51"/>
      <c r="G1121" s="51"/>
      <c r="H1121" s="51"/>
      <c r="I1121" s="2"/>
      <c r="J1121" s="2"/>
      <c r="K1121" s="2"/>
      <c r="L1121" s="2"/>
      <c r="M1121" s="2"/>
      <c r="N1121" s="2"/>
      <c r="O1121" s="2"/>
      <c r="P1121" s="53"/>
      <c r="Q1121" s="53"/>
      <c r="R1121" s="2"/>
      <c r="S1121" s="2"/>
      <c r="T1121" s="2"/>
    </row>
    <row r="1122" spans="1:20" x14ac:dyDescent="0.25">
      <c r="A1122" s="3"/>
      <c r="B1122" s="3"/>
      <c r="C1122" s="2"/>
      <c r="D1122" s="2"/>
      <c r="E1122" s="51"/>
      <c r="F1122" s="51"/>
      <c r="G1122" s="51"/>
      <c r="H1122" s="51"/>
      <c r="I1122" s="2"/>
      <c r="J1122" s="2"/>
      <c r="K1122" s="2"/>
      <c r="L1122" s="2"/>
      <c r="M1122" s="2"/>
      <c r="N1122" s="2"/>
      <c r="O1122" s="2"/>
      <c r="P1122" s="53"/>
      <c r="Q1122" s="53"/>
      <c r="R1122" s="2"/>
      <c r="S1122" s="2"/>
      <c r="T1122" s="2"/>
    </row>
    <row r="1123" spans="1:20" x14ac:dyDescent="0.25">
      <c r="A1123" s="3"/>
      <c r="B1123" s="3"/>
      <c r="C1123" s="2"/>
      <c r="D1123" s="2"/>
      <c r="E1123" s="51"/>
      <c r="F1123" s="51"/>
      <c r="G1123" s="51"/>
      <c r="H1123" s="51"/>
      <c r="I1123" s="2"/>
      <c r="J1123" s="2"/>
      <c r="K1123" s="2"/>
      <c r="L1123" s="2"/>
      <c r="M1123" s="2"/>
      <c r="N1123" s="2"/>
      <c r="O1123" s="2"/>
      <c r="P1123" s="53"/>
      <c r="Q1123" s="53"/>
      <c r="R1123" s="2"/>
      <c r="S1123" s="2"/>
      <c r="T1123" s="2"/>
    </row>
    <row r="1124" spans="1:20" x14ac:dyDescent="0.25">
      <c r="A1124" s="3"/>
      <c r="B1124" s="3"/>
      <c r="C1124" s="2"/>
      <c r="D1124" s="2"/>
      <c r="E1124" s="51"/>
      <c r="F1124" s="51"/>
      <c r="G1124" s="51"/>
      <c r="H1124" s="51"/>
      <c r="I1124" s="2"/>
      <c r="J1124" s="2"/>
      <c r="K1124" s="2"/>
      <c r="L1124" s="2"/>
      <c r="M1124" s="2"/>
      <c r="N1124" s="2"/>
      <c r="O1124" s="2"/>
      <c r="P1124" s="53"/>
      <c r="Q1124" s="53"/>
      <c r="R1124" s="2"/>
      <c r="S1124" s="2"/>
      <c r="T1124" s="2"/>
    </row>
    <row r="1125" spans="1:20" x14ac:dyDescent="0.25">
      <c r="A1125" s="3"/>
      <c r="B1125" s="3"/>
      <c r="C1125" s="2"/>
      <c r="D1125" s="2"/>
      <c r="E1125" s="51"/>
      <c r="F1125" s="51"/>
      <c r="G1125" s="51"/>
      <c r="H1125" s="51"/>
      <c r="I1125" s="2"/>
      <c r="J1125" s="2"/>
      <c r="K1125" s="2"/>
      <c r="L1125" s="2"/>
      <c r="M1125" s="2"/>
      <c r="N1125" s="2"/>
      <c r="O1125" s="2"/>
      <c r="P1125" s="53"/>
      <c r="Q1125" s="53"/>
      <c r="R1125" s="2"/>
      <c r="S1125" s="2"/>
      <c r="T1125" s="2"/>
    </row>
    <row r="1126" spans="1:20" x14ac:dyDescent="0.25">
      <c r="A1126" s="3"/>
      <c r="B1126" s="3"/>
      <c r="C1126" s="2"/>
      <c r="D1126" s="2"/>
      <c r="E1126" s="51"/>
      <c r="F1126" s="51"/>
      <c r="G1126" s="51"/>
      <c r="H1126" s="51"/>
      <c r="I1126" s="2"/>
      <c r="J1126" s="2"/>
      <c r="K1126" s="2"/>
      <c r="L1126" s="2"/>
      <c r="M1126" s="2"/>
      <c r="N1126" s="2"/>
      <c r="O1126" s="2"/>
      <c r="P1126" s="53"/>
      <c r="Q1126" s="53"/>
      <c r="R1126" s="2"/>
      <c r="S1126" s="2"/>
      <c r="T1126" s="2"/>
    </row>
    <row r="1127" spans="1:20" x14ac:dyDescent="0.25">
      <c r="A1127" s="3"/>
      <c r="B1127" s="3"/>
      <c r="C1127" s="2"/>
      <c r="D1127" s="2"/>
      <c r="E1127" s="51"/>
      <c r="F1127" s="51"/>
      <c r="G1127" s="51"/>
      <c r="H1127" s="51"/>
      <c r="I1127" s="2"/>
      <c r="J1127" s="2"/>
      <c r="K1127" s="2"/>
      <c r="L1127" s="2"/>
      <c r="M1127" s="2"/>
      <c r="N1127" s="2"/>
      <c r="O1127" s="2"/>
      <c r="P1127" s="53"/>
      <c r="Q1127" s="53"/>
      <c r="R1127" s="2"/>
      <c r="S1127" s="2"/>
      <c r="T1127" s="2"/>
    </row>
    <row r="1128" spans="1:20" x14ac:dyDescent="0.25">
      <c r="A1128" s="3"/>
      <c r="B1128" s="3"/>
      <c r="C1128" s="2"/>
      <c r="D1128" s="2"/>
      <c r="E1128" s="51"/>
      <c r="F1128" s="51"/>
      <c r="G1128" s="51"/>
      <c r="H1128" s="51"/>
      <c r="I1128" s="2"/>
      <c r="J1128" s="2"/>
      <c r="K1128" s="2"/>
      <c r="L1128" s="2"/>
      <c r="M1128" s="2"/>
      <c r="N1128" s="2"/>
      <c r="O1128" s="2"/>
      <c r="P1128" s="53"/>
      <c r="Q1128" s="53"/>
      <c r="R1128" s="2"/>
      <c r="S1128" s="2"/>
      <c r="T1128" s="2"/>
    </row>
    <row r="1129" spans="1:20" x14ac:dyDescent="0.25">
      <c r="A1129" s="3"/>
      <c r="B1129" s="3"/>
      <c r="C1129" s="2"/>
      <c r="D1129" s="2"/>
      <c r="E1129" s="51"/>
      <c r="F1129" s="51"/>
      <c r="G1129" s="51"/>
      <c r="H1129" s="51"/>
      <c r="I1129" s="2"/>
      <c r="J1129" s="2"/>
      <c r="K1129" s="2"/>
      <c r="L1129" s="2"/>
      <c r="M1129" s="2"/>
      <c r="N1129" s="2"/>
      <c r="O1129" s="2"/>
      <c r="P1129" s="53"/>
      <c r="Q1129" s="53"/>
      <c r="R1129" s="2"/>
      <c r="S1129" s="2"/>
      <c r="T1129" s="2"/>
    </row>
    <row r="1130" spans="1:20" x14ac:dyDescent="0.25">
      <c r="A1130" s="3"/>
      <c r="B1130" s="3"/>
      <c r="C1130" s="2"/>
      <c r="D1130" s="2"/>
      <c r="E1130" s="51"/>
      <c r="F1130" s="51"/>
      <c r="G1130" s="51"/>
      <c r="H1130" s="51"/>
      <c r="I1130" s="2"/>
      <c r="J1130" s="2"/>
      <c r="K1130" s="2"/>
      <c r="L1130" s="2"/>
      <c r="M1130" s="2"/>
      <c r="N1130" s="2"/>
      <c r="O1130" s="2"/>
      <c r="P1130" s="53"/>
      <c r="Q1130" s="53"/>
      <c r="R1130" s="2"/>
      <c r="S1130" s="2"/>
      <c r="T1130" s="2"/>
    </row>
    <row r="1131" spans="1:20" x14ac:dyDescent="0.25">
      <c r="A1131" s="3"/>
      <c r="B1131" s="3"/>
      <c r="C1131" s="2"/>
      <c r="D1131" s="2"/>
      <c r="E1131" s="51"/>
      <c r="F1131" s="51"/>
      <c r="G1131" s="51"/>
      <c r="H1131" s="51"/>
      <c r="I1131" s="2"/>
      <c r="J1131" s="2"/>
      <c r="K1131" s="2"/>
      <c r="L1131" s="2"/>
      <c r="M1131" s="2"/>
      <c r="N1131" s="2"/>
      <c r="O1131" s="2"/>
      <c r="P1131" s="53"/>
      <c r="Q1131" s="53"/>
      <c r="R1131" s="2"/>
      <c r="S1131" s="2"/>
      <c r="T1131" s="2"/>
    </row>
    <row r="1132" spans="1:20" x14ac:dyDescent="0.25">
      <c r="A1132" s="3"/>
      <c r="B1132" s="3"/>
      <c r="C1132" s="2"/>
      <c r="D1132" s="2"/>
      <c r="E1132" s="51"/>
      <c r="F1132" s="51"/>
      <c r="G1132" s="51"/>
      <c r="H1132" s="51"/>
      <c r="I1132" s="2"/>
      <c r="J1132" s="2"/>
      <c r="K1132" s="2"/>
      <c r="L1132" s="2"/>
      <c r="M1132" s="2"/>
      <c r="N1132" s="2"/>
      <c r="O1132" s="2"/>
      <c r="P1132" s="53"/>
      <c r="Q1132" s="53"/>
      <c r="R1132" s="2"/>
      <c r="S1132" s="2"/>
      <c r="T1132" s="2"/>
    </row>
    <row r="1133" spans="1:20" x14ac:dyDescent="0.25">
      <c r="A1133" s="3"/>
      <c r="B1133" s="3"/>
      <c r="C1133" s="2"/>
      <c r="D1133" s="2"/>
      <c r="E1133" s="51"/>
      <c r="F1133" s="51"/>
      <c r="G1133" s="51"/>
      <c r="H1133" s="51"/>
      <c r="I1133" s="2"/>
      <c r="J1133" s="2"/>
      <c r="K1133" s="2"/>
      <c r="L1133" s="2"/>
      <c r="M1133" s="2"/>
      <c r="N1133" s="2"/>
      <c r="O1133" s="2"/>
      <c r="P1133" s="53"/>
      <c r="Q1133" s="53"/>
      <c r="R1133" s="2"/>
      <c r="S1133" s="2"/>
      <c r="T1133" s="2"/>
    </row>
    <row r="1134" spans="1:20" x14ac:dyDescent="0.25">
      <c r="A1134" s="3"/>
      <c r="B1134" s="3"/>
      <c r="C1134" s="2"/>
      <c r="D1134" s="2"/>
      <c r="E1134" s="51"/>
      <c r="F1134" s="51"/>
      <c r="G1134" s="51"/>
      <c r="H1134" s="51"/>
      <c r="I1134" s="2"/>
      <c r="J1134" s="2"/>
      <c r="K1134" s="2"/>
      <c r="L1134" s="2"/>
      <c r="M1134" s="2"/>
      <c r="N1134" s="2"/>
      <c r="O1134" s="2"/>
      <c r="P1134" s="53"/>
      <c r="Q1134" s="53"/>
      <c r="R1134" s="2"/>
      <c r="S1134" s="2"/>
      <c r="T1134" s="2"/>
    </row>
    <row r="1135" spans="1:20" x14ac:dyDescent="0.25">
      <c r="A1135" s="3"/>
      <c r="B1135" s="3"/>
      <c r="C1135" s="2"/>
      <c r="D1135" s="2"/>
      <c r="E1135" s="51"/>
      <c r="F1135" s="51"/>
      <c r="G1135" s="51"/>
      <c r="H1135" s="51"/>
      <c r="I1135" s="2"/>
      <c r="J1135" s="2"/>
      <c r="K1135" s="2"/>
      <c r="L1135" s="2"/>
      <c r="M1135" s="2"/>
      <c r="N1135" s="2"/>
      <c r="O1135" s="2"/>
      <c r="P1135" s="53"/>
      <c r="Q1135" s="53"/>
      <c r="R1135" s="2"/>
      <c r="S1135" s="2"/>
      <c r="T1135" s="2"/>
    </row>
    <row r="1136" spans="1:20" x14ac:dyDescent="0.25">
      <c r="A1136" s="3"/>
      <c r="B1136" s="3"/>
      <c r="C1136" s="2"/>
      <c r="D1136" s="2"/>
      <c r="E1136" s="51"/>
      <c r="F1136" s="51"/>
      <c r="G1136" s="51"/>
      <c r="H1136" s="51"/>
      <c r="I1136" s="2"/>
      <c r="J1136" s="2"/>
      <c r="K1136" s="2"/>
      <c r="L1136" s="2"/>
      <c r="M1136" s="2"/>
      <c r="N1136" s="2"/>
      <c r="O1136" s="2"/>
      <c r="P1136" s="53"/>
      <c r="Q1136" s="53"/>
      <c r="R1136" s="2"/>
      <c r="S1136" s="2"/>
      <c r="T1136" s="2"/>
    </row>
    <row r="1137" spans="1:20" x14ac:dyDescent="0.25">
      <c r="A1137" s="3"/>
      <c r="B1137" s="3"/>
      <c r="C1137" s="2"/>
      <c r="D1137" s="2"/>
      <c r="E1137" s="51"/>
      <c r="F1137" s="51"/>
      <c r="G1137" s="51"/>
      <c r="H1137" s="51"/>
      <c r="I1137" s="2"/>
      <c r="J1137" s="2"/>
      <c r="K1137" s="2"/>
      <c r="L1137" s="2"/>
      <c r="M1137" s="2"/>
      <c r="N1137" s="2"/>
      <c r="O1137" s="2"/>
      <c r="P1137" s="53"/>
      <c r="Q1137" s="53"/>
      <c r="R1137" s="2"/>
      <c r="S1137" s="2"/>
      <c r="T1137" s="2"/>
    </row>
    <row r="1138" spans="1:20" x14ac:dyDescent="0.25">
      <c r="A1138" s="3"/>
      <c r="B1138" s="3"/>
      <c r="C1138" s="2"/>
      <c r="D1138" s="2"/>
      <c r="E1138" s="51"/>
      <c r="F1138" s="51"/>
      <c r="G1138" s="51"/>
      <c r="H1138" s="51"/>
      <c r="I1138" s="2"/>
      <c r="J1138" s="2"/>
      <c r="K1138" s="2"/>
      <c r="L1138" s="2"/>
      <c r="M1138" s="2"/>
      <c r="N1138" s="2"/>
      <c r="O1138" s="2"/>
      <c r="P1138" s="53"/>
      <c r="Q1138" s="53"/>
      <c r="R1138" s="2"/>
      <c r="S1138" s="2"/>
      <c r="T1138" s="2"/>
    </row>
    <row r="1139" spans="1:20" x14ac:dyDescent="0.25">
      <c r="A1139" s="3"/>
      <c r="B1139" s="3"/>
      <c r="C1139" s="2"/>
      <c r="D1139" s="2"/>
      <c r="E1139" s="51"/>
      <c r="F1139" s="51"/>
      <c r="G1139" s="51"/>
      <c r="H1139" s="51"/>
      <c r="I1139" s="2"/>
      <c r="J1139" s="2"/>
      <c r="K1139" s="2"/>
      <c r="L1139" s="2"/>
      <c r="M1139" s="2"/>
      <c r="N1139" s="2"/>
      <c r="O1139" s="2"/>
      <c r="P1139" s="53"/>
      <c r="Q1139" s="53"/>
      <c r="R1139" s="2"/>
      <c r="S1139" s="2"/>
      <c r="T1139" s="2"/>
    </row>
    <row r="1140" spans="1:20" x14ac:dyDescent="0.25">
      <c r="A1140" s="3"/>
      <c r="B1140" s="3"/>
      <c r="C1140" s="2"/>
      <c r="D1140" s="2"/>
      <c r="E1140" s="51"/>
      <c r="F1140" s="51"/>
      <c r="G1140" s="51"/>
      <c r="H1140" s="51"/>
      <c r="I1140" s="2"/>
      <c r="J1140" s="2"/>
      <c r="K1140" s="2"/>
      <c r="L1140" s="2"/>
      <c r="M1140" s="2"/>
      <c r="N1140" s="2"/>
      <c r="O1140" s="2"/>
      <c r="P1140" s="53"/>
      <c r="Q1140" s="53"/>
      <c r="R1140" s="2"/>
      <c r="S1140" s="2"/>
      <c r="T1140" s="2"/>
    </row>
    <row r="1141" spans="1:20" x14ac:dyDescent="0.25">
      <c r="A1141" s="3"/>
      <c r="B1141" s="3"/>
      <c r="C1141" s="2"/>
      <c r="D1141" s="2"/>
      <c r="E1141" s="51"/>
      <c r="F1141" s="51"/>
      <c r="G1141" s="51"/>
      <c r="H1141" s="51"/>
      <c r="I1141" s="2"/>
      <c r="J1141" s="2"/>
      <c r="K1141" s="2"/>
      <c r="L1141" s="2"/>
      <c r="M1141" s="2"/>
      <c r="N1141" s="2"/>
      <c r="O1141" s="2"/>
      <c r="P1141" s="53"/>
      <c r="Q1141" s="53"/>
      <c r="R1141" s="2"/>
    </row>
    <row r="1142" spans="1:20" x14ac:dyDescent="0.25">
      <c r="A1142" s="3"/>
      <c r="B1142" s="3"/>
      <c r="C1142" s="2"/>
      <c r="D1142" s="2"/>
      <c r="E1142" s="51"/>
      <c r="F1142" s="51"/>
      <c r="G1142" s="51"/>
      <c r="H1142" s="51"/>
      <c r="I1142" s="2"/>
      <c r="J1142" s="2"/>
      <c r="K1142" s="2"/>
      <c r="L1142" s="2"/>
      <c r="M1142" s="2"/>
      <c r="N1142" s="2"/>
      <c r="O1142" s="2"/>
      <c r="P1142" s="53"/>
      <c r="Q1142" s="53"/>
      <c r="R1142" s="2"/>
    </row>
    <row r="1143" spans="1:20" x14ac:dyDescent="0.25">
      <c r="A1143" s="3"/>
      <c r="B1143" s="3"/>
      <c r="C1143" s="2"/>
      <c r="D1143" s="2"/>
      <c r="E1143" s="51"/>
      <c r="F1143" s="51"/>
      <c r="G1143" s="51"/>
      <c r="H1143" s="51"/>
      <c r="I1143" s="2"/>
      <c r="J1143" s="2"/>
      <c r="K1143" s="2"/>
      <c r="L1143" s="2"/>
      <c r="M1143" s="2"/>
      <c r="N1143" s="2"/>
      <c r="O1143" s="2"/>
      <c r="P1143" s="53"/>
      <c r="Q1143" s="53"/>
      <c r="R1143" s="2"/>
    </row>
    <row r="1144" spans="1:20" x14ac:dyDescent="0.25">
      <c r="A1144" s="3"/>
      <c r="B1144" s="3"/>
      <c r="C1144" s="2"/>
      <c r="D1144" s="2"/>
      <c r="E1144" s="51"/>
      <c r="F1144" s="51"/>
      <c r="G1144" s="51"/>
      <c r="H1144" s="51"/>
      <c r="I1144" s="2"/>
      <c r="J1144" s="2"/>
      <c r="K1144" s="2"/>
      <c r="L1144" s="2"/>
      <c r="M1144" s="2"/>
      <c r="N1144" s="2"/>
      <c r="O1144" s="2"/>
      <c r="P1144" s="53"/>
      <c r="Q1144" s="53"/>
      <c r="R1144" s="2"/>
    </row>
    <row r="1145" spans="1:20" x14ac:dyDescent="0.25">
      <c r="A1145" s="3"/>
      <c r="B1145" s="3"/>
      <c r="C1145" s="2"/>
      <c r="D1145" s="2"/>
      <c r="E1145" s="51"/>
      <c r="F1145" s="51"/>
      <c r="G1145" s="51"/>
      <c r="H1145" s="51"/>
      <c r="I1145" s="2"/>
      <c r="J1145" s="2"/>
      <c r="K1145" s="2"/>
      <c r="L1145" s="2"/>
      <c r="M1145" s="2"/>
      <c r="N1145" s="2"/>
      <c r="O1145" s="2"/>
      <c r="P1145" s="53"/>
      <c r="Q1145" s="53"/>
      <c r="R1145" s="2"/>
    </row>
    <row r="1146" spans="1:20" x14ac:dyDescent="0.25">
      <c r="A1146" s="3"/>
      <c r="B1146" s="3"/>
      <c r="C1146" s="2"/>
      <c r="D1146" s="2"/>
      <c r="E1146" s="51"/>
      <c r="F1146" s="51"/>
      <c r="G1146" s="51"/>
      <c r="H1146" s="51"/>
      <c r="I1146" s="2"/>
      <c r="J1146" s="2"/>
      <c r="K1146" s="2"/>
      <c r="L1146" s="2"/>
      <c r="M1146" s="2"/>
      <c r="N1146" s="2"/>
      <c r="O1146" s="2"/>
      <c r="P1146" s="53"/>
      <c r="Q1146" s="53"/>
      <c r="R1146" s="2"/>
    </row>
    <row r="1147" spans="1:20" x14ac:dyDescent="0.25">
      <c r="A1147" s="3"/>
      <c r="B1147" s="3"/>
      <c r="C1147" s="2"/>
      <c r="D1147" s="2"/>
      <c r="E1147" s="51"/>
      <c r="F1147" s="51"/>
      <c r="G1147" s="51"/>
      <c r="H1147" s="51"/>
      <c r="I1147" s="2"/>
      <c r="J1147" s="2"/>
      <c r="K1147" s="2"/>
      <c r="L1147" s="2"/>
      <c r="M1147" s="2"/>
      <c r="N1147" s="2"/>
      <c r="O1147" s="2"/>
      <c r="P1147" s="53"/>
      <c r="Q1147" s="53"/>
      <c r="R1147" s="2"/>
    </row>
    <row r="1148" spans="1:20" x14ac:dyDescent="0.25">
      <c r="A1148" s="3"/>
      <c r="B1148" s="3"/>
      <c r="C1148" s="2"/>
      <c r="D1148" s="2"/>
      <c r="E1148" s="51"/>
      <c r="F1148" s="51"/>
      <c r="G1148" s="51"/>
      <c r="H1148" s="51"/>
      <c r="I1148" s="2"/>
      <c r="J1148" s="2"/>
      <c r="K1148" s="2"/>
      <c r="L1148" s="2"/>
      <c r="M1148" s="2"/>
      <c r="N1148" s="2"/>
      <c r="O1148" s="2"/>
      <c r="P1148" s="53"/>
      <c r="Q1148" s="53"/>
      <c r="R1148" s="2"/>
    </row>
    <row r="1149" spans="1:20" x14ac:dyDescent="0.25">
      <c r="A1149" s="3"/>
      <c r="B1149" s="3"/>
      <c r="C1149" s="2"/>
      <c r="D1149" s="2"/>
      <c r="E1149" s="51"/>
      <c r="F1149" s="51"/>
      <c r="G1149" s="51"/>
      <c r="H1149" s="51"/>
      <c r="I1149" s="2"/>
      <c r="J1149" s="2"/>
      <c r="K1149" s="2"/>
      <c r="L1149" s="2"/>
      <c r="M1149" s="2"/>
      <c r="N1149" s="2"/>
      <c r="O1149" s="2"/>
      <c r="P1149" s="53"/>
      <c r="Q1149" s="53"/>
      <c r="R1149" s="2"/>
    </row>
    <row r="1150" spans="1:20" x14ac:dyDescent="0.25">
      <c r="A1150" s="3"/>
      <c r="B1150" s="3"/>
      <c r="C1150" s="2"/>
      <c r="D1150" s="2"/>
      <c r="E1150" s="51"/>
      <c r="F1150" s="51"/>
      <c r="G1150" s="51"/>
      <c r="H1150" s="51"/>
      <c r="I1150" s="2"/>
      <c r="J1150" s="2"/>
      <c r="K1150" s="2"/>
      <c r="L1150" s="2"/>
      <c r="M1150" s="2"/>
      <c r="N1150" s="2"/>
      <c r="O1150" s="2"/>
      <c r="P1150" s="53"/>
      <c r="Q1150" s="53"/>
      <c r="R1150" s="2"/>
    </row>
    <row r="1151" spans="1:20" x14ac:dyDescent="0.25">
      <c r="A1151" s="3"/>
      <c r="B1151" s="3"/>
      <c r="C1151" s="2"/>
      <c r="D1151" s="2"/>
      <c r="E1151" s="51"/>
      <c r="F1151" s="51"/>
      <c r="G1151" s="51"/>
      <c r="H1151" s="51"/>
      <c r="I1151" s="2"/>
      <c r="J1151" s="2"/>
      <c r="K1151" s="2"/>
      <c r="L1151" s="2"/>
      <c r="M1151" s="2"/>
      <c r="N1151" s="2"/>
      <c r="O1151" s="2"/>
      <c r="P1151" s="53"/>
      <c r="Q1151" s="53"/>
      <c r="R1151" s="2"/>
    </row>
    <row r="1152" spans="1:20" x14ac:dyDescent="0.25">
      <c r="A1152" s="3"/>
      <c r="B1152" s="3"/>
      <c r="C1152" s="2"/>
      <c r="D1152" s="2"/>
      <c r="E1152" s="51"/>
      <c r="F1152" s="51"/>
      <c r="G1152" s="51"/>
      <c r="H1152" s="51"/>
      <c r="I1152" s="2"/>
      <c r="J1152" s="2"/>
      <c r="K1152" s="2"/>
      <c r="L1152" s="2"/>
      <c r="M1152" s="2"/>
      <c r="N1152" s="2"/>
      <c r="O1152" s="2"/>
      <c r="P1152" s="53"/>
      <c r="Q1152" s="53"/>
      <c r="R1152" s="2"/>
    </row>
    <row r="1153" spans="1:18" x14ac:dyDescent="0.25">
      <c r="A1153" s="3"/>
      <c r="B1153" s="3"/>
      <c r="C1153" s="2"/>
      <c r="D1153" s="2"/>
      <c r="E1153" s="51"/>
      <c r="F1153" s="51"/>
      <c r="G1153" s="51"/>
      <c r="H1153" s="51"/>
      <c r="I1153" s="2"/>
      <c r="J1153" s="2"/>
      <c r="K1153" s="2"/>
      <c r="L1153" s="2"/>
      <c r="M1153" s="2"/>
      <c r="N1153" s="2"/>
      <c r="O1153" s="2"/>
      <c r="P1153" s="53"/>
      <c r="Q1153" s="53"/>
      <c r="R1153" s="2"/>
    </row>
    <row r="1154" spans="1:18" x14ac:dyDescent="0.25">
      <c r="A1154" s="3"/>
      <c r="B1154" s="3"/>
      <c r="C1154" s="2"/>
      <c r="D1154" s="2"/>
      <c r="E1154" s="51"/>
      <c r="F1154" s="51"/>
      <c r="G1154" s="51"/>
      <c r="H1154" s="51"/>
      <c r="I1154" s="2"/>
      <c r="J1154" s="2"/>
      <c r="K1154" s="2"/>
      <c r="L1154" s="2"/>
      <c r="M1154" s="2"/>
      <c r="N1154" s="2"/>
      <c r="O1154" s="2"/>
      <c r="P1154" s="53"/>
      <c r="Q1154" s="53"/>
      <c r="R1154" s="2"/>
    </row>
    <row r="1155" spans="1:18" x14ac:dyDescent="0.25">
      <c r="A1155" s="3"/>
      <c r="B1155" s="3"/>
      <c r="C1155" s="2"/>
      <c r="D1155" s="2"/>
      <c r="E1155" s="51"/>
      <c r="F1155" s="51"/>
      <c r="G1155" s="51"/>
      <c r="H1155" s="51"/>
      <c r="I1155" s="2"/>
      <c r="J1155" s="2"/>
      <c r="K1155" s="2"/>
      <c r="L1155" s="2"/>
      <c r="M1155" s="2"/>
      <c r="N1155" s="2"/>
      <c r="O1155" s="2"/>
      <c r="P1155" s="53"/>
      <c r="Q1155" s="53"/>
      <c r="R1155" s="2"/>
    </row>
    <row r="1156" spans="1:18" x14ac:dyDescent="0.25">
      <c r="A1156" s="3"/>
      <c r="B1156" s="3"/>
      <c r="C1156" s="2"/>
      <c r="D1156" s="2"/>
      <c r="E1156" s="51"/>
      <c r="F1156" s="51"/>
      <c r="G1156" s="51"/>
      <c r="H1156" s="51"/>
      <c r="I1156" s="2"/>
      <c r="J1156" s="2"/>
      <c r="K1156" s="2"/>
      <c r="L1156" s="2"/>
      <c r="M1156" s="2"/>
      <c r="N1156" s="2"/>
      <c r="O1156" s="2"/>
      <c r="P1156" s="53"/>
      <c r="Q1156" s="53"/>
      <c r="R1156" s="2"/>
    </row>
    <row r="1157" spans="1:18" x14ac:dyDescent="0.25">
      <c r="A1157" s="3"/>
      <c r="B1157" s="3"/>
      <c r="C1157" s="2"/>
      <c r="D1157" s="2"/>
      <c r="E1157" s="51"/>
      <c r="F1157" s="51"/>
      <c r="G1157" s="51"/>
      <c r="H1157" s="51"/>
      <c r="I1157" s="2"/>
      <c r="J1157" s="2"/>
      <c r="K1157" s="2"/>
      <c r="L1157" s="2"/>
      <c r="M1157" s="2"/>
      <c r="N1157" s="2"/>
      <c r="O1157" s="2"/>
      <c r="P1157" s="53"/>
      <c r="Q1157" s="53"/>
      <c r="R1157" s="2"/>
    </row>
    <row r="1158" spans="1:18" x14ac:dyDescent="0.25">
      <c r="A1158" s="3"/>
      <c r="B1158" s="3"/>
      <c r="C1158" s="2"/>
      <c r="D1158" s="2"/>
      <c r="E1158" s="51"/>
      <c r="F1158" s="51"/>
      <c r="G1158" s="51"/>
      <c r="H1158" s="51"/>
      <c r="I1158" s="2"/>
      <c r="J1158" s="2"/>
      <c r="K1158" s="2"/>
      <c r="L1158" s="2"/>
      <c r="M1158" s="2"/>
      <c r="N1158" s="2"/>
      <c r="O1158" s="2"/>
      <c r="P1158" s="53"/>
      <c r="Q1158" s="53"/>
      <c r="R1158" s="2"/>
    </row>
    <row r="1159" spans="1:18" x14ac:dyDescent="0.25">
      <c r="A1159" s="3"/>
      <c r="B1159" s="3"/>
      <c r="C1159" s="2"/>
      <c r="D1159" s="2"/>
      <c r="E1159" s="51"/>
      <c r="F1159" s="51"/>
      <c r="G1159" s="51"/>
      <c r="H1159" s="51"/>
      <c r="I1159" s="2"/>
      <c r="J1159" s="2"/>
      <c r="K1159" s="2"/>
      <c r="L1159" s="2"/>
      <c r="M1159" s="2"/>
      <c r="N1159" s="2"/>
      <c r="O1159" s="2"/>
      <c r="P1159" s="53"/>
      <c r="Q1159" s="53"/>
      <c r="R1159" s="2"/>
    </row>
    <row r="1160" spans="1:18" x14ac:dyDescent="0.25">
      <c r="A1160" s="3"/>
      <c r="B1160" s="3"/>
      <c r="C1160" s="2"/>
      <c r="D1160" s="2"/>
      <c r="E1160" s="51"/>
      <c r="F1160" s="51"/>
      <c r="G1160" s="51"/>
      <c r="H1160" s="51"/>
      <c r="I1160" s="2"/>
      <c r="J1160" s="2"/>
      <c r="K1160" s="2"/>
      <c r="L1160" s="2"/>
      <c r="M1160" s="2"/>
      <c r="N1160" s="2"/>
      <c r="O1160" s="2"/>
      <c r="P1160" s="53"/>
      <c r="Q1160" s="53"/>
      <c r="R1160" s="2"/>
    </row>
    <row r="1161" spans="1:18" x14ac:dyDescent="0.25">
      <c r="A1161" s="3"/>
      <c r="B1161" s="3"/>
      <c r="C1161" s="2"/>
      <c r="D1161" s="2"/>
      <c r="E1161" s="51"/>
      <c r="F1161" s="51"/>
      <c r="G1161" s="51"/>
      <c r="H1161" s="51"/>
      <c r="I1161" s="2"/>
      <c r="J1161" s="2"/>
      <c r="K1161" s="2"/>
      <c r="L1161" s="2"/>
      <c r="M1161" s="2"/>
      <c r="N1161" s="2"/>
      <c r="O1161" s="2"/>
      <c r="P1161" s="53"/>
      <c r="Q1161" s="53"/>
      <c r="R1161" s="2"/>
    </row>
    <row r="1162" spans="1:18" x14ac:dyDescent="0.25">
      <c r="A1162" s="3"/>
      <c r="B1162" s="3"/>
      <c r="C1162" s="2"/>
      <c r="D1162" s="2"/>
      <c r="E1162" s="51"/>
      <c r="F1162" s="51"/>
      <c r="G1162" s="51"/>
      <c r="H1162" s="51"/>
      <c r="I1162" s="2"/>
      <c r="J1162" s="2"/>
      <c r="K1162" s="2"/>
      <c r="L1162" s="2"/>
      <c r="M1162" s="2"/>
      <c r="N1162" s="2"/>
      <c r="O1162" s="2"/>
      <c r="P1162" s="53"/>
      <c r="Q1162" s="53"/>
      <c r="R1162" s="2"/>
    </row>
    <row r="1163" spans="1:18" x14ac:dyDescent="0.25">
      <c r="A1163" s="3"/>
      <c r="B1163" s="3"/>
      <c r="C1163" s="2"/>
      <c r="D1163" s="2"/>
      <c r="E1163" s="51"/>
      <c r="F1163" s="51"/>
      <c r="G1163" s="51"/>
      <c r="H1163" s="51"/>
      <c r="I1163" s="2"/>
      <c r="J1163" s="2"/>
      <c r="K1163" s="2"/>
      <c r="L1163" s="2"/>
      <c r="M1163" s="2"/>
      <c r="N1163" s="2"/>
      <c r="O1163" s="2"/>
      <c r="P1163" s="53"/>
      <c r="Q1163" s="53"/>
      <c r="R1163" s="2"/>
    </row>
    <row r="1164" spans="1:18" x14ac:dyDescent="0.25">
      <c r="A1164" s="3"/>
      <c r="B1164" s="3"/>
      <c r="C1164" s="2"/>
      <c r="D1164" s="2"/>
      <c r="E1164" s="51"/>
      <c r="F1164" s="51"/>
      <c r="G1164" s="51"/>
      <c r="H1164" s="51"/>
      <c r="I1164" s="2"/>
      <c r="J1164" s="2"/>
      <c r="K1164" s="2"/>
      <c r="L1164" s="2"/>
      <c r="M1164" s="2"/>
      <c r="N1164" s="2"/>
      <c r="O1164" s="2"/>
      <c r="P1164" s="53"/>
      <c r="Q1164" s="53"/>
      <c r="R1164" s="2"/>
    </row>
    <row r="1165" spans="1:18" x14ac:dyDescent="0.25">
      <c r="A1165" s="3"/>
      <c r="B1165" s="3"/>
      <c r="C1165" s="2"/>
      <c r="D1165" s="2"/>
      <c r="E1165" s="51"/>
      <c r="F1165" s="51"/>
      <c r="G1165" s="51"/>
      <c r="H1165" s="51"/>
      <c r="I1165" s="2"/>
      <c r="J1165" s="2"/>
      <c r="K1165" s="2"/>
      <c r="L1165" s="2"/>
      <c r="M1165" s="2"/>
      <c r="N1165" s="2"/>
      <c r="O1165" s="2"/>
      <c r="P1165" s="53"/>
      <c r="Q1165" s="53"/>
      <c r="R1165" s="2"/>
    </row>
    <row r="1166" spans="1:18" x14ac:dyDescent="0.25">
      <c r="A1166" s="3"/>
      <c r="B1166" s="3"/>
      <c r="C1166" s="2"/>
      <c r="D1166" s="2"/>
      <c r="E1166" s="51"/>
      <c r="F1166" s="51"/>
      <c r="G1166" s="51"/>
      <c r="H1166" s="51"/>
      <c r="I1166" s="2"/>
      <c r="J1166" s="2"/>
      <c r="K1166" s="2"/>
      <c r="L1166" s="2"/>
      <c r="M1166" s="2"/>
      <c r="N1166" s="2"/>
      <c r="O1166" s="2"/>
      <c r="P1166" s="53"/>
      <c r="Q1166" s="53"/>
      <c r="R1166" s="2"/>
    </row>
    <row r="1167" spans="1:18" x14ac:dyDescent="0.25">
      <c r="A1167" s="3"/>
      <c r="B1167" s="3"/>
      <c r="C1167" s="2"/>
      <c r="D1167" s="2"/>
      <c r="E1167" s="51"/>
      <c r="F1167" s="51"/>
      <c r="G1167" s="51"/>
      <c r="H1167" s="51"/>
      <c r="I1167" s="2"/>
      <c r="J1167" s="2"/>
      <c r="K1167" s="2"/>
      <c r="L1167" s="2"/>
      <c r="M1167" s="2"/>
      <c r="N1167" s="2"/>
      <c r="O1167" s="2"/>
      <c r="P1167" s="53"/>
      <c r="Q1167" s="53"/>
      <c r="R1167" s="2"/>
    </row>
    <row r="1168" spans="1:18" x14ac:dyDescent="0.25">
      <c r="A1168" s="3"/>
      <c r="B1168" s="3"/>
      <c r="C1168" s="2"/>
      <c r="D1168" s="2"/>
      <c r="E1168" s="51"/>
      <c r="F1168" s="51"/>
      <c r="G1168" s="51"/>
      <c r="H1168" s="51"/>
      <c r="I1168" s="2"/>
      <c r="J1168" s="2"/>
      <c r="K1168" s="2"/>
      <c r="L1168" s="2"/>
      <c r="M1168" s="2"/>
      <c r="N1168" s="2"/>
      <c r="O1168" s="2"/>
      <c r="P1168" s="53"/>
      <c r="Q1168" s="53"/>
      <c r="R1168" s="2"/>
    </row>
    <row r="1169" spans="1:18" x14ac:dyDescent="0.25">
      <c r="A1169" s="3"/>
      <c r="B1169" s="3"/>
      <c r="C1169" s="2"/>
      <c r="D1169" s="2"/>
      <c r="E1169" s="51"/>
      <c r="F1169" s="51"/>
      <c r="G1169" s="51"/>
      <c r="H1169" s="51"/>
      <c r="I1169" s="2"/>
      <c r="J1169" s="2"/>
      <c r="K1169" s="2"/>
      <c r="L1169" s="2"/>
      <c r="M1169" s="2"/>
      <c r="N1169" s="2"/>
      <c r="O1169" s="2"/>
      <c r="P1169" s="53"/>
      <c r="Q1169" s="53"/>
      <c r="R1169" s="2"/>
    </row>
    <row r="1170" spans="1:18" x14ac:dyDescent="0.25">
      <c r="A1170" s="3"/>
      <c r="B1170" s="3"/>
      <c r="C1170" s="2"/>
      <c r="D1170" s="2"/>
      <c r="E1170" s="51"/>
      <c r="F1170" s="51"/>
      <c r="G1170" s="51"/>
      <c r="H1170" s="51"/>
      <c r="I1170" s="2"/>
      <c r="J1170" s="2"/>
      <c r="K1170" s="2"/>
      <c r="L1170" s="2"/>
      <c r="M1170" s="2"/>
      <c r="N1170" s="2"/>
      <c r="O1170" s="2"/>
      <c r="P1170" s="53"/>
      <c r="Q1170" s="53"/>
      <c r="R1170" s="2"/>
    </row>
    <row r="1171" spans="1:18" x14ac:dyDescent="0.25">
      <c r="A1171" s="3"/>
      <c r="B1171" s="3"/>
      <c r="C1171" s="2"/>
      <c r="D1171" s="2"/>
      <c r="E1171" s="51"/>
      <c r="F1171" s="51"/>
      <c r="G1171" s="51"/>
      <c r="H1171" s="51"/>
      <c r="I1171" s="2"/>
      <c r="J1171" s="2"/>
      <c r="K1171" s="2"/>
      <c r="L1171" s="2"/>
      <c r="M1171" s="2"/>
      <c r="N1171" s="2"/>
      <c r="O1171" s="2"/>
      <c r="P1171" s="53"/>
      <c r="Q1171" s="53"/>
      <c r="R1171" s="2"/>
    </row>
    <row r="1172" spans="1:18" x14ac:dyDescent="0.25">
      <c r="A1172" s="3"/>
      <c r="B1172" s="3"/>
      <c r="C1172" s="2"/>
      <c r="D1172" s="2"/>
      <c r="E1172" s="51"/>
      <c r="F1172" s="51"/>
      <c r="G1172" s="51"/>
      <c r="H1172" s="51"/>
      <c r="I1172" s="2"/>
      <c r="J1172" s="2"/>
      <c r="K1172" s="2"/>
      <c r="L1172" s="2"/>
      <c r="M1172" s="2"/>
      <c r="N1172" s="2"/>
      <c r="O1172" s="2"/>
      <c r="P1172" s="53"/>
      <c r="Q1172" s="53"/>
      <c r="R1172" s="2"/>
    </row>
    <row r="1173" spans="1:18" x14ac:dyDescent="0.25">
      <c r="A1173" s="3"/>
      <c r="B1173" s="3"/>
      <c r="C1173" s="2"/>
      <c r="D1173" s="2"/>
      <c r="E1173" s="51"/>
      <c r="F1173" s="51"/>
      <c r="G1173" s="51"/>
      <c r="H1173" s="51"/>
      <c r="I1173" s="2"/>
      <c r="J1173" s="2"/>
      <c r="K1173" s="2"/>
      <c r="L1173" s="2"/>
      <c r="M1173" s="2"/>
      <c r="N1173" s="2"/>
      <c r="O1173" s="2"/>
      <c r="P1173" s="53"/>
      <c r="Q1173" s="53"/>
      <c r="R1173" s="2"/>
    </row>
    <row r="1174" spans="1:18" x14ac:dyDescent="0.25">
      <c r="A1174" s="3"/>
      <c r="B1174" s="3"/>
      <c r="C1174" s="2"/>
      <c r="D1174" s="2"/>
      <c r="E1174" s="51"/>
      <c r="F1174" s="51"/>
      <c r="G1174" s="51"/>
      <c r="H1174" s="51"/>
      <c r="I1174" s="2"/>
      <c r="J1174" s="2"/>
      <c r="K1174" s="2"/>
      <c r="L1174" s="2"/>
      <c r="M1174" s="2"/>
      <c r="N1174" s="2"/>
      <c r="O1174" s="2"/>
      <c r="P1174" s="53"/>
      <c r="Q1174" s="53"/>
      <c r="R1174" s="2"/>
    </row>
    <row r="1175" spans="1:18" x14ac:dyDescent="0.25">
      <c r="A1175" s="3"/>
      <c r="B1175" s="3"/>
      <c r="C1175" s="2"/>
      <c r="D1175" s="2"/>
      <c r="E1175" s="51"/>
      <c r="F1175" s="51"/>
      <c r="G1175" s="51"/>
      <c r="H1175" s="51"/>
      <c r="I1175" s="2"/>
      <c r="J1175" s="2"/>
      <c r="K1175" s="2"/>
      <c r="L1175" s="2"/>
      <c r="M1175" s="2"/>
      <c r="N1175" s="2"/>
      <c r="O1175" s="2"/>
      <c r="P1175" s="53"/>
      <c r="Q1175" s="53"/>
      <c r="R1175" s="2"/>
    </row>
    <row r="1176" spans="1:18" x14ac:dyDescent="0.25">
      <c r="A1176" s="3"/>
      <c r="B1176" s="3"/>
      <c r="C1176" s="2"/>
      <c r="D1176" s="2"/>
      <c r="E1176" s="51"/>
      <c r="F1176" s="51"/>
      <c r="G1176" s="51"/>
      <c r="H1176" s="51"/>
      <c r="I1176" s="2"/>
      <c r="J1176" s="2"/>
      <c r="K1176" s="2"/>
      <c r="L1176" s="2"/>
      <c r="M1176" s="2"/>
      <c r="N1176" s="2"/>
      <c r="O1176" s="2"/>
      <c r="P1176" s="53"/>
      <c r="Q1176" s="53"/>
      <c r="R1176" s="2"/>
    </row>
    <row r="1177" spans="1:18" x14ac:dyDescent="0.25">
      <c r="A1177" s="3"/>
      <c r="B1177" s="3"/>
      <c r="C1177" s="2"/>
      <c r="D1177" s="2"/>
      <c r="E1177" s="51"/>
      <c r="F1177" s="51"/>
      <c r="G1177" s="51"/>
      <c r="H1177" s="51"/>
      <c r="I1177" s="2"/>
      <c r="J1177" s="2"/>
      <c r="K1177" s="2"/>
      <c r="L1177" s="2"/>
      <c r="M1177" s="2"/>
      <c r="N1177" s="2"/>
      <c r="O1177" s="2"/>
      <c r="P1177" s="53"/>
      <c r="Q1177" s="53"/>
      <c r="R1177" s="2"/>
    </row>
    <row r="1178" spans="1:18" x14ac:dyDescent="0.25">
      <c r="A1178" s="3"/>
      <c r="B1178" s="3"/>
      <c r="C1178" s="2"/>
      <c r="D1178" s="2"/>
      <c r="E1178" s="51"/>
      <c r="F1178" s="51"/>
      <c r="G1178" s="51"/>
      <c r="H1178" s="51"/>
      <c r="I1178" s="2"/>
      <c r="J1178" s="2"/>
      <c r="K1178" s="2"/>
      <c r="L1178" s="2"/>
      <c r="M1178" s="2"/>
      <c r="N1178" s="2"/>
      <c r="O1178" s="2"/>
      <c r="P1178" s="53"/>
      <c r="Q1178" s="53"/>
      <c r="R1178" s="2"/>
    </row>
    <row r="1179" spans="1:18" x14ac:dyDescent="0.25">
      <c r="A1179" s="3"/>
      <c r="B1179" s="3"/>
      <c r="C1179" s="2"/>
      <c r="D1179" s="2"/>
      <c r="E1179" s="51"/>
      <c r="F1179" s="51"/>
      <c r="G1179" s="51"/>
      <c r="H1179" s="51"/>
      <c r="I1179" s="2"/>
      <c r="J1179" s="2"/>
      <c r="K1179" s="2"/>
      <c r="L1179" s="2"/>
      <c r="M1179" s="2"/>
      <c r="N1179" s="2"/>
      <c r="O1179" s="2"/>
      <c r="P1179" s="53"/>
      <c r="Q1179" s="53"/>
      <c r="R1179" s="2"/>
    </row>
    <row r="1180" spans="1:18" x14ac:dyDescent="0.25">
      <c r="A1180" s="3"/>
      <c r="B1180" s="3"/>
      <c r="C1180" s="2"/>
      <c r="D1180" s="2"/>
      <c r="E1180" s="51"/>
      <c r="F1180" s="51"/>
      <c r="G1180" s="51"/>
      <c r="H1180" s="51"/>
      <c r="I1180" s="2"/>
      <c r="J1180" s="2"/>
      <c r="K1180" s="2"/>
      <c r="L1180" s="2"/>
      <c r="M1180" s="2"/>
      <c r="N1180" s="2"/>
      <c r="O1180" s="2"/>
      <c r="P1180" s="53"/>
      <c r="Q1180" s="53"/>
      <c r="R1180" s="2"/>
    </row>
    <row r="1181" spans="1:18" x14ac:dyDescent="0.25">
      <c r="A1181" s="3"/>
      <c r="B1181" s="3"/>
      <c r="C1181" s="2"/>
      <c r="D1181" s="2"/>
      <c r="E1181" s="51"/>
      <c r="F1181" s="51"/>
      <c r="G1181" s="51"/>
      <c r="H1181" s="51"/>
      <c r="I1181" s="2"/>
      <c r="J1181" s="2"/>
      <c r="K1181" s="2"/>
      <c r="L1181" s="2"/>
      <c r="M1181" s="2"/>
      <c r="N1181" s="2"/>
      <c r="O1181" s="2"/>
      <c r="P1181" s="53"/>
      <c r="Q1181" s="53"/>
      <c r="R1181" s="2"/>
    </row>
    <row r="1182" spans="1:18" x14ac:dyDescent="0.25">
      <c r="A1182" s="3"/>
      <c r="B1182" s="3"/>
      <c r="C1182" s="2"/>
      <c r="D1182" s="2"/>
      <c r="E1182" s="51"/>
      <c r="F1182" s="51"/>
      <c r="G1182" s="51"/>
      <c r="H1182" s="51"/>
      <c r="I1182" s="2"/>
      <c r="J1182" s="2"/>
      <c r="K1182" s="2"/>
      <c r="L1182" s="2"/>
      <c r="M1182" s="2"/>
      <c r="N1182" s="2"/>
      <c r="O1182" s="2"/>
      <c r="P1182" s="53"/>
      <c r="Q1182" s="53"/>
      <c r="R1182" s="2"/>
    </row>
    <row r="1183" spans="1:18" x14ac:dyDescent="0.25">
      <c r="A1183" s="3"/>
      <c r="B1183" s="3"/>
      <c r="C1183" s="2"/>
      <c r="D1183" s="2"/>
      <c r="E1183" s="51"/>
      <c r="F1183" s="51"/>
      <c r="G1183" s="51"/>
      <c r="H1183" s="51"/>
      <c r="I1183" s="2"/>
      <c r="J1183" s="2"/>
      <c r="K1183" s="2"/>
      <c r="L1183" s="2"/>
      <c r="M1183" s="2"/>
      <c r="N1183" s="2"/>
      <c r="O1183" s="2"/>
      <c r="P1183" s="53"/>
      <c r="Q1183" s="53"/>
      <c r="R1183" s="2"/>
    </row>
    <row r="1184" spans="1:18" x14ac:dyDescent="0.25">
      <c r="A1184" s="3"/>
      <c r="B1184" s="3"/>
      <c r="C1184" s="2"/>
      <c r="D1184" s="2"/>
      <c r="E1184" s="51"/>
      <c r="F1184" s="51"/>
      <c r="G1184" s="51"/>
      <c r="H1184" s="51"/>
      <c r="I1184" s="2"/>
      <c r="J1184" s="2"/>
      <c r="K1184" s="2"/>
      <c r="L1184" s="2"/>
      <c r="M1184" s="2"/>
      <c r="N1184" s="2"/>
      <c r="O1184" s="2"/>
      <c r="P1184" s="53"/>
      <c r="Q1184" s="53"/>
      <c r="R1184" s="2"/>
    </row>
    <row r="1185" spans="1:18" x14ac:dyDescent="0.25">
      <c r="A1185" s="3"/>
      <c r="B1185" s="3"/>
      <c r="C1185" s="2"/>
      <c r="D1185" s="2"/>
      <c r="E1185" s="51"/>
      <c r="F1185" s="51"/>
      <c r="G1185" s="51"/>
      <c r="H1185" s="51"/>
      <c r="I1185" s="2"/>
      <c r="J1185" s="2"/>
      <c r="K1185" s="2"/>
      <c r="L1185" s="2"/>
      <c r="M1185" s="2"/>
      <c r="N1185" s="2"/>
      <c r="O1185" s="2"/>
      <c r="P1185" s="53"/>
      <c r="Q1185" s="53"/>
      <c r="R1185" s="2"/>
    </row>
    <row r="1186" spans="1:18" x14ac:dyDescent="0.25">
      <c r="A1186" s="3"/>
      <c r="B1186" s="3"/>
      <c r="C1186" s="2"/>
      <c r="D1186" s="2"/>
      <c r="E1186" s="51"/>
      <c r="F1186" s="51"/>
      <c r="G1186" s="51"/>
      <c r="H1186" s="51"/>
      <c r="I1186" s="2"/>
      <c r="J1186" s="2"/>
      <c r="K1186" s="2"/>
      <c r="L1186" s="2"/>
      <c r="M1186" s="2"/>
      <c r="N1186" s="2"/>
      <c r="O1186" s="2"/>
      <c r="P1186" s="53"/>
      <c r="Q1186" s="53"/>
      <c r="R1186" s="2"/>
    </row>
    <row r="1187" spans="1:18" x14ac:dyDescent="0.25">
      <c r="A1187" s="3"/>
      <c r="B1187" s="3"/>
      <c r="C1187" s="2"/>
      <c r="D1187" s="2"/>
      <c r="E1187" s="51"/>
      <c r="F1187" s="51"/>
      <c r="G1187" s="51"/>
      <c r="H1187" s="51"/>
      <c r="I1187" s="2"/>
      <c r="J1187" s="2"/>
      <c r="K1187" s="2"/>
      <c r="L1187" s="2"/>
      <c r="M1187" s="2"/>
      <c r="N1187" s="2"/>
      <c r="O1187" s="2"/>
      <c r="P1187" s="53"/>
      <c r="Q1187" s="53"/>
      <c r="R1187" s="2"/>
    </row>
    <row r="1188" spans="1:18" x14ac:dyDescent="0.25">
      <c r="A1188" s="3"/>
      <c r="B1188" s="3"/>
      <c r="C1188" s="2"/>
      <c r="D1188" s="2"/>
      <c r="E1188" s="51"/>
      <c r="F1188" s="51"/>
      <c r="G1188" s="51"/>
      <c r="H1188" s="51"/>
      <c r="I1188" s="2"/>
      <c r="J1188" s="2"/>
      <c r="K1188" s="2"/>
      <c r="L1188" s="2"/>
      <c r="M1188" s="2"/>
      <c r="N1188" s="2"/>
      <c r="O1188" s="2"/>
      <c r="P1188" s="53"/>
      <c r="Q1188" s="53"/>
      <c r="R1188" s="2"/>
    </row>
    <row r="1189" spans="1:18" x14ac:dyDescent="0.25">
      <c r="A1189" s="3"/>
      <c r="B1189" s="3"/>
      <c r="C1189" s="2"/>
      <c r="D1189" s="2"/>
      <c r="E1189" s="51"/>
      <c r="F1189" s="51"/>
      <c r="G1189" s="51"/>
      <c r="H1189" s="51"/>
      <c r="I1189" s="2"/>
      <c r="J1189" s="2"/>
      <c r="K1189" s="2"/>
      <c r="L1189" s="2"/>
      <c r="M1189" s="2"/>
      <c r="N1189" s="2"/>
      <c r="O1189" s="2"/>
      <c r="P1189" s="53"/>
      <c r="Q1189" s="53"/>
      <c r="R1189" s="2"/>
    </row>
    <row r="1190" spans="1:18" x14ac:dyDescent="0.25">
      <c r="A1190" s="3"/>
      <c r="B1190" s="3"/>
      <c r="C1190" s="2"/>
      <c r="D1190" s="2"/>
      <c r="E1190" s="51"/>
      <c r="F1190" s="51"/>
      <c r="G1190" s="51"/>
      <c r="H1190" s="51"/>
      <c r="I1190" s="2"/>
      <c r="J1190" s="2"/>
      <c r="K1190" s="2"/>
      <c r="L1190" s="2"/>
      <c r="M1190" s="2"/>
      <c r="N1190" s="2"/>
      <c r="O1190" s="2"/>
      <c r="P1190" s="53"/>
      <c r="Q1190" s="53"/>
      <c r="R1190" s="2"/>
    </row>
    <row r="1191" spans="1:18" x14ac:dyDescent="0.25">
      <c r="A1191" s="3"/>
      <c r="B1191" s="3"/>
      <c r="C1191" s="2"/>
      <c r="D1191" s="2"/>
      <c r="E1191" s="51"/>
      <c r="F1191" s="51"/>
      <c r="G1191" s="51"/>
      <c r="H1191" s="51"/>
      <c r="I1191" s="2"/>
      <c r="J1191" s="2"/>
      <c r="K1191" s="2"/>
      <c r="L1191" s="2"/>
      <c r="M1191" s="2"/>
      <c r="N1191" s="2"/>
      <c r="O1191" s="2"/>
      <c r="P1191" s="53"/>
      <c r="Q1191" s="53"/>
      <c r="R1191" s="2"/>
    </row>
    <row r="1192" spans="1:18" x14ac:dyDescent="0.25">
      <c r="A1192" s="3"/>
      <c r="B1192" s="3"/>
      <c r="C1192" s="2"/>
      <c r="D1192" s="2"/>
      <c r="E1192" s="51"/>
      <c r="F1192" s="51"/>
      <c r="G1192" s="51"/>
      <c r="H1192" s="51"/>
      <c r="I1192" s="2"/>
      <c r="J1192" s="2"/>
      <c r="K1192" s="2"/>
      <c r="L1192" s="2"/>
      <c r="M1192" s="2"/>
      <c r="N1192" s="2"/>
      <c r="O1192" s="2"/>
      <c r="P1192" s="53"/>
      <c r="Q1192" s="53"/>
      <c r="R1192" s="2"/>
    </row>
    <row r="1193" spans="1:18" x14ac:dyDescent="0.25">
      <c r="A1193" s="3"/>
      <c r="B1193" s="3"/>
      <c r="C1193" s="2"/>
      <c r="D1193" s="2"/>
      <c r="E1193" s="51"/>
      <c r="F1193" s="51"/>
      <c r="G1193" s="51"/>
      <c r="H1193" s="51"/>
      <c r="I1193" s="2"/>
      <c r="J1193" s="2"/>
      <c r="K1193" s="2"/>
      <c r="L1193" s="2"/>
      <c r="M1193" s="2"/>
      <c r="N1193" s="2"/>
      <c r="O1193" s="2"/>
      <c r="P1193" s="53"/>
      <c r="Q1193" s="53"/>
      <c r="R1193" s="2"/>
    </row>
    <row r="1194" spans="1:18" x14ac:dyDescent="0.25">
      <c r="A1194" s="3"/>
      <c r="B1194" s="3"/>
      <c r="C1194" s="2"/>
      <c r="D1194" s="2"/>
      <c r="E1194" s="51"/>
      <c r="F1194" s="51"/>
      <c r="G1194" s="51"/>
      <c r="H1194" s="51"/>
      <c r="I1194" s="2"/>
      <c r="J1194" s="2"/>
      <c r="K1194" s="2"/>
      <c r="L1194" s="2"/>
      <c r="M1194" s="2"/>
      <c r="N1194" s="2"/>
      <c r="O1194" s="2"/>
      <c r="P1194" s="53"/>
      <c r="Q1194" s="53"/>
      <c r="R1194" s="2"/>
    </row>
    <row r="1195" spans="1:18" x14ac:dyDescent="0.25">
      <c r="A1195" s="3"/>
      <c r="B1195" s="3"/>
      <c r="C1195" s="2"/>
      <c r="D1195" s="2"/>
      <c r="E1195" s="51"/>
      <c r="F1195" s="51"/>
      <c r="G1195" s="51"/>
      <c r="H1195" s="51"/>
      <c r="I1195" s="2"/>
      <c r="J1195" s="2"/>
      <c r="K1195" s="2"/>
      <c r="L1195" s="2"/>
      <c r="M1195" s="2"/>
      <c r="N1195" s="2"/>
      <c r="O1195" s="2"/>
      <c r="P1195" s="53"/>
      <c r="Q1195" s="53"/>
      <c r="R1195" s="2"/>
    </row>
    <row r="1196" spans="1:18" x14ac:dyDescent="0.25">
      <c r="A1196" s="3"/>
      <c r="B1196" s="3"/>
      <c r="C1196" s="2"/>
      <c r="D1196" s="2"/>
      <c r="E1196" s="51"/>
      <c r="F1196" s="51"/>
      <c r="G1196" s="51"/>
      <c r="H1196" s="51"/>
      <c r="I1196" s="2"/>
      <c r="J1196" s="2"/>
      <c r="K1196" s="2"/>
      <c r="L1196" s="2"/>
      <c r="M1196" s="2"/>
      <c r="N1196" s="2"/>
      <c r="O1196" s="2"/>
      <c r="P1196" s="53"/>
      <c r="Q1196" s="53"/>
      <c r="R1196" s="2"/>
    </row>
    <row r="1197" spans="1:18" x14ac:dyDescent="0.25">
      <c r="A1197" s="3"/>
      <c r="B1197" s="3"/>
      <c r="C1197" s="2"/>
      <c r="D1197" s="2"/>
      <c r="E1197" s="51"/>
      <c r="F1197" s="51"/>
      <c r="G1197" s="51"/>
      <c r="H1197" s="51"/>
      <c r="I1197" s="2"/>
      <c r="J1197" s="2"/>
      <c r="K1197" s="2"/>
      <c r="L1197" s="2"/>
      <c r="M1197" s="2"/>
      <c r="N1197" s="2"/>
      <c r="O1197" s="2"/>
      <c r="P1197" s="53"/>
      <c r="Q1197" s="53"/>
      <c r="R1197" s="2"/>
    </row>
    <row r="1198" spans="1:18" x14ac:dyDescent="0.25">
      <c r="A1198" s="3"/>
      <c r="B1198" s="3"/>
      <c r="C1198" s="2"/>
      <c r="D1198" s="2"/>
      <c r="E1198" s="51"/>
      <c r="F1198" s="51"/>
      <c r="G1198" s="51"/>
      <c r="H1198" s="51"/>
      <c r="I1198" s="2"/>
      <c r="J1198" s="2"/>
      <c r="K1198" s="2"/>
      <c r="L1198" s="2"/>
      <c r="M1198" s="2"/>
      <c r="N1198" s="2"/>
      <c r="O1198" s="2"/>
      <c r="P1198" s="53"/>
      <c r="Q1198" s="53"/>
      <c r="R1198" s="2"/>
    </row>
    <row r="1199" spans="1:18" x14ac:dyDescent="0.25">
      <c r="A1199" s="3"/>
      <c r="B1199" s="3"/>
      <c r="C1199" s="2"/>
      <c r="D1199" s="2"/>
      <c r="E1199" s="51"/>
      <c r="F1199" s="51"/>
      <c r="G1199" s="51"/>
      <c r="H1199" s="51"/>
      <c r="I1199" s="2"/>
      <c r="J1199" s="2"/>
      <c r="K1199" s="2"/>
      <c r="L1199" s="2"/>
      <c r="M1199" s="2"/>
      <c r="N1199" s="2"/>
      <c r="O1199" s="2"/>
      <c r="P1199" s="53"/>
      <c r="Q1199" s="53"/>
      <c r="R1199" s="2"/>
    </row>
    <row r="1200" spans="1:18" x14ac:dyDescent="0.25">
      <c r="A1200" s="3"/>
      <c r="B1200" s="3"/>
      <c r="C1200" s="2"/>
      <c r="D1200" s="2"/>
      <c r="E1200" s="51"/>
      <c r="F1200" s="51"/>
      <c r="G1200" s="51"/>
      <c r="H1200" s="51"/>
      <c r="I1200" s="2"/>
      <c r="J1200" s="2"/>
      <c r="K1200" s="2"/>
      <c r="L1200" s="2"/>
      <c r="M1200" s="2"/>
      <c r="N1200" s="2"/>
      <c r="O1200" s="2"/>
      <c r="P1200" s="53"/>
      <c r="Q1200" s="53"/>
      <c r="R1200" s="2"/>
    </row>
    <row r="1201" spans="1:18" x14ac:dyDescent="0.25">
      <c r="A1201" s="3"/>
      <c r="B1201" s="3"/>
      <c r="C1201" s="2"/>
      <c r="D1201" s="2"/>
      <c r="E1201" s="51"/>
      <c r="F1201" s="51"/>
      <c r="G1201" s="51"/>
      <c r="H1201" s="51"/>
      <c r="I1201" s="2"/>
      <c r="J1201" s="2"/>
      <c r="K1201" s="2"/>
      <c r="L1201" s="2"/>
      <c r="M1201" s="2"/>
      <c r="N1201" s="2"/>
      <c r="O1201" s="2"/>
      <c r="P1201" s="53"/>
      <c r="Q1201" s="53"/>
      <c r="R1201" s="2"/>
    </row>
    <row r="1202" spans="1:18" x14ac:dyDescent="0.25">
      <c r="A1202" s="3"/>
      <c r="B1202" s="3"/>
      <c r="C1202" s="2"/>
      <c r="D1202" s="2"/>
      <c r="E1202" s="51"/>
      <c r="F1202" s="51"/>
      <c r="G1202" s="51"/>
      <c r="H1202" s="51"/>
      <c r="I1202" s="2"/>
      <c r="J1202" s="2"/>
      <c r="K1202" s="2"/>
      <c r="L1202" s="2"/>
      <c r="M1202" s="2"/>
      <c r="N1202" s="2"/>
      <c r="O1202" s="2"/>
      <c r="P1202" s="53"/>
      <c r="Q1202" s="53"/>
      <c r="R1202" s="2"/>
    </row>
    <row r="1203" spans="1:18" x14ac:dyDescent="0.25">
      <c r="A1203" s="3"/>
      <c r="B1203" s="3"/>
      <c r="C1203" s="2"/>
      <c r="D1203" s="2"/>
      <c r="E1203" s="51"/>
      <c r="F1203" s="51"/>
      <c r="G1203" s="51"/>
      <c r="H1203" s="51"/>
      <c r="I1203" s="2"/>
      <c r="J1203" s="2"/>
      <c r="K1203" s="2"/>
      <c r="L1203" s="2"/>
      <c r="M1203" s="2"/>
      <c r="N1203" s="2"/>
      <c r="O1203" s="2"/>
      <c r="P1203" s="53"/>
      <c r="Q1203" s="53"/>
      <c r="R1203" s="2"/>
    </row>
    <row r="1204" spans="1:18" x14ac:dyDescent="0.25">
      <c r="A1204" s="3"/>
      <c r="B1204" s="3"/>
      <c r="C1204" s="2"/>
      <c r="D1204" s="2"/>
      <c r="E1204" s="51"/>
      <c r="F1204" s="51"/>
      <c r="G1204" s="51"/>
      <c r="H1204" s="51"/>
      <c r="I1204" s="2"/>
      <c r="J1204" s="2"/>
      <c r="K1204" s="2"/>
      <c r="L1204" s="2"/>
      <c r="M1204" s="2"/>
      <c r="N1204" s="2"/>
      <c r="O1204" s="2"/>
      <c r="P1204" s="53"/>
      <c r="Q1204" s="53"/>
      <c r="R1204" s="2"/>
    </row>
    <row r="1205" spans="1:18" x14ac:dyDescent="0.25">
      <c r="A1205" s="3"/>
      <c r="B1205" s="3"/>
      <c r="C1205" s="2"/>
      <c r="D1205" s="2"/>
      <c r="E1205" s="51"/>
      <c r="F1205" s="51"/>
      <c r="G1205" s="51"/>
      <c r="H1205" s="51"/>
      <c r="I1205" s="2"/>
      <c r="J1205" s="2"/>
      <c r="K1205" s="2"/>
      <c r="L1205" s="2"/>
      <c r="M1205" s="2"/>
      <c r="N1205" s="2"/>
      <c r="O1205" s="2"/>
      <c r="P1205" s="53"/>
      <c r="Q1205" s="53"/>
      <c r="R1205" s="2"/>
    </row>
    <row r="1206" spans="1:18" x14ac:dyDescent="0.25">
      <c r="A1206" s="3"/>
      <c r="B1206" s="3"/>
      <c r="C1206" s="2"/>
      <c r="D1206" s="2"/>
      <c r="E1206" s="51"/>
      <c r="F1206" s="51"/>
      <c r="G1206" s="51"/>
      <c r="H1206" s="51"/>
      <c r="I1206" s="2"/>
      <c r="J1206" s="2"/>
      <c r="K1206" s="2"/>
      <c r="L1206" s="2"/>
      <c r="M1206" s="2"/>
      <c r="N1206" s="2"/>
      <c r="O1206" s="2"/>
      <c r="P1206" s="53"/>
      <c r="Q1206" s="53"/>
      <c r="R1206" s="2"/>
    </row>
    <row r="1207" spans="1:18" x14ac:dyDescent="0.25">
      <c r="A1207" s="3"/>
      <c r="B1207" s="3"/>
      <c r="C1207" s="2"/>
      <c r="D1207" s="2"/>
      <c r="E1207" s="51"/>
      <c r="F1207" s="51"/>
      <c r="G1207" s="51"/>
      <c r="H1207" s="51"/>
      <c r="I1207" s="2"/>
      <c r="J1207" s="2"/>
      <c r="K1207" s="2"/>
      <c r="L1207" s="2"/>
      <c r="M1207" s="2"/>
      <c r="N1207" s="2"/>
      <c r="O1207" s="2"/>
      <c r="P1207" s="53"/>
      <c r="Q1207" s="53"/>
      <c r="R1207" s="2"/>
    </row>
    <row r="1208" spans="1:18" x14ac:dyDescent="0.25">
      <c r="A1208" s="3"/>
      <c r="B1208" s="3"/>
      <c r="C1208" s="2"/>
      <c r="D1208" s="2"/>
      <c r="E1208" s="51"/>
      <c r="F1208" s="51"/>
      <c r="G1208" s="51"/>
      <c r="H1208" s="51"/>
      <c r="I1208" s="2"/>
      <c r="J1208" s="2"/>
      <c r="K1208" s="2"/>
      <c r="L1208" s="2"/>
      <c r="M1208" s="2"/>
      <c r="N1208" s="2"/>
      <c r="O1208" s="2"/>
      <c r="P1208" s="53"/>
      <c r="Q1208" s="53"/>
      <c r="R1208" s="2"/>
    </row>
    <row r="1209" spans="1:18" x14ac:dyDescent="0.25">
      <c r="A1209" s="3"/>
      <c r="B1209" s="3"/>
      <c r="C1209" s="2"/>
      <c r="D1209" s="2"/>
      <c r="E1209" s="51"/>
      <c r="F1209" s="51"/>
      <c r="G1209" s="51"/>
      <c r="H1209" s="51"/>
      <c r="I1209" s="2"/>
      <c r="J1209" s="2"/>
      <c r="K1209" s="2"/>
      <c r="L1209" s="2"/>
      <c r="M1209" s="2"/>
      <c r="N1209" s="2"/>
      <c r="O1209" s="2"/>
      <c r="P1209" s="53"/>
      <c r="Q1209" s="53"/>
      <c r="R1209" s="2"/>
    </row>
    <row r="1210" spans="1:18" x14ac:dyDescent="0.25">
      <c r="A1210" s="3"/>
      <c r="B1210" s="3"/>
      <c r="C1210" s="2"/>
      <c r="D1210" s="2"/>
      <c r="E1210" s="51"/>
      <c r="F1210" s="51"/>
      <c r="G1210" s="51"/>
      <c r="H1210" s="51"/>
      <c r="I1210" s="2"/>
      <c r="J1210" s="2"/>
      <c r="K1210" s="2"/>
      <c r="L1210" s="2"/>
      <c r="M1210" s="2"/>
      <c r="N1210" s="2"/>
      <c r="O1210" s="2"/>
      <c r="P1210" s="53"/>
      <c r="Q1210" s="53"/>
      <c r="R1210" s="2"/>
    </row>
    <row r="1211" spans="1:18" x14ac:dyDescent="0.25">
      <c r="A1211" s="3"/>
      <c r="B1211" s="3"/>
      <c r="C1211" s="2"/>
      <c r="D1211" s="2"/>
      <c r="E1211" s="51"/>
      <c r="F1211" s="51"/>
      <c r="G1211" s="51"/>
      <c r="H1211" s="51"/>
      <c r="I1211" s="2"/>
      <c r="J1211" s="2"/>
      <c r="K1211" s="2"/>
      <c r="L1211" s="2"/>
      <c r="M1211" s="2"/>
      <c r="N1211" s="2"/>
      <c r="O1211" s="2"/>
      <c r="P1211" s="53"/>
      <c r="Q1211" s="53"/>
      <c r="R1211" s="2"/>
    </row>
    <row r="1212" spans="1:18" x14ac:dyDescent="0.25">
      <c r="A1212" s="3"/>
      <c r="B1212" s="3"/>
      <c r="C1212" s="2"/>
      <c r="D1212" s="2"/>
      <c r="E1212" s="51"/>
      <c r="F1212" s="51"/>
      <c r="G1212" s="51"/>
      <c r="H1212" s="51"/>
      <c r="I1212" s="2"/>
      <c r="J1212" s="2"/>
      <c r="K1212" s="2"/>
      <c r="L1212" s="2"/>
      <c r="M1212" s="2"/>
      <c r="N1212" s="2"/>
      <c r="O1212" s="2"/>
      <c r="P1212" s="53"/>
      <c r="Q1212" s="53"/>
      <c r="R1212" s="2"/>
    </row>
    <row r="1213" spans="1:18" x14ac:dyDescent="0.25">
      <c r="A1213" s="3"/>
      <c r="B1213" s="3"/>
      <c r="C1213" s="2"/>
      <c r="D1213" s="2"/>
      <c r="E1213" s="51"/>
      <c r="F1213" s="51"/>
      <c r="G1213" s="51"/>
      <c r="H1213" s="51"/>
      <c r="I1213" s="2"/>
      <c r="J1213" s="2"/>
      <c r="K1213" s="2"/>
      <c r="L1213" s="2"/>
      <c r="M1213" s="2"/>
      <c r="N1213" s="2"/>
      <c r="O1213" s="2"/>
      <c r="P1213" s="53"/>
      <c r="Q1213" s="53"/>
      <c r="R1213" s="2"/>
    </row>
    <row r="1214" spans="1:18" x14ac:dyDescent="0.25">
      <c r="A1214" s="3"/>
      <c r="B1214" s="3"/>
      <c r="C1214" s="2"/>
      <c r="D1214" s="2"/>
      <c r="E1214" s="51"/>
      <c r="F1214" s="51"/>
      <c r="G1214" s="51"/>
      <c r="H1214" s="51"/>
      <c r="I1214" s="2"/>
      <c r="J1214" s="2"/>
      <c r="K1214" s="2"/>
      <c r="L1214" s="2"/>
      <c r="M1214" s="2"/>
      <c r="N1214" s="2"/>
      <c r="O1214" s="2"/>
      <c r="P1214" s="53"/>
      <c r="Q1214" s="53"/>
      <c r="R1214" s="2"/>
    </row>
    <row r="1215" spans="1:18" x14ac:dyDescent="0.25">
      <c r="A1215" s="3"/>
      <c r="B1215" s="3"/>
      <c r="C1215" s="2"/>
      <c r="D1215" s="2"/>
      <c r="E1215" s="51"/>
      <c r="F1215" s="51"/>
      <c r="G1215" s="51"/>
      <c r="H1215" s="51"/>
      <c r="I1215" s="2"/>
      <c r="J1215" s="2"/>
      <c r="K1215" s="2"/>
      <c r="L1215" s="2"/>
      <c r="M1215" s="2"/>
      <c r="N1215" s="2"/>
      <c r="O1215" s="2"/>
      <c r="P1215" s="53"/>
      <c r="Q1215" s="53"/>
      <c r="R1215" s="2"/>
    </row>
    <row r="1216" spans="1:18" x14ac:dyDescent="0.25">
      <c r="A1216" s="3"/>
      <c r="B1216" s="3"/>
      <c r="C1216" s="2"/>
      <c r="D1216" s="2"/>
      <c r="E1216" s="51"/>
      <c r="F1216" s="51"/>
      <c r="G1216" s="51"/>
      <c r="H1216" s="51"/>
      <c r="I1216" s="2"/>
      <c r="J1216" s="2"/>
      <c r="K1216" s="2"/>
      <c r="L1216" s="2"/>
      <c r="M1216" s="2"/>
      <c r="N1216" s="2"/>
      <c r="O1216" s="2"/>
      <c r="P1216" s="53"/>
      <c r="Q1216" s="53"/>
      <c r="R1216" s="2"/>
    </row>
    <row r="1217" spans="1:18" x14ac:dyDescent="0.25">
      <c r="A1217" s="3"/>
      <c r="B1217" s="3"/>
      <c r="C1217" s="2"/>
      <c r="D1217" s="2"/>
      <c r="E1217" s="51"/>
      <c r="F1217" s="51"/>
      <c r="G1217" s="51"/>
      <c r="H1217" s="51"/>
      <c r="I1217" s="2"/>
      <c r="J1217" s="2"/>
      <c r="K1217" s="2"/>
      <c r="L1217" s="2"/>
      <c r="M1217" s="2"/>
      <c r="N1217" s="2"/>
      <c r="O1217" s="2"/>
      <c r="P1217" s="53"/>
      <c r="Q1217" s="53"/>
      <c r="R1217" s="2"/>
    </row>
    <row r="1218" spans="1:18" x14ac:dyDescent="0.25">
      <c r="A1218" s="3"/>
      <c r="B1218" s="3"/>
      <c r="C1218" s="2"/>
      <c r="D1218" s="2"/>
      <c r="E1218" s="51"/>
      <c r="F1218" s="51"/>
      <c r="G1218" s="51"/>
      <c r="H1218" s="51"/>
      <c r="I1218" s="2"/>
      <c r="J1218" s="2"/>
      <c r="K1218" s="2"/>
      <c r="L1218" s="2"/>
      <c r="M1218" s="2"/>
      <c r="N1218" s="2"/>
      <c r="O1218" s="2"/>
      <c r="P1218" s="53"/>
      <c r="Q1218" s="53"/>
      <c r="R1218" s="2"/>
    </row>
    <row r="1219" spans="1:18" x14ac:dyDescent="0.25">
      <c r="A1219" s="3"/>
      <c r="B1219" s="3"/>
      <c r="C1219" s="2"/>
      <c r="D1219" s="2"/>
      <c r="E1219" s="51"/>
      <c r="F1219" s="51"/>
      <c r="G1219" s="51"/>
      <c r="H1219" s="51"/>
      <c r="I1219" s="2"/>
      <c r="J1219" s="2"/>
      <c r="K1219" s="2"/>
      <c r="L1219" s="2"/>
      <c r="M1219" s="2"/>
      <c r="N1219" s="2"/>
      <c r="O1219" s="2"/>
      <c r="P1219" s="53"/>
      <c r="Q1219" s="53"/>
      <c r="R1219" s="2"/>
    </row>
    <row r="1220" spans="1:18" x14ac:dyDescent="0.25">
      <c r="A1220" s="3"/>
      <c r="B1220" s="3"/>
      <c r="C1220" s="2"/>
      <c r="D1220" s="2"/>
      <c r="E1220" s="51"/>
      <c r="F1220" s="51"/>
      <c r="G1220" s="51"/>
      <c r="H1220" s="51"/>
      <c r="I1220" s="2"/>
      <c r="J1220" s="2"/>
      <c r="K1220" s="2"/>
      <c r="L1220" s="2"/>
      <c r="M1220" s="2"/>
      <c r="N1220" s="2"/>
      <c r="O1220" s="2"/>
      <c r="P1220" s="53"/>
      <c r="Q1220" s="53"/>
      <c r="R1220" s="2"/>
    </row>
    <row r="1221" spans="1:18" x14ac:dyDescent="0.25">
      <c r="A1221" s="3"/>
      <c r="B1221" s="3"/>
      <c r="C1221" s="2"/>
      <c r="D1221" s="2"/>
      <c r="E1221" s="51"/>
      <c r="F1221" s="51"/>
      <c r="G1221" s="51"/>
      <c r="H1221" s="51"/>
      <c r="I1221" s="2"/>
      <c r="J1221" s="2"/>
      <c r="K1221" s="2"/>
      <c r="L1221" s="2"/>
      <c r="M1221" s="2"/>
      <c r="N1221" s="2"/>
      <c r="O1221" s="2"/>
      <c r="P1221" s="53"/>
      <c r="Q1221" s="53"/>
      <c r="R1221" s="2"/>
    </row>
    <row r="1222" spans="1:18" x14ac:dyDescent="0.25">
      <c r="A1222" s="3"/>
      <c r="B1222" s="3"/>
      <c r="C1222" s="2"/>
      <c r="D1222" s="2"/>
      <c r="E1222" s="51"/>
      <c r="F1222" s="51"/>
      <c r="G1222" s="51"/>
      <c r="H1222" s="51"/>
      <c r="I1222" s="2"/>
      <c r="J1222" s="2"/>
      <c r="K1222" s="2"/>
      <c r="L1222" s="2"/>
      <c r="M1222" s="2"/>
      <c r="N1222" s="2"/>
      <c r="O1222" s="2"/>
      <c r="P1222" s="53"/>
      <c r="Q1222" s="53"/>
      <c r="R1222" s="2"/>
    </row>
    <row r="1223" spans="1:18" x14ac:dyDescent="0.25">
      <c r="A1223" s="3"/>
      <c r="B1223" s="3"/>
      <c r="C1223" s="2"/>
      <c r="D1223" s="2"/>
      <c r="E1223" s="51"/>
      <c r="F1223" s="51"/>
      <c r="G1223" s="51"/>
      <c r="H1223" s="51"/>
      <c r="I1223" s="2"/>
      <c r="J1223" s="2"/>
      <c r="K1223" s="2"/>
      <c r="L1223" s="2"/>
      <c r="M1223" s="2"/>
      <c r="N1223" s="2"/>
      <c r="O1223" s="2"/>
      <c r="P1223" s="53"/>
      <c r="Q1223" s="53"/>
      <c r="R1223" s="2"/>
    </row>
    <row r="1224" spans="1:18" x14ac:dyDescent="0.25">
      <c r="A1224" s="3"/>
      <c r="B1224" s="3"/>
      <c r="C1224" s="2"/>
      <c r="D1224" s="2"/>
      <c r="E1224" s="51"/>
      <c r="F1224" s="51"/>
      <c r="G1224" s="51"/>
      <c r="H1224" s="51"/>
      <c r="I1224" s="2"/>
      <c r="J1224" s="2"/>
      <c r="K1224" s="2"/>
      <c r="L1224" s="2"/>
      <c r="M1224" s="2"/>
      <c r="N1224" s="2"/>
      <c r="O1224" s="2"/>
      <c r="P1224" s="53"/>
      <c r="Q1224" s="53"/>
      <c r="R1224" s="2"/>
    </row>
    <row r="1225" spans="1:18" x14ac:dyDescent="0.25">
      <c r="A1225" s="3"/>
      <c r="B1225" s="3"/>
      <c r="C1225" s="2"/>
      <c r="D1225" s="2"/>
      <c r="E1225" s="51"/>
      <c r="F1225" s="51"/>
      <c r="G1225" s="51"/>
      <c r="H1225" s="51"/>
      <c r="I1225" s="2"/>
      <c r="J1225" s="2"/>
      <c r="K1225" s="2"/>
      <c r="L1225" s="2"/>
      <c r="M1225" s="2"/>
      <c r="N1225" s="2"/>
      <c r="O1225" s="2"/>
      <c r="P1225" s="53"/>
      <c r="Q1225" s="53"/>
      <c r="R1225" s="2"/>
    </row>
    <row r="1226" spans="1:18" x14ac:dyDescent="0.25">
      <c r="A1226" s="3"/>
      <c r="B1226" s="3"/>
      <c r="C1226" s="2"/>
      <c r="D1226" s="2"/>
      <c r="E1226" s="51"/>
      <c r="F1226" s="51"/>
      <c r="G1226" s="51"/>
      <c r="H1226" s="51"/>
      <c r="I1226" s="2"/>
      <c r="J1226" s="2"/>
      <c r="K1226" s="2"/>
      <c r="L1226" s="2"/>
      <c r="M1226" s="2"/>
      <c r="N1226" s="2"/>
      <c r="O1226" s="2"/>
      <c r="P1226" s="53"/>
      <c r="Q1226" s="53"/>
      <c r="R1226" s="2"/>
    </row>
    <row r="1227" spans="1:18" x14ac:dyDescent="0.25">
      <c r="A1227" s="3"/>
      <c r="B1227" s="3"/>
      <c r="C1227" s="2"/>
      <c r="D1227" s="2"/>
      <c r="E1227" s="51"/>
      <c r="F1227" s="51"/>
      <c r="G1227" s="51"/>
      <c r="H1227" s="51"/>
      <c r="I1227" s="2"/>
      <c r="J1227" s="2"/>
      <c r="K1227" s="2"/>
      <c r="L1227" s="2"/>
      <c r="M1227" s="2"/>
      <c r="N1227" s="2"/>
      <c r="O1227" s="2"/>
      <c r="P1227" s="53"/>
      <c r="Q1227" s="53"/>
      <c r="R1227" s="2"/>
    </row>
    <row r="1228" spans="1:18" x14ac:dyDescent="0.25">
      <c r="A1228" s="3"/>
      <c r="B1228" s="3"/>
      <c r="C1228" s="2"/>
      <c r="D1228" s="2"/>
      <c r="E1228" s="51"/>
      <c r="F1228" s="51"/>
      <c r="G1228" s="51"/>
      <c r="H1228" s="51"/>
      <c r="I1228" s="2"/>
      <c r="J1228" s="2"/>
      <c r="K1228" s="2"/>
      <c r="L1228" s="2"/>
      <c r="M1228" s="2"/>
      <c r="N1228" s="2"/>
      <c r="O1228" s="2"/>
      <c r="P1228" s="53"/>
      <c r="Q1228" s="53"/>
      <c r="R1228" s="2"/>
    </row>
    <row r="1229" spans="1:18" x14ac:dyDescent="0.25">
      <c r="A1229" s="3"/>
      <c r="B1229" s="3"/>
      <c r="C1229" s="2"/>
      <c r="D1229" s="2"/>
      <c r="E1229" s="51"/>
      <c r="F1229" s="51"/>
      <c r="G1229" s="51"/>
      <c r="H1229" s="51"/>
      <c r="I1229" s="2"/>
      <c r="J1229" s="2"/>
      <c r="K1229" s="2"/>
      <c r="L1229" s="2"/>
      <c r="M1229" s="2"/>
      <c r="N1229" s="2"/>
      <c r="O1229" s="2"/>
      <c r="P1229" s="53"/>
      <c r="Q1229" s="53"/>
      <c r="R1229" s="2"/>
    </row>
    <row r="1230" spans="1:18" x14ac:dyDescent="0.25">
      <c r="A1230" s="3"/>
      <c r="B1230" s="3"/>
      <c r="C1230" s="2"/>
      <c r="D1230" s="2"/>
      <c r="E1230" s="51"/>
      <c r="F1230" s="51"/>
      <c r="G1230" s="51"/>
      <c r="H1230" s="51"/>
      <c r="I1230" s="2"/>
      <c r="J1230" s="2"/>
      <c r="K1230" s="2"/>
      <c r="L1230" s="2"/>
      <c r="M1230" s="2"/>
      <c r="N1230" s="2"/>
      <c r="O1230" s="2"/>
      <c r="P1230" s="53"/>
      <c r="Q1230" s="53"/>
      <c r="R1230" s="2"/>
    </row>
    <row r="1231" spans="1:18" x14ac:dyDescent="0.25">
      <c r="A1231" s="3"/>
      <c r="B1231" s="3"/>
      <c r="C1231" s="2"/>
      <c r="D1231" s="2"/>
      <c r="E1231" s="51"/>
      <c r="F1231" s="51"/>
      <c r="G1231" s="51"/>
      <c r="H1231" s="51"/>
      <c r="I1231" s="2"/>
      <c r="J1231" s="2"/>
      <c r="K1231" s="2"/>
      <c r="L1231" s="2"/>
      <c r="M1231" s="2"/>
      <c r="N1231" s="2"/>
      <c r="O1231" s="2"/>
      <c r="P1231" s="53"/>
      <c r="Q1231" s="53"/>
      <c r="R1231" s="2"/>
    </row>
    <row r="1232" spans="1:18" x14ac:dyDescent="0.25">
      <c r="A1232" s="3"/>
      <c r="B1232" s="3"/>
      <c r="C1232" s="2"/>
      <c r="D1232" s="2"/>
      <c r="E1232" s="51"/>
      <c r="F1232" s="51"/>
      <c r="G1232" s="51"/>
      <c r="H1232" s="51"/>
      <c r="I1232" s="2"/>
      <c r="J1232" s="2"/>
      <c r="K1232" s="2"/>
      <c r="L1232" s="2"/>
      <c r="M1232" s="2"/>
      <c r="N1232" s="2"/>
      <c r="O1232" s="2"/>
      <c r="P1232" s="53"/>
      <c r="Q1232" s="53"/>
      <c r="R1232" s="2"/>
    </row>
    <row r="1233" spans="1:18" x14ac:dyDescent="0.25">
      <c r="A1233" s="3"/>
      <c r="B1233" s="3"/>
      <c r="C1233" s="2"/>
      <c r="D1233" s="2"/>
      <c r="E1233" s="51"/>
      <c r="F1233" s="51"/>
      <c r="G1233" s="51"/>
      <c r="H1233" s="51"/>
      <c r="I1233" s="2"/>
      <c r="J1233" s="2"/>
      <c r="K1233" s="2"/>
      <c r="L1233" s="2"/>
      <c r="M1233" s="2"/>
      <c r="N1233" s="2"/>
      <c r="O1233" s="2"/>
      <c r="P1233" s="53"/>
      <c r="Q1233" s="53"/>
      <c r="R1233" s="2"/>
    </row>
    <row r="1234" spans="1:18" x14ac:dyDescent="0.25">
      <c r="A1234" s="3"/>
      <c r="B1234" s="3"/>
      <c r="C1234" s="2"/>
      <c r="D1234" s="2"/>
      <c r="E1234" s="51"/>
      <c r="F1234" s="51"/>
      <c r="G1234" s="51"/>
      <c r="H1234" s="51"/>
      <c r="I1234" s="2"/>
      <c r="J1234" s="2"/>
      <c r="K1234" s="2"/>
      <c r="L1234" s="2"/>
      <c r="M1234" s="2"/>
      <c r="N1234" s="2"/>
      <c r="O1234" s="2"/>
      <c r="P1234" s="53"/>
      <c r="Q1234" s="53"/>
      <c r="R1234" s="2"/>
    </row>
    <row r="1235" spans="1:18" x14ac:dyDescent="0.25">
      <c r="A1235" s="3"/>
      <c r="B1235" s="3"/>
      <c r="C1235" s="2"/>
      <c r="D1235" s="2"/>
      <c r="E1235" s="51"/>
      <c r="F1235" s="51"/>
      <c r="G1235" s="51"/>
      <c r="H1235" s="51"/>
      <c r="I1235" s="2"/>
      <c r="J1235" s="2"/>
      <c r="K1235" s="2"/>
      <c r="L1235" s="2"/>
      <c r="M1235" s="2"/>
      <c r="N1235" s="2"/>
      <c r="O1235" s="2"/>
      <c r="P1235" s="53"/>
      <c r="Q1235" s="53"/>
      <c r="R1235" s="2"/>
    </row>
    <row r="1236" spans="1:18" x14ac:dyDescent="0.25">
      <c r="A1236" s="3"/>
      <c r="B1236" s="3"/>
      <c r="C1236" s="2"/>
      <c r="D1236" s="2"/>
      <c r="E1236" s="51"/>
      <c r="F1236" s="51"/>
      <c r="G1236" s="51"/>
      <c r="H1236" s="51"/>
      <c r="I1236" s="2"/>
      <c r="J1236" s="2"/>
      <c r="K1236" s="2"/>
      <c r="L1236" s="2"/>
      <c r="M1236" s="2"/>
      <c r="N1236" s="2"/>
      <c r="O1236" s="2"/>
      <c r="P1236" s="53"/>
      <c r="Q1236" s="53"/>
      <c r="R1236" s="2"/>
    </row>
    <row r="1237" spans="1:18" x14ac:dyDescent="0.25">
      <c r="A1237" s="3"/>
      <c r="B1237" s="3"/>
      <c r="C1237" s="2"/>
      <c r="D1237" s="2"/>
      <c r="E1237" s="51"/>
      <c r="F1237" s="51"/>
      <c r="G1237" s="51"/>
      <c r="H1237" s="51"/>
      <c r="I1237" s="2"/>
      <c r="J1237" s="2"/>
      <c r="K1237" s="2"/>
      <c r="L1237" s="2"/>
      <c r="M1237" s="2"/>
      <c r="N1237" s="2"/>
      <c r="O1237" s="2"/>
      <c r="P1237" s="53"/>
      <c r="Q1237" s="53"/>
      <c r="R1237" s="2"/>
    </row>
    <row r="1238" spans="1:18" x14ac:dyDescent="0.25">
      <c r="A1238" s="3"/>
      <c r="B1238" s="3"/>
      <c r="C1238" s="2"/>
      <c r="D1238" s="2"/>
      <c r="E1238" s="51"/>
      <c r="F1238" s="51"/>
      <c r="G1238" s="51"/>
      <c r="H1238" s="51"/>
      <c r="I1238" s="2"/>
      <c r="J1238" s="2"/>
      <c r="K1238" s="2"/>
      <c r="L1238" s="2"/>
      <c r="M1238" s="2"/>
      <c r="N1238" s="2"/>
      <c r="O1238" s="2"/>
      <c r="P1238" s="53"/>
      <c r="Q1238" s="53"/>
      <c r="R1238" s="2"/>
    </row>
    <row r="1239" spans="1:18" x14ac:dyDescent="0.25">
      <c r="A1239" s="3"/>
      <c r="B1239" s="3"/>
      <c r="C1239" s="2"/>
      <c r="D1239" s="2"/>
      <c r="E1239" s="51"/>
      <c r="F1239" s="51"/>
      <c r="G1239" s="51"/>
      <c r="H1239" s="51"/>
      <c r="I1239" s="2"/>
      <c r="J1239" s="2"/>
      <c r="K1239" s="2"/>
      <c r="L1239" s="2"/>
      <c r="M1239" s="2"/>
      <c r="N1239" s="2"/>
      <c r="O1239" s="2"/>
      <c r="P1239" s="53"/>
      <c r="Q1239" s="53"/>
      <c r="R1239" s="2"/>
    </row>
    <row r="1240" spans="1:18" x14ac:dyDescent="0.25">
      <c r="A1240" s="3"/>
      <c r="B1240" s="3"/>
      <c r="C1240" s="2"/>
      <c r="D1240" s="2"/>
      <c r="E1240" s="51"/>
      <c r="F1240" s="51"/>
      <c r="G1240" s="51"/>
      <c r="H1240" s="51"/>
      <c r="I1240" s="2"/>
      <c r="J1240" s="2"/>
      <c r="K1240" s="2"/>
      <c r="L1240" s="2"/>
      <c r="M1240" s="2"/>
      <c r="N1240" s="2"/>
      <c r="O1240" s="2"/>
      <c r="P1240" s="53"/>
      <c r="Q1240" s="53"/>
      <c r="R1240" s="2"/>
    </row>
    <row r="1241" spans="1:18" x14ac:dyDescent="0.25">
      <c r="A1241" s="3"/>
      <c r="B1241" s="3"/>
      <c r="C1241" s="2"/>
      <c r="D1241" s="2"/>
      <c r="E1241" s="51"/>
      <c r="F1241" s="51"/>
      <c r="G1241" s="51"/>
      <c r="H1241" s="51"/>
      <c r="I1241" s="2"/>
      <c r="J1241" s="2"/>
      <c r="K1241" s="2"/>
      <c r="L1241" s="2"/>
      <c r="M1241" s="2"/>
      <c r="N1241" s="2"/>
      <c r="O1241" s="2"/>
      <c r="P1241" s="53"/>
      <c r="Q1241" s="53"/>
      <c r="R1241" s="2"/>
    </row>
    <row r="1242" spans="1:18" x14ac:dyDescent="0.25">
      <c r="A1242" s="3"/>
      <c r="B1242" s="3"/>
      <c r="C1242" s="2"/>
      <c r="D1242" s="2"/>
      <c r="E1242" s="51"/>
      <c r="F1242" s="51"/>
      <c r="G1242" s="51"/>
      <c r="H1242" s="51"/>
      <c r="I1242" s="2"/>
      <c r="J1242" s="2"/>
      <c r="K1242" s="2"/>
      <c r="L1242" s="2"/>
      <c r="M1242" s="2"/>
      <c r="N1242" s="2"/>
      <c r="O1242" s="2"/>
      <c r="P1242" s="53"/>
      <c r="Q1242" s="53"/>
      <c r="R1242" s="2"/>
    </row>
    <row r="1243" spans="1:18" x14ac:dyDescent="0.25">
      <c r="A1243" s="3"/>
      <c r="B1243" s="3"/>
      <c r="C1243" s="2"/>
      <c r="D1243" s="2"/>
      <c r="E1243" s="51"/>
      <c r="F1243" s="51"/>
      <c r="G1243" s="51"/>
      <c r="H1243" s="51"/>
      <c r="I1243" s="2"/>
      <c r="J1243" s="2"/>
      <c r="K1243" s="2"/>
      <c r="L1243" s="2"/>
      <c r="M1243" s="2"/>
      <c r="N1243" s="2"/>
      <c r="O1243" s="2"/>
      <c r="P1243" s="53"/>
      <c r="Q1243" s="53"/>
      <c r="R1243" s="2"/>
    </row>
    <row r="1244" spans="1:18" x14ac:dyDescent="0.25">
      <c r="A1244" s="3"/>
      <c r="B1244" s="3"/>
      <c r="C1244" s="2"/>
      <c r="D1244" s="2"/>
      <c r="E1244" s="51"/>
      <c r="F1244" s="51"/>
      <c r="G1244" s="51"/>
      <c r="H1244" s="51"/>
      <c r="I1244" s="2"/>
      <c r="J1244" s="2"/>
      <c r="K1244" s="2"/>
      <c r="L1244" s="2"/>
      <c r="M1244" s="2"/>
      <c r="N1244" s="2"/>
      <c r="O1244" s="2"/>
      <c r="P1244" s="53"/>
      <c r="Q1244" s="53"/>
      <c r="R1244" s="2"/>
    </row>
    <row r="1245" spans="1:18" x14ac:dyDescent="0.25">
      <c r="A1245" s="3"/>
      <c r="B1245" s="3"/>
      <c r="C1245" s="2"/>
      <c r="D1245" s="2"/>
      <c r="E1245" s="51"/>
      <c r="F1245" s="51"/>
      <c r="G1245" s="51"/>
      <c r="H1245" s="51"/>
      <c r="I1245" s="2"/>
      <c r="J1245" s="2"/>
      <c r="K1245" s="2"/>
      <c r="L1245" s="2"/>
      <c r="M1245" s="2"/>
      <c r="N1245" s="2"/>
      <c r="O1245" s="2"/>
      <c r="P1245" s="53"/>
      <c r="Q1245" s="53"/>
      <c r="R1245" s="2"/>
    </row>
    <row r="1246" spans="1:18" x14ac:dyDescent="0.25">
      <c r="A1246" s="3"/>
      <c r="B1246" s="3"/>
      <c r="C1246" s="2"/>
      <c r="D1246" s="2"/>
      <c r="E1246" s="51"/>
      <c r="F1246" s="51"/>
      <c r="G1246" s="51"/>
      <c r="H1246" s="51"/>
      <c r="I1246" s="2"/>
      <c r="J1246" s="2"/>
      <c r="K1246" s="2"/>
      <c r="L1246" s="2"/>
      <c r="M1246" s="2"/>
      <c r="N1246" s="2"/>
      <c r="O1246" s="2"/>
      <c r="P1246" s="53"/>
      <c r="Q1246" s="53"/>
      <c r="R1246" s="2"/>
    </row>
    <row r="1247" spans="1:18" x14ac:dyDescent="0.25">
      <c r="A1247" s="3"/>
      <c r="B1247" s="3"/>
      <c r="C1247" s="2"/>
      <c r="D1247" s="2"/>
      <c r="E1247" s="51"/>
      <c r="F1247" s="51"/>
      <c r="G1247" s="51"/>
      <c r="H1247" s="51"/>
      <c r="I1247" s="2"/>
      <c r="J1247" s="2"/>
      <c r="K1247" s="2"/>
      <c r="L1247" s="2"/>
      <c r="M1247" s="2"/>
      <c r="N1247" s="2"/>
      <c r="O1247" s="2"/>
      <c r="P1247" s="53"/>
      <c r="Q1247" s="53"/>
      <c r="R1247" s="2"/>
    </row>
    <row r="1248" spans="1:18" x14ac:dyDescent="0.25">
      <c r="A1248" s="3"/>
      <c r="B1248" s="3"/>
      <c r="C1248" s="2"/>
      <c r="D1248" s="2"/>
      <c r="E1248" s="51"/>
      <c r="F1248" s="51"/>
      <c r="G1248" s="51"/>
      <c r="H1248" s="51"/>
      <c r="I1248" s="2"/>
      <c r="J1248" s="2"/>
      <c r="K1248" s="2"/>
      <c r="L1248" s="2"/>
      <c r="M1248" s="2"/>
      <c r="N1248" s="2"/>
      <c r="O1248" s="2"/>
      <c r="P1248" s="53"/>
      <c r="Q1248" s="53"/>
      <c r="R1248" s="2"/>
    </row>
    <row r="1249" spans="1:18" x14ac:dyDescent="0.25">
      <c r="A1249" s="3"/>
      <c r="B1249" s="3"/>
      <c r="C1249" s="2"/>
      <c r="D1249" s="2"/>
      <c r="E1249" s="51"/>
      <c r="F1249" s="51"/>
      <c r="G1249" s="51"/>
      <c r="H1249" s="51"/>
      <c r="I1249" s="2"/>
      <c r="J1249" s="2"/>
      <c r="K1249" s="2"/>
      <c r="L1249" s="2"/>
      <c r="M1249" s="2"/>
      <c r="N1249" s="2"/>
      <c r="O1249" s="2"/>
      <c r="P1249" s="53"/>
      <c r="Q1249" s="53"/>
      <c r="R1249" s="2"/>
    </row>
    <row r="1250" spans="1:18" x14ac:dyDescent="0.25">
      <c r="A1250" s="3"/>
      <c r="B1250" s="3"/>
      <c r="C1250" s="2"/>
      <c r="D1250" s="2"/>
      <c r="E1250" s="51"/>
      <c r="F1250" s="51"/>
      <c r="G1250" s="51"/>
      <c r="H1250" s="51"/>
      <c r="I1250" s="2"/>
      <c r="J1250" s="2"/>
      <c r="K1250" s="2"/>
      <c r="L1250" s="2"/>
      <c r="M1250" s="2"/>
      <c r="N1250" s="2"/>
      <c r="O1250" s="2"/>
      <c r="P1250" s="53"/>
      <c r="Q1250" s="53"/>
      <c r="R1250" s="2"/>
    </row>
    <row r="1251" spans="1:18" x14ac:dyDescent="0.25">
      <c r="A1251" s="3"/>
      <c r="B1251" s="3"/>
      <c r="C1251" s="2"/>
      <c r="D1251" s="2"/>
      <c r="E1251" s="51"/>
      <c r="F1251" s="51"/>
      <c r="G1251" s="51"/>
      <c r="H1251" s="51"/>
      <c r="I1251" s="2"/>
      <c r="J1251" s="2"/>
      <c r="K1251" s="2"/>
      <c r="L1251" s="2"/>
      <c r="M1251" s="2"/>
      <c r="N1251" s="2"/>
      <c r="O1251" s="2"/>
      <c r="P1251" s="53"/>
      <c r="Q1251" s="53"/>
      <c r="R1251" s="2"/>
    </row>
    <row r="1252" spans="1:18" x14ac:dyDescent="0.25">
      <c r="A1252" s="3"/>
      <c r="B1252" s="3"/>
      <c r="C1252" s="2"/>
      <c r="D1252" s="2"/>
      <c r="E1252" s="51"/>
      <c r="F1252" s="51"/>
      <c r="G1252" s="51"/>
      <c r="H1252" s="51"/>
      <c r="I1252" s="2"/>
      <c r="J1252" s="2"/>
      <c r="K1252" s="2"/>
      <c r="L1252" s="2"/>
      <c r="M1252" s="2"/>
      <c r="N1252" s="2"/>
      <c r="O1252" s="2"/>
      <c r="P1252" s="53"/>
      <c r="Q1252" s="53"/>
      <c r="R1252" s="2"/>
    </row>
    <row r="1253" spans="1:18" x14ac:dyDescent="0.25">
      <c r="A1253" s="3"/>
      <c r="B1253" s="3"/>
      <c r="C1253" s="2"/>
      <c r="D1253" s="2"/>
      <c r="E1253" s="51"/>
      <c r="F1253" s="51"/>
      <c r="G1253" s="51"/>
      <c r="H1253" s="51"/>
      <c r="I1253" s="2"/>
      <c r="J1253" s="2"/>
      <c r="K1253" s="2"/>
      <c r="L1253" s="2"/>
      <c r="M1253" s="2"/>
      <c r="N1253" s="2"/>
      <c r="O1253" s="2"/>
      <c r="P1253" s="53"/>
      <c r="Q1253" s="53"/>
      <c r="R1253" s="2"/>
    </row>
    <row r="1254" spans="1:18" x14ac:dyDescent="0.25">
      <c r="A1254" s="3"/>
      <c r="B1254" s="3"/>
      <c r="C1254" s="2"/>
      <c r="D1254" s="2"/>
      <c r="E1254" s="51"/>
      <c r="F1254" s="51"/>
      <c r="G1254" s="51"/>
      <c r="H1254" s="51"/>
      <c r="I1254" s="2"/>
      <c r="J1254" s="2"/>
      <c r="K1254" s="2"/>
      <c r="L1254" s="2"/>
      <c r="M1254" s="2"/>
      <c r="N1254" s="2"/>
      <c r="O1254" s="2"/>
      <c r="P1254" s="53"/>
      <c r="Q1254" s="53"/>
      <c r="R1254" s="2"/>
    </row>
    <row r="1255" spans="1:18" x14ac:dyDescent="0.25">
      <c r="A1255" s="3"/>
      <c r="B1255" s="3"/>
      <c r="C1255" s="2"/>
      <c r="D1255" s="2"/>
      <c r="E1255" s="51"/>
      <c r="F1255" s="51"/>
      <c r="G1255" s="51"/>
      <c r="H1255" s="51"/>
      <c r="I1255" s="2"/>
      <c r="J1255" s="2"/>
      <c r="K1255" s="2"/>
      <c r="L1255" s="2"/>
      <c r="M1255" s="2"/>
      <c r="N1255" s="2"/>
      <c r="O1255" s="2"/>
      <c r="P1255" s="53"/>
      <c r="Q1255" s="53"/>
      <c r="R1255" s="2"/>
    </row>
    <row r="1256" spans="1:18" x14ac:dyDescent="0.25">
      <c r="A1256" s="3"/>
      <c r="B1256" s="3"/>
      <c r="C1256" s="2"/>
      <c r="D1256" s="2"/>
      <c r="E1256" s="51"/>
      <c r="F1256" s="51"/>
      <c r="G1256" s="51"/>
      <c r="H1256" s="51"/>
      <c r="I1256" s="2"/>
      <c r="J1256" s="2"/>
      <c r="K1256" s="2"/>
      <c r="L1256" s="2"/>
      <c r="M1256" s="2"/>
      <c r="N1256" s="2"/>
      <c r="O1256" s="2"/>
      <c r="P1256" s="53"/>
      <c r="Q1256" s="53"/>
      <c r="R1256" s="2"/>
    </row>
    <row r="1257" spans="1:18" x14ac:dyDescent="0.25">
      <c r="A1257" s="3"/>
      <c r="B1257" s="3"/>
      <c r="C1257" s="2"/>
      <c r="D1257" s="2"/>
      <c r="E1257" s="51"/>
      <c r="F1257" s="51"/>
      <c r="G1257" s="51"/>
      <c r="H1257" s="51"/>
      <c r="I1257" s="2"/>
      <c r="J1257" s="2"/>
      <c r="K1257" s="2"/>
      <c r="L1257" s="2"/>
      <c r="M1257" s="2"/>
      <c r="N1257" s="2"/>
      <c r="O1257" s="2"/>
      <c r="P1257" s="53"/>
      <c r="Q1257" s="53"/>
      <c r="R1257" s="2"/>
    </row>
    <row r="1258" spans="1:18" x14ac:dyDescent="0.25">
      <c r="A1258" s="3"/>
      <c r="B1258" s="3"/>
      <c r="C1258" s="2"/>
      <c r="D1258" s="2"/>
      <c r="E1258" s="51"/>
      <c r="F1258" s="51"/>
      <c r="G1258" s="51"/>
      <c r="H1258" s="51"/>
      <c r="I1258" s="2"/>
      <c r="J1258" s="2"/>
      <c r="K1258" s="2"/>
      <c r="L1258" s="2"/>
      <c r="M1258" s="2"/>
      <c r="N1258" s="2"/>
      <c r="O1258" s="2"/>
      <c r="P1258" s="53"/>
      <c r="Q1258" s="53"/>
      <c r="R1258" s="2"/>
    </row>
    <row r="1259" spans="1:18" x14ac:dyDescent="0.25">
      <c r="A1259" s="3"/>
      <c r="B1259" s="3"/>
      <c r="C1259" s="2"/>
      <c r="D1259" s="2"/>
      <c r="E1259" s="51"/>
      <c r="F1259" s="51"/>
      <c r="G1259" s="51"/>
      <c r="H1259" s="51"/>
      <c r="I1259" s="2"/>
      <c r="J1259" s="2"/>
      <c r="K1259" s="2"/>
      <c r="L1259" s="2"/>
      <c r="M1259" s="2"/>
      <c r="N1259" s="2"/>
      <c r="O1259" s="2"/>
      <c r="P1259" s="53"/>
      <c r="Q1259" s="53"/>
      <c r="R1259" s="2"/>
    </row>
    <row r="1260" spans="1:18" x14ac:dyDescent="0.25">
      <c r="A1260" s="3"/>
      <c r="B1260" s="3"/>
      <c r="C1260" s="2"/>
      <c r="D1260" s="2"/>
      <c r="E1260" s="51"/>
      <c r="F1260" s="51"/>
      <c r="G1260" s="51"/>
      <c r="H1260" s="51"/>
      <c r="I1260" s="2"/>
      <c r="J1260" s="2"/>
      <c r="K1260" s="2"/>
      <c r="L1260" s="2"/>
      <c r="M1260" s="2"/>
      <c r="N1260" s="2"/>
      <c r="O1260" s="2"/>
      <c r="P1260" s="53"/>
      <c r="Q1260" s="53"/>
      <c r="R1260" s="2"/>
    </row>
    <row r="1261" spans="1:18" x14ac:dyDescent="0.25">
      <c r="A1261" s="3"/>
      <c r="B1261" s="3"/>
      <c r="C1261" s="2"/>
      <c r="D1261" s="2"/>
      <c r="E1261" s="51"/>
      <c r="F1261" s="51"/>
      <c r="G1261" s="51"/>
      <c r="H1261" s="51"/>
      <c r="I1261" s="2"/>
      <c r="J1261" s="2"/>
      <c r="K1261" s="2"/>
      <c r="L1261" s="2"/>
      <c r="M1261" s="2"/>
      <c r="N1261" s="2"/>
      <c r="O1261" s="2"/>
      <c r="P1261" s="53"/>
      <c r="Q1261" s="53"/>
      <c r="R1261" s="2"/>
    </row>
    <row r="1262" spans="1:18" x14ac:dyDescent="0.25">
      <c r="A1262" s="3"/>
      <c r="B1262" s="3"/>
      <c r="C1262" s="2"/>
      <c r="D1262" s="2"/>
      <c r="E1262" s="51"/>
      <c r="F1262" s="51"/>
      <c r="G1262" s="51"/>
      <c r="H1262" s="51"/>
      <c r="I1262" s="2"/>
      <c r="J1262" s="2"/>
      <c r="K1262" s="2"/>
      <c r="L1262" s="2"/>
      <c r="M1262" s="2"/>
      <c r="N1262" s="2"/>
      <c r="O1262" s="2"/>
      <c r="P1262" s="53"/>
      <c r="Q1262" s="53"/>
      <c r="R1262" s="2"/>
    </row>
    <row r="1263" spans="1:18" x14ac:dyDescent="0.25">
      <c r="A1263" s="3"/>
      <c r="B1263" s="3"/>
      <c r="C1263" s="2"/>
      <c r="D1263" s="2"/>
      <c r="E1263" s="51"/>
      <c r="F1263" s="51"/>
      <c r="G1263" s="51"/>
      <c r="H1263" s="51"/>
      <c r="I1263" s="2"/>
      <c r="J1263" s="2"/>
      <c r="K1263" s="2"/>
      <c r="L1263" s="2"/>
      <c r="M1263" s="2"/>
      <c r="N1263" s="2"/>
      <c r="O1263" s="2"/>
      <c r="P1263" s="53"/>
      <c r="Q1263" s="53"/>
      <c r="R1263" s="2"/>
    </row>
    <row r="1264" spans="1:18" x14ac:dyDescent="0.25">
      <c r="A1264" s="3"/>
      <c r="B1264" s="3"/>
      <c r="C1264" s="2"/>
      <c r="D1264" s="2"/>
      <c r="E1264" s="51"/>
      <c r="F1264" s="51"/>
      <c r="G1264" s="51"/>
      <c r="H1264" s="51"/>
      <c r="I1264" s="2"/>
      <c r="J1264" s="2"/>
      <c r="K1264" s="2"/>
      <c r="L1264" s="2"/>
      <c r="M1264" s="2"/>
      <c r="N1264" s="2"/>
      <c r="O1264" s="2"/>
      <c r="P1264" s="53"/>
      <c r="Q1264" s="53"/>
      <c r="R1264" s="2"/>
    </row>
    <row r="1265" spans="1:18" x14ac:dyDescent="0.25">
      <c r="A1265" s="3"/>
      <c r="B1265" s="3"/>
      <c r="C1265" s="2"/>
      <c r="D1265" s="2"/>
      <c r="E1265" s="51"/>
      <c r="F1265" s="51"/>
      <c r="G1265" s="51"/>
      <c r="H1265" s="51"/>
      <c r="I1265" s="2"/>
      <c r="J1265" s="2"/>
      <c r="K1265" s="2"/>
      <c r="L1265" s="2"/>
      <c r="M1265" s="2"/>
      <c r="N1265" s="2"/>
      <c r="O1265" s="2"/>
      <c r="P1265" s="53"/>
      <c r="Q1265" s="53"/>
      <c r="R1265" s="2"/>
    </row>
    <row r="1266" spans="1:18" x14ac:dyDescent="0.25">
      <c r="A1266" s="3"/>
      <c r="B1266" s="3"/>
      <c r="C1266" s="2"/>
      <c r="D1266" s="2"/>
      <c r="E1266" s="51"/>
      <c r="F1266" s="51"/>
      <c r="G1266" s="51"/>
      <c r="H1266" s="51"/>
      <c r="I1266" s="2"/>
      <c r="J1266" s="2"/>
      <c r="K1266" s="2"/>
      <c r="L1266" s="2"/>
      <c r="M1266" s="2"/>
      <c r="N1266" s="2"/>
      <c r="O1266" s="2"/>
      <c r="P1266" s="53"/>
      <c r="Q1266" s="53"/>
      <c r="R1266" s="2"/>
    </row>
    <row r="1267" spans="1:18" x14ac:dyDescent="0.25">
      <c r="A1267" s="3"/>
      <c r="B1267" s="3"/>
      <c r="C1267" s="2"/>
      <c r="D1267" s="2"/>
      <c r="E1267" s="51"/>
      <c r="F1267" s="51"/>
      <c r="G1267" s="51"/>
      <c r="H1267" s="51"/>
      <c r="I1267" s="2"/>
      <c r="J1267" s="2"/>
      <c r="K1267" s="2"/>
      <c r="L1267" s="2"/>
      <c r="M1267" s="2"/>
      <c r="N1267" s="2"/>
      <c r="O1267" s="2"/>
      <c r="P1267" s="53"/>
      <c r="Q1267" s="53"/>
      <c r="R1267" s="2"/>
    </row>
    <row r="1268" spans="1:18" x14ac:dyDescent="0.25">
      <c r="A1268" s="3"/>
      <c r="B1268" s="3"/>
      <c r="C1268" s="2"/>
      <c r="D1268" s="2"/>
      <c r="E1268" s="51"/>
      <c r="F1268" s="51"/>
      <c r="G1268" s="51"/>
      <c r="H1268" s="51"/>
      <c r="I1268" s="2"/>
      <c r="J1268" s="2"/>
      <c r="K1268" s="2"/>
      <c r="L1268" s="2"/>
      <c r="M1268" s="2"/>
      <c r="N1268" s="2"/>
      <c r="O1268" s="2"/>
      <c r="P1268" s="53"/>
      <c r="Q1268" s="53"/>
      <c r="R1268" s="2"/>
    </row>
    <row r="1269" spans="1:18" x14ac:dyDescent="0.25">
      <c r="A1269" s="3"/>
      <c r="B1269" s="3"/>
      <c r="C1269" s="2"/>
      <c r="D1269" s="2"/>
      <c r="E1269" s="51"/>
      <c r="F1269" s="51"/>
      <c r="G1269" s="51"/>
      <c r="H1269" s="51"/>
      <c r="I1269" s="2"/>
      <c r="J1269" s="2"/>
      <c r="K1269" s="2"/>
      <c r="L1269" s="2"/>
      <c r="M1269" s="2"/>
      <c r="N1269" s="2"/>
      <c r="O1269" s="2"/>
      <c r="P1269" s="53"/>
      <c r="Q1269" s="53"/>
      <c r="R1269" s="2"/>
    </row>
    <row r="1270" spans="1:18" x14ac:dyDescent="0.25">
      <c r="A1270" s="3"/>
      <c r="B1270" s="3"/>
      <c r="C1270" s="2"/>
      <c r="D1270" s="2"/>
      <c r="E1270" s="51"/>
      <c r="F1270" s="51"/>
      <c r="G1270" s="51"/>
      <c r="H1270" s="51"/>
      <c r="I1270" s="2"/>
      <c r="J1270" s="2"/>
      <c r="K1270" s="2"/>
      <c r="L1270" s="2"/>
      <c r="M1270" s="2"/>
      <c r="N1270" s="2"/>
      <c r="O1270" s="2"/>
      <c r="P1270" s="53"/>
      <c r="Q1270" s="53"/>
      <c r="R1270" s="2"/>
    </row>
    <row r="1271" spans="1:18" x14ac:dyDescent="0.25">
      <c r="A1271" s="3"/>
      <c r="B1271" s="3"/>
      <c r="C1271" s="2"/>
      <c r="D1271" s="2"/>
      <c r="E1271" s="51"/>
      <c r="F1271" s="51"/>
      <c r="G1271" s="51"/>
      <c r="H1271" s="51"/>
      <c r="I1271" s="2"/>
      <c r="J1271" s="2"/>
      <c r="K1271" s="2"/>
      <c r="L1271" s="2"/>
      <c r="M1271" s="2"/>
      <c r="N1271" s="2"/>
      <c r="O1271" s="2"/>
      <c r="P1271" s="53"/>
      <c r="Q1271" s="53"/>
      <c r="R1271" s="2"/>
    </row>
    <row r="1272" spans="1:18" x14ac:dyDescent="0.25">
      <c r="A1272" s="3"/>
      <c r="B1272" s="3"/>
      <c r="C1272" s="2"/>
      <c r="D1272" s="2"/>
      <c r="E1272" s="51"/>
      <c r="F1272" s="51"/>
      <c r="G1272" s="51"/>
      <c r="H1272" s="51"/>
      <c r="I1272" s="2"/>
      <c r="J1272" s="2"/>
      <c r="K1272" s="2"/>
      <c r="L1272" s="2"/>
      <c r="M1272" s="2"/>
      <c r="N1272" s="2"/>
      <c r="O1272" s="2"/>
      <c r="P1272" s="53"/>
      <c r="Q1272" s="53"/>
      <c r="R1272" s="2"/>
    </row>
    <row r="1273" spans="1:18" x14ac:dyDescent="0.25">
      <c r="A1273" s="3"/>
      <c r="B1273" s="3"/>
      <c r="C1273" s="2"/>
      <c r="D1273" s="2"/>
      <c r="E1273" s="51"/>
      <c r="F1273" s="51"/>
      <c r="G1273" s="51"/>
      <c r="H1273" s="51"/>
      <c r="I1273" s="2"/>
      <c r="J1273" s="2"/>
      <c r="K1273" s="2"/>
      <c r="L1273" s="2"/>
      <c r="M1273" s="2"/>
      <c r="N1273" s="2"/>
      <c r="O1273" s="2"/>
      <c r="P1273" s="53"/>
      <c r="Q1273" s="53"/>
      <c r="R1273" s="2"/>
    </row>
    <row r="1274" spans="1:18" x14ac:dyDescent="0.25">
      <c r="A1274" s="3"/>
      <c r="B1274" s="3"/>
      <c r="C1274" s="2"/>
      <c r="D1274" s="2"/>
      <c r="E1274" s="51"/>
      <c r="F1274" s="51"/>
      <c r="G1274" s="51"/>
      <c r="H1274" s="51"/>
      <c r="I1274" s="2"/>
      <c r="J1274" s="2"/>
      <c r="K1274" s="2"/>
      <c r="L1274" s="2"/>
      <c r="M1274" s="2"/>
      <c r="N1274" s="2"/>
      <c r="O1274" s="2"/>
      <c r="P1274" s="53"/>
      <c r="Q1274" s="53"/>
      <c r="R1274" s="2"/>
    </row>
    <row r="1275" spans="1:18" x14ac:dyDescent="0.25">
      <c r="A1275" s="3"/>
      <c r="B1275" s="3"/>
      <c r="C1275" s="2"/>
      <c r="D1275" s="2"/>
      <c r="E1275" s="51"/>
      <c r="F1275" s="51"/>
      <c r="G1275" s="51"/>
      <c r="H1275" s="51"/>
      <c r="I1275" s="2"/>
      <c r="J1275" s="2"/>
      <c r="K1275" s="2"/>
      <c r="L1275" s="2"/>
      <c r="M1275" s="2"/>
      <c r="N1275" s="2"/>
      <c r="O1275" s="2"/>
      <c r="P1275" s="53"/>
      <c r="Q1275" s="53"/>
      <c r="R1275" s="2"/>
    </row>
    <row r="1276" spans="1:18" x14ac:dyDescent="0.25">
      <c r="A1276" s="3"/>
      <c r="B1276" s="3"/>
      <c r="C1276" s="2"/>
      <c r="D1276" s="2"/>
      <c r="E1276" s="51"/>
      <c r="F1276" s="51"/>
      <c r="G1276" s="51"/>
      <c r="H1276" s="51"/>
      <c r="I1276" s="2"/>
      <c r="J1276" s="2"/>
      <c r="K1276" s="2"/>
      <c r="L1276" s="2"/>
      <c r="M1276" s="2"/>
      <c r="N1276" s="2"/>
      <c r="O1276" s="2"/>
      <c r="P1276" s="53"/>
      <c r="Q1276" s="53"/>
      <c r="R1276" s="2"/>
    </row>
    <row r="1277" spans="1:18" x14ac:dyDescent="0.25">
      <c r="A1277" s="3"/>
      <c r="B1277" s="3"/>
      <c r="C1277" s="2"/>
      <c r="D1277" s="2"/>
      <c r="E1277" s="51"/>
      <c r="F1277" s="51"/>
      <c r="G1277" s="51"/>
      <c r="H1277" s="51"/>
      <c r="I1277" s="2"/>
      <c r="J1277" s="2"/>
      <c r="K1277" s="2"/>
      <c r="L1277" s="2"/>
      <c r="M1277" s="2"/>
      <c r="N1277" s="2"/>
      <c r="O1277" s="2"/>
      <c r="P1277" s="53"/>
      <c r="Q1277" s="53"/>
      <c r="R1277" s="2"/>
    </row>
    <row r="1278" spans="1:18" x14ac:dyDescent="0.25">
      <c r="A1278" s="3"/>
      <c r="B1278" s="3"/>
      <c r="C1278" s="2"/>
      <c r="D1278" s="2"/>
      <c r="E1278" s="51"/>
      <c r="F1278" s="51"/>
      <c r="G1278" s="51"/>
      <c r="H1278" s="51"/>
      <c r="I1278" s="2"/>
      <c r="J1278" s="2"/>
      <c r="K1278" s="2"/>
      <c r="L1278" s="2"/>
      <c r="M1278" s="2"/>
      <c r="N1278" s="2"/>
      <c r="O1278" s="2"/>
      <c r="P1278" s="53"/>
      <c r="Q1278" s="53"/>
      <c r="R1278" s="2"/>
    </row>
    <row r="1279" spans="1:18" x14ac:dyDescent="0.25">
      <c r="A1279" s="3"/>
      <c r="B1279" s="3"/>
      <c r="C1279" s="2"/>
      <c r="D1279" s="2"/>
      <c r="E1279" s="51"/>
      <c r="F1279" s="51"/>
      <c r="G1279" s="51"/>
      <c r="H1279" s="51"/>
      <c r="I1279" s="2"/>
      <c r="J1279" s="2"/>
      <c r="K1279" s="2"/>
      <c r="L1279" s="2"/>
      <c r="M1279" s="2"/>
      <c r="N1279" s="2"/>
      <c r="O1279" s="2"/>
      <c r="P1279" s="53"/>
      <c r="Q1279" s="53"/>
      <c r="R1279" s="2"/>
    </row>
    <row r="1280" spans="1:18" x14ac:dyDescent="0.25">
      <c r="A1280" s="3"/>
      <c r="B1280" s="3"/>
      <c r="C1280" s="2"/>
      <c r="D1280" s="2"/>
      <c r="E1280" s="51"/>
      <c r="F1280" s="51"/>
      <c r="G1280" s="51"/>
      <c r="H1280" s="51"/>
      <c r="I1280" s="2"/>
      <c r="J1280" s="2"/>
      <c r="K1280" s="2"/>
      <c r="L1280" s="2"/>
      <c r="M1280" s="2"/>
      <c r="N1280" s="2"/>
      <c r="O1280" s="2"/>
      <c r="P1280" s="53"/>
      <c r="Q1280" s="53"/>
      <c r="R1280" s="2"/>
    </row>
    <row r="1281" spans="1:18" x14ac:dyDescent="0.25">
      <c r="A1281" s="3"/>
      <c r="B1281" s="3"/>
      <c r="C1281" s="2"/>
      <c r="D1281" s="2"/>
      <c r="E1281" s="51"/>
      <c r="F1281" s="51"/>
      <c r="G1281" s="51"/>
      <c r="H1281" s="51"/>
      <c r="I1281" s="2"/>
      <c r="J1281" s="2"/>
      <c r="K1281" s="2"/>
      <c r="L1281" s="2"/>
      <c r="M1281" s="2"/>
      <c r="N1281" s="2"/>
      <c r="O1281" s="2"/>
      <c r="P1281" s="53"/>
      <c r="Q1281" s="53"/>
      <c r="R1281" s="2"/>
    </row>
    <row r="1282" spans="1:18" x14ac:dyDescent="0.25">
      <c r="A1282" s="3"/>
      <c r="B1282" s="3"/>
      <c r="C1282" s="2"/>
      <c r="D1282" s="2"/>
      <c r="E1282" s="51"/>
      <c r="F1282" s="51"/>
      <c r="G1282" s="51"/>
      <c r="H1282" s="51"/>
      <c r="I1282" s="2"/>
      <c r="J1282" s="2"/>
      <c r="K1282" s="2"/>
      <c r="L1282" s="2"/>
      <c r="M1282" s="2"/>
      <c r="N1282" s="2"/>
      <c r="O1282" s="2"/>
      <c r="P1282" s="53"/>
      <c r="Q1282" s="53"/>
      <c r="R1282" s="2"/>
    </row>
    <row r="1283" spans="1:18" x14ac:dyDescent="0.25">
      <c r="A1283" s="3"/>
      <c r="B1283" s="3"/>
      <c r="C1283" s="2"/>
      <c r="D1283" s="2"/>
      <c r="E1283" s="51"/>
      <c r="F1283" s="51"/>
      <c r="G1283" s="51"/>
      <c r="H1283" s="51"/>
      <c r="I1283" s="2"/>
      <c r="J1283" s="2"/>
      <c r="K1283" s="2"/>
      <c r="L1283" s="2"/>
      <c r="M1283" s="2"/>
      <c r="N1283" s="2"/>
      <c r="O1283" s="2"/>
      <c r="P1283" s="53"/>
      <c r="Q1283" s="53"/>
      <c r="R1283" s="2"/>
    </row>
    <row r="1284" spans="1:18" x14ac:dyDescent="0.25">
      <c r="A1284" s="3"/>
      <c r="B1284" s="3"/>
      <c r="C1284" s="2"/>
      <c r="D1284" s="2"/>
      <c r="E1284" s="51"/>
      <c r="F1284" s="51"/>
      <c r="G1284" s="51"/>
      <c r="H1284" s="51"/>
      <c r="I1284" s="2"/>
      <c r="J1284" s="2"/>
      <c r="K1284" s="2"/>
      <c r="L1284" s="2"/>
      <c r="M1284" s="2"/>
      <c r="N1284" s="2"/>
      <c r="O1284" s="2"/>
      <c r="P1284" s="53"/>
      <c r="Q1284" s="53"/>
      <c r="R1284" s="2"/>
    </row>
    <row r="1285" spans="1:18" x14ac:dyDescent="0.25">
      <c r="A1285" s="3"/>
      <c r="B1285" s="3"/>
      <c r="C1285" s="2"/>
      <c r="D1285" s="2"/>
      <c r="E1285" s="51"/>
      <c r="F1285" s="51"/>
      <c r="G1285" s="51"/>
      <c r="H1285" s="51"/>
      <c r="I1285" s="2"/>
      <c r="J1285" s="2"/>
      <c r="K1285" s="2"/>
      <c r="L1285" s="2"/>
      <c r="M1285" s="2"/>
      <c r="N1285" s="2"/>
      <c r="O1285" s="2"/>
      <c r="P1285" s="53"/>
      <c r="Q1285" s="53"/>
      <c r="R1285" s="2"/>
    </row>
    <row r="1286" spans="1:18" x14ac:dyDescent="0.25">
      <c r="A1286" s="3"/>
      <c r="B1286" s="3"/>
      <c r="C1286" s="2"/>
      <c r="D1286" s="2"/>
      <c r="E1286" s="51"/>
      <c r="F1286" s="51"/>
      <c r="G1286" s="51"/>
      <c r="H1286" s="51"/>
      <c r="I1286" s="2"/>
      <c r="J1286" s="2"/>
      <c r="K1286" s="2"/>
      <c r="L1286" s="2"/>
      <c r="M1286" s="2"/>
      <c r="N1286" s="2"/>
      <c r="O1286" s="2"/>
      <c r="P1286" s="53"/>
      <c r="Q1286" s="53"/>
      <c r="R1286" s="2"/>
    </row>
    <row r="1287" spans="1:18" x14ac:dyDescent="0.25">
      <c r="A1287" s="3"/>
      <c r="B1287" s="3"/>
      <c r="C1287" s="2"/>
      <c r="D1287" s="2"/>
      <c r="E1287" s="51"/>
      <c r="F1287" s="51"/>
      <c r="G1287" s="51"/>
      <c r="H1287" s="51"/>
      <c r="I1287" s="2"/>
      <c r="J1287" s="2"/>
      <c r="K1287" s="2"/>
      <c r="L1287" s="2"/>
      <c r="M1287" s="2"/>
      <c r="N1287" s="2"/>
      <c r="O1287" s="2"/>
      <c r="P1287" s="53"/>
      <c r="Q1287" s="53"/>
      <c r="R1287" s="2"/>
    </row>
    <row r="1288" spans="1:18" x14ac:dyDescent="0.25">
      <c r="A1288" s="3"/>
      <c r="B1288" s="3"/>
      <c r="C1288" s="2"/>
      <c r="D1288" s="2"/>
      <c r="E1288" s="51"/>
      <c r="F1288" s="51"/>
      <c r="G1288" s="51"/>
      <c r="H1288" s="51"/>
      <c r="I1288" s="2"/>
      <c r="J1288" s="2"/>
      <c r="K1288" s="2"/>
      <c r="L1288" s="2"/>
      <c r="M1288" s="2"/>
      <c r="N1288" s="2"/>
      <c r="O1288" s="2"/>
      <c r="P1288" s="53"/>
      <c r="Q1288" s="53"/>
      <c r="R1288" s="2"/>
    </row>
    <row r="1289" spans="1:18" x14ac:dyDescent="0.25">
      <c r="A1289" s="3"/>
      <c r="B1289" s="3"/>
      <c r="C1289" s="2"/>
      <c r="D1289" s="2"/>
      <c r="E1289" s="51"/>
      <c r="F1289" s="51"/>
      <c r="G1289" s="51"/>
      <c r="H1289" s="51"/>
      <c r="I1289" s="2"/>
      <c r="L1289" s="2"/>
      <c r="M1289" s="2"/>
      <c r="N1289" s="2"/>
    </row>
    <row r="1290" spans="1:18" x14ac:dyDescent="0.25">
      <c r="A1290" s="3"/>
      <c r="B1290" s="3"/>
      <c r="C1290" s="2"/>
      <c r="D1290" s="2"/>
      <c r="E1290" s="51"/>
      <c r="F1290" s="51"/>
      <c r="G1290" s="51"/>
      <c r="H1290" s="51"/>
      <c r="I1290" s="2"/>
      <c r="L1290" s="2"/>
      <c r="M1290" s="2"/>
      <c r="N1290" s="2"/>
    </row>
    <row r="1291" spans="1:18" x14ac:dyDescent="0.25">
      <c r="A1291" s="3"/>
      <c r="B1291" s="3"/>
      <c r="C1291" s="2"/>
      <c r="D1291" s="2"/>
      <c r="E1291" s="51"/>
      <c r="F1291" s="51"/>
      <c r="G1291" s="51"/>
      <c r="H1291" s="51"/>
      <c r="I1291" s="2"/>
      <c r="L1291" s="2"/>
      <c r="M1291" s="2"/>
      <c r="N1291" s="2"/>
    </row>
    <row r="1292" spans="1:18" x14ac:dyDescent="0.25">
      <c r="A1292" s="3"/>
      <c r="B1292" s="3"/>
      <c r="C1292" s="2"/>
      <c r="D1292" s="2"/>
      <c r="E1292" s="51"/>
      <c r="F1292" s="51"/>
      <c r="G1292" s="51"/>
      <c r="H1292" s="51"/>
      <c r="I1292" s="2"/>
      <c r="L1292" s="2"/>
      <c r="M1292" s="2"/>
      <c r="N1292" s="2"/>
    </row>
    <row r="1293" spans="1:18" x14ac:dyDescent="0.25">
      <c r="A1293" s="3"/>
      <c r="B1293" s="3"/>
      <c r="C1293" s="2"/>
      <c r="D1293" s="2"/>
      <c r="E1293" s="51"/>
      <c r="F1293" s="51"/>
      <c r="G1293" s="51"/>
      <c r="H1293" s="51"/>
      <c r="I1293" s="2"/>
      <c r="L1293" s="2"/>
      <c r="M1293" s="2"/>
      <c r="N1293" s="2"/>
    </row>
    <row r="1294" spans="1:18" x14ac:dyDescent="0.25">
      <c r="A1294" s="3"/>
      <c r="B1294" s="3"/>
      <c r="C1294" s="2"/>
      <c r="D1294" s="2"/>
      <c r="E1294" s="51"/>
      <c r="F1294" s="51"/>
      <c r="G1294" s="51"/>
      <c r="H1294" s="51"/>
      <c r="I1294" s="2"/>
      <c r="L1294" s="2"/>
      <c r="M1294" s="2"/>
      <c r="N1294" s="2"/>
    </row>
    <row r="1295" spans="1:18" x14ac:dyDescent="0.25">
      <c r="A1295" s="3"/>
      <c r="B1295" s="3"/>
      <c r="C1295" s="2"/>
      <c r="D1295" s="2"/>
      <c r="E1295" s="51"/>
      <c r="F1295" s="51"/>
      <c r="G1295" s="51"/>
      <c r="H1295" s="51"/>
      <c r="I1295" s="2"/>
      <c r="L1295" s="2"/>
      <c r="M1295" s="2"/>
      <c r="N1295" s="2"/>
    </row>
    <row r="1296" spans="1:18" x14ac:dyDescent="0.25">
      <c r="A1296" s="3"/>
      <c r="B1296" s="3"/>
      <c r="C1296" s="2"/>
      <c r="D1296" s="2"/>
      <c r="E1296" s="51"/>
      <c r="F1296" s="51"/>
      <c r="G1296" s="51"/>
      <c r="H1296" s="51"/>
      <c r="I1296" s="2"/>
      <c r="L1296" s="2"/>
      <c r="M1296" s="2"/>
      <c r="N1296" s="2"/>
    </row>
    <row r="1297" spans="1:14" x14ac:dyDescent="0.25">
      <c r="A1297" s="3"/>
      <c r="B1297" s="3"/>
      <c r="C1297" s="2"/>
      <c r="D1297" s="2"/>
      <c r="E1297" s="51"/>
      <c r="F1297" s="51"/>
      <c r="G1297" s="51"/>
      <c r="H1297" s="51"/>
      <c r="I1297" s="2"/>
      <c r="L1297" s="2"/>
      <c r="M1297" s="2"/>
      <c r="N1297" s="2"/>
    </row>
    <row r="1298" spans="1:14" x14ac:dyDescent="0.25">
      <c r="A1298" s="3"/>
      <c r="B1298" s="3"/>
      <c r="C1298" s="2"/>
      <c r="D1298" s="2"/>
      <c r="E1298" s="51"/>
      <c r="F1298" s="51"/>
      <c r="G1298" s="51"/>
      <c r="H1298" s="51"/>
      <c r="I1298" s="2"/>
      <c r="L1298" s="2"/>
      <c r="M1298" s="2"/>
      <c r="N1298" s="2"/>
    </row>
    <row r="1299" spans="1:14" x14ac:dyDescent="0.25">
      <c r="A1299" s="3"/>
      <c r="B1299" s="3"/>
      <c r="C1299" s="2"/>
      <c r="D1299" s="2"/>
      <c r="E1299" s="51"/>
      <c r="F1299" s="51"/>
      <c r="G1299" s="51"/>
      <c r="H1299" s="51"/>
      <c r="I1299" s="2"/>
      <c r="L1299" s="2"/>
      <c r="M1299" s="2"/>
      <c r="N1299" s="2"/>
    </row>
    <row r="1300" spans="1:14" x14ac:dyDescent="0.25">
      <c r="A1300" s="3"/>
      <c r="B1300" s="3"/>
      <c r="C1300" s="2"/>
      <c r="D1300" s="2"/>
      <c r="E1300" s="51"/>
      <c r="F1300" s="51"/>
      <c r="G1300" s="51"/>
      <c r="H1300" s="51"/>
      <c r="I1300" s="2"/>
      <c r="L1300" s="2"/>
      <c r="M1300" s="2"/>
      <c r="N1300" s="2"/>
    </row>
    <row r="1301" spans="1:14" x14ac:dyDescent="0.25">
      <c r="A1301" s="3"/>
      <c r="B1301" s="3"/>
      <c r="C1301" s="2"/>
      <c r="D1301" s="2"/>
      <c r="E1301" s="51"/>
      <c r="F1301" s="51"/>
      <c r="G1301" s="51"/>
      <c r="H1301" s="51"/>
      <c r="I1301" s="2"/>
      <c r="L1301" s="2"/>
      <c r="M1301" s="2"/>
      <c r="N1301" s="2"/>
    </row>
    <row r="1302" spans="1:14" x14ac:dyDescent="0.25">
      <c r="A1302" s="3"/>
      <c r="B1302" s="3"/>
      <c r="C1302" s="2"/>
      <c r="D1302" s="2"/>
      <c r="E1302" s="51"/>
      <c r="F1302" s="51"/>
      <c r="G1302" s="51"/>
      <c r="H1302" s="51"/>
      <c r="I1302" s="2"/>
      <c r="L1302" s="2"/>
      <c r="M1302" s="2"/>
      <c r="N1302" s="2"/>
    </row>
    <row r="1303" spans="1:14" x14ac:dyDescent="0.25">
      <c r="A1303" s="3"/>
      <c r="B1303" s="3"/>
      <c r="C1303" s="2"/>
      <c r="D1303" s="2"/>
      <c r="E1303" s="51"/>
      <c r="F1303" s="51"/>
      <c r="G1303" s="51"/>
      <c r="H1303" s="51"/>
      <c r="I1303" s="2"/>
      <c r="L1303" s="2"/>
      <c r="M1303" s="2"/>
      <c r="N1303" s="2"/>
    </row>
    <row r="1304" spans="1:14" x14ac:dyDescent="0.25">
      <c r="A1304" s="3"/>
      <c r="B1304" s="3"/>
      <c r="C1304" s="2"/>
      <c r="D1304" s="2"/>
      <c r="E1304" s="51"/>
      <c r="F1304" s="51"/>
      <c r="G1304" s="51"/>
      <c r="H1304" s="51"/>
      <c r="I1304" s="2"/>
      <c r="L1304" s="2"/>
      <c r="M1304" s="2"/>
      <c r="N1304" s="2"/>
    </row>
    <row r="1305" spans="1:14" x14ac:dyDescent="0.25">
      <c r="A1305" s="3"/>
      <c r="B1305" s="3"/>
      <c r="C1305" s="2"/>
      <c r="D1305" s="2"/>
      <c r="E1305" s="51"/>
      <c r="F1305" s="51"/>
      <c r="G1305" s="51"/>
      <c r="H1305" s="51"/>
      <c r="I1305" s="2"/>
      <c r="L1305" s="2"/>
      <c r="M1305" s="2"/>
      <c r="N1305" s="2"/>
    </row>
    <row r="1306" spans="1:14" x14ac:dyDescent="0.25">
      <c r="A1306" s="3"/>
      <c r="B1306" s="3"/>
      <c r="C1306" s="2"/>
      <c r="D1306" s="2"/>
      <c r="E1306" s="51"/>
      <c r="F1306" s="51"/>
      <c r="G1306" s="51"/>
      <c r="H1306" s="51"/>
      <c r="I1306" s="2"/>
      <c r="L1306" s="2"/>
      <c r="M1306" s="2"/>
      <c r="N1306" s="2"/>
    </row>
    <row r="1307" spans="1:14" x14ac:dyDescent="0.25">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topLeftCell="A22" workbookViewId="0">
      <selection activeCell="H42" sqref="H42"/>
    </sheetView>
  </sheetViews>
  <sheetFormatPr defaultRowHeight="14.25" x14ac:dyDescent="0.2"/>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x14ac:dyDescent="0.2">
      <c r="A1" s="75"/>
      <c r="B1" s="75"/>
      <c r="C1" s="75"/>
      <c r="D1" s="75"/>
      <c r="E1" s="75"/>
      <c r="F1" s="75"/>
      <c r="G1" s="75"/>
      <c r="H1" s="75"/>
      <c r="I1" s="75"/>
      <c r="J1" s="75"/>
      <c r="K1" s="75"/>
      <c r="L1" s="75"/>
      <c r="M1" s="75"/>
      <c r="N1" s="75"/>
    </row>
    <row r="2" spans="1:14" ht="133.5" customHeight="1" x14ac:dyDescent="0.45">
      <c r="B2" s="1044" t="s">
        <v>290</v>
      </c>
      <c r="C2" s="1044"/>
      <c r="D2" s="1044"/>
      <c r="E2" s="1044"/>
      <c r="F2" s="579"/>
      <c r="G2" s="548"/>
      <c r="H2" s="548"/>
      <c r="I2" s="548"/>
      <c r="J2" s="548"/>
      <c r="K2" s="548"/>
      <c r="L2" s="75"/>
      <c r="M2" s="75"/>
      <c r="N2" s="75"/>
    </row>
    <row r="3" spans="1:14" ht="27" customHeight="1" x14ac:dyDescent="0.3">
      <c r="A3" s="549" t="str">
        <f>S.General.RulemakingTitle</f>
        <v>AQ Permitting</v>
      </c>
      <c r="B3" s="75"/>
      <c r="D3" s="549"/>
      <c r="E3" s="549"/>
      <c r="F3" s="549"/>
      <c r="G3" s="75"/>
      <c r="H3" s="75"/>
      <c r="I3" s="75"/>
      <c r="J3" s="75"/>
      <c r="K3" s="75"/>
      <c r="L3" s="75"/>
      <c r="M3" s="75"/>
      <c r="N3" s="75"/>
    </row>
    <row r="4" spans="1:14" ht="21" customHeight="1" x14ac:dyDescent="0.3">
      <c r="A4" s="585" t="str">
        <f>"Code: "&amp;S.General.CodeName</f>
        <v>Code: AQPerm</v>
      </c>
      <c r="B4" s="550"/>
      <c r="C4" s="550"/>
      <c r="E4" s="550"/>
      <c r="F4" s="75"/>
      <c r="G4" s="550"/>
      <c r="H4" s="75"/>
      <c r="I4" s="75"/>
      <c r="J4" s="75"/>
      <c r="K4" s="75"/>
      <c r="L4" s="75"/>
      <c r="M4" s="75"/>
      <c r="N4" s="75"/>
    </row>
    <row r="5" spans="1:14" s="23" customFormat="1" ht="31.5" customHeight="1" x14ac:dyDescent="0.25">
      <c r="A5" s="75"/>
      <c r="B5" s="551" t="s">
        <v>291</v>
      </c>
      <c r="C5" s="75"/>
      <c r="D5" s="75"/>
      <c r="E5" s="75"/>
      <c r="F5" s="75"/>
      <c r="G5" s="75"/>
      <c r="H5" s="75"/>
      <c r="I5" s="75"/>
      <c r="J5" s="75"/>
      <c r="K5" s="75"/>
      <c r="L5" s="75"/>
      <c r="M5" s="75"/>
      <c r="N5" s="75"/>
    </row>
    <row r="6" spans="1:14" ht="27.75" customHeight="1" x14ac:dyDescent="0.2">
      <c r="A6" s="75"/>
      <c r="B6" s="552" t="s">
        <v>301</v>
      </c>
      <c r="C6" s="553"/>
      <c r="D6" s="553"/>
      <c r="E6" s="553"/>
      <c r="F6" s="75"/>
      <c r="G6" s="553"/>
      <c r="H6" s="553"/>
      <c r="I6" s="553"/>
      <c r="J6" s="75"/>
      <c r="K6" s="75"/>
      <c r="L6" s="75"/>
      <c r="M6" s="75"/>
      <c r="N6" s="75"/>
    </row>
    <row r="7" spans="1:14" ht="11.25" customHeight="1" x14ac:dyDescent="0.2">
      <c r="A7" s="75"/>
      <c r="B7" s="75"/>
      <c r="C7" s="75"/>
      <c r="D7" s="75"/>
      <c r="E7" s="75"/>
      <c r="F7" s="75"/>
      <c r="G7" s="75"/>
      <c r="H7" s="75"/>
      <c r="I7" s="75"/>
      <c r="J7" s="75"/>
      <c r="K7" s="75"/>
      <c r="L7" s="75"/>
      <c r="M7" s="75"/>
      <c r="N7" s="75"/>
    </row>
    <row r="8" spans="1:14" s="23" customFormat="1" ht="24" customHeight="1" x14ac:dyDescent="0.25">
      <c r="A8" s="75"/>
      <c r="B8" s="551" t="s">
        <v>292</v>
      </c>
      <c r="C8" s="75"/>
      <c r="D8" s="75"/>
      <c r="E8" s="75"/>
      <c r="F8" s="75"/>
      <c r="G8" s="75"/>
      <c r="H8" s="75"/>
      <c r="I8" s="75"/>
      <c r="J8" s="75"/>
      <c r="K8" s="75"/>
      <c r="L8" s="75"/>
      <c r="M8" s="75"/>
      <c r="N8" s="75"/>
    </row>
    <row r="9" spans="1:14" s="23" customFormat="1" ht="25.5" customHeight="1" x14ac:dyDescent="0.2">
      <c r="A9" s="75"/>
      <c r="B9" s="552" t="s">
        <v>302</v>
      </c>
      <c r="C9" s="553"/>
      <c r="D9" s="553"/>
      <c r="E9" s="553"/>
      <c r="F9" s="75"/>
      <c r="G9" s="553"/>
      <c r="H9" s="553"/>
      <c r="I9" s="553"/>
      <c r="J9" s="75"/>
      <c r="K9" s="75"/>
      <c r="L9" s="75"/>
      <c r="M9" s="75"/>
      <c r="N9" s="75"/>
    </row>
    <row r="10" spans="1:14" ht="9.75" customHeight="1" x14ac:dyDescent="0.2">
      <c r="A10" s="75"/>
      <c r="B10" s="75"/>
      <c r="C10" s="75"/>
      <c r="D10" s="75"/>
      <c r="E10" s="75"/>
      <c r="F10" s="75"/>
      <c r="G10" s="75"/>
      <c r="H10" s="75"/>
      <c r="I10" s="75"/>
      <c r="J10" s="75"/>
      <c r="K10" s="75"/>
      <c r="L10" s="75"/>
      <c r="M10" s="75"/>
      <c r="N10" s="75"/>
    </row>
    <row r="11" spans="1:14" s="23" customFormat="1" ht="24" customHeight="1" x14ac:dyDescent="0.25">
      <c r="A11" s="75"/>
      <c r="B11" s="551" t="s">
        <v>293</v>
      </c>
      <c r="C11" s="75"/>
      <c r="D11" s="75"/>
      <c r="E11" s="75"/>
      <c r="F11" s="75"/>
      <c r="G11" s="75"/>
      <c r="H11" s="75"/>
      <c r="I11" s="75"/>
      <c r="J11" s="75"/>
      <c r="K11" s="75"/>
      <c r="L11" s="75"/>
      <c r="M11" s="75"/>
      <c r="N11" s="75"/>
    </row>
    <row r="12" spans="1:14" s="23" customFormat="1" ht="25.5" customHeight="1" x14ac:dyDescent="0.2">
      <c r="A12" s="75"/>
      <c r="B12" s="552" t="s">
        <v>303</v>
      </c>
      <c r="C12" s="553"/>
      <c r="D12" s="553"/>
      <c r="E12" s="553"/>
      <c r="F12" s="75"/>
      <c r="G12" s="553"/>
      <c r="H12" s="553"/>
      <c r="I12" s="553"/>
      <c r="J12" s="75"/>
      <c r="K12" s="75"/>
      <c r="L12" s="75"/>
      <c r="M12" s="75"/>
      <c r="N12" s="75"/>
    </row>
    <row r="13" spans="1:14" x14ac:dyDescent="0.2">
      <c r="A13" s="75"/>
      <c r="B13" s="75"/>
      <c r="C13" s="75"/>
      <c r="D13" s="75"/>
      <c r="E13" s="75"/>
      <c r="F13" s="75"/>
      <c r="G13" s="75"/>
      <c r="H13" s="75"/>
      <c r="I13" s="75"/>
      <c r="J13" s="75"/>
      <c r="K13" s="75"/>
      <c r="L13" s="75"/>
      <c r="M13" s="75"/>
      <c r="N13" s="75"/>
    </row>
    <row r="14" spans="1:14" ht="20.25" x14ac:dyDescent="0.3">
      <c r="A14" s="549" t="s">
        <v>286</v>
      </c>
      <c r="B14" s="75"/>
      <c r="C14" s="75"/>
      <c r="D14" s="75"/>
      <c r="E14" s="75"/>
      <c r="F14" s="75"/>
      <c r="G14" s="75"/>
      <c r="H14" s="75"/>
      <c r="I14" s="75"/>
      <c r="J14" s="75"/>
      <c r="K14" s="75"/>
      <c r="L14" s="75"/>
      <c r="M14" s="75"/>
      <c r="N14" s="75"/>
    </row>
    <row r="15" spans="1:14" ht="33" customHeight="1" x14ac:dyDescent="0.2">
      <c r="A15" s="75"/>
      <c r="B15" s="1046" t="s">
        <v>338</v>
      </c>
      <c r="C15" s="1046"/>
      <c r="D15" s="1046"/>
      <c r="E15" s="1046"/>
      <c r="F15" s="1046"/>
      <c r="G15" s="75"/>
      <c r="H15" s="75"/>
      <c r="I15" s="75"/>
      <c r="J15" s="75"/>
      <c r="K15" s="75"/>
      <c r="L15" s="75"/>
      <c r="M15" s="75"/>
      <c r="N15" s="75"/>
    </row>
    <row r="16" spans="1:14" s="23" customFormat="1" ht="21" customHeight="1" x14ac:dyDescent="0.2">
      <c r="A16" s="75"/>
      <c r="B16" s="614"/>
      <c r="C16" s="75"/>
      <c r="D16" s="75"/>
      <c r="E16" s="75"/>
      <c r="F16" s="75"/>
      <c r="G16" s="75"/>
      <c r="H16" s="75"/>
      <c r="I16" s="75"/>
      <c r="J16" s="75"/>
      <c r="K16" s="75"/>
      <c r="L16" s="75"/>
      <c r="M16" s="75"/>
      <c r="N16" s="75"/>
    </row>
    <row r="17" spans="1:14" ht="25.5" customHeight="1" x14ac:dyDescent="0.25">
      <c r="B17" s="551" t="s">
        <v>309</v>
      </c>
      <c r="C17" s="1045" t="str">
        <f>S.Staff.Program.Mgr.FullName&amp;", "&amp;S.Staff.Program.Mgr.Div&amp;": "&amp;S.Staff.Program.Mgr.SectionName&amp;""</f>
        <v xml:space="preserve">, : </v>
      </c>
      <c r="D17" s="1045"/>
      <c r="E17" s="1045"/>
      <c r="F17" s="75"/>
      <c r="G17" s="75"/>
      <c r="H17" s="75"/>
      <c r="I17" s="75"/>
      <c r="J17" s="75"/>
      <c r="K17" s="75"/>
      <c r="L17" s="75"/>
      <c r="M17" s="75"/>
      <c r="N17" s="75"/>
    </row>
    <row r="18" spans="1:14" ht="25.5" customHeight="1" x14ac:dyDescent="0.25">
      <c r="B18" s="551" t="s">
        <v>402</v>
      </c>
      <c r="C18" s="1045" t="str">
        <f>S.Staff.Subject.Expert.FullName&amp;", "&amp;S.Staff.Program.Mgr.Div&amp;": "&amp;S.Staff.Program.Mgr.SectionName&amp;""</f>
        <v xml:space="preserve">, : </v>
      </c>
      <c r="D18" s="1045"/>
      <c r="E18" s="1045"/>
      <c r="F18" s="75"/>
      <c r="G18" s="75"/>
      <c r="H18" s="75"/>
      <c r="I18" s="75"/>
      <c r="J18" s="75"/>
      <c r="K18" s="75"/>
      <c r="L18" s="75"/>
      <c r="M18" s="75"/>
      <c r="N18" s="75"/>
    </row>
    <row r="19" spans="1:14" ht="25.5" customHeight="1" x14ac:dyDescent="0.25">
      <c r="B19" s="551" t="s">
        <v>403</v>
      </c>
      <c r="C19" s="1045" t="str">
        <f>S.Staff.RG.Lead.Full.Name&amp;", "&amp;S.Staff.RG.Lead.Div&amp;": "&amp;S.Staff.RG.Lead.SectionName&amp;""</f>
        <v xml:space="preserve">, : </v>
      </c>
      <c r="D19" s="1045"/>
      <c r="E19" s="1045"/>
      <c r="F19" s="75"/>
      <c r="G19" s="75"/>
      <c r="H19" s="75"/>
      <c r="I19" s="75"/>
      <c r="J19" s="75"/>
      <c r="K19" s="75"/>
      <c r="L19" s="75"/>
      <c r="M19" s="75"/>
      <c r="N19" s="75"/>
    </row>
    <row r="20" spans="1:14" ht="12" customHeight="1" x14ac:dyDescent="0.2">
      <c r="B20" s="1040" t="s">
        <v>432</v>
      </c>
      <c r="C20" s="1040"/>
      <c r="D20" s="1040"/>
      <c r="E20" s="1040"/>
      <c r="F20" s="75"/>
      <c r="G20" s="75"/>
      <c r="H20" s="75"/>
      <c r="I20" s="75"/>
      <c r="J20" s="75"/>
      <c r="K20" s="75"/>
      <c r="L20" s="75"/>
      <c r="M20" s="75"/>
      <c r="N20" s="75"/>
    </row>
    <row r="21" spans="1:14" ht="29.25" customHeight="1" x14ac:dyDescent="0.3">
      <c r="A21" s="549" t="s">
        <v>294</v>
      </c>
      <c r="B21" s="75"/>
      <c r="C21" s="556"/>
      <c r="D21" s="556"/>
      <c r="E21" s="556"/>
      <c r="F21" s="75"/>
      <c r="G21" s="75"/>
      <c r="H21" s="75"/>
      <c r="I21" s="75"/>
      <c r="J21" s="75"/>
      <c r="K21" s="75"/>
      <c r="L21" s="75"/>
      <c r="M21" s="75"/>
      <c r="N21" s="75"/>
    </row>
    <row r="22" spans="1:14" s="165" customFormat="1" ht="40.5" customHeight="1" x14ac:dyDescent="0.2">
      <c r="A22" s="592" t="s">
        <v>391</v>
      </c>
      <c r="B22" s="593"/>
      <c r="C22" s="594"/>
      <c r="D22" s="594"/>
      <c r="E22" s="594"/>
      <c r="F22" s="594"/>
      <c r="G22" s="595"/>
      <c r="H22" s="595"/>
      <c r="I22" s="595"/>
      <c r="J22" s="595"/>
      <c r="K22" s="595"/>
      <c r="L22" s="595"/>
      <c r="M22" s="595"/>
      <c r="N22" s="595"/>
    </row>
    <row r="23" spans="1:14" s="580" customFormat="1" ht="24" customHeight="1" x14ac:dyDescent="0.2">
      <c r="A23" s="559" t="s">
        <v>295</v>
      </c>
      <c r="B23" s="559" t="s">
        <v>316</v>
      </c>
      <c r="C23" s="559" t="s">
        <v>297</v>
      </c>
      <c r="D23" s="559" t="s">
        <v>300</v>
      </c>
      <c r="E23" s="559" t="s">
        <v>399</v>
      </c>
      <c r="F23" s="559" t="s">
        <v>299</v>
      </c>
      <c r="G23" s="584"/>
      <c r="H23" s="584"/>
    </row>
    <row r="24" spans="1:14" s="570" customFormat="1" ht="36" customHeight="1" x14ac:dyDescent="0.2">
      <c r="A24" s="603">
        <f>S.PlanningKickoff</f>
        <v>41641</v>
      </c>
      <c r="B24" s="600" t="str">
        <f>"Rules Group Partner: "&amp;S.Staff.RG.Lead.Full.Name</f>
        <v xml:space="preserve">Rules Group Partner: </v>
      </c>
      <c r="C24" s="600" t="s">
        <v>401</v>
      </c>
      <c r="D24" s="600" t="s">
        <v>400</v>
      </c>
      <c r="E24" s="600">
        <f>S.Staff.Program.Mgr.FullName</f>
        <v>0</v>
      </c>
      <c r="F24" s="618" t="s">
        <v>134</v>
      </c>
      <c r="G24" s="75"/>
      <c r="H24" s="586"/>
    </row>
    <row r="25" spans="1:14" s="570" customFormat="1" ht="51" customHeight="1" x14ac:dyDescent="0.2">
      <c r="A25" s="604">
        <f>S.Planning.DraftWorkbooksEnd</f>
        <v>41641</v>
      </c>
      <c r="B25" s="601" t="str">
        <f>"Sponsoring Partner: "&amp;S.Staff.Program.Mgr.FullName</f>
        <v xml:space="preserve">Sponsoring Partner: </v>
      </c>
      <c r="C25" s="601" t="s">
        <v>348</v>
      </c>
      <c r="D25" s="601" t="s">
        <v>310</v>
      </c>
      <c r="E25" s="602" t="str">
        <f>S.Staff.Assistant.DA.LongName&amp;" and "&amp;
S.Staff.RG.Lead.FirstName</f>
        <v xml:space="preserve"> and AndreaG</v>
      </c>
      <c r="F25" s="617" t="s">
        <v>134</v>
      </c>
      <c r="G25" s="75"/>
      <c r="H25" s="75"/>
    </row>
    <row r="26" spans="1:14" s="570" customFormat="1" ht="66" customHeight="1" x14ac:dyDescent="0.2">
      <c r="A26" s="624">
        <f>S.Planning.AddConceptToPlanDate</f>
        <v>41641</v>
      </c>
      <c r="B26" s="582" t="str">
        <f>"Sponsoring Partner's Manager: "&amp;S.Staff.Assistant.DA.ShortName</f>
        <v>Sponsoring Partner's Manager: Lydia</v>
      </c>
      <c r="C26" s="581" t="s">
        <v>349</v>
      </c>
      <c r="D26" s="581" t="s">
        <v>310</v>
      </c>
      <c r="E26" s="581" t="str">
        <f>S.Staff.Program.Mgr.FirstName&amp;" and "&amp;S.Staff.RG.Lead.FirstName</f>
        <v>Leah and AndreaG</v>
      </c>
      <c r="F26" s="564" t="s">
        <v>134</v>
      </c>
      <c r="G26" s="75"/>
      <c r="H26" s="75"/>
    </row>
    <row r="27" spans="1:14" s="570" customFormat="1" ht="52.5" customHeight="1" x14ac:dyDescent="0.2">
      <c r="A27" s="603"/>
      <c r="B27" s="600" t="str">
        <f>"Rules Group Partner: "&amp;S.Staff.RG.Lead.FirstName</f>
        <v>Rules Group Partner: AndreaG</v>
      </c>
      <c r="C27" s="600" t="s">
        <v>414</v>
      </c>
      <c r="D27" s="600" t="str">
        <f>"Determine capacity
Prioritize rulemakings
Validate with "&amp;S.Staff.Program.Mgr.FirstName</f>
        <v>Determine capacity
Prioritize rulemakings
Validate with Leah</v>
      </c>
      <c r="E27" s="600" t="s">
        <v>318</v>
      </c>
      <c r="F27" s="618" t="s">
        <v>134</v>
      </c>
      <c r="G27" s="75"/>
      <c r="H27" s="586"/>
    </row>
    <row r="28" spans="1:14" s="570" customFormat="1" ht="48" customHeight="1" x14ac:dyDescent="0.2">
      <c r="A28" s="603" t="s">
        <v>0</v>
      </c>
      <c r="B28" s="600" t="str">
        <f>"Rules Group Partner: "&amp;S.Staff.RG.Lead.FirstName</f>
        <v>Rules Group Partner: AndreaG</v>
      </c>
      <c r="C28" s="600" t="s">
        <v>350</v>
      </c>
      <c r="D28" s="600" t="s">
        <v>351</v>
      </c>
      <c r="E28" s="600" t="str">
        <f>S.Staff.Director</f>
        <v>Dick</v>
      </c>
      <c r="F28" s="618" t="s">
        <v>134</v>
      </c>
      <c r="G28" s="75"/>
      <c r="H28" s="75"/>
    </row>
    <row r="29" spans="1:14" s="608" customFormat="1" ht="40.5" customHeight="1" x14ac:dyDescent="0.2">
      <c r="A29" s="605" t="s">
        <v>415</v>
      </c>
      <c r="B29" s="606"/>
      <c r="C29" s="607"/>
      <c r="D29" s="607"/>
      <c r="E29" s="607"/>
      <c r="F29" s="606"/>
      <c r="G29" s="606"/>
      <c r="H29" s="606"/>
      <c r="I29" s="606"/>
      <c r="J29" s="606"/>
      <c r="K29" s="606"/>
      <c r="L29" s="606"/>
      <c r="M29" s="606"/>
      <c r="N29" s="606"/>
    </row>
    <row r="30" spans="1:14" s="39" customFormat="1" ht="25.5" x14ac:dyDescent="0.2">
      <c r="A30" s="596" t="s">
        <v>295</v>
      </c>
      <c r="B30" s="597" t="s">
        <v>296</v>
      </c>
      <c r="C30" s="596" t="s">
        <v>297</v>
      </c>
      <c r="D30" s="596" t="s">
        <v>300</v>
      </c>
      <c r="E30" s="596" t="s">
        <v>416</v>
      </c>
      <c r="F30" s="596" t="s">
        <v>299</v>
      </c>
      <c r="G30" s="598"/>
      <c r="H30" s="598"/>
      <c r="I30" s="598"/>
      <c r="J30" s="598"/>
      <c r="K30" s="598"/>
      <c r="L30" s="598"/>
      <c r="M30" s="598"/>
      <c r="N30" s="598"/>
    </row>
    <row r="31" spans="1:14" s="23" customFormat="1" ht="57" x14ac:dyDescent="0.2">
      <c r="A31" s="601"/>
      <c r="B31" s="601" t="str">
        <f>"Sponsoring Partner: "&amp;S.Staff.Program.Mgr.FirstName</f>
        <v>Sponsoring Partner: Leah</v>
      </c>
      <c r="C31" s="601" t="s">
        <v>347</v>
      </c>
      <c r="D31" s="601" t="s">
        <v>312</v>
      </c>
      <c r="E31" s="610" t="s">
        <v>313</v>
      </c>
      <c r="F31" s="617" t="s">
        <v>134</v>
      </c>
      <c r="G31" s="75"/>
      <c r="H31" s="75"/>
      <c r="I31" s="75"/>
      <c r="J31" s="75"/>
      <c r="K31" s="75"/>
      <c r="L31" s="75"/>
      <c r="M31" s="75"/>
      <c r="N31" s="75"/>
    </row>
    <row r="32" spans="1:14" s="23" customFormat="1" ht="48.75" customHeight="1" x14ac:dyDescent="0.2">
      <c r="A32" s="601"/>
      <c r="B32" s="601" t="str">
        <f>"Sponsoring Partner: "&amp;S.Staff.Program.Mgr.FirstName</f>
        <v>Sponsoring Partner: Leah</v>
      </c>
      <c r="C32" s="611" t="s">
        <v>344</v>
      </c>
      <c r="D32" s="612" t="s">
        <v>427</v>
      </c>
      <c r="E32" s="610" t="s">
        <v>313</v>
      </c>
      <c r="F32" s="617" t="s">
        <v>134</v>
      </c>
      <c r="G32" s="75"/>
      <c r="H32" s="75"/>
      <c r="I32" s="75"/>
      <c r="J32" s="75"/>
      <c r="K32" s="75"/>
      <c r="L32" s="75"/>
      <c r="M32" s="75"/>
      <c r="N32" s="75"/>
    </row>
    <row r="34" spans="1:14" s="23" customFormat="1" ht="20.25" x14ac:dyDescent="0.3">
      <c r="A34" s="551" t="s">
        <v>304</v>
      </c>
      <c r="B34" s="75"/>
      <c r="C34" s="556"/>
      <c r="D34" s="556"/>
      <c r="E34" s="556"/>
      <c r="F34" s="75"/>
      <c r="G34" s="75"/>
      <c r="H34" s="75"/>
      <c r="I34" s="75"/>
      <c r="J34" s="75"/>
      <c r="K34" s="75"/>
      <c r="L34" s="75"/>
      <c r="M34" s="75"/>
      <c r="N34" s="75"/>
    </row>
    <row r="35" spans="1:14" s="23" customFormat="1" ht="14.25" customHeight="1" x14ac:dyDescent="0.3">
      <c r="A35" s="555"/>
      <c r="B35" s="557" t="s">
        <v>305</v>
      </c>
      <c r="C35" s="556"/>
      <c r="D35" s="556"/>
      <c r="E35" s="556"/>
      <c r="F35" s="75"/>
      <c r="G35" s="75"/>
      <c r="H35" s="75"/>
      <c r="I35" s="75"/>
      <c r="J35" s="75"/>
      <c r="K35" s="75"/>
      <c r="L35" s="75"/>
      <c r="M35" s="75"/>
      <c r="N35" s="75"/>
    </row>
    <row r="36" spans="1:14" s="23" customFormat="1" ht="13.5" customHeight="1" x14ac:dyDescent="0.3">
      <c r="A36" s="555"/>
      <c r="B36" s="557" t="s">
        <v>307</v>
      </c>
      <c r="C36" s="556"/>
      <c r="D36" s="556"/>
      <c r="E36" s="556"/>
      <c r="F36" s="75"/>
      <c r="G36" s="75"/>
      <c r="H36" s="75"/>
      <c r="I36" s="75"/>
      <c r="J36" s="75"/>
      <c r="K36" s="75"/>
      <c r="L36" s="75"/>
      <c r="M36" s="75"/>
      <c r="N36" s="75"/>
    </row>
    <row r="37" spans="1:14" s="23" customFormat="1" ht="13.5" customHeight="1" x14ac:dyDescent="0.3">
      <c r="A37" s="555"/>
      <c r="B37" s="557" t="s">
        <v>306</v>
      </c>
      <c r="C37" s="556"/>
      <c r="D37" s="556"/>
      <c r="E37" s="556"/>
      <c r="F37" s="75"/>
      <c r="G37" s="75"/>
      <c r="H37" s="75"/>
      <c r="I37" s="75"/>
      <c r="J37" s="75"/>
      <c r="K37" s="75"/>
      <c r="L37" s="75"/>
      <c r="M37" s="75"/>
      <c r="N37" s="75"/>
    </row>
    <row r="38" spans="1:14" s="23" customFormat="1" ht="13.5" customHeight="1" x14ac:dyDescent="0.3">
      <c r="A38" s="556"/>
      <c r="B38" s="557" t="s">
        <v>308</v>
      </c>
      <c r="C38" s="556"/>
      <c r="D38" s="556"/>
      <c r="E38" s="556"/>
      <c r="F38" s="75"/>
      <c r="G38" s="75"/>
      <c r="H38" s="75"/>
      <c r="I38" s="75"/>
      <c r="J38" s="75"/>
      <c r="K38" s="75"/>
      <c r="L38" s="75"/>
      <c r="M38" s="75"/>
      <c r="N38" s="75"/>
    </row>
    <row r="39" spans="1:14" ht="10.5" customHeight="1" x14ac:dyDescent="0.2">
      <c r="A39" s="75"/>
      <c r="B39" s="75"/>
      <c r="C39" s="75"/>
      <c r="D39" s="75"/>
      <c r="E39" s="75"/>
      <c r="F39" s="75"/>
      <c r="G39" s="75"/>
      <c r="H39" s="75"/>
      <c r="I39" s="75"/>
      <c r="J39" s="75"/>
      <c r="K39" s="75"/>
      <c r="L39" s="75"/>
      <c r="M39" s="75"/>
      <c r="N39" s="75"/>
    </row>
    <row r="40" spans="1:14" ht="25.5" x14ac:dyDescent="0.2">
      <c r="A40" s="558" t="s">
        <v>295</v>
      </c>
      <c r="B40" s="559" t="s">
        <v>296</v>
      </c>
      <c r="C40" s="558" t="s">
        <v>297</v>
      </c>
      <c r="D40" s="558" t="s">
        <v>300</v>
      </c>
      <c r="E40" s="559" t="s">
        <v>416</v>
      </c>
      <c r="F40" s="560" t="s">
        <v>299</v>
      </c>
      <c r="G40" s="75"/>
      <c r="H40" s="75"/>
      <c r="I40" s="75"/>
      <c r="J40" s="75"/>
      <c r="K40" s="75"/>
      <c r="L40" s="75"/>
      <c r="M40" s="75"/>
      <c r="N40" s="75"/>
    </row>
    <row r="41" spans="1:14" ht="32.25" customHeight="1" x14ac:dyDescent="0.2">
      <c r="A41" s="621" t="e">
        <f>S.Notice.StartInvolveResources</f>
        <v>#REF!</v>
      </c>
      <c r="B41" s="601" t="str">
        <f>"Sponsoring Partner: "&amp;S.Staff.Program.Mgr.FirstName</f>
        <v>Sponsoring Partner: Leah</v>
      </c>
      <c r="C41" s="610" t="s">
        <v>311</v>
      </c>
      <c r="D41" s="622" t="s">
        <v>312</v>
      </c>
      <c r="E41" s="610" t="s">
        <v>313</v>
      </c>
      <c r="F41" s="617" t="s">
        <v>134</v>
      </c>
      <c r="G41" s="75"/>
      <c r="H41" s="75"/>
      <c r="I41" s="75"/>
      <c r="J41" s="75"/>
      <c r="K41" s="75"/>
      <c r="L41" s="75"/>
      <c r="M41" s="75"/>
      <c r="N41" s="75"/>
    </row>
    <row r="42" spans="1:14" s="23" customFormat="1" ht="31.5" customHeight="1" x14ac:dyDescent="0.2">
      <c r="A42" s="565" t="e">
        <f>S.Notice.EndInvolveResources</f>
        <v>#REF!</v>
      </c>
      <c r="B42" s="627" t="s">
        <v>313</v>
      </c>
      <c r="C42" s="563" t="s">
        <v>310</v>
      </c>
      <c r="D42" s="562" t="s">
        <v>314</v>
      </c>
      <c r="E42" s="626" t="str">
        <f>S.Staff.Program.Mgr.FirstName</f>
        <v>Leah</v>
      </c>
      <c r="F42" s="564" t="s">
        <v>134</v>
      </c>
      <c r="G42" s="75"/>
      <c r="H42" s="75"/>
      <c r="I42" s="75"/>
      <c r="J42" s="75"/>
      <c r="K42" s="75"/>
      <c r="L42" s="75"/>
      <c r="M42" s="75"/>
      <c r="N42" s="75"/>
    </row>
    <row r="43" spans="1:14" s="23" customFormat="1" ht="30.75" customHeight="1" x14ac:dyDescent="0.2">
      <c r="A43" s="612"/>
      <c r="B43" s="601" t="str">
        <f>"Sponsoring Partner: "&amp;S.Staff.Program.Mgr.FirstName</f>
        <v>Sponsoring Partner: Leah</v>
      </c>
      <c r="C43" s="610" t="s">
        <v>311</v>
      </c>
      <c r="D43" s="610" t="s">
        <v>420</v>
      </c>
      <c r="E43" s="610" t="str">
        <f>S.Staff.RG.Lead.FirstName</f>
        <v>AndreaG</v>
      </c>
      <c r="F43" s="617" t="s">
        <v>134</v>
      </c>
      <c r="G43" s="75"/>
      <c r="H43" s="75"/>
      <c r="I43" s="75"/>
      <c r="J43" s="75"/>
      <c r="K43" s="75"/>
      <c r="L43" s="75"/>
      <c r="M43" s="75"/>
      <c r="N43" s="75"/>
    </row>
    <row r="44" spans="1:14" ht="121.5" customHeight="1" x14ac:dyDescent="0.2">
      <c r="A44" s="625"/>
      <c r="B44" s="600" t="str">
        <f>"Rules Group Partner: "&amp;S.Staff.RG.Lead.FirstName</f>
        <v>Rules Group Partner: AndreaG</v>
      </c>
      <c r="C44" s="600" t="s">
        <v>311</v>
      </c>
      <c r="D44" s="609" t="s">
        <v>315</v>
      </c>
      <c r="E44" s="626" t="str">
        <f>S.Staff.Program.Mgr.FirstName</f>
        <v>Leah</v>
      </c>
      <c r="F44" s="618" t="s">
        <v>134</v>
      </c>
      <c r="G44" s="75"/>
      <c r="H44" s="75"/>
      <c r="I44" s="75"/>
      <c r="J44" s="75"/>
      <c r="K44" s="75"/>
      <c r="L44" s="75"/>
      <c r="M44" s="75"/>
      <c r="N44" s="75"/>
    </row>
    <row r="45" spans="1:14" s="23" customFormat="1" ht="62.25" customHeight="1" x14ac:dyDescent="0.2">
      <c r="A45" s="612"/>
      <c r="B45" s="601" t="str">
        <f>"Sponsoring Partner: "&amp;S.Staff.Program.Mgr.FirstName</f>
        <v>Sponsoring Partner: Leah</v>
      </c>
      <c r="C45" s="610" t="s">
        <v>421</v>
      </c>
      <c r="D45" s="610" t="s">
        <v>428</v>
      </c>
      <c r="E45" s="610" t="str">
        <f>S.Staff.RG.Lead.FirstName</f>
        <v>AndreaG</v>
      </c>
      <c r="F45" s="617" t="s">
        <v>134</v>
      </c>
      <c r="G45" s="75"/>
      <c r="H45" s="75"/>
      <c r="I45" s="75"/>
      <c r="J45" s="75"/>
      <c r="K45" s="75"/>
      <c r="L45" s="75"/>
      <c r="M45" s="75"/>
      <c r="N45" s="75"/>
    </row>
    <row r="46" spans="1:14" ht="61.5" customHeight="1" x14ac:dyDescent="0.2">
      <c r="A46" s="612">
        <f>S.Notice.PreviewBegin</f>
        <v>41786</v>
      </c>
      <c r="B46" s="601" t="str">
        <f>"Sponsoring Partner: "&amp;S.Staff.Program.Mgr.FirstName</f>
        <v>Sponsoring Partner: Leah</v>
      </c>
      <c r="C46" s="610" t="s">
        <v>422</v>
      </c>
      <c r="D46" s="622" t="s">
        <v>57</v>
      </c>
      <c r="E46" s="610" t="str">
        <f>S.Staff.Assistant.DA.ShortName</f>
        <v>Lydia</v>
      </c>
      <c r="F46" s="617" t="s">
        <v>134</v>
      </c>
      <c r="G46" s="75"/>
      <c r="H46" s="75"/>
      <c r="I46" s="75"/>
      <c r="J46" s="75"/>
      <c r="K46" s="75"/>
      <c r="L46" s="75"/>
      <c r="M46" s="75"/>
      <c r="N46" s="75"/>
    </row>
    <row r="47" spans="1:14" s="23" customFormat="1" ht="35.25" customHeight="1" x14ac:dyDescent="0.2">
      <c r="A47" s="565">
        <f>AQPerm.ScheduleOfTasks!AH627</f>
        <v>41789</v>
      </c>
      <c r="B47" s="582" t="str">
        <f>"Sponsoring Partner's Manager: "&amp;S.Staff.Assistant.DA.ShortName</f>
        <v>Sponsoring Partner's Manager: Lydia</v>
      </c>
      <c r="C47" s="582" t="s">
        <v>421</v>
      </c>
      <c r="D47" s="582" t="s">
        <v>319</v>
      </c>
      <c r="E47" s="626" t="str">
        <f>S.Staff.Program.Mgr.FirstName</f>
        <v>Leah</v>
      </c>
      <c r="F47" s="582"/>
      <c r="G47" s="75"/>
      <c r="H47" s="75"/>
      <c r="I47" s="75"/>
      <c r="J47" s="75"/>
      <c r="K47" s="75"/>
      <c r="L47" s="75"/>
      <c r="M47" s="75"/>
      <c r="N47" s="75"/>
    </row>
    <row r="48" spans="1:14" s="23" customFormat="1" ht="34.5" customHeight="1" x14ac:dyDescent="0.2">
      <c r="A48" s="582"/>
      <c r="B48" s="582" t="str">
        <f>"Division Administrator "&amp;S.Staff.DA.ForProgram.FirstName</f>
        <v>Division Administrator Lydia</v>
      </c>
      <c r="C48" s="582" t="s">
        <v>339</v>
      </c>
      <c r="D48" s="582" t="s">
        <v>317</v>
      </c>
      <c r="E48" s="626" t="str">
        <f>S.Staff.Program.Mgr.FirstName</f>
        <v>Leah</v>
      </c>
      <c r="F48" s="582"/>
      <c r="G48" s="75"/>
      <c r="H48" s="75"/>
      <c r="I48" s="75"/>
      <c r="J48" s="75"/>
      <c r="K48" s="75"/>
      <c r="L48" s="75"/>
      <c r="M48" s="75"/>
      <c r="N48" s="75"/>
    </row>
    <row r="49" spans="1:14" s="23" customFormat="1" ht="46.5" customHeight="1" x14ac:dyDescent="0.2">
      <c r="A49" s="582"/>
      <c r="B49" s="582" t="str">
        <f>"Sponsoring Partner's Manager: "&amp;S.Staff.Assistant.DA.ShortName</f>
        <v>Sponsoring Partner's Manager: Lydia</v>
      </c>
      <c r="C49" s="582" t="s">
        <v>320</v>
      </c>
      <c r="D49" s="582" t="s">
        <v>321</v>
      </c>
      <c r="E49" s="582" t="str">
        <f>S.Staff.RG.Lead.FirstName</f>
        <v>AndreaG</v>
      </c>
      <c r="F49" s="582"/>
      <c r="G49" s="75"/>
      <c r="H49" s="75"/>
      <c r="I49" s="75"/>
      <c r="J49" s="75"/>
      <c r="K49" s="75"/>
      <c r="L49" s="75"/>
      <c r="M49" s="75"/>
      <c r="N49" s="75"/>
    </row>
    <row r="50" spans="1:14" s="23" customFormat="1" ht="33" customHeight="1" x14ac:dyDescent="0.2">
      <c r="A50" s="620"/>
      <c r="B50" s="620" t="str">
        <f>"Rules Group Partner: "&amp;S.Staff.RG.Lead.FirstName</f>
        <v>Rules Group Partner: AndreaG</v>
      </c>
      <c r="C50" s="620" t="s">
        <v>322</v>
      </c>
      <c r="D50" s="620" t="s">
        <v>323</v>
      </c>
      <c r="E50" s="620" t="s">
        <v>324</v>
      </c>
      <c r="F50" s="620"/>
      <c r="G50" s="75"/>
      <c r="H50" s="75"/>
      <c r="I50" s="75"/>
      <c r="J50" s="75"/>
      <c r="K50" s="75"/>
      <c r="L50" s="75"/>
      <c r="M50" s="75"/>
      <c r="N50" s="75"/>
    </row>
    <row r="51" spans="1:14" s="23" customFormat="1" ht="28.5" x14ac:dyDescent="0.2">
      <c r="A51" s="623"/>
      <c r="B51" s="601" t="str">
        <f>"Sponsoring Partner: "&amp;S.Staff.Program.Mgr.FirstName</f>
        <v>Sponsoring Partner: Leah</v>
      </c>
      <c r="C51" s="623" t="s">
        <v>325</v>
      </c>
      <c r="D51" s="623" t="s">
        <v>57</v>
      </c>
      <c r="E51" s="610" t="str">
        <f>S.Staff.RG.Lead.FirstName</f>
        <v>AndreaG</v>
      </c>
      <c r="F51" s="623"/>
      <c r="G51" s="75"/>
      <c r="H51" s="75"/>
      <c r="I51" s="75"/>
      <c r="J51" s="75"/>
      <c r="K51" s="75"/>
      <c r="L51" s="75"/>
      <c r="M51" s="75"/>
      <c r="N51" s="75"/>
    </row>
    <row r="52" spans="1:14" s="23" customFormat="1" ht="85.5" x14ac:dyDescent="0.2">
      <c r="A52" s="623"/>
      <c r="B52" s="601" t="str">
        <f>"Sponsoring Partner: "&amp;S.Staff.Program.Mgr.FirstName</f>
        <v>Sponsoring Partner: Leah</v>
      </c>
      <c r="C52" s="623" t="s">
        <v>340</v>
      </c>
      <c r="D52" s="610" t="s">
        <v>420</v>
      </c>
      <c r="E52" s="623" t="e">
        <f>S.Staff.Subject.Expert.FirstName&amp;", "&amp;S.Staff.HearingsOfficer&amp;" and "&amp;S.Staff.RG.Lead.FirstName</f>
        <v>#NAME?</v>
      </c>
      <c r="F52" s="623"/>
      <c r="G52" s="75"/>
      <c r="H52" s="75"/>
      <c r="I52" s="75"/>
      <c r="J52" s="75"/>
      <c r="K52" s="75"/>
      <c r="L52" s="75"/>
      <c r="M52" s="75"/>
      <c r="N52" s="75"/>
    </row>
    <row r="53" spans="1:14" s="23" customFormat="1" x14ac:dyDescent="0.2">
      <c r="A53" s="615"/>
      <c r="B53" s="615"/>
      <c r="C53" s="615"/>
      <c r="D53" s="615"/>
      <c r="E53" s="615"/>
      <c r="F53" s="615"/>
      <c r="G53" s="75"/>
    </row>
    <row r="54" spans="1:14" s="23" customFormat="1" ht="15" x14ac:dyDescent="0.25">
      <c r="A54" s="551" t="s">
        <v>326</v>
      </c>
      <c r="B54" s="75"/>
      <c r="C54" s="75"/>
      <c r="D54" s="75"/>
      <c r="E54" s="75"/>
      <c r="F54" s="75"/>
      <c r="G54" s="75"/>
    </row>
    <row r="55" spans="1:14" s="23" customFormat="1" x14ac:dyDescent="0.2">
      <c r="A55" s="555"/>
      <c r="B55" s="75"/>
      <c r="C55" s="75"/>
      <c r="D55" s="75"/>
      <c r="E55" s="75"/>
      <c r="F55" s="75"/>
      <c r="G55" s="75"/>
    </row>
    <row r="56" spans="1:14" s="570" customFormat="1" ht="25.5" x14ac:dyDescent="0.2">
      <c r="A56" s="559" t="s">
        <v>295</v>
      </c>
      <c r="B56" s="559" t="s">
        <v>316</v>
      </c>
      <c r="C56" s="559" t="s">
        <v>297</v>
      </c>
      <c r="D56" s="559" t="s">
        <v>300</v>
      </c>
      <c r="E56" s="559" t="s">
        <v>416</v>
      </c>
      <c r="F56" s="559" t="s">
        <v>299</v>
      </c>
    </row>
    <row r="57" spans="1:14" s="570" customFormat="1" ht="99.75" x14ac:dyDescent="0.2">
      <c r="A57" s="610"/>
      <c r="B57" s="601" t="str">
        <f>"Sponsoring Partner: "&amp;S.Staff.Program.Mgr.FirstName</f>
        <v>Sponsoring Partner: Leah</v>
      </c>
      <c r="C57" s="610" t="s">
        <v>345</v>
      </c>
      <c r="D57" s="610" t="s">
        <v>420</v>
      </c>
      <c r="E57" s="610" t="str">
        <f>S.Staff.RG.Lead.FirstName</f>
        <v>AndreaG</v>
      </c>
      <c r="F57" s="617" t="s">
        <v>134</v>
      </c>
    </row>
    <row r="58" spans="1:14" s="570" customFormat="1" ht="85.5" x14ac:dyDescent="0.2">
      <c r="A58" s="619"/>
      <c r="B58" s="620" t="str">
        <f>"Rules Group Partner: "&amp;S.Staff.RG.Lead.FirstName</f>
        <v>Rules Group Partner: AndreaG</v>
      </c>
      <c r="C58" s="620" t="s">
        <v>423</v>
      </c>
      <c r="D58" s="619" t="s">
        <v>327</v>
      </c>
      <c r="E58" s="620" t="str">
        <f>S.Staff.DA.Support.ForProgram.FirstName&amp;", Legislative staff and Web staff"</f>
        <v>Carol, Legislative staff and Web staff</v>
      </c>
      <c r="F58" s="619" t="s">
        <v>134</v>
      </c>
    </row>
    <row r="59" spans="1:14" s="570" customFormat="1" x14ac:dyDescent="0.2">
      <c r="A59" s="615"/>
      <c r="B59" s="615"/>
      <c r="C59" s="615"/>
      <c r="D59" s="615"/>
      <c r="E59" s="615"/>
      <c r="F59" s="615"/>
      <c r="G59" s="75"/>
    </row>
    <row r="60" spans="1:14" s="570" customFormat="1" ht="15" x14ac:dyDescent="0.25">
      <c r="A60" s="551" t="s">
        <v>328</v>
      </c>
      <c r="B60" s="75"/>
      <c r="C60" s="75"/>
      <c r="D60" s="75"/>
      <c r="E60" s="75"/>
      <c r="F60" s="75"/>
      <c r="G60" s="75"/>
    </row>
    <row r="61" spans="1:14" s="570" customFormat="1" x14ac:dyDescent="0.2">
      <c r="A61" s="75"/>
      <c r="B61" s="557" t="s">
        <v>329</v>
      </c>
      <c r="C61" s="75"/>
      <c r="D61" s="75"/>
      <c r="E61" s="75"/>
      <c r="F61" s="75"/>
      <c r="G61" s="75"/>
    </row>
    <row r="62" spans="1:14" s="570" customFormat="1" x14ac:dyDescent="0.2">
      <c r="A62" s="75"/>
      <c r="B62" s="557" t="s">
        <v>306</v>
      </c>
      <c r="C62" s="75"/>
      <c r="D62" s="75"/>
      <c r="E62" s="75"/>
      <c r="F62" s="75"/>
      <c r="G62" s="75"/>
    </row>
    <row r="63" spans="1:14" s="570" customFormat="1" x14ac:dyDescent="0.2">
      <c r="A63" s="616"/>
      <c r="B63" s="75"/>
      <c r="C63" s="75"/>
      <c r="D63" s="75"/>
      <c r="E63" s="75"/>
      <c r="F63" s="75"/>
      <c r="G63" s="75"/>
    </row>
    <row r="64" spans="1:14" s="580" customFormat="1" ht="25.5" x14ac:dyDescent="0.2">
      <c r="A64" s="559" t="s">
        <v>295</v>
      </c>
      <c r="B64" s="559" t="s">
        <v>316</v>
      </c>
      <c r="C64" s="559" t="s">
        <v>297</v>
      </c>
      <c r="D64" s="559" t="s">
        <v>300</v>
      </c>
      <c r="E64" s="559" t="s">
        <v>416</v>
      </c>
      <c r="F64" s="559" t="s">
        <v>299</v>
      </c>
    </row>
    <row r="65" spans="1:7" s="570" customFormat="1" ht="42.75" x14ac:dyDescent="0.2">
      <c r="A65" s="623"/>
      <c r="B65" s="601" t="str">
        <f>"Sponsoring Partner: "&amp;S.Staff.Program.Mgr.FirstName</f>
        <v>Sponsoring Partner: Leah</v>
      </c>
      <c r="C65" s="623" t="s">
        <v>330</v>
      </c>
      <c r="D65" s="622" t="s">
        <v>312</v>
      </c>
      <c r="E65" s="610" t="s">
        <v>313</v>
      </c>
      <c r="F65" s="617" t="s">
        <v>134</v>
      </c>
    </row>
    <row r="66" spans="1:7" s="570" customFormat="1" ht="34.5" customHeight="1" x14ac:dyDescent="0.2">
      <c r="A66" s="618"/>
      <c r="B66" s="620" t="str">
        <f>"Rules Group Partner: "&amp;S.Staff.RG.Lead.FirstName</f>
        <v>Rules Group Partner: AndreaG</v>
      </c>
      <c r="C66" s="620" t="s">
        <v>426</v>
      </c>
      <c r="D66" s="620" t="s">
        <v>420</v>
      </c>
      <c r="E66" s="619" t="str">
        <f>S.Staff.Program.Mgr.FirstName</f>
        <v>Leah</v>
      </c>
      <c r="F66" s="618" t="s">
        <v>134</v>
      </c>
    </row>
    <row r="67" spans="1:7" s="570" customFormat="1" ht="27.75" customHeight="1" x14ac:dyDescent="0.2">
      <c r="A67" s="582"/>
      <c r="B67" s="582" t="s">
        <v>331</v>
      </c>
      <c r="C67" s="582" t="s">
        <v>426</v>
      </c>
      <c r="D67" s="582" t="s">
        <v>424</v>
      </c>
      <c r="E67" s="582" t="str">
        <f>S.Staff.Program.Mgr.FirstName</f>
        <v>Leah</v>
      </c>
      <c r="F67" s="564" t="s">
        <v>134</v>
      </c>
    </row>
    <row r="68" spans="1:7" s="570" customFormat="1" ht="28.5" x14ac:dyDescent="0.2">
      <c r="A68" s="623"/>
      <c r="B68" s="601" t="str">
        <f>"Sponsoring Partner: "&amp;S.Staff.Program.Mgr.FirstName</f>
        <v>Sponsoring Partner: Leah</v>
      </c>
      <c r="C68" s="623" t="s">
        <v>332</v>
      </c>
      <c r="D68" s="623" t="s">
        <v>319</v>
      </c>
      <c r="E68" s="623" t="str">
        <f>S.Staff.Assistant.DA.ShortName</f>
        <v>Lydia</v>
      </c>
      <c r="F68" s="617" t="s">
        <v>134</v>
      </c>
    </row>
    <row r="69" spans="1:7" s="570" customFormat="1" ht="32.25" customHeight="1" x14ac:dyDescent="0.2">
      <c r="A69" s="582"/>
      <c r="B69" s="582" t="str">
        <f>"Division Administrator: "&amp;S.Staff.DA.ForProgram.FirstName</f>
        <v>Division Administrator: Lydia</v>
      </c>
      <c r="C69" s="582" t="s">
        <v>346</v>
      </c>
      <c r="D69" s="582" t="s">
        <v>317</v>
      </c>
      <c r="E69" s="582" t="str">
        <f>S.Staff.Program.Mgr.FirstName</f>
        <v>Leah</v>
      </c>
      <c r="F69" s="564" t="s">
        <v>134</v>
      </c>
    </row>
    <row r="70" spans="1:7" s="570" customFormat="1" ht="28.5" x14ac:dyDescent="0.2">
      <c r="A70" s="623"/>
      <c r="B70" s="601" t="str">
        <f>"Sponsoring Partner: "&amp;S.Staff.Program.Mgr.FirstName</f>
        <v>Sponsoring Partner: Leah</v>
      </c>
      <c r="C70" s="623" t="s">
        <v>333</v>
      </c>
      <c r="D70" s="623" t="s">
        <v>321</v>
      </c>
      <c r="E70" s="610" t="str">
        <f>S.Staff.RG.Lead.FirstName</f>
        <v>AndreaG</v>
      </c>
      <c r="F70" s="617" t="s">
        <v>134</v>
      </c>
    </row>
    <row r="71" spans="1:7" s="570" customFormat="1" ht="28.5" x14ac:dyDescent="0.2">
      <c r="A71" s="619"/>
      <c r="B71" s="620" t="str">
        <f>"Rules Group Partner: "&amp;S.Staff.RG.Lead.FirstName</f>
        <v>Rules Group Partner: AndreaG</v>
      </c>
      <c r="C71" s="619" t="s">
        <v>322</v>
      </c>
      <c r="D71" s="619" t="s">
        <v>334</v>
      </c>
      <c r="E71" s="619" t="str">
        <f>S.Staff.EQCAssistant</f>
        <v>StephanieC</v>
      </c>
      <c r="F71" s="618" t="s">
        <v>134</v>
      </c>
    </row>
    <row r="72" spans="1:7" s="570" customFormat="1" x14ac:dyDescent="0.2">
      <c r="A72" s="75"/>
      <c r="B72" s="75"/>
      <c r="C72" s="75"/>
      <c r="D72" s="75"/>
      <c r="E72" s="75"/>
      <c r="F72" s="75"/>
      <c r="G72" s="75"/>
    </row>
    <row r="73" spans="1:7" s="570" customFormat="1" x14ac:dyDescent="0.2">
      <c r="A73" s="75"/>
      <c r="B73" s="75"/>
      <c r="C73" s="75"/>
      <c r="D73" s="75"/>
      <c r="E73" s="75"/>
      <c r="F73" s="75"/>
      <c r="G73" s="75"/>
    </row>
    <row r="74" spans="1:7" s="570" customFormat="1" ht="15" x14ac:dyDescent="0.25">
      <c r="A74" s="551" t="s">
        <v>335</v>
      </c>
      <c r="B74" s="75"/>
      <c r="C74" s="75"/>
      <c r="D74" s="75"/>
      <c r="E74" s="75"/>
      <c r="F74" s="75"/>
      <c r="G74" s="75"/>
    </row>
    <row r="75" spans="1:7" s="570" customFormat="1" x14ac:dyDescent="0.2">
      <c r="A75" s="616"/>
      <c r="B75" s="75"/>
      <c r="C75" s="75"/>
      <c r="D75" s="75"/>
      <c r="E75" s="75"/>
      <c r="F75" s="75"/>
      <c r="G75" s="75"/>
    </row>
    <row r="76" spans="1:7" s="570" customFormat="1" ht="25.5" x14ac:dyDescent="0.2">
      <c r="A76" s="559" t="s">
        <v>295</v>
      </c>
      <c r="B76" s="559" t="s">
        <v>316</v>
      </c>
      <c r="C76" s="559" t="s">
        <v>297</v>
      </c>
      <c r="D76" s="559" t="s">
        <v>300</v>
      </c>
      <c r="E76" s="559" t="s">
        <v>298</v>
      </c>
      <c r="F76" s="559" t="s">
        <v>299</v>
      </c>
    </row>
    <row r="77" spans="1:7" s="570" customFormat="1" ht="85.5" x14ac:dyDescent="0.2">
      <c r="A77" s="610"/>
      <c r="B77" s="601" t="str">
        <f>"Sponsoring Partner: "&amp;S.Staff.Program.Mgr.FirstName</f>
        <v>Sponsoring Partner: Leah</v>
      </c>
      <c r="C77" s="610" t="s">
        <v>341</v>
      </c>
      <c r="D77" s="610" t="s">
        <v>420</v>
      </c>
      <c r="E77" s="610" t="str">
        <f>S.Staff.RG.Lead.FirstName</f>
        <v>AndreaG</v>
      </c>
      <c r="F77" s="617" t="s">
        <v>134</v>
      </c>
    </row>
    <row r="78" spans="1:7" s="570" customFormat="1" ht="32.25" customHeight="1" x14ac:dyDescent="0.2">
      <c r="A78" s="609"/>
      <c r="B78" s="600" t="str">
        <f>"Rules Group Partner: "&amp;S.Staff.RG.Lead.FirstName</f>
        <v>Rules Group Partner: AndreaG</v>
      </c>
      <c r="C78" s="609" t="s">
        <v>419</v>
      </c>
      <c r="D78" s="609" t="s">
        <v>334</v>
      </c>
      <c r="E78" s="619" t="str">
        <f>S.Staff.EQCAssistant</f>
        <v>StephanieC</v>
      </c>
      <c r="F78" s="618" t="s">
        <v>134</v>
      </c>
    </row>
    <row r="79" spans="1:7" s="570" customFormat="1" ht="75" customHeight="1" x14ac:dyDescent="0.2">
      <c r="A79" s="609"/>
      <c r="B79" s="600" t="str">
        <f>"Rules Group Partner: "&amp;S.Staff.RG.Lead.FirstName</f>
        <v>Rules Group Partner: AndreaG</v>
      </c>
      <c r="C79" s="609" t="s">
        <v>425</v>
      </c>
      <c r="D79" s="609" t="s">
        <v>336</v>
      </c>
      <c r="E79" s="609" t="s">
        <v>342</v>
      </c>
      <c r="F79" s="618" t="s">
        <v>134</v>
      </c>
    </row>
    <row r="80" spans="1:7" s="570" customFormat="1" x14ac:dyDescent="0.2">
      <c r="A80" s="572"/>
    </row>
    <row r="81" spans="1:14" s="570" customFormat="1" x14ac:dyDescent="0.2">
      <c r="A81" s="571"/>
    </row>
    <row r="82" spans="1:14" s="570" customFormat="1" ht="15" x14ac:dyDescent="0.25">
      <c r="A82" s="551" t="s">
        <v>337</v>
      </c>
    </row>
    <row r="83" spans="1:14" s="570" customFormat="1" x14ac:dyDescent="0.2">
      <c r="A83" s="572"/>
    </row>
    <row r="84" spans="1:14" s="570" customFormat="1" ht="25.5" x14ac:dyDescent="0.2">
      <c r="A84" s="559" t="s">
        <v>295</v>
      </c>
      <c r="B84" s="559" t="s">
        <v>316</v>
      </c>
      <c r="C84" s="559" t="s">
        <v>297</v>
      </c>
      <c r="D84" s="559" t="s">
        <v>300</v>
      </c>
      <c r="E84" s="559" t="s">
        <v>298</v>
      </c>
      <c r="F84" s="559" t="s">
        <v>299</v>
      </c>
    </row>
    <row r="85" spans="1:14" s="570" customFormat="1" ht="71.25" x14ac:dyDescent="0.2">
      <c r="A85" s="623"/>
      <c r="B85" s="601" t="str">
        <f>"Sponsoring Partner: "&amp;S.Staff.Program.Mgr.FirstName</f>
        <v>Sponsoring Partner: Leah</v>
      </c>
      <c r="C85" s="601" t="s">
        <v>430</v>
      </c>
      <c r="D85" s="623" t="s">
        <v>57</v>
      </c>
      <c r="E85" s="610" t="str">
        <f>S.Staff.RG.Lead.FirstName</f>
        <v>AndreaG</v>
      </c>
      <c r="F85" s="617" t="s">
        <v>134</v>
      </c>
    </row>
    <row r="86" spans="1:14" s="570" customFormat="1" ht="71.25" x14ac:dyDescent="0.2">
      <c r="A86" s="620"/>
      <c r="B86" s="600" t="str">
        <f>"Rules Group Partner: "&amp;S.Staff.RG.Lead.FirstName</f>
        <v>Rules Group Partner: AndreaG</v>
      </c>
      <c r="C86" s="609" t="s">
        <v>429</v>
      </c>
      <c r="D86" s="609" t="s">
        <v>431</v>
      </c>
      <c r="E86" s="609" t="s">
        <v>211</v>
      </c>
      <c r="F86" s="618" t="s">
        <v>134</v>
      </c>
    </row>
    <row r="87" spans="1:14" s="570" customFormat="1" ht="15.75" x14ac:dyDescent="0.25">
      <c r="A87" s="573"/>
    </row>
    <row r="88" spans="1:14" s="23" customFormat="1" ht="20.25" x14ac:dyDescent="0.3">
      <c r="A88" s="567"/>
    </row>
    <row r="89" spans="1:14" ht="184.5" customHeight="1" x14ac:dyDescent="0.3">
      <c r="A89" s="568" t="s">
        <v>0</v>
      </c>
    </row>
    <row r="92" spans="1:14" x14ac:dyDescent="0.2">
      <c r="A92" s="569"/>
    </row>
    <row r="94" spans="1:14" s="23" customFormat="1" ht="15" x14ac:dyDescent="0.25">
      <c r="A94" s="551" t="s">
        <v>343</v>
      </c>
      <c r="B94" s="583"/>
      <c r="C94" s="583"/>
      <c r="D94" s="583"/>
      <c r="E94" s="583"/>
      <c r="F94" s="583"/>
      <c r="G94" s="75"/>
      <c r="H94" s="307"/>
      <c r="I94" s="75"/>
      <c r="J94" s="75"/>
      <c r="K94" s="75"/>
      <c r="L94" s="75"/>
      <c r="M94" s="75"/>
      <c r="N94" s="75"/>
    </row>
    <row r="95" spans="1:14" s="23" customFormat="1" ht="15" x14ac:dyDescent="0.25">
      <c r="A95" s="551"/>
      <c r="B95" s="583"/>
      <c r="C95" s="583"/>
      <c r="D95" s="583"/>
      <c r="E95" s="583"/>
      <c r="F95" s="583"/>
      <c r="G95" s="75"/>
      <c r="H95" s="591"/>
      <c r="I95" s="75"/>
      <c r="J95" s="75"/>
      <c r="K95" s="75"/>
      <c r="L95" s="75"/>
      <c r="M95" s="75"/>
      <c r="N95" s="75"/>
    </row>
    <row r="96" spans="1:14" s="23" customFormat="1" ht="25.5" x14ac:dyDescent="0.2">
      <c r="A96" s="558" t="s">
        <v>295</v>
      </c>
      <c r="B96" s="559" t="s">
        <v>296</v>
      </c>
      <c r="C96" s="558" t="s">
        <v>297</v>
      </c>
      <c r="D96" s="558" t="s">
        <v>300</v>
      </c>
      <c r="E96" s="560" t="s">
        <v>298</v>
      </c>
      <c r="F96" s="560" t="s">
        <v>299</v>
      </c>
      <c r="G96" s="75"/>
      <c r="H96" s="307"/>
      <c r="I96" s="75"/>
      <c r="J96" s="75"/>
      <c r="K96" s="75"/>
      <c r="L96" s="75"/>
      <c r="M96" s="75"/>
      <c r="N96" s="75"/>
    </row>
    <row r="97" spans="1:14" s="23" customFormat="1" x14ac:dyDescent="0.2">
      <c r="A97" s="565"/>
      <c r="B97" s="566"/>
      <c r="C97" s="565"/>
      <c r="D97" s="565"/>
      <c r="E97" s="565"/>
      <c r="F97" s="565"/>
      <c r="G97" s="75"/>
      <c r="H97" s="591"/>
      <c r="I97" s="75"/>
      <c r="J97" s="75"/>
      <c r="K97" s="75"/>
      <c r="L97" s="75"/>
      <c r="M97" s="75"/>
      <c r="N97" s="75"/>
    </row>
    <row r="98" spans="1:14" s="23" customFormat="1" x14ac:dyDescent="0.2">
      <c r="A98" s="565"/>
      <c r="B98" s="561"/>
      <c r="C98" s="565"/>
      <c r="D98" s="565"/>
      <c r="E98" s="565"/>
      <c r="F98" s="565"/>
      <c r="G98" s="75"/>
      <c r="H98" s="591"/>
      <c r="I98" s="75"/>
      <c r="J98" s="75"/>
      <c r="K98" s="75"/>
      <c r="L98" s="75"/>
      <c r="M98" s="75"/>
      <c r="N98" s="75"/>
    </row>
    <row r="99" spans="1:14" s="23" customFormat="1" x14ac:dyDescent="0.2">
      <c r="A99" s="565"/>
      <c r="B99" s="565"/>
      <c r="C99" s="565"/>
      <c r="D99" s="565"/>
      <c r="E99" s="565"/>
      <c r="F99" s="565"/>
      <c r="G99" s="75"/>
      <c r="H99" s="75"/>
      <c r="I99" s="75"/>
      <c r="J99" s="75"/>
      <c r="K99" s="75"/>
      <c r="L99" s="75"/>
      <c r="M99" s="75"/>
      <c r="N99" s="75"/>
    </row>
    <row r="100" spans="1:14" s="23" customFormat="1" x14ac:dyDescent="0.2">
      <c r="A100" s="565"/>
      <c r="B100" s="565"/>
      <c r="C100" s="565"/>
      <c r="D100" s="565"/>
      <c r="E100" s="565"/>
      <c r="F100" s="565"/>
      <c r="G100" s="75"/>
      <c r="H100" s="75"/>
      <c r="I100" s="75"/>
      <c r="J100" s="75"/>
      <c r="K100" s="75"/>
      <c r="L100" s="75"/>
      <c r="M100" s="75"/>
      <c r="N100" s="75"/>
    </row>
    <row r="101" spans="1:14" s="23" customFormat="1" x14ac:dyDescent="0.2">
      <c r="A101" s="583"/>
      <c r="B101" s="583"/>
      <c r="C101" s="583"/>
      <c r="D101" s="583"/>
      <c r="E101" s="583"/>
      <c r="F101" s="583"/>
      <c r="G101" s="75"/>
      <c r="H101" s="75"/>
      <c r="I101" s="75"/>
      <c r="J101" s="75"/>
      <c r="K101" s="75"/>
      <c r="L101" s="75"/>
      <c r="M101" s="75"/>
      <c r="N101" s="75"/>
    </row>
    <row r="103" spans="1:14" s="23" customFormat="1" ht="15" thickBot="1" x14ac:dyDescent="0.25">
      <c r="A103" s="1041" t="s">
        <v>287</v>
      </c>
      <c r="B103" s="1041"/>
      <c r="C103" s="554"/>
      <c r="D103" s="554"/>
      <c r="E103" s="554"/>
      <c r="F103" s="75"/>
      <c r="G103" s="75"/>
      <c r="H103" s="75"/>
      <c r="I103" s="75"/>
      <c r="J103" s="75"/>
      <c r="K103" s="75"/>
      <c r="L103" s="75"/>
      <c r="M103" s="75"/>
      <c r="N103" s="75"/>
    </row>
    <row r="104" spans="1:14" s="23" customFormat="1" ht="20.25" x14ac:dyDescent="0.25">
      <c r="A104" s="555"/>
      <c r="B104" s="75"/>
      <c r="C104" s="1042" t="str">
        <f>S.Staff.Program.Mgr.FullName&amp;", "&amp;S.Staff.Program.Mgr.Div&amp;": "&amp;S.Staff.Program.Mgr.SectionName&amp;"     DATE"</f>
        <v>, :      DATE</v>
      </c>
      <c r="D104" s="1042"/>
      <c r="E104" s="1042"/>
      <c r="F104" s="75"/>
      <c r="G104" s="75"/>
      <c r="H104" s="75"/>
      <c r="I104" s="75"/>
      <c r="J104" s="75"/>
      <c r="K104" s="75"/>
      <c r="L104" s="75"/>
      <c r="M104" s="75"/>
      <c r="N104" s="75"/>
    </row>
    <row r="105" spans="1:14" s="23" customFormat="1" ht="33" customHeight="1" x14ac:dyDescent="0.2">
      <c r="A105" s="75"/>
      <c r="B105" s="75"/>
      <c r="C105" s="75"/>
      <c r="D105" s="75"/>
      <c r="E105" s="75"/>
      <c r="F105" s="75"/>
      <c r="G105" s="75"/>
      <c r="H105" s="75"/>
      <c r="I105" s="75"/>
      <c r="J105" s="75"/>
      <c r="K105" s="75"/>
      <c r="L105" s="75"/>
      <c r="M105" s="75"/>
      <c r="N105" s="75"/>
    </row>
    <row r="106" spans="1:14" s="23" customFormat="1" ht="15" thickBot="1" x14ac:dyDescent="0.25">
      <c r="A106" s="1041" t="s">
        <v>403</v>
      </c>
      <c r="B106" s="1041"/>
      <c r="C106" s="554"/>
      <c r="D106" s="554"/>
      <c r="E106" s="554"/>
      <c r="F106" s="75"/>
      <c r="G106" s="75"/>
      <c r="H106" s="75"/>
      <c r="I106" s="75"/>
      <c r="J106" s="75"/>
      <c r="K106" s="75"/>
      <c r="L106" s="75"/>
      <c r="M106" s="75"/>
      <c r="N106" s="75"/>
    </row>
    <row r="107" spans="1:14" s="23" customFormat="1" ht="30.75" customHeight="1" x14ac:dyDescent="0.2">
      <c r="A107" s="75"/>
      <c r="B107" s="75"/>
      <c r="C107" s="1043" t="str">
        <f>S.Staff.RG.Lead.Full.Name&amp;", "&amp;S.Staff.RG.Lead.Div&amp;": "&amp;S.Staff.RG.Lead.SectionName&amp;"     DATE"</f>
        <v>, :      DATE</v>
      </c>
      <c r="D107" s="1043"/>
      <c r="E107" s="1043"/>
      <c r="F107" s="75"/>
      <c r="G107" s="75"/>
      <c r="H107" s="75"/>
      <c r="I107" s="75"/>
      <c r="J107" s="75"/>
      <c r="K107" s="75"/>
      <c r="L107" s="75"/>
      <c r="M107" s="75"/>
      <c r="N107" s="75"/>
    </row>
  </sheetData>
  <mergeCells count="10">
    <mergeCell ref="B2:E2"/>
    <mergeCell ref="C17:E17"/>
    <mergeCell ref="C19:E19"/>
    <mergeCell ref="B15:F15"/>
    <mergeCell ref="C18:E18"/>
    <mergeCell ref="B20:E20"/>
    <mergeCell ref="A103:B103"/>
    <mergeCell ref="C104:E104"/>
    <mergeCell ref="A106:B106"/>
    <mergeCell ref="C107:E107"/>
  </mergeCells>
  <conditionalFormatting sqref="E31 A31:A32">
    <cfRule type="expression" dxfId="70" priority="22">
      <formula>IF($B31="Sponsoring Partner",TRUE)</formula>
    </cfRule>
  </conditionalFormatting>
  <conditionalFormatting sqref="E32">
    <cfRule type="expression" dxfId="69" priority="18">
      <formula>IF($B32="Sponsoring Partner",TRUE)</formula>
    </cfRule>
  </conditionalFormatting>
  <conditionalFormatting sqref="H94:H98">
    <cfRule type="expression" dxfId="68" priority="15" stopIfTrue="1">
      <formula>IF($AAE94=0,TRUE)</formula>
    </cfRule>
  </conditionalFormatting>
  <conditionalFormatting sqref="A24:E24">
    <cfRule type="expression" dxfId="67" priority="11">
      <formula>IF($B24="Sponsoring Partner",TRUE)</formula>
    </cfRule>
  </conditionalFormatting>
  <conditionalFormatting sqref="B44:C44">
    <cfRule type="expression" dxfId="66" priority="10">
      <formula>IF($B44="Sponsoring Partner",TRUE)</formula>
    </cfRule>
  </conditionalFormatting>
  <conditionalFormatting sqref="B27">
    <cfRule type="expression" dxfId="65" priority="9">
      <formula>IF($B27="Sponsoring Partner",TRUE)</formula>
    </cfRule>
  </conditionalFormatting>
  <conditionalFormatting sqref="B28">
    <cfRule type="expression" dxfId="64" priority="8">
      <formula>IF($B28="Sponsoring Partner",TRUE)</formula>
    </cfRule>
  </conditionalFormatting>
  <conditionalFormatting sqref="B24">
    <cfRule type="expression" dxfId="63" priority="7">
      <formula>IF($B24="Sponsoring Partner",TRUE)</formula>
    </cfRule>
  </conditionalFormatting>
  <conditionalFormatting sqref="B78">
    <cfRule type="expression" dxfId="62" priority="3">
      <formula>IF($B78="Sponsoring Partner",TRUE)</formula>
    </cfRule>
  </conditionalFormatting>
  <conditionalFormatting sqref="B79">
    <cfRule type="expression" dxfId="61" priority="2">
      <formula>IF($B79="Sponsoring Partner",TRUE)</formula>
    </cfRule>
  </conditionalFormatting>
  <conditionalFormatting sqref="B86">
    <cfRule type="expression" dxfId="6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C8F340BF595B47BFCA96D560AED0C2" ma:contentTypeVersion="" ma:contentTypeDescription="Create a new document." ma:contentTypeScope="" ma:versionID="bd9b1a5ef3959a5586e144f636810f69">
  <xsd:schema xmlns:xsd="http://www.w3.org/2001/XMLSchema" xmlns:xs="http://www.w3.org/2001/XMLSchema" xmlns:p="http://schemas.microsoft.com/office/2006/metadata/properties" xmlns:ns2="$ListId:docs;" targetNamespace="http://schemas.microsoft.com/office/2006/metadata/properties" ma:root="true" ma:fieldsID="57c8f91f9b72b987bc697b1abe536703"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ategory xmlns="$ListId:docs;">Rough Draft</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39D72C-D78F-464D-AE20-F0E0AC5994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C33C1E-8DEB-4FB9-85EE-E1D6884B1580}">
  <ds:schemaRefs>
    <ds:schemaRef ds:uri="$ListId:docs;"/>
    <ds:schemaRef ds:uri="http://schemas.microsoft.com/office/2006/documentManagement/types"/>
    <ds:schemaRef ds:uri="http://purl.org/dc/elements/1.1/"/>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7746A714-B7C3-4CC8-9D8B-86AD77EABF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224</vt:i4>
      </vt:variant>
    </vt:vector>
  </HeadingPairs>
  <TitlesOfParts>
    <vt:vector size="231" baseType="lpstr">
      <vt:lpstr>AQPerm.ScheduleOfTasks</vt:lpstr>
      <vt:lpstr>ConditionalFormat</vt:lpstr>
      <vt:lpstr>WQTrade.Calendar</vt:lpstr>
      <vt:lpstr>GetStarted</vt:lpstr>
      <vt:lpstr>HearingAndAdDates</vt:lpstr>
      <vt:lpstr>DDLs</vt:lpstr>
      <vt:lpstr>ActivitySequence</vt:lpstr>
      <vt:lpstr>AQPerm.ScheduleOfTasks!Print_Area</vt:lpstr>
      <vt:lpstr>WQTrade.Calendar!Print_Area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2014-10-03T00:25:36Z</cp:lastPrinted>
  <dcterms:created xsi:type="dcterms:W3CDTF">2012-04-11T21:44:01Z</dcterms:created>
  <dcterms:modified xsi:type="dcterms:W3CDTF">2014-10-03T00:25:51Z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0x01010012C8F340BF595B47BFCA96D560AED0C2</vt:lpwstr>
  </property>
</Properties>
</file>