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944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C636" i="94"/>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H762"/>
  <c r="AH764"/>
  <c r="H764" s="1"/>
  <c r="AH787"/>
  <c r="H787" s="1"/>
  <c r="AH29"/>
  <c r="H29" s="1"/>
  <c r="AH38"/>
  <c r="H38" s="1"/>
  <c r="B37" i="102" s="1"/>
  <c r="C37" s="1"/>
  <c r="E37" s="1"/>
  <c r="B36"/>
  <c r="C36" s="1"/>
  <c r="E36" s="1"/>
  <c r="AI38" i="94"/>
  <c r="B24" i="102"/>
  <c r="C24" s="1"/>
  <c r="E24" s="1"/>
  <c r="B54"/>
  <c r="C54" s="1"/>
  <c r="E54" s="1"/>
  <c r="AH39" i="94"/>
  <c r="AI39"/>
  <c r="H20"/>
  <c r="H25"/>
  <c r="AG25" s="1"/>
  <c r="G25" s="1"/>
  <c r="AG593" s="1"/>
  <c r="AH857" l="1"/>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<sst xmlns="http://schemas.openxmlformats.org/spreadsheetml/2006/main" count="1999" uniqueCount="794">
  <si>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</si>
  <si>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</si>
  <si>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</si>
  <si>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</si>
  <si>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</si>
  <si>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</si>
  <si>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</si>
  <si>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</si>
  <si>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</si>
  <si>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</si>
  <si>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</si>
  <si>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</si>
  <si>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</si>
  <si>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</si>
  <si>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</si>
  <si>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</si>
  <si>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</si>
  <si>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</si>
  <si>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</si>
  <si>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</si>
  <si>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</si>
  <si>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</si>
  <si>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</si>
  <si>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</si>
  <si>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</si>
  <si>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</si>
  <si>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</si>
  <si>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</si>
  <si>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</si>
  <si>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</si>
  <si>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</si>
  <si>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</si>
  <si>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</si>
  <si>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</si>
  <si>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</si>
  <si>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</si>
  <si>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</si>
  <si>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</si>
  <si>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</si>
  <si>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</si>
  <si>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</si>
  <si>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</si>
  <si>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</si>
  <si>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</si>
  <si>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</si>
  <si>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</si>
  <si>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</si>
  <si>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</si>
  <si>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</si>
  <si>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</si>
  <si>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</si>
  <si>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</si>
  <si>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</si>
  <si>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</si>
  <si>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</si>
  <si>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</si>
  <si>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</si>
  <si>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</si>
  <si>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</si>
  <si>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</si>
  <si>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</si>
  <si>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</si>
  <si>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</si>
  <si>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</si>
  <si>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</si>
  <si>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</si>
  <si>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</si>
  <si>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</si>
  <si>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</si>
  <si>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</si>
  <si>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</si>
  <si>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</si>
  <si>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</si>
  <si>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</si>
  <si>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</si>
  <si>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</si>
  <si>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</si>
  <si>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</si>
  <si>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</si>
  <si>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</si>
  <si>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</si>
  <si>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</si>
  <si>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</si>
  <si>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</si>
  <si>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</si>
  <si>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</si>
  <si>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</si>
  <si>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</si>
  <si>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</si>
  <si>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</si>
  <si>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</si>
  <si>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</si>
  <si>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</si>
  <si>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</si>
  <si>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</si>
  <si>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</si>
  <si>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</si>
  <si>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</si>
  <si>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</si>
  <si>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</si>
  <si>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</si>
  <si>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</si>
  <si>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</si>
  <si>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</si>
  <si>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</si>
  <si>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</si>
  <si>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</si>
  <si>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</si>
  <si>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</si>
  <si>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</si>
  <si>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</si>
  <si>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</si>
  <si>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</si>
  <si>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</si>
  <si>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</si>
  <si>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</si>
  <si>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</si>
  <si>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</si>
  <si>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</si>
  <si>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</si>
  <si>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</si>
  <si>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</si>
  <si>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</si>
  <si>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</si>
  <si>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</si>
  <si>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</si>
  <si>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</si>
  <si>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</si>
  <si>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</si>
  <si>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</si>
  <si>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</si>
  <si>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</si>
  <si>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</si>
  <si>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</si>
  <si>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</si>
  <si>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</si>
  <si>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</si>
  <si>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</si>
  <si>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</si>
  <si>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</si>
  <si>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</si>
  <si>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</si>
  <si>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</si>
  <si>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</si>
  <si>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</si>
  <si>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</si>
  <si>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</si>
  <si>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</si>
  <si>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</si>
  <si>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</si>
  <si>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</si>
  <si>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</si>
  <si>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</si>
  <si>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</si>
  <si>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</si>
  <si>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</si>
  <si>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</si>
  <si>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</si>
  <si>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</si>
  <si>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</si>
  <si>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</si>
  <si>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</si>
  <si>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</si>
  <si>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</si>
  <si>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</si>
  <si>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</si>
  <si>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</si>
  <si>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</si>
  <si>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</si>
  <si>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</si>
  <si>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</si>
  <si>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</si>
  <si>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</si>
  <si>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</si>
  <si>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</si>
  <si>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</si>
  <si>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</si>
  <si>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</si>
  <si>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</si>
  <si>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</si>
  <si>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</si>
  <si>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</si>
  <si>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</si>
  <si>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</si>
  <si>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</si>
  <si>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</si>
  <si>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</si>
  <si>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</si>
  <si>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</si>
  <si>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</si>
  <si>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</si>
  <si>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</si>
  <si>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</si>
  <si>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</si>
  <si>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</si>
  <si>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</si>
  <si>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</si>
  <si>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</si>
  <si>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</si>
  <si>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</si>
  <si>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</si>
  <si>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</si>
  <si>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</si>
  <si>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</si>
  <si>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</si>
  <si>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</si>
  <si>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</si>
  <si>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</si>
  <si>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</si>
  <si>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</si>
  <si>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</si>
  <si>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</si>
  <si>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</si>
  <si>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</si>
  <si>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</si>
  <si>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</si>
  <si>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</si>
  <si>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</si>
  <si>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</si>
  <si>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</si>
  <si>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</si>
  <si>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</si>
  <si>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</si>
  <si>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</si>
  <si>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</si>
  <si>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</si>
  <si>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</si>
  <si>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</si>
  <si>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</si>
  <si>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</si>
  <si>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</si>
  <si>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</si>
  <si>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</si>
  <si>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</si>
  <si>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</si>
  <si>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</si>
  <si>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</si>
  <si>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</si>
  <si>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</si>
  <si>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</si>
  <si>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</si>
  <si>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</si>
  <si>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</si>
  <si>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</si>
  <si>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</si>
  <si>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</si>
  <si>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</si>
  <si>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</si>
  <si>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</si>
  <si>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</si>
  <si>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</si>
  <si>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</si>
  <si>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</si>
  <si>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</si>
  <si>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</si>
  <si>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</si>
  <si>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</si>
  <si>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</si>
  <si>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</si>
  <si>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</si>
  <si>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</si>
  <si>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</si>
  <si>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</si>
  <si>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</si>
  <si>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</si>
  <si>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</si>
  <si>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</si>
  <si>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</si>
  <si>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</si>
  <si>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</si>
  <si>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</si>
  <si>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</si>
  <si>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</si>
  <si>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</si>
  <si>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</si>
  <si>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</si>
  <si>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</si>
  <si>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</si>
  <si>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</si>
  <si>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</si>
  <si>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</si>
  <si>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</si>
  <si>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</si>
  <si>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</si>
  <si>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</si>
  <si>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</si>
  <si>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</si>
  <si>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</si>
  <si>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</si>
  <si>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</si>
  <si>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</si>
  <si>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</si>
  <si>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</si>
  <si>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</si>
  <si>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</si>
  <si>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</si>
  <si>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</si>
  <si>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</si>
  <si>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</si>
  <si>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</si>
  <si>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</si>
  <si>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</si>
  <si>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</si>
  <si>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</si>
  <si>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</si>
  <si>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</si>
  <si>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</si>
  <si>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</si>
  <si>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</si>
  <si>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</si>
  <si>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</si>
  <si>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</si>
  <si>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</si>
  <si>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</si>
  <si>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</si>
  <si>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</si>
  <si>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</si>
  <si>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</si>
  <si>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</si>
  <si>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</si>
  <si>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</si>
  <si>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</si>
  <si>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</si>
  <si>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</si>
  <si>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</si>
  <si>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</si>
  <si>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</si>
  <si>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</si>
  <si>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</si>
  <si>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</si>
  <si>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</si>
  <si>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</si>
  <si>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</si>
  <si>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</si>
  <si>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</si>
  <si>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</si>
  <si>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</si>
  <si>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</si>
  <si>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</si>
  <si>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</si>
  <si>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</si>
  <si>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</si>
  <si>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</si>
  <si>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</si>
  <si>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</si>
  <si>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</si>
  <si>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</si>
  <si>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</si>
  <si>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</si>
  <si>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</si>
  <si>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</si>
  <si>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</si>
  <si>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</si>
  <si>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</si>
  <si>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</si>
  <si>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</si>
  <si>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</si>
  <si>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</si>
  <si>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</si>
  <si>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</si>
  <si>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</si>
  <si>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</si>
  <si>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</si>
  <si>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</si>
  <si>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</si>
  <si>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</si>
  <si>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</si>
  <si>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</si>
  <si>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</si>
  <si>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</si>
  <si>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</si>
  <si>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</si>
  <si>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</si>
  <si>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</si>
  <si>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</si>
  <si>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</si>
  <si>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</si>
  <si>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</si>
  <si>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</si>
  <si>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</si>
  <si>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</si>
  <si>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</si>
  <si>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</si>
  <si>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</si>
  <si>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</si>
  <si>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</si>
  <si>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</si>
  <si>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</si>
  <si>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</si>
  <si>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</si>
  <si>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</si>
  <si>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</si>
  <si>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</si>
  <si>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</si>
  <si>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</si>
  <si>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</si>
  <si>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</si>
  <si>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</si>
  <si>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</si>
  <si>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</si>
  <si>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</si>
  <si>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</si>
  <si>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</si>
  <si>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</si>
  <si>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</si>
  <si>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</si>
  <si>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</si>
  <si>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</si>
  <si>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</si>
  <si>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</si>
  <si>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</si>
  <si>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</si>
  <si>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</si>
  <si>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</si>
  <si>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</si>
  <si>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</si>
  <si>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</si>
  <si>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</si>
  <si>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</si>
  <si>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</si>
  <si>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</si>
  <si>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</si>
  <si>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</si>
  <si>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</si>
  <si>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</si>
  <si>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</si>
  <si>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</si>
  <si>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</si>
  <si>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</si>
  <si>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</si>
  <si>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</si>
  <si>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</si>
  <si>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</si>
  <si>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</si>
  <si>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</si>
  <si>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</si>
  <si>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</si>
  <si>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</si>
  <si>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</si>
  <si>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</si>
  <si>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</si>
  <si>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</si>
  <si>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</si>
  <si>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</si>
  <si>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</si>
  <si>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</si>
  <si>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</si>
  <si>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</si>
  <si>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</si>
  <si>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</si>
  <si>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</si>
  <si>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</si>
  <si>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</si>
  <si>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</si>
  <si>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</si>
  <si>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</si>
  <si>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</si>
  <si>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</si>
  <si>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</si>
  <si>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</si>
  <si>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</si>
  <si>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</si>
  <si>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</si>
  <si>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</si>
  <si>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</si>
  <si>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</si>
  <si>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</si>
  <si>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</si>
  <si>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</si>
  <si>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</si>
  <si>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</si>
  <si>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</si>
  <si>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</si>
  <si>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</si>
  <si>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</si>
  <si>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</si>
  <si>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</si>
  <si>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</si>
  <si>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</si>
  <si>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</si>
  <si>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</si>
  <si>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</si>
  <si>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</si>
  <si>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</si>
  <si>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</si>
  <si>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</si>
  <si>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</si>
  <si>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</si>
  <si>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</si>
  <si>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</si>
  <si>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</si>
  <si>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</si>
  <si>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</si>
  <si>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</si>
  <si>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</si>
  <si>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</si>
  <si>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</si>
  <si>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</si>
  <si>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</si>
  <si>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</si>
  <si>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</si>
  <si>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</si>
  <si>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</si>
  <si>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</si>
  <si>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</si>
  <si>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</si>
  <si>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</si>
  <si>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</si>
  <si>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</si>
  <si>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</si>
  <si>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</si>
  <si>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</si>
  <si>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</si>
  <si>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</si>
  <si>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</si>
  <si>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</si>
  <si>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</si>
  <si>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</si>
  <si>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</si>
  <si>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</si>
  <si>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</si>
  <si>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</si>
  <si>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</si>
  <si>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</si>
  <si>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</si>
  <si>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</si>
  <si>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</si>
  <si>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</si>
  <si>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</si>
  <si>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</si>
  <si>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</si>
  <si>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</si>
  <si>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</si>
  <si>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</si>
  <si>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</si>
  <si>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</si>
  <si>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</si>
  <si>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</si>
  <si>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</si>
  <si>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</si>
  <si>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</si>
  <si>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</si>
  <si>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</si>
  <si>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</si>
  <si>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</si>
  <si>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</si>
  <si>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</si>
  <si>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</si>
  <si>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</si>
  <si>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</si>
  <si>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</si>
  <si>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</si>
  <si>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</si>
  <si>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</si>
  <si>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</si>
  <si>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</si>
  <si>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</si>
  <si>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</si>
  <si>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</si>
  <si>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</si>
  <si>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</si>
  <si>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</si>
  <si>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</si>
  <si>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</si>
  <si>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</si>
  <si>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</si>
  <si>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</si>
  <si>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</si>
  <si>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</si>
  <si>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</si>
  <si>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</si>
  <si>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</si>
  <si>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</si>
  <si>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</si>
  <si>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</si>
  <si>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</si>
  <si>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</si>
  <si>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</si>
  <si>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</si>
  <si>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</si>
  <si>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</si>
  <si>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</si>
  <si>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</si>
  <si>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</si>
  <si>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</si>
  <si>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</si>
  <si>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</si>
  <si>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</si>
  <si>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</si>
  <si>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</si>
  <si>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</si>
  <si>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</si>
  <si>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</si>
  <si>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</si>
  <si>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</si>
  <si>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</si>
  <si>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</si>
  <si>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</si>
  <si>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</si>
  <si>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</si>
  <si>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</si>
  <si>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</si>
  <si>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</si>
  <si>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</si>
  <si>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</si>
  <si>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</si>
  <si>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</si>
  <si>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</si>
  <si>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</si>
  <si>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</si>
  <si>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</si>
  <si>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</si>
  <si>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</si>
  <si>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</si>
  <si>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</si>
  <si>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</si>
  <si>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</si>
  <si>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</si>
  <si>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</si>
  <si>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</si>
  <si>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</si>
  <si>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</si>
  <si>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</si>
  <si>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</si>
  <si>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</si>
  <si>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</si>
  <si>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</si>
  <si>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</si>
  <si>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</si>
  <si>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</si>
  <si>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</si>
  <si>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</si>
  <si>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</si>
  <si>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</si>
  <si>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</si>
  <si>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</si>
  <si>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</si>
  <si>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</si>
  <si>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</si>
  <si>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</si>
  <si>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</si>
  <si>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</si>
  <si>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</si>
  <si>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</si>
  <si>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</si>
  <si>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</si>
  <si>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</si>
  <si>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</si>
  <si>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</si>
  <si>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</si>
  <si>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</si>
  <si>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</si>
  <si>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</si>
  <si>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</si>
  <si>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</si>
  <si>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</si>
  <si>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</si>
  <si>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</si>
  <si>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</si>
  <si>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</si>
  <si>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</si>
  <si>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</si>
  <si>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</si>
  <si>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</si>
  <si>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</si>
  <si>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</si>
  <si>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</si>
  <si>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</si>
  <si>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</si>
  <si>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</si>
  <si>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</si>
  <si>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</si>
  <si>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</si>
  <si>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</si>
  <si>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</si>
  <si>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</si>
  <si>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</si>
  <si>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</si>
  <si>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</si>
  <si>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</si>
  <si>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</si>
  <si>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</si>
  <si>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</si>
  <si>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</si>
  <si>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</si>
  <si>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</si>
  <si>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</si>
  <si>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</si>
  <si>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</si>
  <si>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</si>
  <si>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</si>
  <si>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</si>
  <si>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</si>
  <si>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</si>
  <si>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</si>
  <si>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</si>
  <si>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</si>
  <si>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</si>
  <si>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</si>
  <si>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</si>
  <si>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</si>
  <si>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</si>
  <si>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</si>
  <si>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</si>
  <si>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</si>
  <si>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</si>
  <si>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</si>
  <si>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</si>
  <si>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</si>
  <si>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</si>
  <si>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</si>
  <si>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</si>
  <si>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</si>
  <si>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</si>
  <si>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</si>
  <si>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</si>
  <si>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</si>
  <si>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</si>
  <si>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</si>
  <si>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</si>
  <si>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</si>
  <si>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</si>
  <si>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</si>
  <si>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</si>
  <si>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</si>
  <si>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</si>
  <si>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</si>
  <si>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</si>
  <si>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</si>
  <si>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</si>
  <si>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</si>
  <si>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</si>
  <si>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</si>
  <si>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</si>
  <si>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</si>
  <si>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</si>
  <si>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</si>
  <si>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</si>
  <si>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</si>
  <si>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</si>
  <si>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</si>
  <si>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</si>
  <si>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</si>
  <si>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</si>
  <si>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</si>
  <si>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</si>
  <si>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</si>
  <si>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</si>
  <si>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</si>
  <si>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</si>
  <si>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</si>
  <si>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</si>
  <si>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</si>
  <si>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</si>
  <si>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</si>
  <si>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</si>
  <si>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</si>
  <si>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</si>
  <si>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</si>
  <si>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</si>
  <si>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</si>
  <si>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</si>
  <si>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</si>
  <si>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</si>
  <si>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</si>
  <si>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</si>
  <si>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</si>
  <si>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</si>
  <si>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</si>
  <si>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</si>
  <si>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</si>
  <si>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</si>
  <si>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</si>
  <si>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</si>
  <si>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</si>
  <si>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</si>
  <si>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</si>
  <si>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</si>
  <si>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</si>
  <si>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Jill</t>
  </si>
  <si>
    <t>Leah</t>
  </si>
  <si>
    <t>Jill Inahara</t>
  </si>
  <si>
    <t>Leah Feldon</t>
  </si>
  <si>
    <t>Andrea Gartenbaum</t>
  </si>
  <si>
    <t>AQPerm</t>
  </si>
  <si>
    <t>AQ Permitting Program Updates</t>
  </si>
  <si>
    <t>Q-Time number = 43063</t>
  </si>
  <si>
    <t>\\deqhq1\Rule_Development\Currrent Plan\AQ-RM-PermittingProgramUpdates-Jill Inahara\1-Planning</t>
  </si>
  <si>
    <t xml:space="preserve">&gt; meeting sponsoring manager's task deadlines identified in this Schedule </t>
  </si>
  <si>
    <t>- establish SharePoint sub site, Rule_Development drive and archival spaces</t>
  </si>
  <si>
    <t>Bend</t>
  </si>
  <si>
    <t>Medford</t>
  </si>
  <si>
    <t>Review version history to help maintain rulemaking record                 &gt;</t>
  </si>
  <si>
    <t>DO NOT MAIL TO COMMENTERS UNTIL ALL STAFF REPORT IS FINALIZED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</si>
</sst>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69">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PermittingProgramUpdates-Jill%20Inahara\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40" zoomScaleNormal="140" workbookViewId="0">
      <selection activeCell="B576" sqref="B576"/>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05" t="s">
        <v>0</v>
      </c>
      <c r="H1" s="1005"/>
      <c r="I1" s="745"/>
      <c r="AF1" s="361" t="s">
        <v>21</v>
      </c>
      <c r="AG1" s="59"/>
      <c r="AH1" s="76"/>
      <c r="AI1" s="816"/>
      <c r="AJ1" s="1003"/>
      <c r="AK1" s="1003"/>
      <c r="AL1" s="1003"/>
      <c r="AM1" s="1003"/>
      <c r="AN1" s="1003"/>
      <c r="AO1" s="1003"/>
    </row>
    <row r="2" spans="1:51" s="23" customFormat="1" ht="14.1" customHeight="1">
      <c r="A2" s="145"/>
      <c r="B2" s="797" t="str">
        <f>S.General.CodeName</f>
        <v>AQPerm</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0" t="s">
        <v>0</v>
      </c>
      <c r="D3" s="1000"/>
      <c r="E3" s="1000"/>
      <c r="F3" s="1000"/>
      <c r="G3" s="799">
        <f ca="1">AG3</f>
        <v>41761</v>
      </c>
      <c r="H3" s="800">
        <f>AH3</f>
        <v>42080</v>
      </c>
      <c r="I3" s="745"/>
      <c r="J3"/>
      <c r="K3"/>
      <c r="L3"/>
      <c r="M3"/>
      <c r="N3"/>
      <c r="O3"/>
      <c r="P3"/>
      <c r="Q3"/>
      <c r="R3"/>
      <c r="S3"/>
      <c r="T3"/>
      <c r="U3"/>
      <c r="X3"/>
      <c r="AB3"/>
      <c r="AC3"/>
      <c r="AF3" s="361" t="s">
        <v>59</v>
      </c>
      <c r="AG3" s="60">
        <f ca="1">TODAY()</f>
        <v>41761</v>
      </c>
      <c r="AH3" s="60">
        <f>S.EndOfRulemaking</f>
        <v>42080</v>
      </c>
      <c r="AI3" s="479" t="s">
        <v>0</v>
      </c>
      <c r="AJ3" s="380"/>
      <c r="AK3" s="348" t="str">
        <f>"Last row = "&amp;ROW(S.General.LastCellSchedule)</f>
        <v>Last row = 866</v>
      </c>
      <c r="AL3" s="76"/>
      <c r="AS3" s="992"/>
      <c r="AT3" s="992"/>
      <c r="AU3" s="992"/>
      <c r="AV3" s="992"/>
      <c r="AW3" s="992"/>
      <c r="AX3" s="992"/>
      <c r="AY3" s="992"/>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7" t="s">
        <v>647</v>
      </c>
      <c r="C5" s="997"/>
      <c r="D5" s="997"/>
      <c r="E5" s="997"/>
      <c r="F5" s="997"/>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41276</v>
      </c>
      <c r="I6" s="920"/>
      <c r="AF6" s="362">
        <f>IF(C6="N",0,1)</f>
        <v>1</v>
      </c>
      <c r="AG6" s="58"/>
      <c r="AH6" s="809">
        <f>IF(C6="N",S.Overview.BANNER.Start,G6)</f>
        <v>41276</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3</v>
      </c>
      <c r="F10" s="903" t="s">
        <v>0</v>
      </c>
      <c r="G10"/>
      <c r="H10"/>
      <c r="I10" s="923">
        <f>IF(S.General.Complexity=1,0,IF(S.General.Complexity=2,30,60))</f>
        <v>60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8"/>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998"/>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998"/>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41624</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41624</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ubmittig notice to SOS</v>
      </c>
      <c r="D20" s="693"/>
      <c r="E20" s="693"/>
      <c r="F20" s="903">
        <f>IF(S.SIP.Involved="N",,IF(S.General.Complexity=1,0,45))</f>
        <v>45</v>
      </c>
      <c r="G20" s="843" t="s">
        <v>0</v>
      </c>
      <c r="H20" s="265">
        <f>AH20</f>
        <v>41758</v>
      </c>
      <c r="I20" s="923">
        <f>IF(S.SIP.Involved="N",,IF(S.General.Complexity=1,0,45))</f>
        <v>45</v>
      </c>
      <c r="AF20" s="362">
        <f>IF(S.SIP.Involved="Y",1,0)</f>
        <v>1</v>
      </c>
      <c r="AG20" s="48"/>
      <c r="AH20" s="917">
        <f>IF(S.SIP.Involved="N",,IF(S.Notice.Involved="N","ERROR",WORKDAY(S.Notice.SubmitToSOS-44,-1,S.DDL_DEQClosed)))</f>
        <v>41758</v>
      </c>
      <c r="AI20" s="869" t="s">
        <v>0</v>
      </c>
      <c r="AJ20" s="344"/>
      <c r="AK20" s="63" t="str">
        <f>IF(S.SIP.Involved="N","-blank-",IF(ISERROR(H20)=TRUE,"ERROR - Must enter 'Y' to involve public notice and hearing below","EPA - submit at least 45 days before ubmittig notice to SOS"))</f>
        <v>EPA - submit at least 45 days before 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41276</v>
      </c>
      <c r="H22" s="979">
        <f>AH22</f>
        <v>41841</v>
      </c>
      <c r="I22" s="923" t="s">
        <v>0</v>
      </c>
      <c r="J22"/>
      <c r="K22"/>
      <c r="L22"/>
      <c r="M22"/>
      <c r="N22"/>
      <c r="O22"/>
      <c r="P22"/>
      <c r="Q22"/>
      <c r="R22"/>
      <c r="S22"/>
      <c r="T22"/>
      <c r="U22"/>
      <c r="X22"/>
      <c r="AB22"/>
      <c r="AC22"/>
      <c r="AF22" s="361">
        <f>IF(S.Notice.Involved="N",0,1)</f>
        <v>1</v>
      </c>
      <c r="AG22" s="60">
        <f>IF(S.Notice.Involved="N",,S.DIRECTOR.Approves.ForDEQRulemakingPlan)</f>
        <v>41276</v>
      </c>
      <c r="AH22" s="60">
        <f>IF(S.Notice.Involved="N",,S.Notice.CloseComment)</f>
        <v>41841</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Leah - approval to submit Notice Packet to Rule Publication</v>
      </c>
      <c r="F23" s="903">
        <v>5</v>
      </c>
      <c r="G23" s="291">
        <f>AG23</f>
        <v>41726</v>
      </c>
      <c r="H23" s="291">
        <f>AH23</f>
        <v>41733</v>
      </c>
      <c r="I23" s="923">
        <f>IF(S.Notice.Involved="N",0,10)</f>
        <v>10</v>
      </c>
      <c r="AF23" s="361">
        <f>IF(S.Notice.Involved="Y",1,0)</f>
        <v>1</v>
      </c>
      <c r="AG23" s="60">
        <f>IF(S.Notice.Involved="N",,WORKDAY(H23-F23+1,-1,S.DDL_DEQClosed))</f>
        <v>41726</v>
      </c>
      <c r="AH23" s="60">
        <f>IF(S.Notice.Involved="N",,WORKDAY(G24-9,-1,S.DDL_DEQClosed))</f>
        <v>41733</v>
      </c>
      <c r="AI23" s="952">
        <v>7</v>
      </c>
      <c r="AJ23" s="345"/>
      <c r="AK23" s="63" t="str">
        <f>IF(S.Notice.Involved="Y","Due to "&amp;S.Staff.Program.Mgr.FirstName&amp;" - approval to submit Notice Packet to Rule Publication","-blank-")</f>
        <v>Due to Leah - approval to submit Notice Packet to Rule Publication</v>
      </c>
      <c r="AL23" s="76"/>
    </row>
    <row r="24" spans="1:41" s="23" customFormat="1" ht="14.1" customHeight="1">
      <c r="A24" s="145" t="s">
        <v>0</v>
      </c>
      <c r="B24" s="204" t="str">
        <f t="shared" si="0"/>
        <v>Due to Rule Publication (AndreaG) - final edits and validations</v>
      </c>
      <c r="F24" s="903">
        <v>25</v>
      </c>
      <c r="G24" s="914">
        <f>AG24</f>
        <v>41743</v>
      </c>
      <c r="H24" s="309">
        <f t="shared" ref="H24" si="1">AH24</f>
        <v>41768</v>
      </c>
      <c r="I24" s="923">
        <f>IF(S.Notice.Involved="N",0,IF(S.General.Complexity=1,7,IF(S.General.Complexity=2,14,21)))</f>
        <v>21</v>
      </c>
      <c r="AF24" s="361">
        <f>IF(S.Notice.Involved="Y",1,0)</f>
        <v>1</v>
      </c>
      <c r="AG24" s="60">
        <f>IF(S.Notice.Involved="N",,WORKDAY(H24-F24+1,-1,S.DDL_DEQClosed))</f>
        <v>41743</v>
      </c>
      <c r="AH24" s="60">
        <f>IF(S.Notice.Involved="N",,WORKDAY(S.Notice.Submit.ToADA-13,-1,S.DDL_DEQClosed))</f>
        <v>41768</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41782</v>
      </c>
      <c r="H25" s="309">
        <f>AH25</f>
        <v>41789</v>
      </c>
      <c r="I25" s="923">
        <v>7</v>
      </c>
      <c r="J25"/>
      <c r="K25"/>
      <c r="L25"/>
      <c r="M25"/>
      <c r="N25"/>
      <c r="O25"/>
      <c r="P25"/>
      <c r="Q25"/>
      <c r="R25"/>
      <c r="S25"/>
      <c r="T25"/>
      <c r="U25"/>
      <c r="X25"/>
      <c r="AB25"/>
      <c r="AC25"/>
      <c r="AF25" s="361">
        <f>IF(S.Notice.Involved="Y",1,0)</f>
        <v>1</v>
      </c>
      <c r="AG25" s="60">
        <f>IF(S.Notice.Involved="N",,WORKDAY(H25-F25+1,-1,S.DDL_DEQClosed))</f>
        <v>41782</v>
      </c>
      <c r="AH25" s="60">
        <f>IF(S.Notice.Involved="N",,WORKDAY(S.Notice.SubmitToSOS-13,-1,S.DDL_DEQClosed))</f>
        <v>41789</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41803</v>
      </c>
      <c r="I26" s="745"/>
      <c r="AF26" s="361">
        <f>IF(S.Notice.Involved="Y",1,0)</f>
        <v>1</v>
      </c>
      <c r="AG26" s="48"/>
      <c r="AH26" s="60">
        <f>IF(S.Notice.Involved="N",,VLOOKUP(S.Notice.InOregonBulletin,VL_Bulletin,2,FALSE))</f>
        <v>41803</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1" t="s">
        <v>687</v>
      </c>
      <c r="D27" s="1001"/>
      <c r="E27" s="1001"/>
      <c r="F27" s="1001"/>
      <c r="G27" s="1002"/>
      <c r="H27" s="839">
        <v>41821</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41803</v>
      </c>
      <c r="H29" s="978">
        <f>AH29</f>
        <v>41955</v>
      </c>
      <c r="I29" s="925">
        <f>IF(S.Notice.Involved="N",,IF(S.Hearing.1stInvolve="N",,IF(S.General.Complexity=1,0,IF(S.General.Complexity=2,7,14))))</f>
        <v>14</v>
      </c>
      <c r="J29"/>
      <c r="K29"/>
      <c r="L29"/>
      <c r="M29"/>
      <c r="N29"/>
      <c r="O29"/>
      <c r="P29"/>
      <c r="Q29"/>
      <c r="R29"/>
      <c r="S29"/>
      <c r="T29"/>
      <c r="U29"/>
      <c r="X29"/>
      <c r="AB29"/>
      <c r="AC29"/>
      <c r="AF29" s="361">
        <f>IF(S.Hearing.1stInvolve="N",0,1)</f>
        <v>1</v>
      </c>
      <c r="AG29" s="60">
        <f>IF(S.Hearing.1stInvolve="N",,S.Notice.SubmitToSOS)</f>
        <v>41803</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41806</v>
      </c>
      <c r="I30" s="926"/>
      <c r="J30"/>
      <c r="K30"/>
      <c r="L30"/>
      <c r="M30"/>
      <c r="N30"/>
      <c r="O30"/>
      <c r="P30"/>
      <c r="Q30"/>
      <c r="R30"/>
      <c r="S30"/>
      <c r="T30"/>
      <c r="U30"/>
      <c r="X30"/>
      <c r="AB30"/>
      <c r="AC30"/>
      <c r="AF30" s="361">
        <f>IF(S.Hearing.1stInvolve="N",0,1)</f>
        <v>1</v>
      </c>
      <c r="AG30" s="48"/>
      <c r="AH30" s="60">
        <f>IF(S.Hearing.1stInvolve="N",,WORKDAY(S.Notice.SubmitToSOS,1,S.DDL_DEQClosed))</f>
        <v>41806</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41836</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41841</v>
      </c>
      <c r="I32" s="926"/>
      <c r="AF32" s="361">
        <f>IF(S.Hearing.1stInvolve="N",0,1)</f>
        <v>1</v>
      </c>
      <c r="AG32" s="48"/>
      <c r="AH32" s="60">
        <f>IF(AF32=0,,IF(S.Notice.Involved="N",S.DIRECTOR.Approves.ForDEQRulemakingPlan,WORKDAY(S.Notice.LastHearingDate+2,1,S.DDL_DEQClosed)))</f>
        <v>41841</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41803</v>
      </c>
      <c r="H34" s="978">
        <f>AH34</f>
        <v>41955</v>
      </c>
      <c r="I34" s="926"/>
      <c r="J34"/>
      <c r="K34"/>
      <c r="L34"/>
      <c r="M34"/>
      <c r="N34"/>
      <c r="O34"/>
      <c r="P34"/>
      <c r="Q34"/>
      <c r="R34"/>
      <c r="S34"/>
      <c r="T34"/>
      <c r="U34"/>
      <c r="X34"/>
      <c r="AB34"/>
      <c r="AC34"/>
      <c r="AF34" s="361">
        <v>1</v>
      </c>
      <c r="AG34" s="60">
        <f>S.Notice.SubmitToSOS</f>
        <v>41803</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41681</v>
      </c>
      <c r="H37" s="863">
        <v>41681</v>
      </c>
      <c r="I37" s="928"/>
      <c r="J37"/>
      <c r="K37"/>
      <c r="L37"/>
      <c r="M37"/>
      <c r="N37"/>
      <c r="O37"/>
      <c r="P37"/>
      <c r="Q37"/>
      <c r="R37"/>
      <c r="S37"/>
      <c r="T37"/>
      <c r="U37"/>
      <c r="X37"/>
      <c r="AB37"/>
      <c r="AC37"/>
      <c r="AF37" s="362">
        <f>IF(S.EQC.DirReport="Y",1,0)</f>
        <v>1</v>
      </c>
      <c r="AG37" s="60">
        <f>IF(S.EQC.DirReport="Y",S.DIRECTOR.Approves.ForDEQRulemakingPlan,)</f>
        <v>41276</v>
      </c>
      <c r="AH37" s="60">
        <f>IF(S.EQC.DirReport="Y",S.DIRECTOR.Approves.ForDEQRulemakingPlan,)</f>
        <v>41276</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1" t="s">
        <v>687</v>
      </c>
      <c r="D42" s="1001"/>
      <c r="E42" s="1001"/>
      <c r="F42" s="1001"/>
      <c r="G42" s="1002"/>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41934</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5" t="s">
        <v>0</v>
      </c>
      <c r="H43" s="985"/>
      <c r="I43" s="929">
        <v>-55</v>
      </c>
      <c r="J43"/>
      <c r="K43"/>
      <c r="L43"/>
      <c r="M43"/>
      <c r="N43"/>
      <c r="O43"/>
      <c r="P43"/>
      <c r="Q43"/>
      <c r="R43"/>
      <c r="S43"/>
      <c r="T43"/>
      <c r="U43"/>
      <c r="X43"/>
      <c r="AB43"/>
      <c r="AC43"/>
      <c r="AF43" s="361">
        <v>1</v>
      </c>
      <c r="AG43" s="999" t="s">
        <v>760</v>
      </c>
      <c r="AH43" s="999"/>
      <c r="AI43" s="999"/>
      <c r="AJ43" s="999"/>
      <c r="AK43" s="999"/>
      <c r="AL43" s="76"/>
    </row>
    <row r="44" spans="1:39" s="23" customFormat="1" ht="14.1" hidden="1" customHeight="1" thickTop="1">
      <c r="A44" s="145"/>
      <c r="C44" s="335"/>
      <c r="D44"/>
      <c r="G44" s="985"/>
      <c r="H44" s="985"/>
      <c r="I44" s="925">
        <f>SUM(I8:I42)</f>
        <v>364</v>
      </c>
      <c r="J44"/>
      <c r="K44"/>
      <c r="L44"/>
      <c r="M44"/>
      <c r="N44"/>
      <c r="O44"/>
      <c r="P44"/>
      <c r="Q44"/>
      <c r="R44"/>
      <c r="S44"/>
      <c r="T44"/>
      <c r="U44"/>
      <c r="X44"/>
      <c r="AB44"/>
      <c r="AC44"/>
      <c r="AF44" s="361">
        <v>1</v>
      </c>
      <c r="AG44" s="999" t="s">
        <v>761</v>
      </c>
      <c r="AH44" s="999"/>
      <c r="AI44" s="999"/>
      <c r="AJ44" s="999"/>
      <c r="AK44" s="999"/>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hidden="1" customHeight="1" outlineLevel="1">
      <c r="A53" s="373"/>
      <c r="B53" s="455" t="str">
        <f>S.General.CodeName</f>
        <v>AQPerm</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hidden="1" customHeight="1" outlineLevel="1">
      <c r="A54" s="145"/>
      <c r="B54" s="383"/>
      <c r="C54" s="385"/>
      <c r="D54" s="114"/>
      <c r="E54" s="114"/>
      <c r="F54" s="386"/>
      <c r="G54" s="201">
        <f>S.DIRECTOR.Approves.ForDEQRulemakingPlan</f>
        <v>41276</v>
      </c>
      <c r="H54" s="201">
        <f>AH54</f>
        <v>41316</v>
      </c>
      <c r="I54" s="745"/>
      <c r="AF54" s="361" t="s">
        <v>59</v>
      </c>
      <c r="AG54" s="60">
        <f>S.DIRECTOR.Approves.ForDEQRulemakingPlan</f>
        <v>41276</v>
      </c>
      <c r="AH54" s="60">
        <f>IF(S.General.RuleType="P",WORKDAY(S.Notice.BANNER.Begin+39,1),S.EQC.BANNER.Begin)</f>
        <v>41316</v>
      </c>
      <c r="AI54" s="60">
        <f>MAX(H120:H214)</f>
        <v>41761</v>
      </c>
      <c r="AJ54" s="68"/>
      <c r="AK54" s="58"/>
      <c r="AL54" s="76"/>
      <c r="AM54"/>
    </row>
    <row r="55" spans="1:39" ht="6" hidden="1"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hidden="1" customHeight="1" outlineLevel="1">
      <c r="A56" s="145"/>
      <c r="B56" s="538" t="s">
        <v>792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hidden="1"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hidden="1" customHeight="1" outlineLevel="2">
      <c r="A58" s="145"/>
      <c r="B58" s="912" t="str">
        <f t="shared" ref="B58:B98" si="2">AK58</f>
        <v>Subject expert, core team member - Jill</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Jill</v>
      </c>
      <c r="AL58" s="76"/>
    </row>
    <row r="59" spans="1:39" s="23" customFormat="1" ht="14.1" hidden="1" customHeight="1" outlineLevel="2">
      <c r="A59" s="145"/>
      <c r="B59" s="342" t="s">
        <v>738</v>
      </c>
      <c r="C59" s="97"/>
      <c r="D59" s="183"/>
      <c r="E59" s="183"/>
      <c r="G59" s="350"/>
      <c r="H59" s="350"/>
      <c r="I59" s="745"/>
      <c r="AF59" s="361">
        <v>1</v>
      </c>
      <c r="AG59" s="47"/>
      <c r="AH59" s="47"/>
      <c r="AI59" s="59"/>
      <c r="AJ59" s="43"/>
      <c r="AK59" s="35"/>
      <c r="AL59" s="76"/>
    </row>
    <row r="60" spans="1:39" s="23" customFormat="1" ht="14.1" hidden="1" customHeight="1" outlineLevel="2">
      <c r="A60" s="145"/>
      <c r="B60" s="342" t="s">
        <v>749</v>
      </c>
      <c r="C60" s="97"/>
      <c r="D60" s="183"/>
      <c r="E60" s="183"/>
      <c r="G60" s="350"/>
      <c r="H60" s="350"/>
      <c r="I60" s="745"/>
      <c r="AF60" s="361">
        <v>1</v>
      </c>
      <c r="AG60" s="47"/>
      <c r="AH60" s="47"/>
      <c r="AI60" s="59"/>
      <c r="AJ60" s="43"/>
      <c r="AK60" s="35"/>
      <c r="AL60" s="76"/>
    </row>
    <row r="61" spans="1:39" s="23" customFormat="1" ht="14.1" hidden="1" customHeight="1" outlineLevel="2">
      <c r="A61" s="145"/>
      <c r="B61" s="477" t="s">
        <v>747</v>
      </c>
      <c r="C61" s="97"/>
      <c r="D61" s="183"/>
      <c r="E61" s="183"/>
      <c r="G61" s="350"/>
      <c r="H61" s="350"/>
      <c r="I61" s="745"/>
      <c r="AF61" s="361">
        <v>1</v>
      </c>
      <c r="AG61" s="47"/>
      <c r="AH61" s="47"/>
      <c r="AI61" s="59"/>
      <c r="AJ61" s="43"/>
      <c r="AK61" s="35"/>
      <c r="AL61" s="76"/>
    </row>
    <row r="62" spans="1:39" s="23" customFormat="1" ht="14.1" hidden="1" customHeight="1" outlineLevel="2">
      <c r="A62" s="145"/>
      <c r="B62" s="477" t="s">
        <v>748</v>
      </c>
      <c r="C62" s="97"/>
      <c r="D62" s="183"/>
      <c r="E62" s="183"/>
      <c r="G62" s="350"/>
      <c r="H62" s="350"/>
      <c r="I62" s="745"/>
      <c r="AF62" s="361">
        <v>1</v>
      </c>
      <c r="AG62" s="47"/>
      <c r="AH62" s="47"/>
      <c r="AI62" s="59"/>
      <c r="AJ62" s="43"/>
      <c r="AK62" s="35"/>
      <c r="AL62" s="76"/>
    </row>
    <row r="63" spans="1:39" s="23" customFormat="1" ht="14.1" hidden="1" customHeight="1" outlineLevel="2">
      <c r="A63" s="145"/>
      <c r="B63" s="477" t="s">
        <v>746</v>
      </c>
      <c r="C63" s="97"/>
      <c r="D63" s="183"/>
      <c r="E63" s="183"/>
      <c r="G63" s="350"/>
      <c r="H63" s="350"/>
      <c r="I63" s="745"/>
      <c r="AF63" s="361">
        <v>1</v>
      </c>
      <c r="AG63" s="47"/>
      <c r="AH63" s="47"/>
      <c r="AI63" s="59"/>
      <c r="AJ63" s="43"/>
      <c r="AK63" s="35"/>
      <c r="AL63" s="76"/>
    </row>
    <row r="64" spans="1:39" s="23" customFormat="1" ht="26.25" hidden="1" customHeight="1" outlineLevel="2">
      <c r="A64" s="145"/>
      <c r="B64" s="477" t="s">
        <v>750</v>
      </c>
      <c r="C64" s="97"/>
      <c r="D64" s="183"/>
      <c r="E64" s="183"/>
      <c r="G64" s="350"/>
      <c r="H64" s="350"/>
      <c r="I64" s="745"/>
      <c r="AF64" s="361">
        <v>1</v>
      </c>
      <c r="AG64" s="47"/>
      <c r="AH64" s="47"/>
      <c r="AI64" s="59"/>
      <c r="AJ64" s="43"/>
      <c r="AK64" s="35"/>
      <c r="AL64" s="76"/>
    </row>
    <row r="65" spans="1:38" s="23" customFormat="1" ht="14.1" hidden="1" customHeight="1" outlineLevel="2">
      <c r="A65" s="145"/>
      <c r="B65" s="342" t="s">
        <v>743</v>
      </c>
      <c r="C65" s="97"/>
      <c r="D65" s="183"/>
      <c r="E65" s="183"/>
      <c r="G65" s="350"/>
      <c r="H65" s="350"/>
      <c r="I65" s="745"/>
      <c r="AF65" s="361">
        <v>1</v>
      </c>
      <c r="AG65" s="47"/>
      <c r="AH65" s="47"/>
      <c r="AI65" s="59"/>
      <c r="AJ65" s="43"/>
      <c r="AK65" s="35"/>
      <c r="AL65" s="76"/>
    </row>
    <row r="66" spans="1:38" s="23" customFormat="1" ht="14.1" hidden="1" customHeight="1" outlineLevel="2">
      <c r="A66" s="145"/>
      <c r="B66" s="477" t="s">
        <v>744</v>
      </c>
      <c r="C66" s="97"/>
      <c r="D66" s="183"/>
      <c r="E66" s="183"/>
      <c r="G66" s="350"/>
      <c r="H66" s="350"/>
      <c r="I66" s="745"/>
      <c r="AF66" s="361">
        <v>1</v>
      </c>
      <c r="AG66" s="47"/>
      <c r="AH66" s="47"/>
      <c r="AI66" s="59"/>
      <c r="AJ66" s="43"/>
      <c r="AK66" s="35"/>
      <c r="AL66" s="76"/>
    </row>
    <row r="67" spans="1:38" s="23" customFormat="1" ht="14.1" hidden="1" customHeight="1" outlineLevel="2">
      <c r="A67" s="145"/>
      <c r="B67" s="477" t="s">
        <v>745</v>
      </c>
      <c r="C67" s="97"/>
      <c r="D67" s="183"/>
      <c r="E67" s="183"/>
      <c r="G67" s="350"/>
      <c r="H67" s="350"/>
      <c r="I67" s="745"/>
      <c r="AF67" s="361">
        <v>1</v>
      </c>
      <c r="AG67" s="47"/>
      <c r="AH67" s="47"/>
      <c r="AI67" s="59"/>
      <c r="AJ67" s="43"/>
      <c r="AK67" s="35"/>
      <c r="AL67" s="76"/>
    </row>
    <row r="68" spans="1:38" s="23" customFormat="1" ht="14.1" hidden="1" customHeight="1" outlineLevel="2">
      <c r="A68" s="145"/>
      <c r="B68" s="342" t="s">
        <v>751</v>
      </c>
      <c r="C68" s="97"/>
      <c r="D68" s="183"/>
      <c r="E68" s="183"/>
      <c r="G68" s="350"/>
      <c r="H68" s="350"/>
      <c r="I68" s="745"/>
      <c r="AF68" s="361">
        <v>1</v>
      </c>
      <c r="AG68" s="47"/>
      <c r="AH68" s="47"/>
      <c r="AI68" s="59"/>
      <c r="AJ68" s="43"/>
      <c r="AK68" s="35"/>
      <c r="AL68" s="76"/>
    </row>
    <row r="69" spans="1:38" s="23" customFormat="1" ht="14.1" hidden="1" customHeight="1" outlineLevel="2">
      <c r="A69" s="145"/>
      <c r="B69" s="477" t="s">
        <v>752</v>
      </c>
      <c r="F69" s="901"/>
      <c r="G69" s="796"/>
      <c r="I69" s="39"/>
      <c r="AF69" s="361">
        <f>IF(S.Notice.Involved="Y",1,0)</f>
        <v>1</v>
      </c>
      <c r="AG69" s="48"/>
      <c r="AH69" s="47"/>
      <c r="AI69" s="59"/>
      <c r="AJ69" s="345"/>
      <c r="AK69" s="35"/>
      <c r="AL69" s="76"/>
    </row>
    <row r="70" spans="1:38" s="23" customFormat="1" ht="14.1" hidden="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hidden="1" customHeight="1" outlineLevel="2">
      <c r="A71" s="145"/>
      <c r="B71" s="912" t="str">
        <f t="shared" si="2"/>
        <v>Sponsoring manager, core team member - Leah</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Leah</v>
      </c>
      <c r="AL71" s="76"/>
    </row>
    <row r="72" spans="1:38" s="23" customFormat="1" ht="14.1" hidden="1" customHeight="1" outlineLevel="2">
      <c r="A72" s="145"/>
      <c r="B72" s="342" t="s">
        <v>739</v>
      </c>
      <c r="C72" s="97"/>
      <c r="D72" s="183"/>
      <c r="E72" s="183"/>
      <c r="G72" s="350"/>
      <c r="H72" s="350"/>
      <c r="I72" s="745"/>
      <c r="AF72" s="361">
        <v>1</v>
      </c>
      <c r="AG72" s="47"/>
      <c r="AH72" s="47"/>
      <c r="AI72" s="59"/>
      <c r="AJ72" s="43"/>
      <c r="AK72" s="63"/>
      <c r="AL72" s="76"/>
    </row>
    <row r="73" spans="1:38" s="23" customFormat="1" ht="14.1" hidden="1" customHeight="1" outlineLevel="2">
      <c r="A73" s="145"/>
      <c r="B73" s="342" t="s">
        <v>749</v>
      </c>
      <c r="C73" s="97"/>
      <c r="D73" s="183"/>
      <c r="E73" s="183"/>
      <c r="G73" s="350"/>
      <c r="H73" s="350"/>
      <c r="I73" s="745"/>
      <c r="AF73" s="361">
        <v>1</v>
      </c>
      <c r="AG73" s="47"/>
      <c r="AH73" s="47"/>
      <c r="AI73" s="59"/>
      <c r="AJ73" s="43"/>
      <c r="AK73" s="35"/>
      <c r="AL73" s="76"/>
    </row>
    <row r="74" spans="1:38" s="23" customFormat="1" ht="14.1" hidden="1" customHeight="1" outlineLevel="2">
      <c r="A74" s="145"/>
      <c r="B74" s="477" t="s">
        <v>754</v>
      </c>
      <c r="C74" s="97"/>
      <c r="D74" s="183"/>
      <c r="E74" s="183"/>
      <c r="G74" s="350"/>
      <c r="H74" s="350"/>
      <c r="I74" s="745"/>
      <c r="AF74" s="361">
        <v>1</v>
      </c>
      <c r="AG74" s="47"/>
      <c r="AH74" s="47"/>
      <c r="AI74" s="59"/>
      <c r="AJ74" s="43"/>
      <c r="AK74" s="35"/>
      <c r="AL74" s="76"/>
    </row>
    <row r="75" spans="1:38" s="23" customFormat="1" ht="14.1" hidden="1" customHeight="1" outlineLevel="2">
      <c r="A75" s="145"/>
      <c r="B75" s="339" t="s">
        <v>755</v>
      </c>
      <c r="C75" s="97"/>
      <c r="D75" s="183"/>
      <c r="E75" s="183"/>
      <c r="G75" s="350"/>
      <c r="H75" s="350"/>
      <c r="I75" s="745"/>
      <c r="AF75" s="361">
        <v>1</v>
      </c>
      <c r="AG75" s="47"/>
      <c r="AH75" s="47"/>
      <c r="AI75" s="59"/>
      <c r="AJ75" s="43"/>
      <c r="AK75" s="35"/>
      <c r="AL75" s="76"/>
    </row>
    <row r="76" spans="1:38" s="23" customFormat="1" ht="14.1" hidden="1" customHeight="1" outlineLevel="2">
      <c r="A76" s="145"/>
      <c r="B76" s="339" t="s">
        <v>756</v>
      </c>
      <c r="C76" s="97"/>
      <c r="D76" s="183"/>
      <c r="E76" s="183"/>
      <c r="G76" s="350"/>
      <c r="H76" s="350"/>
      <c r="I76" s="745"/>
      <c r="AF76" s="361">
        <v>1</v>
      </c>
      <c r="AG76" s="47"/>
      <c r="AH76" s="47"/>
      <c r="AI76" s="59"/>
      <c r="AJ76" s="43"/>
      <c r="AK76" s="35"/>
      <c r="AL76" s="76"/>
    </row>
    <row r="77" spans="1:38" s="23" customFormat="1" ht="14.1" hidden="1" customHeight="1" outlineLevel="2">
      <c r="A77" s="145"/>
      <c r="B77" s="339" t="s">
        <v>788</v>
      </c>
      <c r="C77" s="97"/>
      <c r="D77" s="183"/>
      <c r="E77" s="183"/>
      <c r="G77" s="350"/>
      <c r="H77" s="350"/>
      <c r="I77" s="745"/>
      <c r="AF77" s="361">
        <v>1</v>
      </c>
      <c r="AG77" s="47"/>
      <c r="AH77" s="47"/>
      <c r="AI77" s="59"/>
      <c r="AJ77" s="43"/>
      <c r="AK77" s="35"/>
      <c r="AL77" s="76"/>
    </row>
    <row r="78" spans="1:38" s="23" customFormat="1" ht="14.1" hidden="1" customHeight="1" outlineLevel="2">
      <c r="A78" s="145"/>
      <c r="B78" s="342" t="s">
        <v>743</v>
      </c>
      <c r="C78" s="97"/>
      <c r="D78" s="183"/>
      <c r="E78" s="183"/>
      <c r="G78" s="350"/>
      <c r="H78" s="350"/>
      <c r="I78" s="745"/>
      <c r="AF78" s="361">
        <v>1</v>
      </c>
      <c r="AG78" s="47"/>
      <c r="AH78" s="47"/>
      <c r="AI78" s="59"/>
      <c r="AJ78" s="43"/>
      <c r="AK78" s="35"/>
      <c r="AL78" s="76"/>
    </row>
    <row r="79" spans="1:38" s="23" customFormat="1" ht="14.1" hidden="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hidden="1" customHeight="1" outlineLevel="2">
      <c r="A80" s="145"/>
      <c r="B80" s="342" t="s">
        <v>751</v>
      </c>
      <c r="C80" s="97"/>
      <c r="D80" s="183"/>
      <c r="E80" s="183"/>
      <c r="G80" s="350"/>
      <c r="H80" s="350"/>
      <c r="I80" s="745"/>
      <c r="AF80" s="361">
        <v>1</v>
      </c>
      <c r="AG80" s="47"/>
      <c r="AH80" s="47"/>
      <c r="AI80" s="59"/>
      <c r="AJ80" s="43"/>
      <c r="AK80" s="35"/>
      <c r="AL80" s="76"/>
    </row>
    <row r="81" spans="1:38" s="23" customFormat="1" ht="14.1" hidden="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hidden="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hidden="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hidden="1" customHeight="1" outlineLevel="2">
      <c r="A84" s="145"/>
      <c r="B84" s="342" t="s">
        <v>740</v>
      </c>
      <c r="C84" s="97"/>
      <c r="D84" s="183"/>
      <c r="E84" s="183"/>
      <c r="G84" s="350"/>
      <c r="H84" s="350"/>
      <c r="I84" s="745"/>
      <c r="AF84" s="361">
        <v>1</v>
      </c>
      <c r="AG84" s="47"/>
      <c r="AH84" s="47"/>
      <c r="AI84" s="59"/>
      <c r="AJ84" s="43"/>
      <c r="AK84" s="63"/>
      <c r="AL84" s="76"/>
    </row>
    <row r="85" spans="1:38" s="23" customFormat="1" ht="14.1" hidden="1" customHeight="1" outlineLevel="2">
      <c r="A85" s="145"/>
      <c r="B85" s="342" t="s">
        <v>749</v>
      </c>
      <c r="C85" s="97"/>
      <c r="D85" s="183"/>
      <c r="E85" s="183"/>
      <c r="G85" s="350"/>
      <c r="H85" s="350"/>
      <c r="I85" s="745"/>
      <c r="AF85" s="361">
        <v>1</v>
      </c>
      <c r="AG85" s="47"/>
      <c r="AH85" s="47"/>
      <c r="AI85" s="59"/>
      <c r="AJ85" s="43"/>
      <c r="AK85" s="35"/>
      <c r="AL85" s="76"/>
    </row>
    <row r="86" spans="1:38" s="23" customFormat="1" ht="14.1" hidden="1" customHeight="1" outlineLevel="2">
      <c r="A86" s="145"/>
      <c r="B86" s="477" t="s">
        <v>758</v>
      </c>
      <c r="C86" s="97"/>
      <c r="D86" s="183"/>
      <c r="E86" s="183"/>
      <c r="G86" s="350"/>
      <c r="H86" s="350"/>
      <c r="I86" s="745"/>
      <c r="AF86" s="361">
        <v>1</v>
      </c>
      <c r="AG86" s="47"/>
      <c r="AH86" s="47"/>
      <c r="AI86" s="59"/>
      <c r="AJ86" s="43"/>
      <c r="AK86" s="63"/>
      <c r="AL86" s="76"/>
    </row>
    <row r="87" spans="1:38" s="23" customFormat="1" ht="14.1" hidden="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hidden="1" customHeight="1" outlineLevel="2">
      <c r="A88" s="145"/>
      <c r="B88" s="342" t="s">
        <v>741</v>
      </c>
      <c r="C88" s="97"/>
      <c r="D88" s="183"/>
      <c r="E88" s="183"/>
      <c r="G88" s="350"/>
      <c r="H88" s="350"/>
      <c r="I88" s="745"/>
      <c r="AF88" s="361">
        <v>1</v>
      </c>
      <c r="AG88" s="47"/>
      <c r="AH88" s="47"/>
      <c r="AI88" s="59"/>
      <c r="AJ88" s="43"/>
      <c r="AK88" s="63"/>
      <c r="AL88" s="76"/>
    </row>
    <row r="89" spans="1:38" s="23" customFormat="1" ht="14.1" hidden="1" customHeight="1" outlineLevel="2">
      <c r="A89" s="145"/>
      <c r="B89" s="976" t="s">
        <v>789</v>
      </c>
      <c r="C89" s="97"/>
      <c r="D89" s="183"/>
      <c r="E89" s="183"/>
      <c r="G89" s="350"/>
      <c r="H89" s="350"/>
      <c r="I89" s="745"/>
      <c r="AF89" s="361">
        <v>1</v>
      </c>
      <c r="AG89" s="47"/>
      <c r="AH89" s="47"/>
      <c r="AI89" s="59"/>
      <c r="AJ89" s="43"/>
      <c r="AK89" s="63"/>
      <c r="AL89" s="76"/>
    </row>
    <row r="90" spans="1:38" s="23" customFormat="1" ht="25.5" hidden="1" customHeight="1" outlineLevel="2">
      <c r="A90" s="145"/>
      <c r="B90" s="477" t="s">
        <v>735</v>
      </c>
      <c r="C90" s="97"/>
      <c r="D90" s="183"/>
      <c r="E90" s="183"/>
      <c r="G90" s="350"/>
      <c r="H90" s="350"/>
      <c r="I90" s="745"/>
      <c r="AF90" s="361">
        <v>1</v>
      </c>
      <c r="AG90" s="47"/>
      <c r="AH90" s="47"/>
      <c r="AI90" s="59"/>
      <c r="AJ90" s="43"/>
      <c r="AK90" s="63"/>
      <c r="AL90" s="76"/>
    </row>
    <row r="91" spans="1:38" s="23" customFormat="1" ht="14.1" hidden="1" customHeight="1" outlineLevel="2">
      <c r="A91" s="145"/>
      <c r="B91" s="1009" t="s">
        <v>753</v>
      </c>
      <c r="C91" s="1010"/>
      <c r="D91" s="183"/>
      <c r="E91" s="183"/>
      <c r="G91" s="350"/>
      <c r="H91" s="350"/>
      <c r="I91" s="745"/>
      <c r="AF91" s="361">
        <v>1</v>
      </c>
      <c r="AG91" s="47"/>
      <c r="AH91" s="47"/>
      <c r="AI91" s="59"/>
      <c r="AJ91" s="43"/>
      <c r="AK91" s="63"/>
      <c r="AL91" s="76"/>
    </row>
    <row r="92" spans="1:38" s="23" customFormat="1" ht="25.5" hidden="1" customHeight="1" outlineLevel="2">
      <c r="A92" s="145"/>
      <c r="B92" s="440" t="s">
        <v>736</v>
      </c>
      <c r="C92" s="97"/>
      <c r="D92" s="183"/>
      <c r="E92" s="183"/>
      <c r="G92" s="350"/>
      <c r="H92" s="350"/>
      <c r="I92" s="745"/>
      <c r="AF92" s="361">
        <v>1</v>
      </c>
      <c r="AG92" s="47"/>
      <c r="AH92" s="47"/>
      <c r="AI92" s="59"/>
      <c r="AJ92" s="43"/>
      <c r="AK92" s="63"/>
      <c r="AL92" s="76"/>
    </row>
    <row r="93" spans="1:38" s="23" customFormat="1" ht="14.1" hidden="1" customHeight="1" outlineLevel="2">
      <c r="A93" s="145"/>
      <c r="B93" s="477" t="s">
        <v>742</v>
      </c>
      <c r="C93" s="97"/>
      <c r="D93" s="183"/>
      <c r="E93" s="183"/>
      <c r="G93" s="350"/>
      <c r="H93" s="350"/>
      <c r="I93" s="745"/>
      <c r="AF93" s="361">
        <v>1</v>
      </c>
      <c r="AG93" s="47"/>
      <c r="AH93" s="47"/>
      <c r="AI93" s="59"/>
      <c r="AJ93" s="43"/>
      <c r="AK93" s="63"/>
      <c r="AL93" s="76"/>
    </row>
    <row r="94" spans="1:38" s="23" customFormat="1" ht="14.1" hidden="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hidden="1" customHeight="1" outlineLevel="2">
      <c r="A95" s="145"/>
      <c r="B95" s="342" t="s">
        <v>751</v>
      </c>
      <c r="C95" s="97"/>
      <c r="D95" s="183"/>
      <c r="E95" s="183"/>
      <c r="G95" s="350"/>
      <c r="H95" s="350"/>
      <c r="I95" s="745"/>
      <c r="AF95" s="361">
        <v>1</v>
      </c>
      <c r="AG95" s="47"/>
      <c r="AH95" s="47"/>
      <c r="AI95" s="59"/>
      <c r="AJ95" s="43"/>
      <c r="AK95" s="35"/>
      <c r="AL95" s="76"/>
    </row>
    <row r="96" spans="1:38" s="23" customFormat="1" ht="14.1" hidden="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hidden="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hidden="1" customHeight="1" outlineLevel="2">
      <c r="A98" s="145"/>
      <c r="B98" s="912" t="str">
        <f t="shared" si="2"/>
        <v>Program Support Staff - Jill</v>
      </c>
      <c r="C98" s="97" t="s">
        <v>0</v>
      </c>
      <c r="D98" s="183"/>
      <c r="E98" s="183"/>
      <c r="F98"/>
      <c r="G98" s="350"/>
      <c r="H98" s="350"/>
      <c r="I98" s="745"/>
      <c r="AF98" s="361">
        <v>1</v>
      </c>
      <c r="AG98" s="47"/>
      <c r="AH98" s="47"/>
      <c r="AI98" s="59"/>
      <c r="AJ98" s="43"/>
      <c r="AK98" s="63" t="str">
        <f>"Program Support Staff - "&amp;S.Staff.Support</f>
        <v>Program Support Staff - Jill</v>
      </c>
      <c r="AL98" s="76"/>
    </row>
    <row r="99" spans="1:38" s="23" customFormat="1" ht="14.1" hidden="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hidden="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hidden="1"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hidden="1"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hidden="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hidden="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hidden="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hidden="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hidden="1" customHeight="1" outlineLevel="2">
      <c r="A107" s="145" t="s">
        <v>0</v>
      </c>
      <c r="B107" s="786" t="str">
        <f>AK107</f>
        <v>\\deqhq1\Rule_Development\Currrent Plan\AQ-RM-PermittingProgramUpdates-Jill Inahara\1-Planning</v>
      </c>
      <c r="C107" s="545" t="s">
        <v>0</v>
      </c>
      <c r="D107" s="705"/>
      <c r="E107" s="705"/>
      <c r="F107"/>
      <c r="I107" s="745"/>
      <c r="AF107" s="361">
        <f t="shared" si="3"/>
        <v>1</v>
      </c>
      <c r="AG107" s="59"/>
      <c r="AH107" s="59"/>
      <c r="AI107" s="59"/>
      <c r="AJ107" s="59"/>
      <c r="AK107" s="73" t="s">
        <v>787</v>
      </c>
      <c r="AL107" s="76"/>
    </row>
    <row r="108" spans="1:38" s="23" customFormat="1" ht="14.1" hidden="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hidden="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hidden="1" customHeight="1" outlineLevel="2">
      <c r="A110" s="145" t="s">
        <v>0</v>
      </c>
      <c r="B110" s="786" t="str">
        <f>AK110</f>
        <v>http://www.oregon.gov/deq/RulesandRegulations/Pages/comments/AQPerm.aspx]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hidden="1" customHeight="1" outlineLevel="2">
      <c r="A112" s="145" t="s">
        <v>0</v>
      </c>
      <c r="B112" s="786" t="str">
        <f>AK112</f>
        <v xml:space="preserve">http://www.oregon.gov/deq/RulesandRegulations/Pages/2014/AQPerm.aspx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hidden="1" customHeight="1" outlineLevel="2">
      <c r="A114" s="145" t="s">
        <v>0</v>
      </c>
      <c r="B114" s="786" t="str">
        <f>AK114</f>
        <v>Comment-AQPerm@deq.state.or.us</v>
      </c>
      <c r="C114" s="545" t="s">
        <v>0</v>
      </c>
      <c r="D114" s="705"/>
      <c r="E114" s="705"/>
      <c r="F114"/>
      <c r="I114" s="745"/>
      <c r="AF114" s="361">
        <f t="shared" si="3"/>
        <v>1</v>
      </c>
      <c r="AG114" s="59"/>
      <c r="AH114" s="59"/>
      <c r="AI114" s="59"/>
      <c r="AJ114" s="59"/>
      <c r="AK114" s="73" t="str">
        <f>"Comment-"&amp;S.General.CodeName&amp;"@deq.state.or.us"</f>
        <v>Comment-AQPerm@deq.state.or.us</v>
      </c>
      <c r="AL114" s="76"/>
    </row>
    <row r="115" spans="1:38" s="23" customFormat="1" ht="6" hidden="1" customHeight="1" outlineLevel="1">
      <c r="A115" s="145"/>
      <c r="B115" s="204"/>
      <c r="C115" s="97"/>
      <c r="D115" s="183"/>
      <c r="E115" s="183"/>
      <c r="G115" s="350"/>
      <c r="H115" s="350"/>
      <c r="I115" s="745"/>
      <c r="AF115" s="361">
        <v>1</v>
      </c>
      <c r="AG115" s="47"/>
      <c r="AH115" s="47"/>
      <c r="AI115" s="59"/>
      <c r="AJ115" s="43"/>
      <c r="AK115" s="63"/>
      <c r="AL115" s="76"/>
    </row>
    <row r="116" spans="1:38" s="172" customFormat="1" ht="18" hidden="1"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Leah discusses developing concept for DEQ Rulemaking Plan with Uri</v>
      </c>
      <c r="C117" s="97" t="s">
        <v>0</v>
      </c>
      <c r="D117" s="200" t="s">
        <v>696</v>
      </c>
      <c r="E117" s="877"/>
      <c r="F117"/>
      <c r="G117" s="134"/>
      <c r="H117" s="349">
        <f>AH117</f>
        <v>41276</v>
      </c>
      <c r="I117" s="745"/>
      <c r="AF117" s="361">
        <v>1</v>
      </c>
      <c r="AG117" s="47"/>
      <c r="AH117" s="60">
        <f>S.DIRECTOR.Approves.ForDEQRulemakingPlan</f>
        <v>41276</v>
      </c>
      <c r="AI117" s="59" t="s">
        <v>0</v>
      </c>
      <c r="AJ117" s="43"/>
      <c r="AK117" s="63" t="str">
        <f>S.Staff.Program.Mgr.FirstName&amp;" discusses developing concept for DEQ Rulemaking Plan with "&amp;S.Staff.Assistant.DA.ShortName</f>
        <v>Leah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41276</v>
      </c>
      <c r="I118" s="745"/>
      <c r="J118"/>
      <c r="K118"/>
      <c r="L118"/>
      <c r="M118"/>
      <c r="N118"/>
      <c r="O118"/>
      <c r="P118"/>
      <c r="Q118"/>
      <c r="R118"/>
      <c r="S118"/>
      <c r="T118"/>
      <c r="U118"/>
      <c r="X118"/>
      <c r="AB118"/>
      <c r="AC118"/>
      <c r="AF118" s="361">
        <v>1</v>
      </c>
      <c r="AG118" s="47"/>
      <c r="AH118" s="60">
        <f>S.DIRECTOR.Approves.ForDEQRulemakingPlan</f>
        <v>41276</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Leah</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Leah</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41276</v>
      </c>
      <c r="I120" s="745"/>
      <c r="J120"/>
      <c r="K120"/>
      <c r="L120"/>
      <c r="M120"/>
      <c r="N120"/>
      <c r="O120"/>
      <c r="P120"/>
      <c r="Q120"/>
      <c r="R120"/>
      <c r="S120"/>
      <c r="T120"/>
      <c r="U120"/>
      <c r="X120"/>
      <c r="AB120"/>
      <c r="AC120"/>
      <c r="AF120" s="361">
        <v>1</v>
      </c>
      <c r="AG120" s="47"/>
      <c r="AH120" s="60">
        <f>H118</f>
        <v>41276</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41276</v>
      </c>
      <c r="I122" s="745"/>
      <c r="AF122" s="361">
        <v>1</v>
      </c>
      <c r="AG122" s="47"/>
      <c r="AH122" s="60">
        <f>H118</f>
        <v>41276</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41276</v>
      </c>
      <c r="I125" s="745"/>
      <c r="J125"/>
      <c r="K125"/>
      <c r="L125"/>
      <c r="M125"/>
      <c r="N125"/>
      <c r="O125"/>
      <c r="P125"/>
      <c r="Q125"/>
      <c r="R125"/>
      <c r="S125"/>
      <c r="T125"/>
      <c r="U125"/>
      <c r="X125"/>
      <c r="AB125"/>
      <c r="AC125"/>
      <c r="AF125" s="361">
        <v>1</v>
      </c>
      <c r="AG125" s="47"/>
      <c r="AH125" s="60">
        <f>H118</f>
        <v>41276</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Leah &amp; Jill participates in work session. Topics include:</v>
      </c>
      <c r="C129" s="537" t="s">
        <v>0</v>
      </c>
      <c r="D129" s="571" t="s">
        <v>48</v>
      </c>
      <c r="E129" s="878"/>
      <c r="F129"/>
      <c r="G129" s="535"/>
      <c r="H129" s="536">
        <f>AH129</f>
        <v>41276</v>
      </c>
      <c r="I129" s="745"/>
      <c r="AF129" s="361">
        <v>1</v>
      </c>
      <c r="AG129" s="48"/>
      <c r="AH129" s="60">
        <f>H125</f>
        <v>41276</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Jill drafts:</v>
      </c>
      <c r="C146" s="88"/>
      <c r="D146" s="194" t="s">
        <v>696</v>
      </c>
      <c r="E146" s="877"/>
      <c r="F146"/>
      <c r="G146" s="190">
        <f>AG146</f>
        <v>41276</v>
      </c>
      <c r="H146" s="190">
        <f>AH146</f>
        <v>41276</v>
      </c>
      <c r="I146" s="745"/>
      <c r="AF146" s="361">
        <v>1</v>
      </c>
      <c r="AG146" s="60">
        <f>H129</f>
        <v>41276</v>
      </c>
      <c r="AH146" s="60">
        <f>G146</f>
        <v>41276</v>
      </c>
      <c r="AI146" s="59"/>
      <c r="AJ146" s="43"/>
      <c r="AK146" s="78" t="str">
        <f>S.Staff.Subject.Expert.FirstName&amp;" drafts:"</f>
        <v>Jill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Jill gets consenus from Leah &amp; AndreaG on workbooks</v>
      </c>
      <c r="C150" s="88"/>
      <c r="D150" s="194" t="s">
        <v>48</v>
      </c>
      <c r="E150" s="877"/>
      <c r="F150"/>
      <c r="H150" s="190">
        <f>AH150</f>
        <v>41276</v>
      </c>
      <c r="I150" s="745"/>
      <c r="AF150" s="361">
        <v>1</v>
      </c>
      <c r="AG150" s="58"/>
      <c r="AH150" s="60">
        <f>S.Planning.DraftWorkbooksEnd</f>
        <v>41276</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c r="A151" s="145"/>
      <c r="B151" s="267" t="str">
        <f>AK151</f>
        <v>Leah shares concept with Uri and may stop/delay/advance concept</v>
      </c>
      <c r="C151" s="88"/>
      <c r="D151" s="194" t="s">
        <v>696</v>
      </c>
      <c r="E151" s="877"/>
      <c r="H151" s="190">
        <f>AH151</f>
        <v>41276</v>
      </c>
      <c r="I151" s="745"/>
      <c r="AF151" s="361">
        <v>1</v>
      </c>
      <c r="AG151" s="58"/>
      <c r="AH151" s="60">
        <f>S.Planning.DraftWorkbooksEnd</f>
        <v>41276</v>
      </c>
      <c r="AI151" s="59"/>
      <c r="AJ151" s="43"/>
      <c r="AK151" s="78" t="str">
        <f>S.Staff.Program.Mgr.FirstName&amp;" shares concept with "&amp;S.Staff.Assistant.DA.ShortName&amp;" and may stop/delay/advance concept"</f>
        <v>Leah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41276</v>
      </c>
      <c r="I152" s="745"/>
      <c r="AF152" s="361">
        <v>1</v>
      </c>
      <c r="AG152" s="58"/>
      <c r="AH152" s="60">
        <f>S.Planning.DraftWorkbooksEnd</f>
        <v>41276</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Leah emails AndreaG to indicate her approval</v>
      </c>
      <c r="C153" s="88"/>
      <c r="D153" s="194" t="s">
        <v>696</v>
      </c>
      <c r="E153" s="877"/>
      <c r="H153" s="190">
        <f>AH153</f>
        <v>41276</v>
      </c>
      <c r="I153" s="745"/>
      <c r="AF153" s="361">
        <v>1</v>
      </c>
      <c r="AG153" s="58"/>
      <c r="AH153" s="60">
        <f>S.Planning.DraftWorkbooksEnd</f>
        <v>41276</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Leah &amp; Jill</v>
      </c>
      <c r="C157" s="88"/>
      <c r="D157" s="194" t="s">
        <v>48</v>
      </c>
      <c r="E157" s="877"/>
      <c r="H157" s="190">
        <f>AH157</f>
        <v>41276</v>
      </c>
      <c r="I157" s="745"/>
      <c r="AF157" s="361">
        <v>1</v>
      </c>
      <c r="AG157" s="58"/>
      <c r="AH157" s="60">
        <f>S.Planning.DraftWorkbooksEnd</f>
        <v>41276</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Leah &amp; AndreaG</v>
      </c>
      <c r="C159" s="88"/>
      <c r="D159" s="194" t="s">
        <v>48</v>
      </c>
      <c r="E159" s="877"/>
      <c r="H159" s="190">
        <f>AH159</f>
        <v>41276</v>
      </c>
      <c r="I159" s="745"/>
      <c r="AF159" s="361">
        <v>1</v>
      </c>
      <c r="AG159" s="58"/>
      <c r="AH159" s="60">
        <f>S.Planning.DraftWorkbooksEnd</f>
        <v>41276</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41276</v>
      </c>
      <c r="H161" s="190">
        <f>AH161</f>
        <v>41276</v>
      </c>
      <c r="I161" s="745"/>
      <c r="J161"/>
      <c r="K161"/>
      <c r="L161"/>
      <c r="M161"/>
      <c r="N161"/>
      <c r="O161"/>
      <c r="P161"/>
      <c r="Q161"/>
      <c r="R161"/>
      <c r="S161"/>
      <c r="T161"/>
      <c r="U161"/>
      <c r="X161"/>
      <c r="AB161"/>
      <c r="AC161"/>
      <c r="AF161" s="361">
        <v>1</v>
      </c>
      <c r="AG161" s="60">
        <f>H150</f>
        <v>41276</v>
      </c>
      <c r="AH161" s="60">
        <f>G161</f>
        <v>41276</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41276</v>
      </c>
      <c r="I163" s="745"/>
      <c r="J163"/>
      <c r="K163"/>
      <c r="L163"/>
      <c r="M163"/>
      <c r="N163"/>
      <c r="O163"/>
      <c r="P163"/>
      <c r="Q163"/>
      <c r="R163"/>
      <c r="S163"/>
      <c r="T163"/>
      <c r="U163"/>
      <c r="X163"/>
      <c r="AB163"/>
      <c r="AC163"/>
      <c r="AF163" s="361">
        <v>1</v>
      </c>
      <c r="AG163" s="47"/>
      <c r="AH163" s="60">
        <f>H161</f>
        <v>41276</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Leah, Jill,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hidden="1"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hidden="1" customHeight="1" outlineLevel="1" thickBot="1">
      <c r="A174" s="145" t="s">
        <v>0</v>
      </c>
      <c r="B174" s="267" t="str">
        <f>AK174</f>
        <v>Leah, Jill &amp; AndreaG decide whether to expand team  'Y' to expand &gt;</v>
      </c>
      <c r="C174" s="540" t="s">
        <v>16</v>
      </c>
      <c r="D174" s="188"/>
      <c r="E174" s="880"/>
      <c r="F174"/>
      <c r="G174" s="90" t="s">
        <v>0</v>
      </c>
      <c r="H174" s="190">
        <f>AH174</f>
        <v>41276</v>
      </c>
      <c r="I174" s="745"/>
      <c r="J174"/>
      <c r="K174"/>
      <c r="L174"/>
      <c r="M174"/>
      <c r="N174"/>
      <c r="O174"/>
      <c r="P174"/>
      <c r="Q174"/>
      <c r="R174"/>
      <c r="S174"/>
      <c r="T174"/>
      <c r="U174"/>
      <c r="X174"/>
      <c r="AB174"/>
      <c r="AC174"/>
      <c r="AF174" s="361">
        <f>IF(S.Planning.DecisionToAddToPlan="A",1,0)</f>
        <v>1</v>
      </c>
      <c r="AG174" s="58"/>
      <c r="AH174" s="60">
        <f>S.Planning.AddConceptToPlanDate</f>
        <v>41276</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c r="A175" s="145"/>
      <c r="B175" s="267" t="str">
        <f>AK175</f>
        <v>Leah works with MargaretO obtains unique Q-Time number(s)</v>
      </c>
      <c r="C175" s="199"/>
      <c r="D175" s="188"/>
      <c r="E175" s="880"/>
      <c r="F175"/>
      <c r="G175" s="90" t="s">
        <v>0</v>
      </c>
      <c r="H175" s="190">
        <f>AH175</f>
        <v>41276</v>
      </c>
      <c r="I175" s="745"/>
      <c r="J175"/>
      <c r="K175"/>
      <c r="L175"/>
      <c r="M175"/>
      <c r="N175"/>
      <c r="O175"/>
      <c r="P175"/>
      <c r="Q175"/>
      <c r="R175"/>
      <c r="S175"/>
      <c r="T175"/>
      <c r="U175"/>
      <c r="X175"/>
      <c r="AB175"/>
      <c r="AC175"/>
      <c r="AF175" s="361">
        <f>IF(S.Planning.DecisionToAddToPlan="A",1,0)</f>
        <v>1</v>
      </c>
      <c r="AG175" s="58"/>
      <c r="AH175" s="60">
        <f>S.Planning.AddConceptToPlanDate</f>
        <v>41276</v>
      </c>
      <c r="AI175" s="59"/>
      <c r="AJ175" s="62"/>
      <c r="AK175" s="63" t="str">
        <f>S.Staff.Program.Mgr.FirstName&amp;" works with "&amp;S.Staff.Budget&amp;" obtains unique Q-Time number(s)"</f>
        <v>Leah works with MargaretO obtains unique Q-Time number(s)</v>
      </c>
      <c r="AL175" s="76"/>
    </row>
    <row r="176" spans="1:39" s="23" customFormat="1" ht="14.1" hidden="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hidden="1" customHeight="1" outlineLevel="1">
      <c r="A177" s="145"/>
      <c r="B177" s="343" t="str">
        <f>AK177</f>
        <v>Leah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hidden="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hidden="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hidden="1" customHeight="1" outlineLevel="1">
      <c r="A181" s="145"/>
      <c r="B181" s="267" t="str">
        <f>AK181</f>
        <v>AndreaG drafts SCHEDULE:</v>
      </c>
      <c r="C181" s="195" t="s">
        <v>0</v>
      </c>
      <c r="D181" s="188"/>
      <c r="E181" s="880"/>
      <c r="F181"/>
      <c r="G181" s="90" t="s">
        <v>0</v>
      </c>
      <c r="H181" s="190">
        <f>AH181</f>
        <v>41276</v>
      </c>
      <c r="I181" s="745"/>
      <c r="AF181" s="361">
        <f t="shared" si="6"/>
        <v>1</v>
      </c>
      <c r="AG181" s="58"/>
      <c r="AH181" s="60">
        <f>S.Planning.AddConceptToPlanDate</f>
        <v>41276</v>
      </c>
      <c r="AI181" s="59"/>
      <c r="AJ181" s="43"/>
      <c r="AK181" s="63" t="str">
        <f>S.Staff.RG.Lead.FirstName&amp;" drafts SCHEDULE:"</f>
        <v>AndreaG drafts SCHEDULE:</v>
      </c>
      <c r="AL181" s="76"/>
    </row>
    <row r="182" spans="1:38" s="23" customFormat="1" ht="14.1" hidden="1" customHeight="1" outlineLevel="1">
      <c r="A182" s="145"/>
      <c r="B182" s="267" t="str">
        <f>AK182</f>
        <v>Jill &amp; AndreaG refine &amp; agree on draft schedule:</v>
      </c>
      <c r="C182" s="195" t="s">
        <v>0</v>
      </c>
      <c r="D182" s="188"/>
      <c r="E182" s="880"/>
      <c r="F182"/>
      <c r="G182" s="90" t="s">
        <v>0</v>
      </c>
      <c r="H182" s="190">
        <f>AH182</f>
        <v>41276</v>
      </c>
      <c r="I182" s="745"/>
      <c r="AF182" s="361">
        <f t="shared" si="6"/>
        <v>1</v>
      </c>
      <c r="AG182" s="58"/>
      <c r="AH182" s="60">
        <f>S.Planning.AddConceptToPlanDate</f>
        <v>41276</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c r="A183" s="145"/>
      <c r="B183" s="267" t="str">
        <f>AK183</f>
        <v>Jill schedules/holds team meeting(s) for consensus on:</v>
      </c>
      <c r="C183" s="195" t="s">
        <v>0</v>
      </c>
      <c r="D183" s="188"/>
      <c r="E183" s="880"/>
      <c r="F183"/>
      <c r="G183" s="190">
        <f>AG183</f>
        <v>41276</v>
      </c>
      <c r="H183" s="190">
        <f>AH183</f>
        <v>41276</v>
      </c>
      <c r="I183" s="745"/>
      <c r="J183"/>
      <c r="K183"/>
      <c r="L183"/>
      <c r="M183"/>
      <c r="N183"/>
      <c r="O183"/>
      <c r="P183"/>
      <c r="Q183"/>
      <c r="R183"/>
      <c r="S183"/>
      <c r="T183"/>
      <c r="U183"/>
      <c r="X183"/>
      <c r="AB183"/>
      <c r="AC183"/>
      <c r="AF183" s="361">
        <f t="shared" si="6"/>
        <v>1</v>
      </c>
      <c r="AG183" s="60">
        <f>S.Planning.AddConceptToPlanDate</f>
        <v>41276</v>
      </c>
      <c r="AH183" s="60">
        <f>G183</f>
        <v>41276</v>
      </c>
      <c r="AI183" s="59"/>
      <c r="AJ183" s="43"/>
      <c r="AK183" s="63" t="str">
        <f>S.Staff.Subject.Expert.FirstName&amp;" schedules/holds team meeting(s) for consensus on:"</f>
        <v>Jill schedules/holds team meeting(s) for consensus on:</v>
      </c>
      <c r="AL183" s="76"/>
    </row>
    <row r="184" spans="1:38" s="23" customFormat="1" ht="14.1" hidden="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hidden="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hidden="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hidden="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hidden="1"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hidden="1"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hidden="1" customHeight="1" outlineLevel="2">
      <c r="A190" s="145"/>
      <c r="B190" s="303" t="str">
        <f>AK190</f>
        <v>Jill schedules/holds meeting with team, especially Leah,</v>
      </c>
      <c r="C190" s="527"/>
      <c r="D190" s="528" t="s">
        <v>0</v>
      </c>
      <c r="E190" s="881"/>
      <c r="F190"/>
      <c r="G190" s="190">
        <f>AG190</f>
        <v>41276</v>
      </c>
      <c r="H190" s="190">
        <f>AH190</f>
        <v>41276</v>
      </c>
      <c r="I190" s="745"/>
      <c r="J190"/>
      <c r="K190"/>
      <c r="L190"/>
      <c r="M190"/>
      <c r="N190"/>
      <c r="O190"/>
      <c r="P190"/>
      <c r="Q190"/>
      <c r="R190"/>
      <c r="S190"/>
      <c r="T190"/>
      <c r="U190"/>
      <c r="X190"/>
      <c r="AB190"/>
      <c r="AC190"/>
      <c r="AF190" s="361">
        <f t="shared" si="6"/>
        <v>1</v>
      </c>
      <c r="AG190" s="60">
        <f>S.Planning.AddConceptToPlanDate</f>
        <v>41276</v>
      </c>
      <c r="AH190" s="60">
        <f>G190</f>
        <v>41276</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team, especially Leah,</v>
      </c>
      <c r="AL190" s="76"/>
    </row>
    <row r="191" spans="1:38" s="23" customFormat="1" ht="15.75" hidden="1"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hidden="1"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hidden="1"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Jill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41276</v>
      </c>
      <c r="H201" s="256">
        <f>AH201</f>
        <v>41276</v>
      </c>
      <c r="I201" s="745"/>
      <c r="J201"/>
      <c r="K201"/>
      <c r="L201"/>
      <c r="M201"/>
      <c r="N201"/>
      <c r="O201"/>
      <c r="P201"/>
      <c r="Q201"/>
      <c r="R201"/>
      <c r="S201"/>
      <c r="T201"/>
      <c r="U201"/>
      <c r="X201"/>
      <c r="AB201"/>
      <c r="AC201"/>
      <c r="AF201" s="361">
        <f>IF(S.Planning.CommunicationsPlan="Y",1,0)</f>
        <v>0</v>
      </c>
      <c r="AG201" s="60">
        <f>S.Planning.CommunicationMeeting</f>
        <v>41276</v>
      </c>
      <c r="AH201" s="60">
        <f>G201</f>
        <v>41276</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41276</v>
      </c>
      <c r="H203" s="256">
        <f>AH203</f>
        <v>41276</v>
      </c>
      <c r="I203" s="745"/>
      <c r="AF203" s="362">
        <f>IF(S.Planning.MessageMap="Y",1,0)</f>
        <v>0</v>
      </c>
      <c r="AG203" s="60">
        <f>G201</f>
        <v>41276</v>
      </c>
      <c r="AH203" s="60">
        <f>G203</f>
        <v>41276</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41276</v>
      </c>
      <c r="H204" s="256">
        <f>AH204</f>
        <v>41276</v>
      </c>
      <c r="I204" s="745"/>
      <c r="J204"/>
      <c r="K204"/>
      <c r="L204"/>
      <c r="M204"/>
      <c r="N204"/>
      <c r="O204"/>
      <c r="P204"/>
      <c r="Q204"/>
      <c r="R204"/>
      <c r="S204"/>
      <c r="T204"/>
      <c r="U204"/>
      <c r="X204"/>
      <c r="AB204"/>
      <c r="AC204"/>
      <c r="AF204" s="362">
        <f>IF(S.Planning.ProgramWebPage="Y",1,0)</f>
        <v>0</v>
      </c>
      <c r="AG204" s="60">
        <f>G203</f>
        <v>41276</v>
      </c>
      <c r="AH204" s="60">
        <f>G204</f>
        <v>41276</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Leah:</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41276</v>
      </c>
      <c r="H206" s="256">
        <f t="shared" si="7"/>
        <v>41276</v>
      </c>
      <c r="I206" s="745"/>
      <c r="J206"/>
      <c r="K206"/>
      <c r="L206"/>
      <c r="M206"/>
      <c r="N206"/>
      <c r="O206"/>
      <c r="P206"/>
      <c r="Q206"/>
      <c r="R206"/>
      <c r="S206"/>
      <c r="T206"/>
      <c r="U206"/>
      <c r="X206"/>
      <c r="AB206"/>
      <c r="AC206"/>
      <c r="AF206" s="361">
        <f>IF(OR(S.Planning.CommunicationsPlan="Y",S.Planning.MessageMap="Y",S.Planning.ProgramWebPage="Y"),1,0)</f>
        <v>0</v>
      </c>
      <c r="AG206" s="60">
        <f>H204</f>
        <v>41276</v>
      </c>
      <c r="AH206" s="60">
        <f t="shared" ref="AH206:AH211" si="8">G206</f>
        <v>41276</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41276</v>
      </c>
      <c r="H207" s="256">
        <f t="shared" si="7"/>
        <v>41276</v>
      </c>
      <c r="I207" s="745"/>
      <c r="J207"/>
      <c r="K207"/>
      <c r="L207"/>
      <c r="M207"/>
      <c r="N207"/>
      <c r="O207"/>
      <c r="P207"/>
      <c r="Q207"/>
      <c r="R207"/>
      <c r="S207"/>
      <c r="T207"/>
      <c r="U207"/>
      <c r="X207"/>
      <c r="AB207"/>
      <c r="AC207"/>
      <c r="AF207" s="361">
        <f>IF(OR(S.Planning.CommunicationsPlan="Y",S.Planning.MessageMap="Y",S.Planning.ProgramWebPage="Y"),1,0)</f>
        <v>0</v>
      </c>
      <c r="AG207" s="60">
        <f>H206</f>
        <v>41276</v>
      </c>
      <c r="AH207" s="60">
        <f t="shared" si="8"/>
        <v>41276</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Jill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Jill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hidden="1"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hidden="1"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49"/>
      <c r="D217" s="1006" t="s">
        <v>586</v>
      </c>
      <c r="E217" s="1006"/>
      <c r="F217" s="1006"/>
      <c r="G217" s="1006"/>
      <c r="H217" s="1006"/>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44"/>
      <c r="B218" s="266" t="s">
        <v>0</v>
      </c>
      <c r="C218" s="762"/>
      <c r="D218" s="993" t="s">
        <v>585</v>
      </c>
      <c r="E218" s="994"/>
      <c r="F218" s="994"/>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Jill enters hearings locations, dates and times:</v>
      </c>
      <c r="AL218" s="565"/>
    </row>
    <row r="219" spans="1:38" s="23" customFormat="1" ht="15" hidden="1" customHeight="1" outlineLevel="1" thickTop="1">
      <c r="A219" s="145"/>
      <c r="B219" s="758" t="s">
        <v>531</v>
      </c>
      <c r="C219" s="962" t="s">
        <v>16</v>
      </c>
      <c r="D219" s="995">
        <v>1</v>
      </c>
      <c r="E219" s="996"/>
      <c r="F219" s="996"/>
      <c r="G219" s="253">
        <f t="shared" ref="G219:G227" si="9">AG219</f>
        <v>41836</v>
      </c>
      <c r="H219" s="760" t="s">
        <v>304</v>
      </c>
      <c r="I219" s="745"/>
      <c r="J219"/>
      <c r="K219"/>
      <c r="L219"/>
      <c r="M219"/>
      <c r="N219"/>
      <c r="O219"/>
      <c r="P219"/>
      <c r="Q219"/>
      <c r="R219"/>
      <c r="S219"/>
      <c r="T219"/>
      <c r="U219"/>
      <c r="X219"/>
      <c r="AB219"/>
      <c r="AC219"/>
      <c r="AF219" s="361">
        <f>IF(S.Hearing.1stInvolve="Y",1,0)</f>
        <v>1</v>
      </c>
      <c r="AG219" s="60">
        <f>S.Hearing.1stDate</f>
        <v>41836</v>
      </c>
      <c r="AH219" s="387" t="s">
        <v>67</v>
      </c>
      <c r="AI219" s="34"/>
      <c r="AJ219" s="43"/>
      <c r="AK219" s="43"/>
      <c r="AL219" s="76"/>
    </row>
    <row r="220" spans="1:38" s="23" customFormat="1" ht="15" hidden="1" customHeight="1" outlineLevel="1">
      <c r="A220" s="145"/>
      <c r="B220" s="758" t="s">
        <v>790</v>
      </c>
      <c r="C220" s="963" t="s">
        <v>16</v>
      </c>
      <c r="D220" s="995">
        <v>2</v>
      </c>
      <c r="E220" s="996"/>
      <c r="F220" s="996"/>
      <c r="G220" s="253">
        <f t="shared" si="9"/>
        <v>41836</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41836</v>
      </c>
      <c r="AH220" s="60" t="str">
        <f>H219</f>
        <v>6 p.m.</v>
      </c>
      <c r="AI220" s="59"/>
      <c r="AJ220" s="59"/>
      <c r="AK220" s="66"/>
      <c r="AL220" s="76"/>
    </row>
    <row r="221" spans="1:38" s="23" customFormat="1" ht="15" hidden="1" customHeight="1" outlineLevel="1" thickBot="1">
      <c r="A221" s="145"/>
      <c r="B221" s="758" t="s">
        <v>791</v>
      </c>
      <c r="C221" s="963" t="s">
        <v>16</v>
      </c>
      <c r="D221" s="995">
        <v>3</v>
      </c>
      <c r="E221" s="996"/>
      <c r="F221" s="996" t="s">
        <v>0</v>
      </c>
      <c r="G221" s="253">
        <f t="shared" si="9"/>
        <v>41836</v>
      </c>
      <c r="H221" s="760" t="str">
        <f t="shared" si="10"/>
        <v>6 p.m.</v>
      </c>
      <c r="I221" s="745"/>
      <c r="J221"/>
      <c r="K221"/>
      <c r="L221"/>
      <c r="M221"/>
      <c r="N221"/>
      <c r="O221"/>
      <c r="P221"/>
      <c r="Q221"/>
      <c r="R221"/>
      <c r="S221"/>
      <c r="T221"/>
      <c r="U221"/>
      <c r="X221"/>
      <c r="AB221"/>
      <c r="AC221"/>
      <c r="AF221" s="361">
        <f>IF(AND(S.Hearing.3rdInvolve="Y",S.Hearing.1stInvolve="Y"),1,)</f>
        <v>1</v>
      </c>
      <c r="AG221" s="60">
        <f>IF(S.Hearing.3rdInvolve="N",,S.Hearing.2ndDate)</f>
        <v>41836</v>
      </c>
      <c r="AH221" s="60" t="str">
        <f>H219</f>
        <v>6 p.m.</v>
      </c>
      <c r="AI221" s="59"/>
      <c r="AJ221" s="44"/>
      <c r="AK221" s="62"/>
      <c r="AL221" s="76"/>
    </row>
    <row r="222" spans="1:38" s="23" customFormat="1" ht="15" hidden="1" customHeight="1" outlineLevel="1">
      <c r="A222" s="145"/>
      <c r="B222" s="758" t="str">
        <f t="shared" ref="B222:B226" si="11">"Enter city name"</f>
        <v>Enter city name</v>
      </c>
      <c r="C222" s="964" t="s">
        <v>206</v>
      </c>
      <c r="D222" s="995">
        <v>4</v>
      </c>
      <c r="E222" s="996"/>
      <c r="F222" s="996"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995">
        <v>5</v>
      </c>
      <c r="E223" s="996"/>
      <c r="F223" s="996"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995">
        <v>6</v>
      </c>
      <c r="E224" s="996"/>
      <c r="F224" s="996"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995">
        <v>7</v>
      </c>
      <c r="E225" s="996"/>
      <c r="F225" s="996"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995" t="s">
        <v>0</v>
      </c>
      <c r="E226" s="996"/>
      <c r="F226" s="996"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7" t="s">
        <v>571</v>
      </c>
      <c r="C227" s="759"/>
      <c r="D227" s="765"/>
      <c r="E227" s="883"/>
      <c r="F227" s="822" t="s">
        <v>0</v>
      </c>
      <c r="G227" s="764">
        <f t="shared" si="9"/>
        <v>41836</v>
      </c>
      <c r="H227" s="761"/>
      <c r="I227" s="745"/>
      <c r="J227"/>
      <c r="K227"/>
      <c r="L227"/>
      <c r="M227"/>
      <c r="N227"/>
      <c r="O227"/>
      <c r="P227"/>
      <c r="Q227"/>
      <c r="R227"/>
      <c r="S227"/>
      <c r="T227"/>
      <c r="U227"/>
      <c r="X227"/>
      <c r="AB227"/>
      <c r="AC227"/>
      <c r="AF227" s="361">
        <f>IF(S.Hearing.1stInvolve="Y",1,0)</f>
        <v>1</v>
      </c>
      <c r="AG227" s="60">
        <f>IF(AF227=0,,MAX(G219:G226))</f>
        <v>41836</v>
      </c>
      <c r="AH227" s="58"/>
      <c r="AI227" s="58"/>
      <c r="AJ227" s="44"/>
      <c r="AK227" s="62"/>
      <c r="AL227" s="76"/>
    </row>
    <row r="228" spans="1:39" s="23" customFormat="1" ht="6" hidden="1"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hidden="1" customHeight="1" outlineLevel="1">
      <c r="A229" s="145"/>
      <c r="B229" s="221" t="str">
        <f>AK229</f>
        <v>Jill reserves venues/equipment for hearings</v>
      </c>
      <c r="C229" s="545" t="s">
        <v>0</v>
      </c>
      <c r="D229" s="283"/>
      <c r="E229" s="750"/>
      <c r="F229"/>
      <c r="G229" s="256">
        <f>AG229</f>
        <v>41276</v>
      </c>
      <c r="H229" s="256">
        <f>AH229</f>
        <v>41779</v>
      </c>
      <c r="I229" s="745"/>
      <c r="J229"/>
      <c r="K229"/>
      <c r="L229"/>
      <c r="M229"/>
      <c r="N229"/>
      <c r="O229"/>
      <c r="P229"/>
      <c r="Q229"/>
      <c r="R229"/>
      <c r="S229"/>
      <c r="T229"/>
      <c r="U229"/>
      <c r="X229"/>
      <c r="AB229"/>
      <c r="AC229"/>
      <c r="AF229" s="361">
        <f>IF(S.Hearing.1stInvolve="Y",1,0)</f>
        <v>1</v>
      </c>
      <c r="AG229" s="60">
        <f>IF(AF229=0,,S.Notice.BANNER.Begin)</f>
        <v>41276</v>
      </c>
      <c r="AH229" s="60">
        <f>IF(AF239=0,,IF(S.Notice.AD.Involved="N",,WORKDAY(S.Notice.OpenComment,-18,S.DDL_DEQClosed)))</f>
        <v>41779</v>
      </c>
      <c r="AI229" s="47"/>
      <c r="AJ229" s="44"/>
      <c r="AK229" s="182" t="str">
        <f>S.Staff.Support&amp;" reserves venues/equipment for hearings"</f>
        <v>Jill reserves venues/equipment for hearings</v>
      </c>
      <c r="AL229" s="76"/>
    </row>
    <row r="230" spans="1:39" ht="15" hidden="1" customHeight="1" outlineLevel="1">
      <c r="A230" s="145"/>
      <c r="B230" s="221" t="str">
        <f>AK230</f>
        <v>Jill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Jill identifies hearings officer(s) on HearingAndAdDates TAB</v>
      </c>
      <c r="AL230" s="76"/>
      <c r="AM230"/>
    </row>
    <row r="231" spans="1:39" s="23" customFormat="1" ht="6" hidden="1" customHeight="1" outlineLevel="1">
      <c r="A231" s="145"/>
      <c r="B231" s="737"/>
      <c r="C231" s="268"/>
      <c r="D231" s="268"/>
      <c r="E231" s="268"/>
      <c r="F231"/>
      <c r="G231"/>
      <c r="H231"/>
      <c r="I231" s="745"/>
      <c r="AF231" s="361"/>
      <c r="AG231" s="59"/>
      <c r="AH231" s="58"/>
      <c r="AI231" s="58"/>
      <c r="AJ231" s="44"/>
      <c r="AK231" s="62"/>
      <c r="AL231" s="76"/>
    </row>
    <row r="232" spans="1:39" s="23" customFormat="1" ht="20.25" hidden="1"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hidden="1" customHeight="1" outlineLevel="1">
      <c r="A233" s="145"/>
      <c r="B233" s="753" t="str">
        <f>AK233</f>
        <v>Jill:</v>
      </c>
      <c r="C233" s="548"/>
      <c r="D233" s="283"/>
      <c r="E233" s="750"/>
      <c r="F233"/>
      <c r="G233" s="256">
        <f t="shared" ref="G233" si="12">AG233</f>
        <v>41276</v>
      </c>
      <c r="H233" s="256">
        <f t="shared" ref="H233:H251" si="13">AH233</f>
        <v>41779</v>
      </c>
      <c r="I233" s="745"/>
      <c r="AF233" s="361">
        <f>IF(AND(S.Notice.Involved="Y",S.Notice.AD.Involved="Y"),1,0)</f>
        <v>1</v>
      </c>
      <c r="AG233" s="60">
        <f>IF(AF233=0,,IF(S.Notice.AD.Involved="N",,S.Notice.BANNER.Begin))</f>
        <v>41276</v>
      </c>
      <c r="AH233" s="60">
        <f>IF(AF233=0,,IF(S.Notice.AD.Involved="N",,WORKDAY(S.Notice.OpenComment,-18,S.DDL_DEQClosed)))</f>
        <v>41779</v>
      </c>
      <c r="AI233" s="59"/>
      <c r="AJ233" s="59"/>
      <c r="AK233" s="182" t="str">
        <f>S.Staff.Subject.Expert.FirstName&amp;":"</f>
        <v>Jill:</v>
      </c>
      <c r="AL233" s="76"/>
      <c r="AM233"/>
    </row>
    <row r="234" spans="1:39" s="23" customFormat="1" ht="15" hidden="1"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hidden="1" customHeight="1" outlineLevel="1" thickBot="1">
      <c r="A235" s="145"/>
      <c r="C235" s="986" t="s">
        <v>598</v>
      </c>
      <c r="D235" s="986"/>
      <c r="E235" s="986"/>
      <c r="F235" s="986"/>
      <c r="G235" s="986"/>
      <c r="H235" s="986"/>
      <c r="I235" s="745"/>
      <c r="AF235" s="361">
        <f>IF(AND(S.Notice.Involved="Y",S.Notice.AD.Involved="Y"),1,0)</f>
        <v>1</v>
      </c>
      <c r="AG235" s="59"/>
      <c r="AH235" s="59"/>
      <c r="AI235" s="59"/>
      <c r="AJ235" s="59"/>
      <c r="AK235" s="44"/>
      <c r="AL235" s="76"/>
    </row>
    <row r="236" spans="1:39" s="23" customFormat="1" ht="15" hidden="1"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hidden="1" customHeight="1" outlineLevel="1">
      <c r="A237" s="145"/>
      <c r="B237" s="754" t="str">
        <f>AK237</f>
        <v>NOTICE.AD1Oregonian</v>
      </c>
      <c r="C237" s="967">
        <v>1</v>
      </c>
      <c r="D237" s="987" t="s">
        <v>601</v>
      </c>
      <c r="E237" s="988"/>
      <c r="F237" s="988"/>
      <c r="G237" s="989"/>
      <c r="H237" s="766">
        <f t="shared" si="13"/>
        <v>41806</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41806</v>
      </c>
      <c r="AI237" s="59" t="s">
        <v>0</v>
      </c>
      <c r="AJ237" s="59"/>
      <c r="AK237" s="182" t="str">
        <f>"NOTICE.AD"&amp;C237&amp;D237</f>
        <v>NOTICE.AD1Oregonian</v>
      </c>
      <c r="AL237" s="76"/>
    </row>
    <row r="238" spans="1:39" s="23" customFormat="1" ht="15" hidden="1" customHeight="1" outlineLevel="1">
      <c r="A238" s="145"/>
      <c r="B238" s="754" t="str">
        <f t="shared" ref="B238:B244" si="16">AK238</f>
        <v>NOTICE.AD2JournalOfCommerce</v>
      </c>
      <c r="C238" s="967">
        <v>2</v>
      </c>
      <c r="D238" s="987" t="s">
        <v>606</v>
      </c>
      <c r="E238" s="988"/>
      <c r="F238" s="988"/>
      <c r="G238" s="989"/>
      <c r="H238" s="766">
        <f t="shared" si="13"/>
        <v>41806</v>
      </c>
      <c r="I238" s="745"/>
      <c r="J238"/>
      <c r="K238"/>
      <c r="L238"/>
      <c r="M238"/>
      <c r="N238"/>
      <c r="O238"/>
      <c r="P238"/>
      <c r="Q238"/>
      <c r="R238"/>
      <c r="S238"/>
      <c r="T238"/>
      <c r="U238"/>
      <c r="X238"/>
      <c r="AB238"/>
      <c r="AC238"/>
      <c r="AF238" s="361">
        <f t="shared" si="14"/>
        <v>1</v>
      </c>
      <c r="AG238" s="59"/>
      <c r="AH238" s="60">
        <f t="shared" si="15"/>
        <v>41806</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87" t="s">
        <v>608</v>
      </c>
      <c r="E239" s="988"/>
      <c r="F239" s="988"/>
      <c r="G239" s="989"/>
      <c r="H239" s="766">
        <f t="shared" si="13"/>
        <v>41806</v>
      </c>
      <c r="I239" s="745"/>
      <c r="J239"/>
      <c r="K239"/>
      <c r="L239"/>
      <c r="M239"/>
      <c r="N239"/>
      <c r="O239"/>
      <c r="P239"/>
      <c r="Q239"/>
      <c r="R239"/>
      <c r="S239"/>
      <c r="T239"/>
      <c r="U239"/>
      <c r="X239"/>
      <c r="AB239"/>
      <c r="AC239"/>
      <c r="AF239" s="361">
        <f t="shared" si="14"/>
        <v>1</v>
      </c>
      <c r="AG239" s="59"/>
      <c r="AH239" s="60">
        <f t="shared" si="15"/>
        <v>41806</v>
      </c>
      <c r="AI239" s="59"/>
      <c r="AJ239" s="59"/>
      <c r="AK239" s="182" t="str">
        <f t="shared" si="17"/>
        <v>NOTICE.AD3None</v>
      </c>
      <c r="AL239" s="76"/>
    </row>
    <row r="240" spans="1:39" s="23" customFormat="1" ht="15" hidden="1" customHeight="1" outlineLevel="1">
      <c r="A240" s="145"/>
      <c r="B240" s="754" t="str">
        <f t="shared" si="16"/>
        <v>NOTICE.AD4None</v>
      </c>
      <c r="C240" s="967">
        <v>4</v>
      </c>
      <c r="D240" s="987" t="s">
        <v>608</v>
      </c>
      <c r="E240" s="988"/>
      <c r="F240" s="988"/>
      <c r="G240" s="989"/>
      <c r="H240" s="766">
        <f t="shared" si="13"/>
        <v>41806</v>
      </c>
      <c r="I240" s="745"/>
      <c r="J240"/>
      <c r="K240"/>
      <c r="L240"/>
      <c r="M240"/>
      <c r="N240"/>
      <c r="O240"/>
      <c r="P240"/>
      <c r="Q240"/>
      <c r="R240"/>
      <c r="S240"/>
      <c r="T240"/>
      <c r="U240"/>
      <c r="X240"/>
      <c r="AB240"/>
      <c r="AC240"/>
      <c r="AF240" s="361">
        <f t="shared" si="14"/>
        <v>1</v>
      </c>
      <c r="AG240" s="59"/>
      <c r="AH240" s="60">
        <f t="shared" si="15"/>
        <v>41806</v>
      </c>
      <c r="AI240" s="59"/>
      <c r="AJ240" s="59"/>
      <c r="AK240" s="182" t="str">
        <f t="shared" si="17"/>
        <v>NOTICE.AD4None</v>
      </c>
      <c r="AL240" s="76"/>
    </row>
    <row r="241" spans="1:38" s="23" customFormat="1" ht="15" hidden="1" customHeight="1" outlineLevel="1">
      <c r="A241" s="145"/>
      <c r="B241" s="754" t="str">
        <f t="shared" si="16"/>
        <v>NOTICE.AD5None</v>
      </c>
      <c r="C241" s="967">
        <v>5</v>
      </c>
      <c r="D241" s="987" t="s">
        <v>608</v>
      </c>
      <c r="E241" s="988"/>
      <c r="F241" s="988"/>
      <c r="G241" s="989"/>
      <c r="H241" s="766">
        <f t="shared" si="13"/>
        <v>41806</v>
      </c>
      <c r="I241" s="745"/>
      <c r="J241"/>
      <c r="K241"/>
      <c r="L241"/>
      <c r="M241"/>
      <c r="N241"/>
      <c r="O241"/>
      <c r="P241"/>
      <c r="Q241"/>
      <c r="R241"/>
      <c r="S241"/>
      <c r="T241"/>
      <c r="U241"/>
      <c r="X241"/>
      <c r="AB241"/>
      <c r="AC241"/>
      <c r="AF241" s="361">
        <f t="shared" si="14"/>
        <v>1</v>
      </c>
      <c r="AG241" s="59"/>
      <c r="AH241" s="60">
        <f t="shared" si="15"/>
        <v>41806</v>
      </c>
      <c r="AI241" s="59"/>
      <c r="AJ241" s="59"/>
      <c r="AK241" s="182" t="str">
        <f t="shared" si="17"/>
        <v>NOTICE.AD5None</v>
      </c>
      <c r="AL241" s="76"/>
    </row>
    <row r="242" spans="1:38" s="23" customFormat="1" ht="15" hidden="1" customHeight="1" outlineLevel="1">
      <c r="A242" s="145"/>
      <c r="B242" s="754" t="str">
        <f t="shared" si="16"/>
        <v>NOTICE.AD6None</v>
      </c>
      <c r="C242" s="967">
        <v>6</v>
      </c>
      <c r="D242" s="987" t="s">
        <v>608</v>
      </c>
      <c r="E242" s="988"/>
      <c r="F242" s="988"/>
      <c r="G242" s="989"/>
      <c r="H242" s="766">
        <f t="shared" si="13"/>
        <v>41806</v>
      </c>
      <c r="I242" s="745"/>
      <c r="J242"/>
      <c r="K242"/>
      <c r="L242"/>
      <c r="M242"/>
      <c r="N242"/>
      <c r="O242"/>
      <c r="P242"/>
      <c r="Q242"/>
      <c r="R242"/>
      <c r="S242"/>
      <c r="T242"/>
      <c r="U242"/>
      <c r="X242"/>
      <c r="AB242"/>
      <c r="AC242"/>
      <c r="AF242" s="361">
        <f t="shared" si="14"/>
        <v>1</v>
      </c>
      <c r="AG242" s="59"/>
      <c r="AH242" s="60">
        <f t="shared" si="15"/>
        <v>41806</v>
      </c>
      <c r="AI242" s="59"/>
      <c r="AJ242" s="59"/>
      <c r="AK242" s="182" t="str">
        <f t="shared" si="17"/>
        <v>NOTICE.AD6None</v>
      </c>
      <c r="AL242" s="76"/>
    </row>
    <row r="243" spans="1:38" s="23" customFormat="1" ht="15" hidden="1" customHeight="1" outlineLevel="1">
      <c r="A243" s="145"/>
      <c r="B243" s="754" t="str">
        <f t="shared" si="16"/>
        <v>NOTICE.AD7None</v>
      </c>
      <c r="C243" s="967">
        <v>7</v>
      </c>
      <c r="D243" s="987" t="s">
        <v>608</v>
      </c>
      <c r="E243" s="988"/>
      <c r="F243" s="988"/>
      <c r="G243" s="989"/>
      <c r="H243" s="766">
        <f t="shared" si="13"/>
        <v>41806</v>
      </c>
      <c r="I243" s="745"/>
      <c r="J243"/>
      <c r="K243"/>
      <c r="L243"/>
      <c r="M243"/>
      <c r="N243"/>
      <c r="O243"/>
      <c r="P243"/>
      <c r="Q243"/>
      <c r="R243"/>
      <c r="S243"/>
      <c r="T243"/>
      <c r="U243"/>
      <c r="X243"/>
      <c r="AB243"/>
      <c r="AC243"/>
      <c r="AF243" s="361">
        <f t="shared" si="14"/>
        <v>1</v>
      </c>
      <c r="AG243" s="59"/>
      <c r="AH243" s="60">
        <f t="shared" si="15"/>
        <v>41806</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07" t="s">
        <v>608</v>
      </c>
      <c r="E244" s="1007"/>
      <c r="F244" s="1007"/>
      <c r="G244" s="1008"/>
      <c r="H244" s="767">
        <f t="shared" si="13"/>
        <v>41806</v>
      </c>
      <c r="I244" s="745"/>
      <c r="J244"/>
      <c r="K244"/>
      <c r="L244"/>
      <c r="M244"/>
      <c r="N244"/>
      <c r="O244"/>
      <c r="P244"/>
      <c r="Q244"/>
      <c r="R244"/>
      <c r="S244"/>
      <c r="T244"/>
      <c r="U244"/>
      <c r="X244"/>
      <c r="AB244"/>
      <c r="AC244"/>
      <c r="AF244" s="361">
        <f t="shared" si="14"/>
        <v>1</v>
      </c>
      <c r="AG244" s="59"/>
      <c r="AH244" s="60">
        <f t="shared" si="15"/>
        <v>41806</v>
      </c>
      <c r="AI244" s="59"/>
      <c r="AJ244" s="59"/>
      <c r="AK244" s="182" t="str">
        <f t="shared" si="17"/>
        <v>NOTICE.AD8None</v>
      </c>
      <c r="AL244" s="76"/>
    </row>
    <row r="245" spans="1:38" s="23" customFormat="1" ht="9.75" hidden="1"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hidden="1"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hidden="1"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hidden="1"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hidden="1" customHeight="1" outlineLevel="1">
      <c r="A249" s="145"/>
      <c r="B249" s="221" t="s">
        <v>592</v>
      </c>
      <c r="C249" s="1023" t="s">
        <v>617</v>
      </c>
      <c r="D249" s="1023"/>
      <c r="E249" s="1023"/>
      <c r="F249" s="1023"/>
      <c r="G249" s="1024"/>
      <c r="H249" s="256">
        <f>AH249</f>
        <v>41792</v>
      </c>
      <c r="I249" s="745"/>
      <c r="J249"/>
      <c r="K249"/>
      <c r="L249"/>
      <c r="M249"/>
      <c r="N249"/>
      <c r="O249"/>
      <c r="P249"/>
      <c r="Q249"/>
      <c r="R249"/>
      <c r="S249"/>
      <c r="T249"/>
      <c r="U249"/>
      <c r="X249"/>
      <c r="AB249"/>
      <c r="AC249"/>
      <c r="AF249" s="361">
        <f t="shared" si="18"/>
        <v>1</v>
      </c>
      <c r="AG249" s="48"/>
      <c r="AH249" s="60">
        <f>IF(AF249=0,,IF(S.Notice.AD.Involved="N",,WORKDAY(S.Notice.OpenComment,-10,S.DDL_DEQClosed)))</f>
        <v>41792</v>
      </c>
      <c r="AI249" s="59"/>
      <c r="AJ249" s="59"/>
      <c r="AK249" s="74"/>
      <c r="AL249" s="76"/>
    </row>
    <row r="250" spans="1:38" s="23" customFormat="1" ht="15" hidden="1" customHeight="1" outlineLevel="1">
      <c r="A250" s="145" t="s">
        <v>0</v>
      </c>
      <c r="B250" s="753" t="str">
        <f>AK250</f>
        <v>* shares contents of HearingAndAdDates TAB with Leah</v>
      </c>
      <c r="C250" s="513" t="s">
        <v>49</v>
      </c>
      <c r="D250" s="357"/>
      <c r="E250" s="750"/>
      <c r="F250"/>
      <c r="G250" s="256">
        <f t="shared" ref="G250" si="19">AG250</f>
        <v>41276</v>
      </c>
      <c r="H250" s="256">
        <f t="shared" si="13"/>
        <v>41786</v>
      </c>
      <c r="I250" s="745"/>
      <c r="J250"/>
      <c r="K250"/>
      <c r="L250"/>
      <c r="M250"/>
      <c r="N250"/>
      <c r="O250"/>
      <c r="P250"/>
      <c r="Q250"/>
      <c r="R250"/>
      <c r="S250"/>
      <c r="T250"/>
      <c r="U250"/>
      <c r="X250"/>
      <c r="AB250"/>
      <c r="AC250"/>
      <c r="AF250" s="361">
        <f t="shared" si="18"/>
        <v>1</v>
      </c>
      <c r="AG250" s="60">
        <f>IF(AF250=0,,IF(S.Notice.AD.Involved="N",,S.Notice.BANNER.Begin))</f>
        <v>41276</v>
      </c>
      <c r="AH250" s="60">
        <f>IF(AF250=0,,IF(S.Notice.AD.Involved="N",,WORKDAY(MIN(S.Notice.OpenComment,S.Notice.SubmitToSOS),-13,S.DDL_DEQClosed)))</f>
        <v>41786</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53" t="str">
        <f>AK251</f>
        <v>* obtains Leah's email approval</v>
      </c>
      <c r="C251" s="282"/>
      <c r="D251" s="283"/>
      <c r="E251" s="750"/>
      <c r="F251"/>
      <c r="G251" s="256">
        <f t="shared" ref="G251" si="20">AG251</f>
        <v>41276</v>
      </c>
      <c r="H251" s="256">
        <f t="shared" si="13"/>
        <v>41786</v>
      </c>
      <c r="I251" s="745"/>
      <c r="J251"/>
      <c r="K251"/>
      <c r="L251"/>
      <c r="M251"/>
      <c r="N251"/>
      <c r="O251"/>
      <c r="P251"/>
      <c r="Q251"/>
      <c r="R251"/>
      <c r="S251"/>
      <c r="T251"/>
      <c r="U251"/>
      <c r="X251"/>
      <c r="AB251"/>
      <c r="AC251"/>
      <c r="AF251" s="361">
        <f t="shared" si="18"/>
        <v>1</v>
      </c>
      <c r="AG251" s="60">
        <f>IF(AF251=0,,IF(S.Notice.AD.Involved="N",,S.Notice.BANNER.Begin))</f>
        <v>41276</v>
      </c>
      <c r="AH251" s="60">
        <f>IF(AF251=0,,IF(S.Notice.AD.Involved="N",,WORKDAY(MIN(S.Notice.OpenComment,S.Notice.SubmitToSOS),-13,S.DDL_DEQClosed)))</f>
        <v>41786</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Jill:</v>
      </c>
      <c r="C254" s="545" t="s">
        <v>0</v>
      </c>
      <c r="D254" s="283"/>
      <c r="E254" s="750"/>
      <c r="F254"/>
      <c r="G254" s="192"/>
      <c r="H254" s="193"/>
      <c r="I254" s="745"/>
      <c r="AF254" s="361">
        <f>IF(AND(S.Hearing.1stInvolve="Y",S.EQC.FacHearing="Y"),1,0)</f>
        <v>0</v>
      </c>
      <c r="AG254" s="58"/>
      <c r="AH254" s="58"/>
      <c r="AI254" s="47"/>
      <c r="AJ254" s="44"/>
      <c r="AK254" s="182" t="str">
        <f>S.Staff.Subject.Expert.FirstName&amp;":"</f>
        <v>Jill:</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990" t="str">
        <f>AK259</f>
        <v/>
      </c>
      <c r="G257" s="99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0"/>
      <c r="G258" s="99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0"/>
      <c r="G259" s="99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0"/>
      <c r="G260" s="99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0"/>
      <c r="G261" s="991"/>
      <c r="H261" s="256">
        <v>41934</v>
      </c>
      <c r="I261" s="745"/>
      <c r="AF261" s="361">
        <f>IF(AND(S.Hearing.1stInvolve="Y",S.EQC.FacHearing="Y",C261="Y"),1,0)</f>
        <v>0</v>
      </c>
      <c r="AG261" s="58"/>
      <c r="AH261" s="47"/>
      <c r="AI261" s="59"/>
      <c r="AJ261" s="44"/>
      <c r="AK261" s="44"/>
      <c r="AL261" s="76"/>
    </row>
    <row r="262" spans="1:38" s="23" customFormat="1" ht="6" hidden="1"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hidden="1"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hidden="1" customHeight="1" outlineLevel="1">
      <c r="A264" s="145"/>
      <c r="B264" s="343" t="str">
        <f>AK264</f>
        <v>Jill coordinates with Team to:</v>
      </c>
      <c r="C264" s="196"/>
      <c r="D264" s="188"/>
      <c r="E264" s="880"/>
      <c r="F264"/>
      <c r="G264" s="190">
        <f>AG264</f>
        <v>41276</v>
      </c>
      <c r="H264" s="256">
        <f>AH264</f>
        <v>41276</v>
      </c>
      <c r="I264" s="745"/>
      <c r="J264"/>
      <c r="K264"/>
      <c r="L264"/>
      <c r="M264"/>
      <c r="N264"/>
      <c r="O264"/>
      <c r="P264"/>
      <c r="Q264"/>
      <c r="R264"/>
      <c r="S264"/>
      <c r="T264"/>
      <c r="U264"/>
      <c r="X264"/>
      <c r="AB264"/>
      <c r="AC264"/>
      <c r="AF264" s="361">
        <f t="shared" si="22"/>
        <v>1</v>
      </c>
      <c r="AG264" s="60">
        <f>S.Planning.AddConceptToPlanDate</f>
        <v>41276</v>
      </c>
      <c r="AH264" s="60">
        <f>G264</f>
        <v>41276</v>
      </c>
      <c r="AI264" s="59"/>
      <c r="AJ264" s="43"/>
      <c r="AK264" s="78" t="str">
        <f>S.Staff.Subject.Expert.FirstName&amp;" coordinates with Team to:"</f>
        <v>Jill coordinates with Team to:</v>
      </c>
      <c r="AL264" s="76"/>
    </row>
    <row r="265" spans="1:38" s="23" customFormat="1" ht="15.75" hidden="1"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hidden="1"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hidden="1"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hidden="1"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hidden="1"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hidden="1" customHeight="1" outlineLevel="1">
      <c r="A270" s="145"/>
      <c r="B270" s="343" t="str">
        <f>AK270</f>
        <v>Jill:</v>
      </c>
      <c r="D270" s="706"/>
      <c r="E270" s="880"/>
      <c r="F270" s="191"/>
      <c r="I270" s="745"/>
      <c r="AF270" s="361">
        <f t="shared" si="22"/>
        <v>1</v>
      </c>
      <c r="AG270" s="59"/>
      <c r="AH270" s="59"/>
      <c r="AI270" s="59"/>
      <c r="AJ270" s="43"/>
      <c r="AK270" s="78" t="str">
        <f>S.Staff.Subject.Expert.FirstName&amp;":"</f>
        <v>Jill:</v>
      </c>
      <c r="AL270" s="76"/>
    </row>
    <row r="271" spans="1:38" s="23" customFormat="1" ht="15.75" hidden="1" customHeight="1" outlineLevel="1">
      <c r="A271" s="145"/>
      <c r="B271" s="318" t="s">
        <v>185</v>
      </c>
      <c r="C271" s="510" t="str">
        <f>HYPERLINK("http://arcweb.sos.state.or.us/pages/rules/oars_300/oar_340/340_tofc.html","i")</f>
        <v>i</v>
      </c>
      <c r="D271" s="188"/>
      <c r="E271" s="880"/>
      <c r="F271" s="191"/>
      <c r="H271" s="190">
        <f>AH271</f>
        <v>41276</v>
      </c>
      <c r="I271" s="745"/>
      <c r="AF271" s="361">
        <f t="shared" si="22"/>
        <v>1</v>
      </c>
      <c r="AG271" s="59"/>
      <c r="AH271" s="60">
        <f>S.Planning.AddConceptToPlanDate</f>
        <v>41276</v>
      </c>
      <c r="AI271" s="59"/>
      <c r="AJ271" s="43"/>
      <c r="AK271" s="346"/>
      <c r="AL271" s="76"/>
    </row>
    <row r="272" spans="1:38" s="23" customFormat="1" ht="15.75" hidden="1"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hidden="1"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hidden="1" customHeight="1" outlineLevel="1">
      <c r="A274" s="145"/>
      <c r="B274" s="736" t="str">
        <f>AK274</f>
        <v xml:space="preserve">only Jill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hidden="1"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hidden="1"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hidden="1"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hidden="1" customHeight="1" outlineLevel="1">
      <c r="A279" s="145"/>
      <c r="B279" s="269" t="str">
        <f>AK279</f>
        <v>* requests Maggie provide numbers for new rules/divisions</v>
      </c>
      <c r="C279" s="184" t="s">
        <v>0</v>
      </c>
      <c r="D279" s="187"/>
      <c r="E279" s="885"/>
      <c r="F279" s="191"/>
      <c r="G279"/>
      <c r="H279" s="190">
        <f>AH279</f>
        <v>41276</v>
      </c>
      <c r="I279" s="745"/>
      <c r="J279"/>
      <c r="K279"/>
      <c r="L279"/>
      <c r="M279"/>
      <c r="N279"/>
      <c r="O279"/>
      <c r="P279"/>
      <c r="Q279"/>
      <c r="R279"/>
      <c r="S279"/>
      <c r="T279"/>
      <c r="U279"/>
      <c r="X279"/>
      <c r="AB279"/>
      <c r="AC279"/>
      <c r="AF279" s="361">
        <f t="shared" si="22"/>
        <v>1</v>
      </c>
      <c r="AG279" s="58"/>
      <c r="AH279" s="60">
        <f>S.Planning.AddConceptToPlanDate</f>
        <v>41276</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hidden="1" customHeight="1" outlineLevel="1">
      <c r="A281" s="145"/>
      <c r="B281" s="269" t="s">
        <v>567</v>
      </c>
      <c r="C281" s="184" t="s">
        <v>0</v>
      </c>
      <c r="D281" s="187"/>
      <c r="E281" s="885"/>
      <c r="F281" s="191"/>
      <c r="G281"/>
      <c r="H281" s="190">
        <f>AH281</f>
        <v>41276</v>
      </c>
      <c r="I281" s="745"/>
      <c r="J281"/>
      <c r="K281"/>
      <c r="L281"/>
      <c r="M281"/>
      <c r="N281"/>
      <c r="O281"/>
      <c r="P281"/>
      <c r="Q281"/>
      <c r="R281"/>
      <c r="S281"/>
      <c r="T281"/>
      <c r="U281"/>
      <c r="X281"/>
      <c r="AB281"/>
      <c r="AC281"/>
      <c r="AF281" s="361">
        <f t="shared" si="22"/>
        <v>1</v>
      </c>
      <c r="AG281" s="58"/>
      <c r="AH281" s="60">
        <f>S.Planning.AddConceptToPlanDate</f>
        <v>41276</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c r="A282" s="145"/>
      <c r="B282" s="269" t="s">
        <v>566</v>
      </c>
      <c r="C282" s="184" t="s">
        <v>0</v>
      </c>
      <c r="D282" s="187"/>
      <c r="E282" s="885"/>
      <c r="F282"/>
      <c r="H282" s="190">
        <f>AH282</f>
        <v>41276</v>
      </c>
      <c r="I282" s="745"/>
      <c r="J282"/>
      <c r="K282"/>
      <c r="L282"/>
      <c r="M282"/>
      <c r="N282"/>
      <c r="O282"/>
      <c r="P282"/>
      <c r="Q282"/>
      <c r="R282"/>
      <c r="S282"/>
      <c r="T282"/>
      <c r="U282"/>
      <c r="X282"/>
      <c r="AB282"/>
      <c r="AC282"/>
      <c r="AF282" s="361">
        <f t="shared" si="22"/>
        <v>1</v>
      </c>
      <c r="AG282" s="58"/>
      <c r="AH282" s="60">
        <f>S.Planning.AddConceptToPlanDate</f>
        <v>41276</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41276</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c r="A284" s="145"/>
      <c r="B284" s="269" t="s">
        <v>568</v>
      </c>
      <c r="C284" s="509" t="str">
        <f>HYPERLINK("\\deqhq1\Rule_Development\Currrent Plan","i")</f>
        <v>i</v>
      </c>
      <c r="D284" s="187"/>
      <c r="E284" s="885"/>
      <c r="F284"/>
      <c r="H284" s="190">
        <f>AH284</f>
        <v>41276</v>
      </c>
      <c r="I284" s="745"/>
      <c r="J284"/>
      <c r="K284"/>
      <c r="L284"/>
      <c r="M284"/>
      <c r="N284"/>
      <c r="O284"/>
      <c r="P284"/>
      <c r="Q284"/>
      <c r="R284"/>
      <c r="S284"/>
      <c r="T284"/>
      <c r="U284"/>
      <c r="X284"/>
      <c r="AB284"/>
      <c r="AC284"/>
      <c r="AF284" s="361">
        <f>IF(S.Planning.DecisionToAddToPlan="A",1,0)</f>
        <v>1</v>
      </c>
      <c r="AG284" s="58"/>
      <c r="AH284" s="60">
        <f>S.Planning.AddConceptToPlanDate</f>
        <v>41276</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ollapsed="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7" t="str">
        <f>AK12</f>
        <v>Advisory Committee - not involved</v>
      </c>
      <c r="C287" s="1017"/>
      <c r="D287" s="1017"/>
      <c r="E287" s="1017"/>
      <c r="F287" s="1017"/>
      <c r="G287" s="1017"/>
      <c r="H287" s="1017"/>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AQPerm</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Jill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Jill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Jill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Jill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Leah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Leah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Jill:</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Jill:</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Jill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Jill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Jill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c r="A338" s="145"/>
      <c r="B338" s="284" t="str">
        <f>AK338</f>
        <v>Jill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Jill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Jill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Jill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Jill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Jill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Jill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Jill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c r="A377" s="145"/>
      <c r="B377" s="419" t="s">
        <v>122</v>
      </c>
      <c r="C377" s="972" t="s">
        <v>0</v>
      </c>
      <c r="D377" s="983" t="s">
        <v>220</v>
      </c>
      <c r="E377" s="983"/>
      <c r="F377" s="983"/>
      <c r="G377" s="984"/>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Jill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Jill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Jill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Jill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Jill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c r="A400" s="145"/>
      <c r="B400" s="419" t="s">
        <v>122</v>
      </c>
      <c r="C400" s="972" t="s">
        <v>0</v>
      </c>
      <c r="D400" s="983" t="s">
        <v>219</v>
      </c>
      <c r="E400" s="983"/>
      <c r="F400" s="983"/>
      <c r="G400" s="984"/>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Jill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Jill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Jill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Jill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Jill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c r="A423" s="145"/>
      <c r="B423" s="419" t="s">
        <v>122</v>
      </c>
      <c r="C423" s="268" t="s">
        <v>0</v>
      </c>
      <c r="D423" s="983" t="s">
        <v>217</v>
      </c>
      <c r="E423" s="983"/>
      <c r="F423" s="983"/>
      <c r="G423" s="984"/>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Jill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Jill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Jill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Jill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Jill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c r="A446" s="145"/>
      <c r="B446" s="419" t="s">
        <v>122</v>
      </c>
      <c r="C446" s="268" t="s">
        <v>0</v>
      </c>
      <c r="D446" s="983" t="s">
        <v>218</v>
      </c>
      <c r="E446" s="983"/>
      <c r="F446" s="983"/>
      <c r="G446" s="984"/>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Jill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Jill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1" t="str">
        <f>AK14</f>
        <v>Fees - not involved</v>
      </c>
      <c r="C452" s="1011"/>
      <c r="D452" s="1011"/>
      <c r="E452" s="1011"/>
      <c r="F452" s="1011"/>
      <c r="G452" s="1011"/>
      <c r="H452" s="1011"/>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Jill:</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Jill:</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Leah's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2" t="str">
        <f t="shared" si="59"/>
        <v>1st loop of Leah's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9" t="str">
        <f t="shared" si="59"/>
        <v>2nd loop of Leah's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9" t="str">
        <f t="shared" si="59"/>
        <v>3rd loop of Leah's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41" t="str">
        <f t="shared" si="59"/>
        <v>4th loop of Leah's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Jill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Jill response</v>
      </c>
      <c r="AL476" s="76"/>
    </row>
    <row r="477" spans="1:39" s="23" customFormat="1" ht="14.1" hidden="1" customHeight="1" outlineLevel="1">
      <c r="A477" s="145"/>
      <c r="B477" s="204" t="str">
        <f t="shared" si="62"/>
        <v>If denied, Jill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c r="A478" s="145"/>
      <c r="B478" s="342" t="str">
        <f t="shared" si="62"/>
        <v>1st loop of Leah's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9" t="str">
        <f t="shared" si="62"/>
        <v>2nd loop of Leah's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9" t="str">
        <f t="shared" si="62"/>
        <v>3rd loop of Leah's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41" t="str">
        <f t="shared" si="62"/>
        <v>4th loop of Leah's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62"/>
        <v>If approved, Jill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Jill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Jill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6" t="str">
        <f>AK22</f>
        <v>Public Notice</v>
      </c>
      <c r="C487" s="1016"/>
      <c r="D487" s="1016"/>
      <c r="E487" s="1016"/>
      <c r="F487" s="1016"/>
      <c r="G487" s="1016"/>
      <c r="H487" s="1016"/>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AQPerm</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4" t="s">
        <v>0</v>
      </c>
      <c r="C489" s="1004"/>
      <c r="D489" s="1004"/>
      <c r="E489" s="1004"/>
      <c r="F489" s="1004"/>
      <c r="G489" s="175">
        <f>AG489</f>
        <v>41276</v>
      </c>
      <c r="H489" s="126">
        <f>AH489</f>
        <v>41841</v>
      </c>
      <c r="I489" s="745"/>
      <c r="AF489" s="361">
        <f>IF(S.Notice.Involved="Y",1,0)</f>
        <v>1</v>
      </c>
      <c r="AG489" s="60">
        <f>S.Notice.BANNER.Begin</f>
        <v>41276</v>
      </c>
      <c r="AH489" s="60">
        <f>S.Notice.BANNER.End</f>
        <v>41841</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792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Jill leads drafting of Notice Packet with core team</v>
      </c>
      <c r="C493" s="545" t="s">
        <v>0</v>
      </c>
      <c r="D493" s="714"/>
      <c r="E493" s="887"/>
      <c r="F493" s="23"/>
      <c r="G493" s="939">
        <f t="shared" ref="G493" si="66">AG493</f>
        <v>41276</v>
      </c>
      <c r="H493" s="940">
        <f t="shared" ref="H493" si="67">AH493</f>
        <v>41724</v>
      </c>
      <c r="I493" s="745"/>
      <c r="AF493" s="361">
        <f t="shared" si="65"/>
        <v>1</v>
      </c>
      <c r="AG493" s="566">
        <f>IF(AF493=0,,S.Notice.BANNER.Begin)</f>
        <v>41276</v>
      </c>
      <c r="AH493" s="566">
        <f>IF(AF493=0,,WORKDAY(S.Notice.Submit.ToSponsoringMgr-1,-1,S.DDL_DEQClosed))</f>
        <v>41724</v>
      </c>
      <c r="AI493" s="47"/>
      <c r="AJ493" s="44"/>
      <c r="AK493" s="182" t="str">
        <f>S.Staff.Subject.Expert.FirstName&amp;" leads drafting of Notice Packet with core team"</f>
        <v>Jill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41743</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Jill asks RESOURCES for help and input, especially: </v>
      </c>
      <c r="C507" s="268"/>
      <c r="D507" s="714"/>
      <c r="E507" s="887"/>
      <c r="F507"/>
      <c r="G507" s="943">
        <f t="shared" ref="G507:G520" si="68">AG507</f>
        <v>41276</v>
      </c>
      <c r="H507" s="944">
        <f t="shared" ref="H507:H520" si="69">AH507</f>
        <v>41724</v>
      </c>
      <c r="I507" s="745"/>
      <c r="AF507" s="361">
        <f t="shared" si="65"/>
        <v>1</v>
      </c>
      <c r="AG507" s="566">
        <f>IF(AF507=0,,S.Notice.BANNER.Begin)</f>
        <v>41276</v>
      </c>
      <c r="AH507" s="566">
        <f>IF(AF507=0,,WORKDAY(S.Notice.Submit.ToSponsoringMgr-1,-1,S.DDL_DEQClosed))</f>
        <v>41724</v>
      </c>
      <c r="AI507" s="58"/>
      <c r="AJ507" s="44"/>
      <c r="AK507" s="182" t="str">
        <f>S.Staff.Subject.Expert.FirstName&amp;" asks RESOURCES for help and input, especially: "</f>
        <v xml:space="preserve">Jill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41276</v>
      </c>
      <c r="H509" s="948">
        <f t="shared" si="69"/>
        <v>41724</v>
      </c>
      <c r="I509" s="745"/>
      <c r="J509"/>
      <c r="K509"/>
      <c r="L509"/>
      <c r="M509"/>
      <c r="N509"/>
      <c r="O509"/>
      <c r="P509"/>
      <c r="Q509"/>
      <c r="R509"/>
      <c r="S509"/>
      <c r="T509"/>
      <c r="U509"/>
      <c r="X509"/>
      <c r="AB509"/>
      <c r="AC509"/>
      <c r="AF509" s="361">
        <f t="shared" si="65"/>
        <v>1</v>
      </c>
      <c r="AG509" s="566">
        <f>$G$507</f>
        <v>41276</v>
      </c>
      <c r="AH509" s="566">
        <f>$H$507</f>
        <v>41724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41276</v>
      </c>
      <c r="H510" s="948">
        <f t="shared" si="69"/>
        <v>41724</v>
      </c>
      <c r="I510" s="745"/>
      <c r="J510"/>
      <c r="K510"/>
      <c r="L510"/>
      <c r="M510"/>
      <c r="N510"/>
      <c r="O510"/>
      <c r="P510"/>
      <c r="Q510"/>
      <c r="R510"/>
      <c r="S510"/>
      <c r="T510"/>
      <c r="U510"/>
      <c r="X510"/>
      <c r="AB510"/>
      <c r="AC510"/>
      <c r="AF510" s="361">
        <f t="shared" si="65"/>
        <v>1</v>
      </c>
      <c r="AG510" s="566">
        <f t="shared" ref="AG510:AG512" si="70">$G$507</f>
        <v>41276</v>
      </c>
      <c r="AH510" s="566">
        <f t="shared" ref="AH510:AH512" si="71">$H$507</f>
        <v>41724</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41276</v>
      </c>
      <c r="H511" s="948">
        <f t="shared" si="69"/>
        <v>41724</v>
      </c>
      <c r="I511" s="745"/>
      <c r="J511"/>
      <c r="K511"/>
      <c r="L511"/>
      <c r="M511"/>
      <c r="N511"/>
      <c r="O511"/>
      <c r="P511"/>
      <c r="Q511"/>
      <c r="R511"/>
      <c r="S511"/>
      <c r="T511"/>
      <c r="U511"/>
      <c r="X511"/>
      <c r="AB511"/>
      <c r="AC511"/>
      <c r="AF511" s="361">
        <f>IF(AND(S.SIP.Involved="Y",S.Notice.Involved="Y"),1,0)</f>
        <v>1</v>
      </c>
      <c r="AG511" s="566">
        <f t="shared" si="70"/>
        <v>41276</v>
      </c>
      <c r="AH511" s="566">
        <f t="shared" si="71"/>
        <v>41724</v>
      </c>
      <c r="AI511" s="59"/>
      <c r="AJ511" s="59"/>
      <c r="AK511" s="67" t="str">
        <f>IF(S.SIP.Involved="Y","* "&amp;S.Staff.SIPCo&amp;", for SIP consultation","* SIP not involved")</f>
        <v>* AndreaG, for SIP consultation</v>
      </c>
      <c r="AL511" s="76"/>
    </row>
    <row r="512" spans="1:38" s="23" customFormat="1" ht="14.1" customHeight="1">
      <c r="A512" s="145"/>
      <c r="B512" s="220" t="str">
        <f>AK512</f>
        <v>* Leah for direction and subject consultation, especially to ensure drafts:</v>
      </c>
      <c r="C512" s="545" t="s">
        <v>0</v>
      </c>
      <c r="D512" s="714"/>
      <c r="E512" s="887"/>
      <c r="F512"/>
      <c r="G512" s="947">
        <f t="shared" si="68"/>
        <v>41276</v>
      </c>
      <c r="H512" s="948">
        <f t="shared" si="69"/>
        <v>41724</v>
      </c>
      <c r="I512" s="745"/>
      <c r="AF512" s="361">
        <f t="shared" ref="AF512:AF538" si="73">IF(S.Notice.Involved="Y",1,0)</f>
        <v>1</v>
      </c>
      <c r="AG512" s="566">
        <f t="shared" si="70"/>
        <v>41276</v>
      </c>
      <c r="AH512" s="566">
        <f t="shared" si="71"/>
        <v>41724</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41276</v>
      </c>
      <c r="H515" s="948">
        <f t="shared" si="69"/>
        <v>41724</v>
      </c>
      <c r="I515" s="745"/>
      <c r="AF515" s="361">
        <f t="shared" si="73"/>
        <v>1</v>
      </c>
      <c r="AG515" s="566">
        <f t="shared" ref="AG515:AG530" si="75">$G$507</f>
        <v>41276</v>
      </c>
      <c r="AH515" s="566">
        <f t="shared" ref="AH515:AH530" si="76">$H$507</f>
        <v>41724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41276</v>
      </c>
      <c r="H516" s="948">
        <f t="shared" si="69"/>
        <v>41724</v>
      </c>
      <c r="I516" s="745"/>
      <c r="AF516" s="361">
        <f t="shared" si="73"/>
        <v>1</v>
      </c>
      <c r="AG516" s="566">
        <f t="shared" si="75"/>
        <v>41276</v>
      </c>
      <c r="AH516" s="566">
        <f t="shared" si="76"/>
        <v>41724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41276</v>
      </c>
      <c r="H517" s="948">
        <f t="shared" si="69"/>
        <v>41724</v>
      </c>
      <c r="I517" s="745"/>
      <c r="AF517" s="361">
        <f t="shared" si="73"/>
        <v>1</v>
      </c>
      <c r="AG517" s="566">
        <f t="shared" si="75"/>
        <v>41276</v>
      </c>
      <c r="AH517" s="566">
        <f t="shared" si="76"/>
        <v>41724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41276</v>
      </c>
      <c r="H518" s="948">
        <f t="shared" si="69"/>
        <v>41724</v>
      </c>
      <c r="I518" s="745"/>
      <c r="J518"/>
      <c r="K518"/>
      <c r="L518"/>
      <c r="M518"/>
      <c r="N518"/>
      <c r="O518"/>
      <c r="P518"/>
      <c r="Q518"/>
      <c r="R518"/>
      <c r="S518"/>
      <c r="T518"/>
      <c r="U518"/>
      <c r="X518"/>
      <c r="AB518"/>
      <c r="AC518"/>
      <c r="AF518" s="361">
        <f t="shared" si="73"/>
        <v>1</v>
      </c>
      <c r="AG518" s="566">
        <f t="shared" si="75"/>
        <v>41276</v>
      </c>
      <c r="AH518" s="566">
        <f t="shared" si="76"/>
        <v>41724</v>
      </c>
      <c r="AI518" s="59"/>
      <c r="AJ518" s="59"/>
      <c r="AK518" s="44"/>
      <c r="AL518" s="76"/>
    </row>
    <row r="519" spans="1:38" s="23" customFormat="1" ht="14.1" hidden="1" customHeight="1" outlineLevel="1">
      <c r="A519" s="145"/>
      <c r="B519" s="743" t="s">
        <v>576</v>
      </c>
      <c r="C519" s="545" t="s">
        <v>0</v>
      </c>
      <c r="D519" s="713"/>
      <c r="E519" s="888"/>
      <c r="F519"/>
      <c r="G519" s="947">
        <f t="shared" si="68"/>
        <v>41276</v>
      </c>
      <c r="H519" s="948">
        <f t="shared" si="69"/>
        <v>41724</v>
      </c>
      <c r="I519" s="745"/>
      <c r="J519"/>
      <c r="K519"/>
      <c r="L519"/>
      <c r="M519"/>
      <c r="N519"/>
      <c r="O519"/>
      <c r="P519"/>
      <c r="Q519"/>
      <c r="R519"/>
      <c r="S519"/>
      <c r="T519"/>
      <c r="U519"/>
      <c r="X519"/>
      <c r="AB519"/>
      <c r="AC519"/>
      <c r="AF519" s="361">
        <f t="shared" si="73"/>
        <v>1</v>
      </c>
      <c r="AG519" s="566">
        <f t="shared" si="75"/>
        <v>41276</v>
      </c>
      <c r="AH519" s="566">
        <f t="shared" si="76"/>
        <v>41724</v>
      </c>
      <c r="AI519" s="59"/>
      <c r="AJ519" s="59"/>
      <c r="AK519" s="44"/>
      <c r="AL519" s="76"/>
    </row>
    <row r="520" spans="1:38" s="23" customFormat="1" ht="14.1" hidden="1" customHeight="1" outlineLevel="1">
      <c r="A520" s="145"/>
      <c r="B520" s="743" t="s">
        <v>576</v>
      </c>
      <c r="C520" s="545" t="s">
        <v>0</v>
      </c>
      <c r="D520" s="713"/>
      <c r="E520" s="888"/>
      <c r="F520"/>
      <c r="G520" s="947">
        <f t="shared" si="68"/>
        <v>41276</v>
      </c>
      <c r="H520" s="948">
        <f t="shared" si="69"/>
        <v>41724</v>
      </c>
      <c r="I520" s="745"/>
      <c r="J520"/>
      <c r="K520"/>
      <c r="L520"/>
      <c r="M520"/>
      <c r="N520"/>
      <c r="O520"/>
      <c r="P520"/>
      <c r="Q520"/>
      <c r="R520"/>
      <c r="S520"/>
      <c r="T520"/>
      <c r="U520"/>
      <c r="X520"/>
      <c r="AB520"/>
      <c r="AC520"/>
      <c r="AF520" s="361">
        <f t="shared" si="73"/>
        <v>1</v>
      </c>
      <c r="AG520" s="566">
        <f t="shared" si="75"/>
        <v>41276</v>
      </c>
      <c r="AH520" s="566">
        <f t="shared" si="76"/>
        <v>41724</v>
      </c>
      <c r="AI520" s="59"/>
      <c r="AJ520" s="59"/>
      <c r="AK520" s="44"/>
      <c r="AL520" s="76"/>
    </row>
    <row r="521" spans="1:38" s="23" customFormat="1" ht="14.1" customHeight="1" collapsed="1" thickBot="1">
      <c r="A521" s="145"/>
      <c r="B521" s="267" t="str">
        <f t="shared" ref="B521" si="78">AK521</f>
        <v>Jill continually refines draft Notice Packet to consider RESOURCES input</v>
      </c>
      <c r="C521" s="268"/>
      <c r="D521" s="714"/>
      <c r="E521" s="887"/>
      <c r="F521"/>
      <c r="G521" s="949">
        <f>AG521</f>
        <v>41276</v>
      </c>
      <c r="H521" s="950">
        <f t="shared" ref="H521" si="79">AH521</f>
        <v>41724</v>
      </c>
      <c r="I521" s="745"/>
      <c r="AF521" s="361">
        <f t="shared" ref="AF521:AF572" si="80">IF(S.Notice.Involved="Y",1,0)</f>
        <v>1</v>
      </c>
      <c r="AG521" s="566">
        <f t="shared" si="75"/>
        <v>41276</v>
      </c>
      <c r="AH521" s="566">
        <f t="shared" si="76"/>
        <v>41724</v>
      </c>
      <c r="AI521" s="58"/>
      <c r="AJ521" s="44"/>
      <c r="AK521" s="182" t="str">
        <f>S.Staff.Subject.Expert.FirstName&amp;" continually refines draft Notice Packet to consider RESOURCES input"</f>
        <v>Jill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Leah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customHeight="1" outlineLevel="1">
      <c r="A526" s="145"/>
      <c r="B526" s="220" t="str">
        <f t="shared" si="82"/>
        <v>* informs Leah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Jill asks subject contributors, including Leah for consensus on</v>
      </c>
      <c r="C530" s="282" t="s">
        <v>0</v>
      </c>
      <c r="D530" s="714"/>
      <c r="E530" s="887"/>
      <c r="G530" s="949">
        <f>AG530</f>
        <v>41276</v>
      </c>
      <c r="H530" s="950">
        <f t="shared" ref="H530" si="83">AH530</f>
        <v>41724</v>
      </c>
      <c r="I530" s="745"/>
      <c r="AF530" s="361">
        <f t="shared" si="80"/>
        <v>1</v>
      </c>
      <c r="AG530" s="566">
        <f t="shared" si="75"/>
        <v>41276</v>
      </c>
      <c r="AH530" s="566">
        <f t="shared" si="76"/>
        <v>41724</v>
      </c>
      <c r="AI530" s="59"/>
      <c r="AJ530" s="59"/>
      <c r="AK530" s="182" t="str">
        <f>S.Staff.Subject.Expert.FirstName&amp;" asks subject contributors, including "&amp;S.Staff.Program.Mgr.FirstName&amp;" for consensus on"</f>
        <v>Jill asks subject contributors, including Leah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Jill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Jill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Jill asks Carol to schedule future time on Uri's calendar for:</v>
      </c>
      <c r="C539" s="1025" t="s">
        <v>629</v>
      </c>
      <c r="D539" s="1025"/>
      <c r="E539" s="1025"/>
      <c r="F539" s="1025"/>
      <c r="G539" s="1026"/>
      <c r="H539" s="256">
        <f t="shared" ref="H539" si="86">AH539</f>
        <v>41722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41722</v>
      </c>
      <c r="AI539" s="59"/>
      <c r="AJ539" s="59"/>
      <c r="AK539" s="182" t="str">
        <f>S.Staff.Subject.Expert.FirstName&amp;" asks "&amp;S.Staff.DA.Support.ForProgram.FirstName&amp;" to schedule future time on "&amp;S.Staff.Assistant.DA.ShortName&amp;"'s calendar for:"</f>
        <v>Jill asks Carol to schedule future time on Uri's calendar for:</v>
      </c>
      <c r="AL539" s="76"/>
    </row>
    <row r="540" spans="1:38" s="23" customFormat="1" ht="14.1" customHeight="1">
      <c r="A540" s="145"/>
      <c r="B540" s="320" t="str">
        <f t="shared" si="85"/>
        <v>* Uri briefing meeting with Jill, Leah and AndreaG</v>
      </c>
      <c r="C540" s="1025" t="s">
        <v>628</v>
      </c>
      <c r="D540" s="1027"/>
      <c r="E540" s="1027"/>
      <c r="F540" s="1027"/>
      <c r="G540" s="1028"/>
      <c r="H540" s="263">
        <f>AH540</f>
        <v>41781</v>
      </c>
      <c r="I540" s="745"/>
      <c r="J540"/>
      <c r="K540"/>
      <c r="L540"/>
      <c r="M540"/>
      <c r="N540"/>
      <c r="O540"/>
      <c r="P540"/>
      <c r="Q540"/>
      <c r="R540"/>
      <c r="S540"/>
      <c r="T540"/>
      <c r="U540"/>
      <c r="X540"/>
      <c r="AB540"/>
      <c r="AC540"/>
      <c r="AF540" s="361">
        <f t="shared" si="87"/>
        <v>1</v>
      </c>
      <c r="AG540" s="58"/>
      <c r="AH540" s="60">
        <f>IF(AF540=0,,WORKDAY(S.Notice.Submit.ToADA,-1,S.DDL_DEQClosed))</f>
        <v>41781</v>
      </c>
      <c r="AI540" s="59"/>
      <c r="AJ540" s="59"/>
      <c r="AK540" s="182" t="str">
        <f>"* "&amp;S.Staff.Assistant.DA.ShortName&amp;" briefing meeting with "&amp;S.Staff.Subject.Expert.FirstName&amp;", "&amp;S.Staff.Program.Mgr.FirstName&amp;" and "&amp;S.Staff.RG.Lead.FirstName</f>
        <v>* Uri briefing meeting with Jill, Leah and AndreaG</v>
      </c>
      <c r="AL540" s="76"/>
    </row>
    <row r="541" spans="1:38" s="23" customFormat="1" ht="14.1" customHeight="1">
      <c r="A541" s="145"/>
      <c r="B541" s="742" t="str">
        <f t="shared" si="85"/>
        <v>* time on Uri's calendar to review Notice Packet during preview week</v>
      </c>
      <c r="C541" s="1025" t="s">
        <v>627</v>
      </c>
      <c r="D541" s="1025"/>
      <c r="E541" s="1025"/>
      <c r="F541" s="1025"/>
      <c r="G541" s="1026"/>
      <c r="H541" s="263">
        <f>AH541</f>
        <v>41782</v>
      </c>
      <c r="I541" s="745"/>
      <c r="J541"/>
      <c r="K541"/>
      <c r="L541"/>
      <c r="M541"/>
      <c r="N541"/>
      <c r="O541"/>
      <c r="P541"/>
      <c r="Q541"/>
      <c r="R541"/>
      <c r="S541"/>
      <c r="T541"/>
      <c r="U541"/>
      <c r="X541"/>
      <c r="AB541"/>
      <c r="AC541"/>
      <c r="AF541" s="361">
        <f t="shared" si="87"/>
        <v>1</v>
      </c>
      <c r="AG541" s="58"/>
      <c r="AH541" s="60">
        <f>IF(AF541=0,,S.Notice.Submit.ToADA)</f>
        <v>41782</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Jill schedules time on Leah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Jill schedules time on Leah calendar to review Notice Packet</v>
      </c>
      <c r="AL542" s="76"/>
    </row>
    <row r="543" spans="1:38" s="23" customFormat="1" ht="14.1" customHeight="1">
      <c r="A543" s="145"/>
      <c r="B543" s="221" t="str">
        <f t="shared" ref="B543" si="88">AK543</f>
        <v>Jill keeps Leah informed about progress</v>
      </c>
      <c r="C543" s="1025" t="s">
        <v>627</v>
      </c>
      <c r="D543" s="1025"/>
      <c r="E543" s="1025"/>
      <c r="F543" s="1025"/>
      <c r="G543" s="1026"/>
      <c r="H543" s="263">
        <f>AH543</f>
        <v>41726</v>
      </c>
      <c r="I543" s="745"/>
      <c r="AF543" s="361">
        <f t="shared" si="87"/>
        <v>1</v>
      </c>
      <c r="AG543" s="58"/>
      <c r="AH543" s="60">
        <f>IF(AF543=0,,S.Notice.Submit.ToSponsoringMgr)</f>
        <v>41726</v>
      </c>
      <c r="AI543" s="47"/>
      <c r="AJ543" s="44"/>
      <c r="AK543" s="182" t="str">
        <f>S.Staff.Subject.Expert.FirstName&amp;" keeps "&amp;S.Staff.Program.Mgr.FirstName&amp;" informed about progress"</f>
        <v>Jill keeps Leah informed about progress</v>
      </c>
      <c r="AL543" s="76"/>
    </row>
    <row r="544" spans="1:38" s="23" customFormat="1" ht="14.1" customHeight="1">
      <c r="A544" s="145"/>
      <c r="B544" s="221" t="str">
        <f t="shared" si="85"/>
        <v>Leah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Leah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Leah looks at Notice Packet ensure:</v>
      </c>
      <c r="C562" s="282" t="s">
        <v>0</v>
      </c>
      <c r="D562" s="40"/>
      <c r="E562" s="40"/>
      <c r="F562" s="40"/>
      <c r="G562" s="1018" t="s">
        <v>688</v>
      </c>
      <c r="H562" s="1019"/>
      <c r="I562" s="745"/>
      <c r="AE562" s="860"/>
      <c r="AF562" s="361">
        <f t="shared" si="80"/>
        <v>1</v>
      </c>
      <c r="AG562" s="59"/>
      <c r="AH562" s="59"/>
      <c r="AI562" s="59"/>
      <c r="AJ562" s="59"/>
      <c r="AK562" s="182" t="str">
        <f>S.Staff.Program.Mgr.FirstName&amp;" looks at Notice Packet ensure:"</f>
        <v>Leah looks at Notice Packet ensure:</v>
      </c>
      <c r="AL562" s="76"/>
    </row>
    <row r="563" spans="1:38" s="23" customFormat="1" ht="14.1" customHeight="1">
      <c r="A563" s="145"/>
      <c r="B563" s="269" t="s">
        <v>765</v>
      </c>
      <c r="C563" s="282" t="s">
        <v>0</v>
      </c>
      <c r="D563" s="283"/>
      <c r="E563" s="750"/>
      <c r="F563" s="40"/>
      <c r="G563" s="933">
        <f>AG563</f>
        <v>41726</v>
      </c>
      <c r="H563" s="934">
        <f>AH563</f>
        <v>41733</v>
      </c>
      <c r="I563" s="745"/>
      <c r="AE563" s="860"/>
      <c r="AF563" s="361">
        <f t="shared" si="80"/>
        <v>1</v>
      </c>
      <c r="AG563" s="60">
        <f>S.Notice.Submit.ToSponsoringMgr</f>
        <v>41726</v>
      </c>
      <c r="AH563" s="60">
        <f>H23</f>
        <v>41733</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Leah:</v>
      </c>
      <c r="C566" s="282" t="s">
        <v>0</v>
      </c>
      <c r="H566" s="953"/>
      <c r="I566" s="745"/>
      <c r="AF566" s="361">
        <f t="shared" si="80"/>
        <v>1</v>
      </c>
      <c r="AG566" s="59"/>
      <c r="AH566" s="59"/>
      <c r="AI566" s="59"/>
      <c r="AJ566" s="59"/>
      <c r="AK566" s="182" t="str">
        <f>S.Staff.Program.Mgr.FirstName&amp;":"</f>
        <v>Leah:</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Jill when complete</v>
      </c>
      <c r="C568" s="282" t="s">
        <v>0</v>
      </c>
      <c r="G568" s="40"/>
      <c r="H568" s="40"/>
      <c r="I568" s="745"/>
      <c r="AE568" s="40"/>
      <c r="AF568" s="361">
        <f t="shared" si="80"/>
        <v>1</v>
      </c>
      <c r="AG568" s="59"/>
      <c r="AH568" s="59"/>
      <c r="AI568" s="59"/>
      <c r="AJ568" s="59"/>
      <c r="AK568" s="182" t="str">
        <f>"* notifies "&amp;S.Staff.Subject.Expert.FirstName&amp;" when complete"</f>
        <v>* notifies Jill when complete</v>
      </c>
      <c r="AL568" s="76"/>
    </row>
    <row r="569" spans="1:38" s="23" customFormat="1" ht="14.1" customHeight="1">
      <c r="A569" s="145"/>
      <c r="B569" s="779" t="str">
        <f>AK569</f>
        <v>Jill:</v>
      </c>
      <c r="C569" s="282" t="s">
        <v>0</v>
      </c>
      <c r="D569" s="283"/>
      <c r="E569" s="750"/>
      <c r="G569" s="256">
        <f>AG569</f>
        <v>41736</v>
      </c>
      <c r="H569" s="954">
        <f>AH569</f>
        <v>41740</v>
      </c>
      <c r="I569" s="745"/>
      <c r="AF569" s="361">
        <f t="shared" si="80"/>
        <v>1</v>
      </c>
      <c r="AG569" s="60">
        <f>WORKDAY(H563,1,S.DDL_DEQClosed)</f>
        <v>41736</v>
      </c>
      <c r="AH569" s="60">
        <f>IF(AF569=0,,WORKDAY(S.Notice.Submit.ToRG,-1,S.DDL_DEQClosed))</f>
        <v>41740</v>
      </c>
      <c r="AI569" s="59"/>
      <c r="AJ569" s="59"/>
      <c r="AK569" s="182" t="str">
        <f>S.Staff.Subject.Expert.FirstName&amp;":"</f>
        <v>Jill:</v>
      </c>
      <c r="AL569" s="76"/>
    </row>
    <row r="570" spans="1:38" s="23" customFormat="1" ht="14.1" customHeight="1">
      <c r="A570" s="145"/>
      <c r="B570" s="269" t="str">
        <f>AK570</f>
        <v>* addresses Leah's technical concerns</v>
      </c>
      <c r="C570" s="282" t="s">
        <v>0</v>
      </c>
      <c r="G570" s="40"/>
      <c r="H570" s="40"/>
      <c r="I570" s="745"/>
      <c r="AE570" s="40"/>
      <c r="AF570" s="361">
        <f t="shared" si="80"/>
        <v>1</v>
      </c>
      <c r="AG570" s="59"/>
      <c r="AH570" s="59"/>
      <c r="AI570" s="59"/>
      <c r="AJ570" s="59"/>
      <c r="AK570" s="182" t="str">
        <f>"* addresses "&amp;S.Staff.Program.Mgr.FirstName&amp;"'s technical concerns"</f>
        <v>* addresses Leah's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4" t="s">
        <v>613</v>
      </c>
      <c r="H572" s="1015"/>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41743</v>
      </c>
      <c r="H573" s="934">
        <f>AH573</f>
        <v>41768</v>
      </c>
      <c r="I573" s="745"/>
      <c r="AF573" s="361">
        <f t="shared" ref="AF573:AF580" si="94">IF(S.Notice.Involved="Y",1,0)</f>
        <v>1</v>
      </c>
      <c r="AG573" s="566">
        <f>S.Notice.Submit.ToRG</f>
        <v>41743</v>
      </c>
      <c r="AH573" s="566">
        <f>H24</f>
        <v>41768</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Jill &amp; AndreaG prepare drafts for preview</v>
      </c>
      <c r="C579" s="268" t="s">
        <v>0</v>
      </c>
      <c r="D579" s="774"/>
      <c r="E579" s="890"/>
      <c r="F579"/>
      <c r="G579" s="256">
        <f t="shared" ref="G579" si="96">AG579</f>
        <v>41771</v>
      </c>
      <c r="H579" s="256">
        <f t="shared" ref="H579:H584" si="97">AH579</f>
        <v>41774</v>
      </c>
      <c r="I579" s="931"/>
      <c r="AF579" s="361">
        <f t="shared" si="94"/>
        <v>1</v>
      </c>
      <c r="AG579" s="775">
        <f>WORKDAY(H573,1,S.DDL_DEQClosed)</f>
        <v>41771</v>
      </c>
      <c r="AH579" s="775">
        <f>WORKDAY(G579,3,S.DDL_DEQClosed)</f>
        <v>41774</v>
      </c>
      <c r="AI579" s="59"/>
      <c r="AJ579" s="59"/>
      <c r="AK579" s="776" t="str">
        <f>S.Staff.Subject.Expert.FirstName&amp;" &amp; "&amp;S.Staff.RG.Lead.FirstName&amp;" prepare drafts for preview"</f>
        <v>Jill &amp; AndreaG prepare drafts for preview</v>
      </c>
      <c r="AL579" s="76"/>
    </row>
    <row r="580" spans="1:39" s="23" customFormat="1" ht="14.1" customHeight="1">
      <c r="A580" s="145"/>
      <c r="B580" s="267" t="str">
        <f t="shared" si="95"/>
        <v>Leah approves moving forward with Notice and Proposed Rules</v>
      </c>
      <c r="C580" s="268" t="s">
        <v>0</v>
      </c>
      <c r="D580" s="283"/>
      <c r="E580" s="750"/>
      <c r="G580" s="256">
        <f>AG580</f>
        <v>41775</v>
      </c>
      <c r="H580" s="256">
        <f t="shared" si="97"/>
        <v>41778</v>
      </c>
      <c r="I580" s="745"/>
      <c r="AF580" s="361">
        <f t="shared" si="94"/>
        <v>1</v>
      </c>
      <c r="AG580" s="60">
        <f>IF(AF580=0,,WORKDAY(H579,1,S.DDL_DEQClosed))</f>
        <v>41775</v>
      </c>
      <c r="AH580" s="60">
        <f>IF(AF580=0,,WORKDAY(G580,1,S.DDL_DEQClosed))</f>
        <v>41778</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9" t="str">
        <f t="shared" ref="B581:B584" si="98">AK581</f>
        <v>2nd loop of Leah's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9" t="str">
        <f t="shared" si="98"/>
        <v>3rd loop of Leah's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40" t="str">
        <f t="shared" si="98"/>
        <v>4th loop of Leah's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customHeight="1" collapsed="1">
      <c r="A584" s="145"/>
      <c r="B584" s="267" t="str">
        <f t="shared" si="98"/>
        <v>Jill &amp; AndreaG address any concerns that may block Leah's approval</v>
      </c>
      <c r="C584" s="282" t="s">
        <v>0</v>
      </c>
      <c r="D584" s="283"/>
      <c r="E584" s="750"/>
      <c r="F584"/>
      <c r="G584" s="256">
        <f>AG584</f>
        <v>41779</v>
      </c>
      <c r="H584" s="256">
        <f t="shared" si="97"/>
        <v>41780</v>
      </c>
      <c r="I584" s="745"/>
      <c r="AF584" s="361">
        <f t="shared" ref="AF584:AF592" si="100">IF(S.Notice.Involved="Y",1,0)</f>
        <v>1</v>
      </c>
      <c r="AG584" s="60">
        <f>WORKDAY(MAX(H562:H583),1,S.DDL_DEQClosed)</f>
        <v>41779</v>
      </c>
      <c r="AH584" s="60">
        <f>IF(AF584=0,,WORKDAY(G584,1,S.DDL_DEQClosed))</f>
        <v>41780</v>
      </c>
      <c r="AI584" s="59"/>
      <c r="AJ584" s="59"/>
      <c r="AK584" s="182" t="str">
        <f>S.Staff.Subject.Expert.FirstName&amp;" &amp; "&amp;S.Staff.RG.Lead.FirstName&amp;" address any concerns that may block "&amp;S.Staff.Program.Mgr.FirstName&amp;"'s approval"</f>
        <v>Jill &amp; AndreaG address any concerns that may block Leah's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41780</v>
      </c>
      <c r="I586" s="745"/>
      <c r="AF586" s="361">
        <f t="shared" si="100"/>
        <v>1</v>
      </c>
      <c r="AG586" s="59"/>
      <c r="AH586" s="60">
        <f>IF(AF586=0,,H584)</f>
        <v>41780</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Jill &amp; Leah</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Jill &amp; Leah</v>
      </c>
      <c r="AL587" s="76"/>
    </row>
    <row r="588" spans="1:39" ht="14.1" customHeight="1">
      <c r="A588" s="145"/>
      <c r="B588" s="284" t="str">
        <f t="shared" si="101"/>
        <v>Jill, Leah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Jill, Leah &amp; AndreaG:</v>
      </c>
      <c r="AL588" s="76"/>
      <c r="AM588"/>
    </row>
    <row r="589" spans="1:39" s="23" customFormat="1" ht="14.1" customHeight="1">
      <c r="A589" s="145"/>
      <c r="B589" s="320" t="str">
        <f t="shared" si="101"/>
        <v>* brief Uri</v>
      </c>
      <c r="C589" s="478" t="s">
        <v>0</v>
      </c>
      <c r="D589" s="283"/>
      <c r="E589" s="750"/>
      <c r="F589"/>
      <c r="G589" s="918" t="s">
        <v>762</v>
      </c>
      <c r="H589" s="256">
        <f>AH589</f>
        <v>41781</v>
      </c>
      <c r="I589" s="745"/>
      <c r="J589"/>
      <c r="K589"/>
      <c r="L589"/>
      <c r="M589"/>
      <c r="N589"/>
      <c r="O589"/>
      <c r="P589"/>
      <c r="Q589"/>
      <c r="R589"/>
      <c r="S589"/>
      <c r="T589"/>
      <c r="U589"/>
      <c r="X589"/>
      <c r="AB589"/>
      <c r="AC589"/>
      <c r="AF589" s="361">
        <f t="shared" si="100"/>
        <v>1</v>
      </c>
      <c r="AG589" s="59"/>
      <c r="AH589" s="60">
        <f>IF(AF540=0,,WORKDAY(S.Notice.Submit.ToADA,-1,S.DDL_DEQClosed))</f>
        <v>41781</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29" t="s">
        <v>636</v>
      </c>
      <c r="H591" s="1030"/>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41782</v>
      </c>
      <c r="H593" s="958">
        <f>AH593</f>
        <v>41789</v>
      </c>
      <c r="I593" s="745"/>
      <c r="J593"/>
      <c r="K593"/>
      <c r="L593"/>
      <c r="M593"/>
      <c r="N593"/>
      <c r="O593"/>
      <c r="P593"/>
      <c r="Q593"/>
      <c r="R593"/>
      <c r="S593"/>
      <c r="T593"/>
      <c r="U593"/>
      <c r="X593"/>
      <c r="AB593"/>
      <c r="AC593"/>
      <c r="AE593" s="780"/>
      <c r="AF593" s="361">
        <f t="shared" ref="AF593:AF602" si="102">IF(S.Notice.Involved="Y",1,0)</f>
        <v>1</v>
      </c>
      <c r="AG593" s="60">
        <f>S.Notice.Submit.ToADA</f>
        <v>41782</v>
      </c>
      <c r="AH593" s="60">
        <f>IF(AF593=0,,AH25)</f>
        <v>41789</v>
      </c>
      <c r="AI593" s="59"/>
      <c r="AJ593" s="59"/>
      <c r="AK593" s="44"/>
      <c r="AL593" s="76"/>
    </row>
    <row r="594" spans="1:39" s="23" customFormat="1" ht="14.1" customHeight="1" thickBot="1">
      <c r="A594" s="145"/>
      <c r="C594" s="545" t="s">
        <v>0</v>
      </c>
      <c r="D594" s="583"/>
      <c r="E594" s="40"/>
      <c r="F594" s="781"/>
      <c r="G594" s="1031" t="s">
        <v>637</v>
      </c>
      <c r="H594" s="1032"/>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Jill:</v>
      </c>
      <c r="C596" s="268"/>
      <c r="D596" s="283"/>
      <c r="E596" s="750"/>
      <c r="F596"/>
      <c r="G596" s="265">
        <f>AG596</f>
        <v>41782</v>
      </c>
      <c r="H596" s="265">
        <f>AH596</f>
        <v>41794</v>
      </c>
      <c r="I596" s="745"/>
      <c r="J596"/>
      <c r="K596"/>
      <c r="L596"/>
      <c r="M596"/>
      <c r="N596"/>
      <c r="O596"/>
      <c r="P596"/>
      <c r="Q596"/>
      <c r="R596"/>
      <c r="S596"/>
      <c r="T596"/>
      <c r="U596"/>
      <c r="X596"/>
      <c r="AB596"/>
      <c r="AC596"/>
      <c r="AF596" s="361">
        <f t="shared" si="102"/>
        <v>1</v>
      </c>
      <c r="AG596" s="60">
        <f>IF(AF596=0,,S.Notice.PreviewBegin)</f>
        <v>41782</v>
      </c>
      <c r="AH596" s="60">
        <f>IF(AF596=0,,WORKDAY(AH593+6,-1,S.DDL_DEQClosed))</f>
        <v>41794</v>
      </c>
      <c r="AI596" s="58"/>
      <c r="AJ596" s="44"/>
      <c r="AK596" s="182" t="str">
        <f>S.Staff.Subject.Expert.FirstName&amp;":"</f>
        <v>Jill:</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Leah,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Leah</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Leah</v>
      </c>
      <c r="AL601" s="76"/>
      <c r="AM601"/>
    </row>
    <row r="602" spans="1:39" s="23" customFormat="1" ht="14.1" customHeight="1" thickBot="1">
      <c r="A602" s="145"/>
      <c r="B602" s="529" t="str">
        <f t="shared" ref="B602" si="104">AK602</f>
        <v>Leah:</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Leah:</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41794</v>
      </c>
      <c r="I603" s="745"/>
      <c r="J603"/>
      <c r="K603"/>
      <c r="L603"/>
      <c r="M603"/>
      <c r="N603"/>
      <c r="O603"/>
      <c r="P603"/>
      <c r="Q603"/>
      <c r="R603"/>
      <c r="S603"/>
      <c r="T603"/>
      <c r="U603"/>
      <c r="X603"/>
      <c r="AB603"/>
      <c r="AC603"/>
      <c r="AF603" s="361">
        <f>IF(AND(C603="Y",S.Notice.Involved="Y"),1,0)</f>
        <v>0</v>
      </c>
      <c r="AG603" s="60">
        <f>IF(AF603=0,,AH593)</f>
        <v>0</v>
      </c>
      <c r="AH603" s="60">
        <f>H596</f>
        <v>41794</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Jill &amp; AndreaG</v>
      </c>
      <c r="C605" s="1041" t="s">
        <v>0</v>
      </c>
      <c r="D605" s="1041"/>
      <c r="E605" s="1041"/>
      <c r="F605" s="1041"/>
      <c r="G605" s="1041"/>
      <c r="H605" s="811">
        <f t="shared" ref="H605" si="105">AH605</f>
        <v>41795</v>
      </c>
      <c r="I605" s="745"/>
      <c r="J605"/>
      <c r="K605"/>
      <c r="L605"/>
      <c r="M605"/>
      <c r="N605"/>
      <c r="O605"/>
      <c r="P605"/>
      <c r="Q605"/>
      <c r="R605"/>
      <c r="S605"/>
      <c r="T605"/>
      <c r="U605"/>
      <c r="X605"/>
      <c r="AB605"/>
      <c r="AC605"/>
      <c r="AF605" s="361">
        <f>IF(S.Notice.Involved="Y",1,0)</f>
        <v>1</v>
      </c>
      <c r="AG605" s="59"/>
      <c r="AH605" s="60">
        <f>WORKDAY(AH603+2,-1,S.DDL_DEQClosed)</f>
        <v>41795</v>
      </c>
      <c r="AI605" s="59"/>
      <c r="AJ605" s="59"/>
      <c r="AK605" s="182" t="str">
        <f>"* emails approval to move forward with Notice to "&amp;S.Staff.Subject.Expert.FirstName&amp;" &amp; "&amp;S.Staff.RG.Lead.FirstName</f>
        <v>* emails approval to move forward with Notice to Jill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41796</v>
      </c>
      <c r="I606" s="745"/>
      <c r="J606"/>
      <c r="K606"/>
      <c r="L606"/>
      <c r="M606"/>
      <c r="N606"/>
      <c r="O606"/>
      <c r="P606"/>
      <c r="Q606"/>
      <c r="R606"/>
      <c r="S606"/>
      <c r="T606"/>
      <c r="U606"/>
      <c r="X606"/>
      <c r="AB606"/>
      <c r="AC606"/>
      <c r="AF606" s="361">
        <f t="shared" ref="AF606:AF622" si="107">IF(S.Notice.Involved="Y",1,0)</f>
        <v>1</v>
      </c>
      <c r="AG606" s="60">
        <f>WORKDAY(S.Notice.MgrNoticeApproval,1,S.DDL_DEQClosed)</f>
        <v>41796</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Jill &amp; Leah as warranted</v>
      </c>
      <c r="C609" s="321"/>
      <c r="D609" s="1033"/>
      <c r="E609" s="1033"/>
      <c r="F609" s="1033"/>
      <c r="G609" s="1033"/>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Jill &amp; Leah as warranted</v>
      </c>
      <c r="AL609" s="76"/>
    </row>
    <row r="610" spans="1:38" s="23" customFormat="1" ht="14.1" customHeight="1">
      <c r="A610" s="145"/>
      <c r="B610" s="529" t="str">
        <f t="shared" ref="B610" si="108">AK610</f>
        <v>Leah emails Jill &amp; AndreaG approval to publish notice</v>
      </c>
      <c r="C610" s="1039" t="s">
        <v>691</v>
      </c>
      <c r="D610" s="1039"/>
      <c r="E610" s="1039"/>
      <c r="F610" s="1039"/>
      <c r="G610" s="1040"/>
      <c r="H610" s="256">
        <f>AH610</f>
        <v>41801</v>
      </c>
      <c r="I610" s="745"/>
      <c r="AF610" s="361">
        <f t="shared" si="107"/>
        <v>1</v>
      </c>
      <c r="AG610" s="58"/>
      <c r="AH610" s="60">
        <f>WORKDAY(G606,3,S.DDL_DEQClosed)</f>
        <v>41801</v>
      </c>
      <c r="AI610" s="59"/>
      <c r="AJ610" s="59"/>
      <c r="AK610" s="182" t="str">
        <f>S.Staff.Program.Mgr.FirstName&amp;" emails "&amp;S.Staff.Subject.Expert.FirstName&amp;" &amp; "&amp;S.Staff.RG.Lead.FirstName&amp;" approval to publish notice"</f>
        <v>Leah emails Jill &amp; AndreaG approval to publish notice</v>
      </c>
      <c r="AL610" s="76"/>
    </row>
    <row r="611" spans="1:38" s="23" customFormat="1" ht="14.1" customHeight="1">
      <c r="A611" s="145"/>
      <c r="B611" s="267" t="str">
        <f>AK611</f>
        <v>Jill:</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Jill:</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Jill:</v>
      </c>
      <c r="C614" s="268"/>
      <c r="D614" s="268"/>
      <c r="E614" s="268"/>
      <c r="F614" s="262"/>
      <c r="G614" s="258"/>
      <c r="H614" s="258"/>
      <c r="I614" s="745"/>
      <c r="AF614" s="361">
        <f>IF(S.Notice.Involved="Y",1,0)</f>
        <v>1</v>
      </c>
      <c r="AG614" s="58"/>
      <c r="AH614" s="58"/>
      <c r="AI614" s="58"/>
      <c r="AJ614" s="44"/>
      <c r="AK614" s="182" t="str">
        <f>S.Staff.Subject.Expert.FirstName&amp;":"</f>
        <v>Jill:</v>
      </c>
      <c r="AL614" s="76"/>
    </row>
    <row r="615" spans="1:38" s="23" customFormat="1" ht="14.1" hidden="1" customHeight="1">
      <c r="A615" s="145"/>
      <c r="B615" s="298" t="s">
        <v>692</v>
      </c>
      <c r="C615" s="545" t="s">
        <v>0</v>
      </c>
      <c r="D615" s="283"/>
      <c r="E615" s="750"/>
      <c r="H615" s="256">
        <f t="shared" ref="H615" si="109">AH615</f>
        <v>41801</v>
      </c>
      <c r="I615" s="745"/>
      <c r="AF615" s="361">
        <f>IF(S.SIP.Involved="Y",1,0)</f>
        <v>1</v>
      </c>
      <c r="AG615" s="48"/>
      <c r="AH615" s="60">
        <f>S.Notice.OK.ToPublish</f>
        <v>41801</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41796</v>
      </c>
      <c r="I616" s="745"/>
      <c r="AF616" s="361">
        <f t="shared" si="107"/>
        <v>1</v>
      </c>
      <c r="AG616" s="60">
        <f>WORKDAY(S.Notice.MgrNoticeApproval,1,S.DDL_DEQClosed)</f>
        <v>41796</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Jill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Jill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Jill leads:</v>
      </c>
      <c r="C625" s="548"/>
      <c r="D625"/>
      <c r="F625" s="40"/>
      <c r="I625" s="745"/>
      <c r="AF625" s="361">
        <f>IF(AND(S.Notice.Involved="Y",S.Notice.AD.Involved="Y"),1,0)</f>
        <v>1</v>
      </c>
      <c r="AG625" s="59"/>
      <c r="AH625" s="59"/>
      <c r="AI625" s="59"/>
      <c r="AJ625" s="59"/>
      <c r="AK625" s="182" t="str">
        <f>S.Staff.Subject.Expert.FirstName&amp;" leads:"</f>
        <v>Jill leads:</v>
      </c>
      <c r="AL625" s="76"/>
    </row>
    <row r="626" spans="1:39" s="23" customFormat="1" ht="14.1" customHeight="1" thickBot="1">
      <c r="A626" s="145"/>
      <c r="B626" s="289" t="s">
        <v>686</v>
      </c>
      <c r="C626" s="545" t="s">
        <v>0</v>
      </c>
      <c r="D626" s="1021" t="s">
        <v>654</v>
      </c>
      <c r="E626" s="1021"/>
      <c r="F626" s="1021"/>
      <c r="G626" s="1022"/>
      <c r="H626" s="974">
        <f>AH626</f>
        <v>41792</v>
      </c>
      <c r="I626" s="745"/>
      <c r="AF626" s="361">
        <f>IF(AND(S.Notice.AD.Involved="Y",S.Notice.Involved="Y"),1,0)</f>
        <v>1</v>
      </c>
      <c r="AG626" s="59"/>
      <c r="AH626" s="60">
        <f>IF(AF626=0,,S.Notice.AD.ToContractServices)</f>
        <v>41792</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Jill</v>
      </c>
      <c r="AL629" s="76"/>
    </row>
    <row r="630" spans="1:39" ht="14.1" customHeight="1">
      <c r="A630" s="145"/>
      <c r="B630" s="289" t="s">
        <v>690</v>
      </c>
      <c r="C630" s="545" t="s">
        <v>0</v>
      </c>
      <c r="D630" s="1020" t="s">
        <v>0</v>
      </c>
      <c r="E630" s="1021"/>
      <c r="F630" s="1021"/>
      <c r="G630" s="1022"/>
      <c r="H630" s="263">
        <f>AH630</f>
        <v>41806</v>
      </c>
      <c r="I630" s="745"/>
      <c r="AF630" s="361">
        <f t="shared" si="112"/>
        <v>1</v>
      </c>
      <c r="AG630" s="59"/>
      <c r="AH630" s="60">
        <f>IF(AF630=0,,S.Notice.OpenComment)</f>
        <v>41806</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Jill drafts EMAIL.NOTICE.TO.KEY.LEGISLATORS  - instruction in template:</v>
      </c>
      <c r="C637" s="511" t="str">
        <f>HYPERLINK("\\deqhq1\Rule_Resources\i\EMAIL.KeyLegislators.docx","i")</f>
        <v>i</v>
      </c>
      <c r="D637" s="283"/>
      <c r="E637" s="750"/>
      <c r="F637"/>
      <c r="H637" s="256">
        <f>AH637</f>
        <v>41799</v>
      </c>
      <c r="I637" s="745"/>
      <c r="J637"/>
      <c r="K637"/>
      <c r="L637"/>
      <c r="M637"/>
      <c r="N637"/>
      <c r="O637"/>
      <c r="P637"/>
      <c r="Q637"/>
      <c r="R637"/>
      <c r="S637"/>
      <c r="T637"/>
      <c r="U637"/>
      <c r="X637"/>
      <c r="AB637"/>
      <c r="AC637"/>
      <c r="AF637" s="361">
        <f t="shared" si="113"/>
        <v>1</v>
      </c>
      <c r="AG637" s="60">
        <f>H251</f>
        <v>41786</v>
      </c>
      <c r="AH637" s="60">
        <f>IF(AF637=0,,WORKDAY(S.Notice.OpenComment,-5,S.DDL_DEQClosed))</f>
        <v>41799</v>
      </c>
      <c r="AI637" s="59"/>
      <c r="AJ637" s="59"/>
      <c r="AK637" s="182" t="str">
        <f>S.Staff.Subject.Expert.FirstName&amp;" drafts EMAIL.NOTICE.TO.KEY.LEGISLATORS  - instruction in template:"</f>
        <v>Jill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Jill)</v>
      </c>
      <c r="C642" s="542"/>
      <c r="D642" s="283"/>
      <c r="E642" s="750"/>
      <c r="F642"/>
      <c r="H642" s="256">
        <f>AH642</f>
        <v>41806</v>
      </c>
      <c r="I642" s="745"/>
      <c r="J642"/>
      <c r="K642"/>
      <c r="L642"/>
      <c r="M642"/>
      <c r="N642"/>
      <c r="O642"/>
      <c r="P642"/>
      <c r="Q642"/>
      <c r="R642"/>
      <c r="S642"/>
      <c r="T642"/>
      <c r="U642"/>
      <c r="X642"/>
      <c r="AB642"/>
      <c r="AC642"/>
      <c r="AF642" s="361">
        <f t="shared" si="113"/>
        <v>1</v>
      </c>
      <c r="AG642" s="60" t="s">
        <v>230</v>
      </c>
      <c r="AH642" s="60">
        <f>IF(AF642=0,,S.Notice.OpenComment)</f>
        <v>41806</v>
      </c>
      <c r="AI642" s="59"/>
      <c r="AJ642" s="59"/>
      <c r="AK642" s="182" t="str">
        <f>"* emails to recipients with Return Receipt (redirects receipt to "&amp;S.Staff.Subject.Expert.FirstName&amp;")"</f>
        <v>* emails to recipients with Return Receipt (redirects receipt to Jill)</v>
      </c>
      <c r="AL642" s="76"/>
    </row>
    <row r="643" spans="1:39" s="23" customFormat="1" ht="14.1" customHeight="1">
      <c r="A643" s="145"/>
      <c r="B643" s="220" t="str">
        <f>AK643</f>
        <v>* copies Jill</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Jill</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41806</v>
      </c>
      <c r="H645" s="263">
        <f t="shared" ref="H645" si="115">AH645</f>
        <v>41841</v>
      </c>
      <c r="I645" s="745"/>
      <c r="J645"/>
      <c r="K645"/>
      <c r="L645"/>
      <c r="M645"/>
      <c r="N645"/>
      <c r="O645"/>
      <c r="P645"/>
      <c r="Q645"/>
      <c r="R645"/>
      <c r="S645"/>
      <c r="T645"/>
      <c r="U645"/>
      <c r="X645"/>
      <c r="AB645"/>
      <c r="AC645"/>
      <c r="AF645" s="361">
        <f t="shared" si="113"/>
        <v>1</v>
      </c>
      <c r="AG645" s="60">
        <f>IF(AF645=0,,S.Notice.OpenComment)</f>
        <v>41806</v>
      </c>
      <c r="AH645" s="60">
        <f>IF(AF645=0,,S.Notice.BANNER.End)</f>
        <v>41841</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Jill gathers andsaves all emails on </v>
      </c>
      <c r="C646" s="509" t="str">
        <f>HYPERLINK("\\deqhq1\Rule_Development\Currrent Plan","i")</f>
        <v>i</v>
      </c>
      <c r="D646" s="283"/>
      <c r="E646" s="750"/>
      <c r="F646"/>
      <c r="G646" s="256">
        <f>AG646</f>
        <v>41276</v>
      </c>
      <c r="H646" s="256">
        <f>AH646</f>
        <v>41841</v>
      </c>
      <c r="I646" s="745"/>
      <c r="J646"/>
      <c r="K646"/>
      <c r="L646"/>
      <c r="M646"/>
      <c r="N646"/>
      <c r="O646"/>
      <c r="P646"/>
      <c r="Q646"/>
      <c r="R646"/>
      <c r="S646"/>
      <c r="T646"/>
      <c r="U646"/>
      <c r="X646"/>
      <c r="AB646"/>
      <c r="AC646"/>
      <c r="AF646" s="361">
        <f t="shared" si="113"/>
        <v>1</v>
      </c>
      <c r="AG646" s="60">
        <f>IF(AF646=0,,S.Notice.BANNER.Begin)</f>
        <v>41276</v>
      </c>
      <c r="AH646" s="60">
        <f>IF(AF646=0,,S.Notice.BANNER.End)</f>
        <v>41841</v>
      </c>
      <c r="AI646" s="59"/>
      <c r="AJ646" s="59"/>
      <c r="AK646" s="182" t="str">
        <f>S.Staff.Subject.Expert.FirstName&amp;" gathers andsaves all emails on "</f>
        <v xml:space="preserve">Jill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3" t="str">
        <f>AK29</f>
        <v>Public Comment and Testimony</v>
      </c>
      <c r="C649" s="1013"/>
      <c r="D649" s="1013"/>
      <c r="E649" s="1013"/>
      <c r="F649" s="1013"/>
      <c r="G649" s="1013"/>
      <c r="H649" s="1013"/>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41276</v>
      </c>
      <c r="H651" s="201">
        <f>AH651</f>
        <v>41955</v>
      </c>
      <c r="I651" s="745"/>
      <c r="AF651" s="361" t="s">
        <v>59</v>
      </c>
      <c r="AG651" s="60">
        <f>IF(S.Notice.Involved="N",,S.Notice.BANNER.Begin)</f>
        <v>41276</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Jill verifies venues and equipment, gathers supplies</v>
      </c>
      <c r="C654" s="414" t="s">
        <v>49</v>
      </c>
      <c r="D654" s="357"/>
      <c r="E654" s="750"/>
      <c r="F654" s="23"/>
      <c r="G654" s="299">
        <f>AG654</f>
        <v>41803</v>
      </c>
      <c r="H654" s="299">
        <f>AH654</f>
        <v>41836</v>
      </c>
      <c r="I654" s="745"/>
      <c r="AF654" s="361">
        <f>IF(AND(S.Notice.Involved="Y",S.Hearing.1stInvolve="Y"),1,0)</f>
        <v>1</v>
      </c>
      <c r="AG654" s="60">
        <f>IF(AF654=0,,S.Hearing.BANNER.Begin)</f>
        <v>41803</v>
      </c>
      <c r="AH654" s="60">
        <f>S.Hearing.1stDate</f>
        <v>41836</v>
      </c>
      <c r="AI654" s="59"/>
      <c r="AJ654" s="59"/>
      <c r="AK654" s="67" t="str">
        <f>S.Staff.Support&amp;" verifies venues and equipment, gathers supplies"</f>
        <v>Jill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Jill:</v>
      </c>
      <c r="C656" s="258"/>
      <c r="D656" s="283"/>
      <c r="E656" s="750"/>
      <c r="G656" s="299">
        <f t="shared" ref="G656" si="116">AG656</f>
        <v>41803</v>
      </c>
      <c r="H656" s="299">
        <f t="shared" ref="H656" si="117">AH656</f>
        <v>41803</v>
      </c>
      <c r="I656" s="745"/>
      <c r="J656"/>
      <c r="K656"/>
      <c r="L656"/>
      <c r="M656"/>
      <c r="N656"/>
      <c r="O656"/>
      <c r="P656"/>
      <c r="Q656"/>
      <c r="R656"/>
      <c r="S656"/>
      <c r="T656"/>
      <c r="U656"/>
      <c r="X656"/>
      <c r="AB656"/>
      <c r="AC656"/>
      <c r="AF656" s="361">
        <f>IF(AND(S.Notice.Involved="Y",S.Notice.AD.Involved="Y"),1,0)</f>
        <v>1</v>
      </c>
      <c r="AG656" s="60">
        <f t="shared" ref="AG656:AG661" si="118">IF(AF656=0,,S.Hearing.BANNER.Begin)</f>
        <v>41803</v>
      </c>
      <c r="AH656" s="60">
        <f>G656</f>
        <v>41803</v>
      </c>
      <c r="AI656" s="59"/>
      <c r="AJ656" s="59"/>
      <c r="AK656" s="67" t="str">
        <f>S.Staff.Subject.Expert.FirstName&amp;":"</f>
        <v>Jill:</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Leah's review/approval, addresses suggestions</v>
      </c>
      <c r="C662" s="545" t="s">
        <v>0</v>
      </c>
      <c r="D662" s="283"/>
      <c r="E662" s="750"/>
      <c r="G662" s="299">
        <f t="shared" ref="G662" si="121">AG662</f>
        <v>41803</v>
      </c>
      <c r="H662" s="299">
        <f t="shared" ref="H662" si="122">AH662</f>
        <v>41803</v>
      </c>
      <c r="I662" s="745"/>
      <c r="J662"/>
      <c r="K662"/>
      <c r="L662"/>
      <c r="M662"/>
      <c r="N662"/>
      <c r="O662"/>
      <c r="P662"/>
      <c r="Q662"/>
      <c r="R662"/>
      <c r="S662"/>
      <c r="T662"/>
      <c r="U662"/>
      <c r="X662"/>
      <c r="AB662"/>
      <c r="AC662"/>
      <c r="AF662" s="361">
        <f t="shared" si="119"/>
        <v>0</v>
      </c>
      <c r="AG662" s="60">
        <f>H656</f>
        <v>41803</v>
      </c>
      <c r="AH662" s="60">
        <f>AG662</f>
        <v>41803</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9" t="str">
        <f t="shared" ref="B663:B666" si="123">AK663</f>
        <v>1st loop Leah reviews/approves optional presentation</v>
      </c>
      <c r="C663" s="542"/>
      <c r="D663" s="283"/>
      <c r="E663" s="750"/>
      <c r="F663" s="23"/>
      <c r="G663" s="299">
        <f t="shared" ref="G663:H666" si="124">AG663</f>
        <v>41803</v>
      </c>
      <c r="H663" s="299">
        <f t="shared" si="124"/>
        <v>41803</v>
      </c>
      <c r="I663" s="745"/>
      <c r="AF663" s="361">
        <f t="shared" si="119"/>
        <v>0</v>
      </c>
      <c r="AG663" s="60">
        <f>G656</f>
        <v>41803</v>
      </c>
      <c r="AH663" s="60">
        <f t="shared" ref="AH663:AH666" si="125">AG663</f>
        <v>41803</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60" t="str">
        <f t="shared" si="123"/>
        <v>2nd loop Leah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61" t="str">
        <f t="shared" si="123"/>
        <v>3rd loop Leah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62" t="str">
        <f t="shared" si="123"/>
        <v>4th loop Leah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Leah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41803</v>
      </c>
      <c r="H668" s="299">
        <f>AH668</f>
        <v>41836</v>
      </c>
      <c r="I668" s="745"/>
      <c r="J668"/>
      <c r="K668"/>
      <c r="L668"/>
      <c r="M668"/>
      <c r="N668"/>
      <c r="O668"/>
      <c r="P668"/>
      <c r="Q668"/>
      <c r="R668"/>
      <c r="S668"/>
      <c r="T668"/>
      <c r="U668"/>
      <c r="X668"/>
      <c r="AB668"/>
      <c r="AC668"/>
      <c r="AF668" s="361">
        <f>IF(S.Notice.Involved="Y",1,0)</f>
        <v>1</v>
      </c>
      <c r="AG668" s="60">
        <f>IF(AF668=0,,S.Hearing.BANNER.Begin)</f>
        <v>41803</v>
      </c>
      <c r="AH668" s="60">
        <f>S.Hearing.1stDate</f>
        <v>41836</v>
      </c>
      <c r="AI668" s="59"/>
      <c r="AJ668" s="61"/>
      <c r="AK668" s="62"/>
      <c r="AL668" s="76"/>
    </row>
    <row r="669" spans="1:39" s="23" customFormat="1" ht="14.1" customHeight="1" outlineLevel="1" thickBot="1">
      <c r="A669" s="145"/>
      <c r="B669" s="425" t="s">
        <v>205</v>
      </c>
      <c r="C669" s="414" t="s">
        <v>49</v>
      </c>
      <c r="D669" s="283"/>
      <c r="E669" s="750"/>
      <c r="G669" s="299">
        <f t="shared" si="126"/>
        <v>41803</v>
      </c>
      <c r="H669" s="299">
        <f>AH669</f>
        <v>41836</v>
      </c>
      <c r="I669" s="745"/>
      <c r="J669"/>
      <c r="K669"/>
      <c r="L669"/>
      <c r="M669"/>
      <c r="N669"/>
      <c r="O669"/>
      <c r="P669"/>
      <c r="Q669"/>
      <c r="R669"/>
      <c r="S669"/>
      <c r="T669"/>
      <c r="U669"/>
      <c r="X669"/>
      <c r="AB669"/>
      <c r="AC669"/>
      <c r="AF669" s="361">
        <f>IF(S.Notice.Involved="Y",1,0)</f>
        <v>1</v>
      </c>
      <c r="AG669" s="60">
        <f>IF(AF669=0,,S.Hearing.BANNER.Begin)</f>
        <v>41803</v>
      </c>
      <c r="AH669" s="60">
        <f>S.Hearing.1stDate</f>
        <v>41836</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41836</v>
      </c>
      <c r="I671" s="745"/>
      <c r="AF671" s="361">
        <f>IF(AND(S.Notice.Involved="Y",S.Hearing.1stInvolve="Y",S.Hearing.2ndInvolve),1,0)</f>
        <v>1</v>
      </c>
      <c r="AG671" s="59"/>
      <c r="AH671" s="60">
        <f>S.Hearing.1stDate</f>
        <v>41836</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Bend hearing</v>
      </c>
      <c r="C673" s="545" t="s">
        <v>0</v>
      </c>
      <c r="D673" s="705"/>
      <c r="E673" s="705"/>
      <c r="F673"/>
      <c r="G673"/>
      <c r="H673" s="309">
        <f t="shared" ref="H673:H685" si="128">AH673</f>
        <v>41836</v>
      </c>
      <c r="I673" s="745"/>
      <c r="AF673" s="361">
        <f>IF(AND(S.Notice.Involved="Y",S.Hearing.1stInvolve="Y",S.Hearing.2ndInvolve="Y"),1,0)</f>
        <v>1</v>
      </c>
      <c r="AG673" s="59"/>
      <c r="AH673" s="60">
        <f>IF(S.Hearing.2ndInvolve="N",,S.Hearing.2ndDate)</f>
        <v>41836</v>
      </c>
      <c r="AI673" s="59"/>
      <c r="AJ673" s="59"/>
      <c r="AK673" s="67" t="str">
        <f>"2. "&amp;S.Hearing.2ndCity&amp;" hearing"</f>
        <v>2. Bend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Medford hearing</v>
      </c>
      <c r="C675" s="545" t="s">
        <v>0</v>
      </c>
      <c r="D675" s="705"/>
      <c r="E675" s="705"/>
      <c r="F675"/>
      <c r="G675"/>
      <c r="H675" s="309">
        <f t="shared" si="128"/>
        <v>41836</v>
      </c>
      <c r="I675" s="745"/>
      <c r="AF675" s="361">
        <f>IF(AND(S.Notice.Involved="Y",S.Hearing.1stInvolve="Y",S.Hearing.3rdInvolve="Y"),1,0)</f>
        <v>1</v>
      </c>
      <c r="AG675" s="59"/>
      <c r="AH675" s="60">
        <f>IF(S.Hearing.2ndInvolve="N",,S.Hearing.3rdDate)</f>
        <v>41836</v>
      </c>
      <c r="AI675" s="59"/>
      <c r="AJ675" s="59"/>
      <c r="AK675" s="67" t="str">
        <f>"3. "&amp; S.Hearing.3rdCity&amp;" hearing"</f>
        <v>3. Medford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1</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Jill, for comments not received through online form:</v>
      </c>
      <c r="C687" s="306"/>
      <c r="D687" s="283"/>
      <c r="E687" s="283"/>
      <c r="F687" s="255">
        <f t="shared" ref="F687" si="129">NETWORKDAYS(G687,H687,S.DDL_DEQClosed)</f>
        <v>84</v>
      </c>
      <c r="G687" s="299">
        <f t="shared" ref="G687" si="130">AG687</f>
        <v>41836</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41836</v>
      </c>
      <c r="AH687" s="60">
        <f>S.Hearing.BANNER.End</f>
        <v>41955</v>
      </c>
      <c r="AI687" s="59"/>
      <c r="AJ687" s="59"/>
      <c r="AK687" s="67" t="str">
        <f>S.Staff.Support&amp;", for comments not received through online form:"</f>
        <v>Jill,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1035" t="s">
        <v>714</v>
      </c>
      <c r="E691" s="1035"/>
      <c r="F691" s="1035"/>
      <c r="G691" s="1036"/>
      <c r="H691" s="388">
        <f>AH691</f>
        <v>41841</v>
      </c>
      <c r="I691" s="745"/>
      <c r="AF691" s="361">
        <f>IF(S.Notice.Involved="Y",1,0)</f>
        <v>1</v>
      </c>
      <c r="AG691" s="59"/>
      <c r="AH691" s="60">
        <f>S.Notice.CloseComment</f>
        <v>41841</v>
      </c>
      <c r="AI691" s="59"/>
      <c r="AJ691" s="61"/>
      <c r="AK691" s="44"/>
      <c r="AL691" s="76"/>
      <c r="AM691"/>
    </row>
    <row r="692" spans="1:39" s="23" customFormat="1" ht="14.1" customHeight="1" outlineLevel="1">
      <c r="A692" s="145"/>
      <c r="B692" s="290" t="str">
        <f>AK692</f>
        <v>Jill:</v>
      </c>
      <c r="C692" s="258"/>
      <c r="D692" s="283"/>
      <c r="E692"/>
      <c r="F692" s="255">
        <f>NETWORKDAYS(G692,H692,S.DDL_DEQClosed)</f>
        <v>4</v>
      </c>
      <c r="G692" s="299">
        <f>AG692</f>
        <v>41836</v>
      </c>
      <c r="H692" s="299">
        <f>AH692</f>
        <v>41841</v>
      </c>
      <c r="I692" s="745"/>
      <c r="J692"/>
      <c r="K692"/>
      <c r="L692"/>
      <c r="M692"/>
      <c r="N692"/>
      <c r="O692"/>
      <c r="P692"/>
      <c r="Q692"/>
      <c r="R692"/>
      <c r="S692"/>
      <c r="T692"/>
      <c r="U692"/>
      <c r="X692"/>
      <c r="AB692"/>
      <c r="AC692"/>
      <c r="AF692" s="361">
        <f>IF(S.Notice.Involved="Y",1,0)</f>
        <v>1</v>
      </c>
      <c r="AG692" s="60">
        <f>IF(AF692=0,,S.Notice.LastHearingDate)</f>
        <v>41836</v>
      </c>
      <c r="AH692" s="60">
        <f>S.Notice.CloseComment</f>
        <v>41841</v>
      </c>
      <c r="AI692" s="59"/>
      <c r="AJ692" s="59"/>
      <c r="AK692" s="67" t="str">
        <f>S.Staff.Subject.Expert.FirstName&amp;":"</f>
        <v>Jill:</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793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Jill asks Maggie for Rule Publication work</v>
      </c>
      <c r="C700" s="980" t="s">
        <v>49</v>
      </c>
      <c r="D700" s="283"/>
      <c r="E700" s="892"/>
      <c r="F700" s="875" t="s">
        <v>0</v>
      </c>
      <c r="G700" s="876"/>
      <c r="H700" s="299">
        <f t="shared" ref="H700" si="132">AH700</f>
        <v>41842</v>
      </c>
      <c r="I700" s="745"/>
      <c r="J700"/>
      <c r="K700"/>
      <c r="L700"/>
      <c r="M700"/>
      <c r="N700"/>
      <c r="O700"/>
      <c r="P700"/>
      <c r="Q700"/>
      <c r="R700"/>
      <c r="S700"/>
      <c r="T700"/>
      <c r="U700"/>
      <c r="X700"/>
      <c r="AB700"/>
      <c r="AC700"/>
      <c r="AF700" s="361">
        <f t="shared" ref="AF700:AF708" si="133">IF(S.Notice.Involved="Y",1,0)</f>
        <v>1</v>
      </c>
      <c r="AG700" s="58"/>
      <c r="AH700" s="60">
        <f>WORKDAY(H692,1,S.DDL_DEQClosed)</f>
        <v>41842</v>
      </c>
      <c r="AI700" s="59"/>
      <c r="AJ700" s="59"/>
      <c r="AK700" s="67" t="str">
        <f>S.Staff.Subject.Expert.FirstName&amp;" asks "&amp;S.Staff.AgencyRulesCoordinator&amp;" for Rule Publication work"</f>
        <v>Jill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41842</v>
      </c>
      <c r="H701" s="489">
        <f t="shared" ref="H701" si="135">AH701</f>
        <v>41842</v>
      </c>
      <c r="I701" s="745"/>
      <c r="J701"/>
      <c r="K701"/>
      <c r="L701"/>
      <c r="M701"/>
      <c r="N701"/>
      <c r="O701"/>
      <c r="P701"/>
      <c r="Q701"/>
      <c r="R701"/>
      <c r="S701"/>
      <c r="T701"/>
      <c r="U701"/>
      <c r="X701"/>
      <c r="AB701"/>
      <c r="AC701"/>
      <c r="AF701" s="361">
        <f t="shared" si="133"/>
        <v>1</v>
      </c>
      <c r="AG701" s="60">
        <f>IF(AF701=0,,H700)</f>
        <v>41842</v>
      </c>
      <c r="AH701" s="60">
        <f>G701</f>
        <v>41842</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Jill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Jill with questions, clarifications and suggestions</v>
      </c>
      <c r="AL704" s="76"/>
    </row>
    <row r="705" spans="1:39" s="23" customFormat="1" ht="14.1" customHeight="1" outlineLevel="1">
      <c r="A705" s="145" t="s">
        <v>0</v>
      </c>
      <c r="B705" s="531" t="str">
        <f>AK705</f>
        <v>* notifies Jill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Jill when complete</v>
      </c>
      <c r="AL705" s="76"/>
    </row>
    <row r="706" spans="1:39" s="23" customFormat="1" ht="14.1" customHeight="1" outlineLevel="1">
      <c r="A706" s="145"/>
      <c r="B706" s="267" t="str">
        <f>AK706</f>
        <v>Jill:</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Jill:</v>
      </c>
      <c r="AL706" s="76"/>
    </row>
    <row r="707" spans="1:39" s="23" customFormat="1" ht="14.1" customHeight="1" outlineLevel="1">
      <c r="A707" s="145"/>
      <c r="B707" s="269" t="str">
        <f>AK707</f>
        <v>* shares comments/responses to comments with Leah &amp; Uri</v>
      </c>
      <c r="C707" s="268"/>
      <c r="D707" s="283"/>
      <c r="E707" s="750"/>
      <c r="F707"/>
      <c r="G707" s="258"/>
      <c r="H707" s="299">
        <f t="shared" ref="H707:H711" si="136">AH707</f>
        <v>41842</v>
      </c>
      <c r="I707" s="745"/>
      <c r="J707"/>
      <c r="K707"/>
      <c r="L707"/>
      <c r="M707"/>
      <c r="N707"/>
      <c r="O707"/>
      <c r="P707"/>
      <c r="Q707"/>
      <c r="R707"/>
      <c r="S707"/>
      <c r="T707"/>
      <c r="U707"/>
      <c r="X707"/>
      <c r="AB707"/>
      <c r="AC707"/>
      <c r="AF707" s="361">
        <f t="shared" si="133"/>
        <v>1</v>
      </c>
      <c r="AG707" s="58"/>
      <c r="AH707" s="60">
        <f>H701</f>
        <v>41842</v>
      </c>
      <c r="AI707" s="58"/>
      <c r="AJ707" s="44"/>
      <c r="AK707" s="182" t="str">
        <f>"* shares comments/responses to comments with "&amp;S.Staff.Program.Mgr.FirstName&amp;" &amp; "&amp;S.Staff.Assistant.DA.ShortName</f>
        <v>* shares comments/responses to comments with Leah &amp; Uri</v>
      </c>
      <c r="AL707" s="76"/>
    </row>
    <row r="708" spans="1:39" ht="14.1" customHeight="1" outlineLevel="1" thickBot="1">
      <c r="A708" s="145"/>
      <c r="B708" s="488" t="s">
        <v>271</v>
      </c>
      <c r="C708" s="542"/>
      <c r="D708" s="283"/>
      <c r="E708" s="750"/>
      <c r="F708"/>
      <c r="G708" s="299">
        <f t="shared" ref="G708:G711" si="137">AG708</f>
        <v>41842</v>
      </c>
      <c r="H708" s="299">
        <f t="shared" si="136"/>
        <v>41842</v>
      </c>
      <c r="I708" s="745"/>
      <c r="AF708" s="361">
        <f t="shared" si="133"/>
        <v>1</v>
      </c>
      <c r="AG708" s="60">
        <f>IF(AF708=0,,H707)</f>
        <v>41842</v>
      </c>
      <c r="AH708" s="60">
        <f t="shared" ref="AH708:AH711" si="138">G708</f>
        <v>41842</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Jill:</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Jill:</v>
      </c>
      <c r="AL712" s="76"/>
    </row>
    <row r="713" spans="1:39" s="172" customFormat="1" ht="14.1" customHeight="1" outlineLevel="1">
      <c r="A713" s="389"/>
      <c r="B713" s="269" t="s">
        <v>275</v>
      </c>
      <c r="C713" s="509" t="str">
        <f>HYPERLINK("\\deqhq1\Rule_Development\Currrent Plan","i")</f>
        <v>i</v>
      </c>
      <c r="D713" s="292"/>
      <c r="E713" s="750"/>
      <c r="F713"/>
      <c r="G713" s="258"/>
      <c r="H713" s="436">
        <f>AH713</f>
        <v>41842</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41842</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41803</v>
      </c>
      <c r="H718" s="126">
        <f>AH718</f>
        <v>41955</v>
      </c>
      <c r="I718" s="745"/>
      <c r="AF718" s="361" t="s">
        <v>59</v>
      </c>
      <c r="AG718" s="60">
        <f>S.EQC.BANNER.Begin</f>
        <v>41803</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Jill:</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Jill:</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41803</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41803</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41803</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41803</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Jill develops STAFF.RPT.Permanent preloaded in folder 6 by:</v>
      </c>
      <c r="C725" s="550" t="s">
        <v>0</v>
      </c>
      <c r="D725" s="551"/>
      <c r="E725" s="551"/>
      <c r="F725"/>
      <c r="G725" s="291">
        <f t="shared" ref="G725:H725" si="143">AG725</f>
        <v>41803</v>
      </c>
      <c r="H725" s="291">
        <f t="shared" si="143"/>
        <v>41955</v>
      </c>
      <c r="I725" s="745"/>
      <c r="AF725" s="361">
        <v>1</v>
      </c>
      <c r="AG725" s="60">
        <f>S.EQC.BANNER.Begin</f>
        <v>41803</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Jill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41803</v>
      </c>
      <c r="H736" s="291">
        <f t="shared" ref="H736" si="146">AH736</f>
        <v>41955</v>
      </c>
      <c r="I736" s="745"/>
      <c r="J736"/>
      <c r="K736"/>
      <c r="L736"/>
      <c r="M736"/>
      <c r="N736"/>
      <c r="O736"/>
      <c r="P736"/>
      <c r="Q736"/>
      <c r="R736"/>
      <c r="S736"/>
      <c r="T736"/>
      <c r="U736"/>
      <c r="X736"/>
      <c r="AB736"/>
      <c r="AC736"/>
      <c r="AF736" s="361">
        <v>1</v>
      </c>
      <c r="AG736" s="60">
        <f>S.EQC.BANNER.Begin</f>
        <v>41803</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41803</v>
      </c>
      <c r="H749" s="291">
        <f>AH749</f>
        <v>41955</v>
      </c>
      <c r="I749" s="745"/>
      <c r="J749"/>
      <c r="K749"/>
      <c r="L749"/>
      <c r="M749"/>
      <c r="N749"/>
      <c r="O749"/>
      <c r="P749"/>
      <c r="Q749"/>
      <c r="R749"/>
      <c r="S749"/>
      <c r="T749"/>
      <c r="U749"/>
      <c r="X749"/>
      <c r="AB749"/>
      <c r="AC749"/>
      <c r="AF749" s="361">
        <v>1</v>
      </c>
      <c r="AG749" s="60">
        <f>S.EQC.BANNER.Begin</f>
        <v>41803</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37" t="s">
        <v>613</v>
      </c>
      <c r="H754" s="1038"/>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41743</v>
      </c>
      <c r="H755" s="982">
        <f>AH755</f>
        <v>41752</v>
      </c>
      <c r="I755" s="745"/>
      <c r="AF755" s="361">
        <v>1</v>
      </c>
      <c r="AG755" s="566">
        <f>S.Notice.Submit.ToRG</f>
        <v>41743</v>
      </c>
      <c r="AH755" s="566">
        <f>WORKDAY(G755,7,S.DDL_DEQClosed)</f>
        <v>41752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Jill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Jill with questions or modifications and when work is complete</v>
      </c>
      <c r="AL759" s="76"/>
    </row>
    <row r="760" spans="1:39" s="23" customFormat="1" ht="14.1" hidden="1" customHeight="1" outlineLevel="1">
      <c r="A760" s="145"/>
      <c r="B760" s="284" t="str">
        <f>AK760</f>
        <v>AndreaG lets Jill know when work is complete</v>
      </c>
      <c r="C760" s="282"/>
      <c r="I760" s="745"/>
      <c r="AF760" s="361">
        <v>1</v>
      </c>
      <c r="AG760" s="59"/>
      <c r="AH760" s="566">
        <f>WORKDAY(H755,1,S.DDL_DEQClosed)</f>
        <v>41753</v>
      </c>
      <c r="AI760" s="59"/>
      <c r="AJ760" s="59"/>
      <c r="AK760" s="776" t="str">
        <f>S.Staff.RG.Lead.FirstName&amp;" lets "&amp;S.Staff.Subject.Expert.FirstName&amp;" know when work is complete"</f>
        <v>AndreaG lets Jill know when work is complete</v>
      </c>
      <c r="AL760" s="76"/>
    </row>
    <row r="761" spans="1:39" s="631" customFormat="1" ht="14.1" hidden="1" customHeight="1" outlineLevel="1">
      <c r="A761" s="600"/>
      <c r="B761" s="773" t="str">
        <f t="shared" ref="B761" si="148">AK761</f>
        <v>Jill prepares EQC Staff Report and initiates reviews</v>
      </c>
      <c r="C761" s="268" t="s">
        <v>0</v>
      </c>
      <c r="D761" s="774"/>
      <c r="E761" s="890"/>
      <c r="F761" s="23"/>
      <c r="G761" s="256">
        <f t="shared" ref="G761" si="149">AG761</f>
        <v>41803</v>
      </c>
      <c r="H761" s="256">
        <f t="shared" ref="H761" si="150">AH761</f>
        <v>41955</v>
      </c>
      <c r="I761" s="931"/>
      <c r="AF761" s="361">
        <v>1</v>
      </c>
      <c r="AG761" s="775">
        <f>S.EQC.BANNER.Begin</f>
        <v>41803</v>
      </c>
      <c r="AH761" s="775">
        <f>S.EQC.SubmitStaffRpt</f>
        <v>41955</v>
      </c>
      <c r="AI761" s="59"/>
      <c r="AJ761" s="59"/>
      <c r="AK761" s="776" t="str">
        <f>S.Staff.Subject.Expert.FirstName&amp;" prepares EQC Staff Report and initiates reviews"</f>
        <v>Jill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41803</v>
      </c>
      <c r="H762" s="291">
        <f t="shared" ref="H762" si="152">AH762</f>
        <v>41955</v>
      </c>
      <c r="I762" s="745"/>
      <c r="J762"/>
      <c r="K762"/>
      <c r="L762"/>
      <c r="M762"/>
      <c r="N762"/>
      <c r="O762"/>
      <c r="P762"/>
      <c r="Q762"/>
      <c r="R762"/>
      <c r="S762"/>
      <c r="T762"/>
      <c r="U762"/>
      <c r="X762"/>
      <c r="AB762"/>
      <c r="AC762"/>
      <c r="AF762" s="361">
        <v>1</v>
      </c>
      <c r="AG762" s="60">
        <f>S.EQC.BANNER.Begin</f>
        <v>41803</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41803</v>
      </c>
      <c r="H763" s="291">
        <f t="shared" ref="H763" si="154">AH763</f>
        <v>41955</v>
      </c>
      <c r="I763" s="745"/>
      <c r="J763"/>
      <c r="K763"/>
      <c r="L763"/>
      <c r="M763"/>
      <c r="N763"/>
      <c r="O763"/>
      <c r="P763"/>
      <c r="Q763"/>
      <c r="R763"/>
      <c r="S763"/>
      <c r="T763"/>
      <c r="U763"/>
      <c r="X763"/>
      <c r="AB763"/>
      <c r="AC763"/>
      <c r="AF763" s="361">
        <v>1</v>
      </c>
      <c r="AG763" s="60">
        <f>S.EQC.BANNER.Begin</f>
        <v>41803</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41803</v>
      </c>
      <c r="H764" s="291">
        <f t="shared" ref="H764" si="156">AH764</f>
        <v>41955</v>
      </c>
      <c r="I764" s="745"/>
      <c r="J764"/>
      <c r="K764"/>
      <c r="L764"/>
      <c r="M764"/>
      <c r="N764"/>
      <c r="O764"/>
      <c r="P764"/>
      <c r="Q764"/>
      <c r="R764"/>
      <c r="S764"/>
      <c r="T764"/>
      <c r="U764"/>
      <c r="X764"/>
      <c r="AB764"/>
      <c r="AC764"/>
      <c r="AF764" s="361">
        <v>1</v>
      </c>
      <c r="AG764" s="60">
        <f>S.EQC.BANNER.Begin</f>
        <v>41803</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41803</v>
      </c>
      <c r="H765" s="291">
        <f t="shared" ref="H765" si="158">AH765</f>
        <v>41955</v>
      </c>
      <c r="I765" s="745"/>
      <c r="J765"/>
      <c r="K765"/>
      <c r="L765"/>
      <c r="M765"/>
      <c r="N765"/>
      <c r="O765"/>
      <c r="P765"/>
      <c r="Q765"/>
      <c r="R765"/>
      <c r="S765"/>
      <c r="T765"/>
      <c r="U765"/>
      <c r="X765"/>
      <c r="AB765"/>
      <c r="AC765"/>
      <c r="AF765" s="361">
        <v>1</v>
      </c>
      <c r="AG765" s="60">
        <f>S.EQC.BANNER.Begin</f>
        <v>41803</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Jill:</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Jill:</v>
      </c>
      <c r="AL778" s="76"/>
    </row>
    <row r="779" spans="1:39" s="23" customFormat="1" ht="14.1" hidden="1" customHeight="1" outlineLevel="2" thickBot="1">
      <c r="A779" s="145"/>
      <c r="B779" s="472" t="str">
        <f>AK779</f>
        <v>* discusses need for 1|1 commissioners briefings with Leah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Uri</v>
      </c>
      <c r="AL779" s="76"/>
    </row>
    <row r="780" spans="1:39" s="23" customFormat="1" ht="14.1" hidden="1" customHeight="1" outlineLevel="2">
      <c r="A780" s="145"/>
      <c r="B780" s="897" t="s">
        <v>723</v>
      </c>
      <c r="C780" s="1034" t="s">
        <v>349</v>
      </c>
      <c r="D780" s="1034"/>
      <c r="E780" s="1034"/>
      <c r="F780" s="1034"/>
      <c r="G780" s="1034"/>
      <c r="H780" s="1034"/>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1034" t="s">
        <v>296</v>
      </c>
      <c r="D781" s="1034"/>
      <c r="E781" s="1034"/>
      <c r="F781" s="1034"/>
      <c r="G781" s="1034"/>
      <c r="H781" s="1034"/>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1034" t="s">
        <v>297</v>
      </c>
      <c r="D782" s="1034"/>
      <c r="E782" s="1034"/>
      <c r="F782" s="1034"/>
      <c r="G782" s="1034"/>
      <c r="H782" s="1034"/>
      <c r="I782" s="1034"/>
      <c r="J782" s="1034"/>
      <c r="K782" s="1034"/>
      <c r="L782" s="1034"/>
      <c r="M782" s="1034"/>
      <c r="N782" s="1034"/>
      <c r="O782" s="1034"/>
      <c r="P782" s="1034"/>
      <c r="Q782" s="1034"/>
      <c r="R782" s="1034"/>
      <c r="S782" s="1034"/>
      <c r="T782" s="1034"/>
      <c r="U782" s="1034"/>
      <c r="V782" s="1034"/>
      <c r="W782" s="1034"/>
      <c r="X782" s="1034"/>
      <c r="Y782" s="1034"/>
      <c r="Z782" s="1034"/>
      <c r="AA782" s="1034"/>
      <c r="AB782" s="1034"/>
      <c r="AC782" s="1034"/>
      <c r="AD782" s="1034"/>
      <c r="AF782" s="361">
        <f t="shared" si="167"/>
        <v>0</v>
      </c>
      <c r="AG782" s="80"/>
      <c r="AH782" s="80"/>
      <c r="AI782" s="59"/>
      <c r="AJ782" s="44"/>
      <c r="AK782" s="44"/>
      <c r="AL782" s="76"/>
    </row>
    <row r="783" spans="1:39" s="23" customFormat="1" ht="14.1" hidden="1" customHeight="1" outlineLevel="2">
      <c r="A783" s="145"/>
      <c r="B783" s="897" t="s">
        <v>723</v>
      </c>
      <c r="C783" s="1034" t="s">
        <v>298</v>
      </c>
      <c r="D783" s="1034"/>
      <c r="E783" s="1034"/>
      <c r="F783" s="1034"/>
      <c r="G783" s="1034"/>
      <c r="H783" s="1034"/>
      <c r="I783" s="1034"/>
      <c r="J783" s="1034"/>
      <c r="K783" s="1034"/>
      <c r="L783" s="1034"/>
      <c r="M783" s="1034"/>
      <c r="N783" s="1034"/>
      <c r="O783" s="1034"/>
      <c r="P783" s="1034"/>
      <c r="Q783" s="1034"/>
      <c r="R783" s="1034"/>
      <c r="S783" s="1034"/>
      <c r="T783" s="1034"/>
      <c r="U783" s="1034"/>
      <c r="V783" s="1034"/>
      <c r="W783" s="1034"/>
      <c r="X783" s="1034"/>
      <c r="Y783" s="1034"/>
      <c r="Z783" s="1034"/>
      <c r="AA783" s="1034"/>
      <c r="AB783" s="1034"/>
      <c r="AC783" s="1034"/>
      <c r="AD783" s="1034"/>
      <c r="AF783" s="361">
        <f t="shared" si="167"/>
        <v>0</v>
      </c>
      <c r="AG783" s="80"/>
      <c r="AH783" s="80"/>
      <c r="AI783" s="59"/>
      <c r="AJ783" s="44"/>
      <c r="AK783" s="44"/>
      <c r="AL783" s="76"/>
    </row>
    <row r="784" spans="1:39" s="23" customFormat="1" ht="14.1" hidden="1" customHeight="1" outlineLevel="2">
      <c r="A784" s="145"/>
      <c r="B784" s="897" t="s">
        <v>723</v>
      </c>
      <c r="C784" s="1034" t="s">
        <v>299</v>
      </c>
      <c r="D784" s="1034"/>
      <c r="E784" s="1034"/>
      <c r="F784" s="1034"/>
      <c r="G784" s="1034"/>
      <c r="H784" s="1034"/>
      <c r="I784" s="1034"/>
      <c r="J784" s="1034"/>
      <c r="K784" s="1034"/>
      <c r="L784" s="1034"/>
      <c r="M784" s="1034"/>
      <c r="N784" s="1034"/>
      <c r="O784" s="1034"/>
      <c r="P784" s="1034"/>
      <c r="Q784" s="1034"/>
      <c r="R784" s="1034"/>
      <c r="S784" s="1034"/>
      <c r="T784" s="1034"/>
      <c r="U784" s="1034"/>
      <c r="V784" s="1034"/>
      <c r="W784" s="1034"/>
      <c r="X784" s="1034"/>
      <c r="Y784" s="1034"/>
      <c r="Z784" s="1034"/>
      <c r="AA784" s="1034"/>
      <c r="AB784" s="1034"/>
      <c r="AC784" s="1034"/>
      <c r="AD784" s="1034"/>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Leah for lead manager approval</v>
      </c>
      <c r="C786" s="545" t="s">
        <v>0</v>
      </c>
      <c r="D786" s="720"/>
      <c r="E786" s="720"/>
      <c r="F786"/>
      <c r="G786" s="291">
        <f t="shared" ref="G786:G787" si="168">AG786</f>
        <v>41803</v>
      </c>
      <c r="H786" s="291">
        <f t="shared" ref="H786:H787" si="169">AH786</f>
        <v>41955</v>
      </c>
      <c r="I786" s="745"/>
      <c r="J786"/>
      <c r="K786"/>
      <c r="L786"/>
      <c r="M786"/>
      <c r="N786"/>
      <c r="O786"/>
      <c r="P786"/>
      <c r="Q786"/>
      <c r="R786"/>
      <c r="S786"/>
      <c r="T786"/>
      <c r="U786"/>
      <c r="X786"/>
      <c r="AB786"/>
      <c r="AC786"/>
      <c r="AF786" s="361">
        <v>1</v>
      </c>
      <c r="AG786" s="60">
        <f>S.EQC.BANNER.Begin</f>
        <v>41803</v>
      </c>
      <c r="AH786" s="60">
        <f>S.EQC.SubmitStaffRpt</f>
        <v>41955</v>
      </c>
      <c r="AI786" s="59"/>
      <c r="AJ786" s="159"/>
      <c r="AK786" s="67" t="str">
        <f>"- "&amp;S.Staff.Program.Mgr.FirstName&amp;" for lead manager approval"</f>
        <v>- Leah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41803</v>
      </c>
      <c r="H787" s="291">
        <f t="shared" si="169"/>
        <v>41955</v>
      </c>
      <c r="I787" s="745"/>
      <c r="J787"/>
      <c r="K787"/>
      <c r="L787"/>
      <c r="M787"/>
      <c r="N787"/>
      <c r="O787"/>
      <c r="P787"/>
      <c r="Q787"/>
      <c r="R787"/>
      <c r="S787"/>
      <c r="T787"/>
      <c r="U787"/>
      <c r="X787"/>
      <c r="AB787"/>
      <c r="AC787"/>
      <c r="AF787" s="361">
        <v>1</v>
      </c>
      <c r="AG787" s="60">
        <f>S.EQC.BANNER.Begin</f>
        <v>41803</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41803</v>
      </c>
      <c r="H788" s="437">
        <f t="shared" ref="H788" si="171">AH788</f>
        <v>41989</v>
      </c>
      <c r="I788" s="745"/>
      <c r="J788"/>
      <c r="K788"/>
      <c r="L788"/>
      <c r="M788"/>
      <c r="N788"/>
      <c r="O788"/>
      <c r="P788"/>
      <c r="Q788"/>
      <c r="R788"/>
      <c r="S788"/>
      <c r="T788"/>
      <c r="U788"/>
      <c r="X788"/>
      <c r="AB788"/>
      <c r="AC788"/>
      <c r="AF788" s="361">
        <v>1</v>
      </c>
      <c r="AG788" s="60">
        <f>S.EQC.BANNER.Begin</f>
        <v>41803</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Jill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Jill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2" t="s">
        <v>200</v>
      </c>
      <c r="C801" s="1012"/>
      <c r="D801" s="1012"/>
      <c r="E801" s="1012"/>
      <c r="F801" s="1012"/>
      <c r="G801" s="1012"/>
      <c r="H801" s="1012"/>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Jill:</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Jill:</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Jill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Jill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Jill:</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Jill:</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Jill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Jill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Jill:</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Jill:</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Jill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Jill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A101:E319 G29:H29 G34:H34 H26:H42 G23:H23 D45:H62 C606:D758">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AQ Permitting Program Updates</v>
      </c>
      <c r="B1" s="1049"/>
      <c r="C1" s="1049"/>
      <c r="D1" s="636"/>
      <c r="E1" s="75"/>
      <c r="F1" s="1046" t="str">
        <f>S.General.CodeName</f>
        <v>AQPerm</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41761</v>
      </c>
      <c r="G2" s="1045"/>
      <c r="H2" s="1045"/>
      <c r="I2" s="1045"/>
      <c r="J2" s="1045"/>
      <c r="K2" s="1045"/>
      <c r="L2" s="1045"/>
      <c r="M2" s="1045">
        <f ca="1">M4</f>
        <v>41764</v>
      </c>
      <c r="N2" s="1045"/>
      <c r="O2" s="1045"/>
      <c r="P2" s="1045"/>
      <c r="Q2" s="1045"/>
      <c r="R2" s="1045"/>
      <c r="S2" s="1045"/>
      <c r="T2" s="1045">
        <f ca="1">T4</f>
        <v>41771</v>
      </c>
      <c r="U2" s="1045"/>
      <c r="V2" s="1045"/>
      <c r="W2" s="1045"/>
      <c r="X2" s="1045"/>
      <c r="Y2" s="1045"/>
      <c r="Z2" s="1045"/>
      <c r="AA2" s="1045">
        <f ca="1">AA4</f>
        <v>41778</v>
      </c>
      <c r="AB2" s="1045"/>
      <c r="AC2" s="1045"/>
      <c r="AD2" s="1045"/>
      <c r="AE2" s="1045"/>
      <c r="AF2" s="1045"/>
      <c r="AG2" s="1045"/>
      <c r="AH2" s="1045">
        <f ca="1">AH4</f>
        <v>41785</v>
      </c>
      <c r="AI2" s="1045"/>
      <c r="AJ2" s="1045"/>
      <c r="AK2" s="1045"/>
      <c r="AL2" s="1045"/>
      <c r="AM2" s="1045"/>
      <c r="AN2" s="1045"/>
      <c r="AO2" s="1045">
        <f ca="1">AO4</f>
        <v>41792</v>
      </c>
      <c r="AP2" s="1045"/>
      <c r="AQ2" s="1045"/>
      <c r="AR2" s="1045"/>
      <c r="AS2" s="1045"/>
      <c r="AT2" s="1045"/>
      <c r="AU2" s="1045"/>
      <c r="AV2" s="1045">
        <f ca="1">AV4</f>
        <v>41799</v>
      </c>
      <c r="AW2" s="1045"/>
      <c r="AX2" s="1045"/>
      <c r="AY2" s="1045"/>
      <c r="AZ2" s="1045"/>
      <c r="BA2" s="1045"/>
      <c r="BB2" s="1045"/>
      <c r="BC2" s="1045">
        <f ca="1">BC4</f>
        <v>41806</v>
      </c>
      <c r="BD2" s="1045"/>
      <c r="BE2" s="1045"/>
      <c r="BF2" s="1045"/>
      <c r="BG2" s="1045"/>
      <c r="BH2" s="1045"/>
      <c r="BI2" s="1045"/>
    </row>
    <row r="3" spans="1:61" ht="18.75" thickBot="1">
      <c r="A3" s="1051">
        <f ca="1">TODAY()+E4</f>
        <v>41761</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t="str">
        <f ca="1">IF(WEEKDAY($A$3,3)=1,$A$3,IF(WEEKDAY($A$3,3)&lt;1,F4+1,"-"))</f>
        <v>-</v>
      </c>
      <c r="H4" s="590" t="str">
        <f ca="1">IF(WEEKDAY($A$3,3)=2,$A$3,IF(WEEKDAY($A$3,3)&lt;2,G4+1,"-"))</f>
        <v>-</v>
      </c>
      <c r="I4" s="590" t="str">
        <f ca="1">IF(WEEKDAY($A$3,3)=3,$A$3,IF(WEEKDAY($A$3,3)&lt;3,H4+1,"-"))</f>
        <v>-</v>
      </c>
      <c r="J4" s="590">
        <f ca="1">IF(WEEKDAY($A$3,3)=4,$A$3,IF(WEEKDAY($A$3,3)&lt;4,I4+1,"-"))</f>
        <v>41761</v>
      </c>
      <c r="K4" s="591">
        <f ca="1">IF(WEEKDAY($A$3,3)=5,$A$3,IF(WEEKDAY($A$3,3)&lt;5,J4+1,"-"))</f>
        <v>41762</v>
      </c>
      <c r="L4" s="591">
        <f ca="1">IF(WEEKDAY($A$3,3)=6,$A$3,IF(WEEKDAY($A$3,3)&lt;6,K4+1,"-"))</f>
        <v>41763</v>
      </c>
      <c r="M4" s="592">
        <f ca="1">L4+1</f>
        <v>41764</v>
      </c>
      <c r="N4" s="592">
        <f t="shared" ref="N4:AG4" ca="1" si="0">M4+1</f>
        <v>41765</v>
      </c>
      <c r="O4" s="592">
        <f t="shared" ca="1" si="0"/>
        <v>41766</v>
      </c>
      <c r="P4" s="592">
        <f t="shared" ca="1" si="0"/>
        <v>41767</v>
      </c>
      <c r="Q4" s="592">
        <f t="shared" ca="1" si="0"/>
        <v>41768</v>
      </c>
      <c r="R4" s="593">
        <f t="shared" ca="1" si="0"/>
        <v>41769</v>
      </c>
      <c r="S4" s="593">
        <f t="shared" ca="1" si="0"/>
        <v>41770</v>
      </c>
      <c r="T4" s="592">
        <f t="shared" ca="1" si="0"/>
        <v>41771</v>
      </c>
      <c r="U4" s="592">
        <f t="shared" ca="1" si="0"/>
        <v>41772</v>
      </c>
      <c r="V4" s="592">
        <f t="shared" ca="1" si="0"/>
        <v>41773</v>
      </c>
      <c r="W4" s="592">
        <f t="shared" ca="1" si="0"/>
        <v>41774</v>
      </c>
      <c r="X4" s="592">
        <f t="shared" ca="1" si="0"/>
        <v>41775</v>
      </c>
      <c r="Y4" s="593">
        <f t="shared" ca="1" si="0"/>
        <v>41776</v>
      </c>
      <c r="Z4" s="593">
        <f t="shared" ca="1" si="0"/>
        <v>41777</v>
      </c>
      <c r="AA4" s="592">
        <f t="shared" ca="1" si="0"/>
        <v>41778</v>
      </c>
      <c r="AB4" s="592">
        <f t="shared" ca="1" si="0"/>
        <v>41779</v>
      </c>
      <c r="AC4" s="592">
        <f t="shared" ca="1" si="0"/>
        <v>41780</v>
      </c>
      <c r="AD4" s="592">
        <f t="shared" ca="1" si="0"/>
        <v>41781</v>
      </c>
      <c r="AE4" s="592">
        <f t="shared" ca="1" si="0"/>
        <v>41782</v>
      </c>
      <c r="AF4" s="593">
        <f t="shared" ca="1" si="0"/>
        <v>41783</v>
      </c>
      <c r="AG4" s="593">
        <f t="shared" ca="1" si="0"/>
        <v>41784</v>
      </c>
      <c r="AH4" s="592">
        <f t="shared" ref="AH4:BI4" ca="1" si="1">AG4+1</f>
        <v>41785</v>
      </c>
      <c r="AI4" s="592">
        <f t="shared" ca="1" si="1"/>
        <v>41786</v>
      </c>
      <c r="AJ4" s="592">
        <f t="shared" ca="1" si="1"/>
        <v>41787</v>
      </c>
      <c r="AK4" s="592">
        <f t="shared" ca="1" si="1"/>
        <v>41788</v>
      </c>
      <c r="AL4" s="592">
        <f t="shared" ca="1" si="1"/>
        <v>41789</v>
      </c>
      <c r="AM4" s="593">
        <f t="shared" ca="1" si="1"/>
        <v>41790</v>
      </c>
      <c r="AN4" s="593">
        <f t="shared" ca="1" si="1"/>
        <v>41791</v>
      </c>
      <c r="AO4" s="592">
        <f t="shared" ca="1" si="1"/>
        <v>41792</v>
      </c>
      <c r="AP4" s="592">
        <f t="shared" ca="1" si="1"/>
        <v>41793</v>
      </c>
      <c r="AQ4" s="592">
        <f t="shared" ca="1" si="1"/>
        <v>41794</v>
      </c>
      <c r="AR4" s="592">
        <f t="shared" ca="1" si="1"/>
        <v>41795</v>
      </c>
      <c r="AS4" s="592">
        <f t="shared" ca="1" si="1"/>
        <v>41796</v>
      </c>
      <c r="AT4" s="593">
        <f t="shared" ca="1" si="1"/>
        <v>41797</v>
      </c>
      <c r="AU4" s="593">
        <f t="shared" ca="1" si="1"/>
        <v>41798</v>
      </c>
      <c r="AV4" s="592">
        <f t="shared" ca="1" si="1"/>
        <v>41799</v>
      </c>
      <c r="AW4" s="592">
        <f t="shared" ca="1" si="1"/>
        <v>41800</v>
      </c>
      <c r="AX4" s="592">
        <f t="shared" ca="1" si="1"/>
        <v>41801</v>
      </c>
      <c r="AY4" s="592">
        <f t="shared" ca="1" si="1"/>
        <v>41802</v>
      </c>
      <c r="AZ4" s="592">
        <f t="shared" ca="1" si="1"/>
        <v>41803</v>
      </c>
      <c r="BA4" s="593">
        <f t="shared" ca="1" si="1"/>
        <v>41804</v>
      </c>
      <c r="BB4" s="593">
        <f t="shared" ca="1" si="1"/>
        <v>41805</v>
      </c>
      <c r="BC4" s="592">
        <f t="shared" ca="1" si="1"/>
        <v>41806</v>
      </c>
      <c r="BD4" s="592">
        <f t="shared" ca="1" si="1"/>
        <v>41807</v>
      </c>
      <c r="BE4" s="592">
        <f t="shared" ca="1" si="1"/>
        <v>41808</v>
      </c>
      <c r="BF4" s="592">
        <f t="shared" ca="1" si="1"/>
        <v>41809</v>
      </c>
      <c r="BG4" s="592">
        <f t="shared" ca="1" si="1"/>
        <v>41810</v>
      </c>
      <c r="BH4" s="593">
        <f t="shared" ca="1" si="1"/>
        <v>41811</v>
      </c>
      <c r="BI4" s="593">
        <f t="shared" ca="1" si="1"/>
        <v>41812</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41276</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41276</v>
      </c>
      <c r="C8" s="607">
        <f>B8</f>
        <v>41276</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41276</v>
      </c>
      <c r="C9" s="607">
        <f>B9</f>
        <v>41276</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41276</v>
      </c>
      <c r="C11" s="607">
        <f>S.Planning.DraftWorkbooksEnd</f>
        <v>41276</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41276</v>
      </c>
      <c r="C12" s="607">
        <f>B12</f>
        <v>41276</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41276</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41276</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41624</v>
      </c>
      <c r="C19" s="607">
        <f>B19</f>
        <v>41624</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0</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41681</v>
      </c>
      <c r="C34" s="607">
        <f>B34</f>
        <v>41681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41681</v>
      </c>
      <c r="C35" s="607">
        <f>B35</f>
        <v>41681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41624</v>
      </c>
      <c r="C39" s="607">
        <f>B39</f>
        <v>41624</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41792</v>
      </c>
      <c r="C42" s="607">
        <f>B42</f>
        <v>41792</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41795</v>
      </c>
      <c r="C43" s="607">
        <f>B43</f>
        <v>41795</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41806</v>
      </c>
      <c r="C44" s="607">
        <f>S.Notice.CloseComment</f>
        <v>41841</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41781</v>
      </c>
      <c r="C45" s="607">
        <f>S.Notice.ADABriefing</f>
        <v>41781</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41782</v>
      </c>
      <c r="C47" s="607">
        <f>S.Notice.PreviewEnd</f>
        <v>41789</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41803</v>
      </c>
      <c r="C48" s="607">
        <f>S.Notice.InOregonBulletin</f>
        <v>41821</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41836</v>
      </c>
      <c r="C49" s="607">
        <f>S.Notice.LastHearingDate</f>
        <v>41836</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10" workbookViewId="0">
      <selection activeCell="C20" sqref="C20"/>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785</v>
      </c>
      <c r="C2" s="210" t="s">
        <v>784</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779</v>
      </c>
      <c r="D6" s="210" t="s">
        <v>781</v>
      </c>
      <c r="E6" s="570" t="s">
        <v>364</v>
      </c>
      <c r="F6" s="570" t="s">
        <v>496</v>
      </c>
      <c r="G6" s="570" t="s">
        <v>634</v>
      </c>
      <c r="H6" s="75"/>
      <c r="I6" s="75"/>
      <c r="J6" s="75"/>
      <c r="K6" s="75"/>
    </row>
    <row r="7" spans="1:22" ht="18.75">
      <c r="A7" s="75"/>
      <c r="B7" s="211" t="s">
        <v>384</v>
      </c>
      <c r="C7" s="570" t="s">
        <v>780</v>
      </c>
      <c r="D7" s="570" t="s">
        <v>782</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783</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779</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AQ Permitting Program Updates</v>
      </c>
      <c r="C2" s="1059"/>
      <c r="D2" s="1059"/>
      <c r="E2" s="1059"/>
      <c r="F2" s="75"/>
      <c r="G2" s="526">
        <f ca="1">TODAY()</f>
        <v>41761</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646</v>
      </c>
      <c r="C5" s="792" t="s">
        <v>569</v>
      </c>
      <c r="D5" s="792" t="s">
        <v>570</v>
      </c>
      <c r="E5" s="1057"/>
      <c r="F5" s="75"/>
      <c r="G5" s="778"/>
      <c r="H5" s="75"/>
      <c r="I5" s="75"/>
      <c r="J5" s="75"/>
      <c r="K5" s="75"/>
      <c r="L5" s="75"/>
      <c r="M5" s="75"/>
      <c r="N5" s="75"/>
      <c r="O5" s="75"/>
    </row>
    <row r="6" spans="1:15" ht="15" thickTop="1">
      <c r="A6" s="75"/>
      <c r="B6" s="451" t="str">
        <f>S.Hearing.1stCity</f>
        <v>Portland</v>
      </c>
      <c r="C6" s="788">
        <f>S.Hearing.1stDate</f>
        <v>41836</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Bend</v>
      </c>
      <c r="C7" s="789">
        <f>IF(S.Hearing.2ndInvolve="N","-blank -",S.Hearing.2ndDate)</f>
        <v>41836</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Medford</v>
      </c>
      <c r="C8" s="789">
        <f>IF(S.Hearing.3rdInvolve="N","-blank -",S.Hearing.3rdDate)</f>
        <v>41836</v>
      </c>
      <c r="D8" s="789" t="str">
        <f>IF(S.Hearing.3rdInvolve="N","-blank -",S.Hearing.3rdTime)</f>
        <v>6 p.m.</v>
      </c>
      <c r="E8" s="789" t="str">
        <f>IF(S.Hearing.3rdInvolve="N","-blank -","DEQ staff")</f>
        <v>DEQ staff</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41806</v>
      </c>
      <c r="D18" s="452"/>
      <c r="E18" s="75"/>
      <c r="F18" s="75"/>
      <c r="G18" s="499"/>
      <c r="H18" s="75"/>
      <c r="I18" s="75"/>
      <c r="J18" s="75"/>
      <c r="K18" s="75"/>
      <c r="L18" s="75"/>
      <c r="M18" s="75"/>
      <c r="N18" s="75"/>
      <c r="O18" s="75"/>
    </row>
    <row r="19" spans="1:15">
      <c r="A19" s="75"/>
      <c r="B19" s="451" t="str">
        <f>S.Notice.AD.PubID2</f>
        <v>NOTICE.AD2JournalOfCommerce</v>
      </c>
      <c r="C19" s="788">
        <f>S.Notice.AD.PubDate2</f>
        <v>41806</v>
      </c>
      <c r="D19" s="452"/>
      <c r="E19" s="75"/>
      <c r="F19" s="75"/>
      <c r="G19" s="499"/>
      <c r="H19" s="75"/>
      <c r="I19" s="75"/>
      <c r="J19" s="75"/>
      <c r="K19" s="75"/>
      <c r="L19" s="75"/>
      <c r="M19" s="75"/>
      <c r="N19" s="75"/>
      <c r="O19" s="75"/>
    </row>
    <row r="20" spans="1:15">
      <c r="A20" s="75"/>
      <c r="B20" s="451" t="str">
        <f>S.Notice.AD.PubID3</f>
        <v>NOTICE.AD3None</v>
      </c>
      <c r="C20" s="788">
        <f>S.Notice.AD.PubDate3</f>
        <v>41806</v>
      </c>
      <c r="D20" s="452"/>
      <c r="E20" s="75"/>
      <c r="F20" s="75"/>
      <c r="G20" s="499"/>
      <c r="H20" s="75"/>
      <c r="I20" s="75"/>
      <c r="J20" s="75"/>
      <c r="K20" s="75"/>
      <c r="L20" s="75"/>
      <c r="M20" s="75"/>
      <c r="N20" s="75"/>
      <c r="O20" s="75"/>
    </row>
    <row r="21" spans="1:15">
      <c r="A21" s="75"/>
      <c r="B21" s="451" t="str">
        <f>S.Notice.AD.PubID4</f>
        <v>NOTICE.AD4None</v>
      </c>
      <c r="C21" s="788">
        <f>S.Notice.AD.PubDate4</f>
        <v>41806</v>
      </c>
      <c r="D21" s="452"/>
      <c r="E21" s="75"/>
      <c r="F21" s="75"/>
      <c r="G21" s="499"/>
      <c r="H21" s="75"/>
      <c r="I21" s="75"/>
      <c r="J21" s="75"/>
      <c r="K21" s="75"/>
      <c r="L21" s="75"/>
      <c r="M21" s="75"/>
      <c r="N21" s="75"/>
      <c r="O21" s="75"/>
    </row>
    <row r="22" spans="1:15">
      <c r="A22" s="75"/>
      <c r="B22" s="451" t="str">
        <f>S.Notice.AD.PubID5</f>
        <v>NOTICE.AD5None</v>
      </c>
      <c r="C22" s="788">
        <f>S.Notice.AD.PubDate5</f>
        <v>41806</v>
      </c>
      <c r="D22" s="452"/>
      <c r="E22" s="75"/>
      <c r="F22" s="75"/>
      <c r="G22" s="499"/>
      <c r="H22" s="75"/>
      <c r="I22" s="75"/>
      <c r="J22" s="75"/>
      <c r="K22" s="75"/>
      <c r="L22" s="75"/>
      <c r="M22" s="75"/>
      <c r="N22" s="75"/>
      <c r="O22" s="75"/>
    </row>
    <row r="23" spans="1:15">
      <c r="A23" s="75"/>
      <c r="B23" s="451" t="str">
        <f>S.Notice.AD.PubID6</f>
        <v>NOTICE.AD6None</v>
      </c>
      <c r="C23" s="788">
        <f>S.Notice.AD.PubDate6</f>
        <v>41806</v>
      </c>
      <c r="D23" s="452"/>
      <c r="E23" s="75"/>
      <c r="F23" s="75"/>
      <c r="G23" s="499"/>
      <c r="H23" s="75"/>
      <c r="I23" s="75"/>
      <c r="J23" s="75"/>
      <c r="K23" s="75"/>
      <c r="L23" s="75"/>
      <c r="M23" s="75"/>
      <c r="N23" s="75"/>
      <c r="O23" s="75"/>
    </row>
    <row r="24" spans="1:15">
      <c r="A24" s="75"/>
      <c r="B24" s="451" t="str">
        <f>S.Notice.AD.PubID7</f>
        <v>NOTICE.AD7None</v>
      </c>
      <c r="C24" s="788">
        <f>S.Notice.AD.PubDate7</f>
        <v>41806</v>
      </c>
      <c r="D24" s="452"/>
      <c r="E24" s="75"/>
      <c r="F24" s="75"/>
      <c r="G24" s="499"/>
      <c r="H24" s="75"/>
      <c r="I24" s="75"/>
      <c r="J24" s="75"/>
      <c r="K24" s="75"/>
      <c r="L24" s="75"/>
      <c r="M24" s="75"/>
      <c r="N24" s="75"/>
      <c r="O24" s="75"/>
    </row>
    <row r="25" spans="1:15">
      <c r="A25" s="75"/>
      <c r="B25" s="451" t="str">
        <f>S.Notice.AD.PubID8</f>
        <v>NOTICE.AD8None</v>
      </c>
      <c r="C25" s="788">
        <f>S.Notice.AD.PubDate8</f>
        <v>41806</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AQ Permitting Program Updates</v>
      </c>
      <c r="B3" s="75"/>
      <c r="D3" s="610"/>
      <c r="E3" s="610"/>
      <c r="F3" s="610"/>
      <c r="G3" s="75"/>
      <c r="H3" s="75"/>
      <c r="I3" s="75"/>
      <c r="J3" s="75"/>
      <c r="K3" s="75"/>
      <c r="L3" s="75"/>
      <c r="M3" s="75"/>
      <c r="N3" s="75"/>
    </row>
    <row r="4" spans="1:14" ht="21" customHeight="1">
      <c r="A4" s="646" t="str">
        <f>"Code: "&amp;S.General.CodeName</f>
        <v>Code: AQPerm</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Leah Feldon,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Jill Inahara,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2" t="s">
        <v>519</v>
      </c>
      <c r="C20" s="1062"/>
      <c r="D20" s="1062"/>
      <c r="E20" s="1062"/>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41276</v>
      </c>
      <c r="B24" s="661" t="str">
        <f>"Rules Group Partner: "&amp;S.Staff.RG.Lead.Full.Name</f>
        <v>Rules Group Partner: Andrea Gartenbaum</v>
      </c>
      <c r="C24" s="661" t="s">
        <v>477</v>
      </c>
      <c r="D24" s="661" t="s">
        <v>476</v>
      </c>
      <c r="E24" s="661" t="str">
        <f>S.Staff.Program.Mgr.FullName</f>
        <v>Leah Feldon</v>
      </c>
      <c r="F24" s="679" t="s">
        <v>206</v>
      </c>
      <c r="G24" s="75"/>
      <c r="H24" s="647"/>
    </row>
    <row r="25" spans="1:14" s="631" customFormat="1" ht="51" customHeight="1">
      <c r="A25" s="665">
        <f>S.Planning.DraftWorkbooksEnd</f>
        <v>41276</v>
      </c>
      <c r="B25" s="662" t="str">
        <f>"Sponsoring Partner: "&amp;S.Staff.Program.Mgr.FullName</f>
        <v>Sponsoring Partner: Leah Feldon</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41276</v>
      </c>
      <c r="B26" s="643" t="str">
        <f>"Sponsoring Partner's Manager: "&amp;S.Staff.Assistant.DA.ShortName</f>
        <v>Sponsoring Partner's Manager: Uri</v>
      </c>
      <c r="C26" s="642" t="s">
        <v>425</v>
      </c>
      <c r="D26" s="642" t="s">
        <v>385</v>
      </c>
      <c r="E26" s="642" t="str">
        <f>S.Staff.Program.Mgr.FirstName&amp;" and "&amp;S.Staff.RG.Lead.FirstName</f>
        <v>Leah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Leah</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Leah</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Leah</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Leah</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Leah</v>
      </c>
      <c r="F42" s="625" t="s">
        <v>206</v>
      </c>
      <c r="G42" s="75"/>
      <c r="H42" s="75"/>
      <c r="I42" s="75"/>
      <c r="J42" s="75"/>
      <c r="K42" s="75"/>
      <c r="L42" s="75"/>
      <c r="M42" s="75"/>
      <c r="N42" s="75"/>
    </row>
    <row r="43" spans="1:14" s="23" customFormat="1" ht="30.75" customHeight="1">
      <c r="A43" s="673"/>
      <c r="B43" s="662" t="str">
        <f>"Sponsoring Partner: "&amp;S.Staff.Program.Mgr.FirstName</f>
        <v>Sponsoring Partner: Leah</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Leah</v>
      </c>
      <c r="F44" s="679" t="s">
        <v>206</v>
      </c>
      <c r="G44" s="75"/>
      <c r="H44" s="75"/>
      <c r="I44" s="75"/>
      <c r="J44" s="75"/>
      <c r="K44" s="75"/>
      <c r="L44" s="75"/>
      <c r="M44" s="75"/>
      <c r="N44" s="75"/>
    </row>
    <row r="45" spans="1:14" s="23" customFormat="1" ht="62.25" customHeight="1">
      <c r="A45" s="673"/>
      <c r="B45" s="662" t="str">
        <f>"Sponsoring Partner: "&amp;S.Staff.Program.Mgr.FirstName</f>
        <v>Sponsoring Partner: Leah</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41782</v>
      </c>
      <c r="B46" s="662" t="str">
        <f>"Sponsoring Partner: "&amp;S.Staff.Program.Mgr.FirstName</f>
        <v>Sponsoring Partner: Leah</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41789</v>
      </c>
      <c r="B47" s="643" t="str">
        <f>"Sponsoring Partner's Manager: "&amp;S.Staff.Assistant.DA.ShortName</f>
        <v>Sponsoring Partner's Manager: Uri</v>
      </c>
      <c r="C47" s="643" t="s">
        <v>501</v>
      </c>
      <c r="D47" s="643" t="s">
        <v>395</v>
      </c>
      <c r="E47" s="687" t="str">
        <f>S.Staff.Program.Mgr.FirstName</f>
        <v>Leah</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Leah</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Leah</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Leah</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Leah</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Leah</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Leah</v>
      </c>
      <c r="F66" s="679" t="s">
        <v>206</v>
      </c>
    </row>
    <row r="67" spans="1:7" s="631" customFormat="1" ht="27.75" customHeight="1">
      <c r="A67" s="643"/>
      <c r="B67" s="643" t="s">
        <v>407</v>
      </c>
      <c r="C67" s="643" t="s">
        <v>506</v>
      </c>
      <c r="D67" s="643" t="s">
        <v>504</v>
      </c>
      <c r="E67" s="643" t="str">
        <f>S.Staff.Program.Mgr.FirstName</f>
        <v>Leah</v>
      </c>
      <c r="F67" s="625" t="s">
        <v>206</v>
      </c>
    </row>
    <row r="68" spans="1:7" s="631" customFormat="1" ht="28.5">
      <c r="A68" s="684"/>
      <c r="B68" s="662" t="str">
        <f>"Sponsoring Partner: "&amp;S.Staff.Program.Mgr.FirstName</f>
        <v>Sponsoring Partner: Leah</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Leah</v>
      </c>
      <c r="F69" s="625" t="s">
        <v>206</v>
      </c>
    </row>
    <row r="70" spans="1:7" s="631" customFormat="1">
      <c r="A70" s="684"/>
      <c r="B70" s="662" t="str">
        <f>"Sponsoring Partner: "&amp;S.Staff.Program.Mgr.FirstName</f>
        <v>Sponsoring Partner: Leah</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Leah</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Leah</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3" t="s">
        <v>360</v>
      </c>
      <c r="B103" s="1063"/>
      <c r="C103" s="615"/>
      <c r="D103" s="615"/>
      <c r="E103" s="615"/>
      <c r="F103" s="75"/>
      <c r="G103" s="75"/>
      <c r="H103" s="75"/>
      <c r="I103" s="75"/>
      <c r="J103" s="75"/>
      <c r="K103" s="75"/>
      <c r="L103" s="75"/>
      <c r="M103" s="75"/>
      <c r="N103" s="75"/>
    </row>
    <row r="104" spans="1:14" s="23" customFormat="1" ht="20.25">
      <c r="A104" s="616"/>
      <c r="B104" s="75"/>
      <c r="C104" s="1064" t="str">
        <f>S.Staff.Program.Mgr.FullName&amp;", "&amp;S.Staff.Program.Mgr.Div&amp;": "&amp;S.Staff.Program.Mgr.SectionName&amp;"     DATE"</f>
        <v>Leah Feldon, OP: Air Quality Planning     DATE</v>
      </c>
      <c r="D104" s="1064"/>
      <c r="E104" s="1064"/>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3" t="s">
        <v>479</v>
      </c>
      <c r="B106" s="1063"/>
      <c r="C106" s="615"/>
      <c r="D106" s="615"/>
      <c r="E106" s="615"/>
      <c r="F106" s="75"/>
      <c r="G106" s="75"/>
      <c r="H106" s="75"/>
      <c r="I106" s="75"/>
      <c r="J106" s="75"/>
      <c r="K106" s="75"/>
      <c r="L106" s="75"/>
      <c r="M106" s="75"/>
      <c r="N106" s="75"/>
    </row>
    <row r="107" spans="1:14" s="23" customFormat="1" ht="30.75" customHeight="1">
      <c r="A107" s="75"/>
      <c r="B107" s="75"/>
      <c r="C107" s="1065" t="str">
        <f>S.Staff.RG.Lead.Full.Name&amp;", "&amp;S.Staff.RG.Lead.Div&amp;": "&amp;S.Staff.RG.Lead.SectionName&amp;"     DATE"</f>
        <v>Andrea Gartenbaum, OP: Agency Rules     DATE</v>
      </c>
      <c r="D107" s="1065"/>
      <c r="E107" s="1065"/>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F99D0B3F-F667-4E10-A083-57E5C7E6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2014-05-02T15:57:37Z</cp:lastPrinted>
  <dcterms:created xsi:type="dcterms:W3CDTF">2012-04-11T21:44:01Z</dcterms:created>
  <dcterms:modified xsi:type="dcterms:W3CDTF">2014-05-02T16:26:26Z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