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90" windowWidth="15570" windowHeight="7875"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'1ProjectRecord'!$C$2:$S$22</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H7" i="89"/>
  <c r="G1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8"/>
  <c r="H9"/>
  <c r="H10"/>
  <c r="G12"/>
  <c r="G13"/>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0"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U16" i="88"/>
  <c r="Q16" s="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S4" i="106" l="1"/>
  <c r="M4" s="1"/>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<sst xmlns="http://schemas.openxmlformats.org/spreadsheetml/2006/main" count="4470" uniqueCount="613">
  <si>
    <t xml:space="preserve"> </t>
  </si>
  <si>
    <t>Maggie Vandehey</t>
  </si>
  <si>
    <t>does not apply</t>
  </si>
  <si>
    <t>Post filing</t>
  </si>
  <si>
    <t xml:space="preserve">Public comment email box </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</si>
  <si>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</si>
  <si>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</si>
  <si>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</si>
  <si>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</si>
  <si>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</si>
  <si>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</si>
  <si>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</si>
  <si>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</si>
  <si>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</si>
  <si>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</si>
  <si>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</si>
  <si>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</si>
  <si>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</si>
  <si>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</si>
  <si>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</si>
  <si>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</si>
  <si>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</si>
  <si>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</si>
  <si>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</si>
  <si>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</si>
  <si>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</si>
  <si>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</si>
  <si>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</si>
  <si>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</si>
  <si>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</si>
  <si>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</si>
  <si>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</si>
  <si>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</si>
  <si>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</si>
  <si>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</si>
  <si>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</si>
  <si>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</si>
  <si>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</si>
  <si>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</si>
  <si>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</si>
  <si>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</si>
  <si>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</si>
  <si>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</si>
  <si>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</si>
  <si>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</si>
  <si>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</si>
  <si>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</si>
  <si>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</si>
  <si>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</si>
  <si>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</si>
  <si>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</si>
  <si>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</si>
  <si>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</si>
  <si>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</si>
  <si>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</si>
  <si>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</si>
  <si>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</si>
  <si>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</si>
  <si>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</si>
  <si>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</si>
  <si>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</si>
  <si>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</si>
  <si>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</si>
  <si>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</si>
  <si>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</si>
  <si>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</si>
  <si>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</si>
  <si>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</si>
  <si>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</si>
  <si>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</si>
  <si>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</si>
  <si>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</si>
  <si>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</si>
  <si>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</si>
  <si>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</si>
  <si>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</si>
  <si>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</si>
  <si>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</si>
  <si>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</si>
  <si>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</si>
  <si>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</si>
  <si>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</si>
  <si>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</si>
  <si>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</si>
  <si>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</si>
  <si>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</si>
  <si>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</si>
  <si>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</si>
  <si>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</si>
  <si>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</si>
  <si>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</si>
  <si>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</si>
  <si>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</si>
  <si>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</si>
  <si>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</si>
  <si>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</si>
  <si>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</si>
  <si>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</si>
  <si>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</si>
  <si>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</si>
  <si>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</si>
  <si>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</si>
  <si>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</si>
  <si>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</si>
  <si>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</si>
  <si>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</si>
  <si>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</si>
  <si>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</si>
  <si>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</si>
  <si>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</si>
  <si>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</si>
  <si>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</si>
  <si>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</si>
  <si>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</si>
  <si>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</si>
  <si>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</si>
  <si>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</si>
  <si>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</si>
  <si>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</si>
  <si>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</si>
  <si>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</si>
  <si>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</si>
  <si>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</si>
  <si>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</si>
  <si>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</si>
  <si>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</si>
  <si>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</si>
  <si>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</si>
  <si>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</si>
  <si>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</si>
  <si>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</si>
  <si>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</si>
  <si>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</si>
  <si>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</si>
  <si>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</si>
  <si>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</si>
  <si>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</si>
  <si>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</si>
  <si>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</si>
  <si>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</si>
  <si>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</si>
  <si>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</si>
  <si>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</si>
  <si>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</si>
  <si>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</si>
  <si>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</si>
  <si>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</si>
  <si>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</si>
  <si>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</si>
  <si>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</si>
  <si>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</si>
  <si>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Posting program page and required public notice documents to proposed rulemaking page.</t>
  </si>
  <si>
    <t>Post to adopted rules page and archive notices to Q-Net.</t>
  </si>
  <si>
    <t>Risks</t>
  </si>
  <si>
    <t>Low</t>
  </si>
  <si>
    <t xml:space="preserve">##### </t>
  </si>
  <si>
    <t>Shortened names</t>
  </si>
  <si>
    <t>Division</t>
  </si>
  <si>
    <t xml:space="preserve">Central rulemaking file, then offsite Archives </t>
  </si>
  <si>
    <t>Project number</t>
  </si>
  <si>
    <t>######</t>
  </si>
  <si>
    <t>Y</t>
  </si>
  <si>
    <t>N</t>
  </si>
  <si>
    <t>Work off plate</t>
  </si>
  <si>
    <t>SIP Coordinator</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</si>
  <si>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</si>
  <si>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</si>
  <si>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</si>
  <si>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</si>
  <si>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</si>
  <si>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</si>
  <si>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</si>
  <si>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</si>
  <si>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</si>
  <si>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</si>
  <si>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</si>
  <si>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</si>
  <si>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</si>
  <si>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</si>
  <si>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</si>
  <si>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</si>
  <si>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</si>
  <si>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</si>
  <si>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</si>
  <si>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</si>
  <si>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</si>
  <si>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</si>
  <si>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</si>
  <si>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</si>
  <si>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</si>
  <si>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</si>
  <si>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</si>
  <si>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</si>
  <si>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</si>
  <si>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</si>
  <si>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</si>
  <si>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</si>
  <si>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</si>
  <si>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</si>
  <si>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</si>
  <si>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</si>
  <si>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</si>
  <si>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</si>
  <si>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</si>
  <si>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</si>
  <si>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</si>
  <si>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</si>
  <si>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</si>
  <si>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</si>
  <si>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</si>
  <si>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</si>
  <si>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</si>
  <si>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</si>
  <si>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</si>
  <si>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</si>
  <si>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</si>
  <si>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</si>
  <si>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</si>
  <si>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</si>
  <si>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</si>
  <si>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</si>
  <si>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</si>
  <si>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</si>
  <si>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</si>
  <si>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</si>
  <si>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</si>
  <si>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</si>
  <si>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</si>
  <si>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</si>
  <si>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</si>
  <si>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</si>
  <si>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</si>
  <si>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</si>
  <si>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</si>
  <si>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</si>
  <si>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</si>
  <si>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</si>
  <si>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</si>
  <si>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</si>
  <si>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</si>
  <si>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</si>
  <si>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</si>
  <si>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</si>
  <si>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</si>
  <si>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</si>
  <si>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</si>
  <si>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</si>
  <si>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</si>
  <si>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</si>
  <si>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</si>
  <si>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</si>
  <si>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</si>
  <si>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</si>
  <si>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</si>
  <si>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</si>
  <si>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</si>
  <si>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</si>
  <si>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</si>
  <si>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</si>
  <si>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</si>
  <si>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</si>
  <si>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</si>
  <si>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</si>
  <si>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</si>
  <si>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</si>
  <si>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</si>
  <si>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</si>
  <si>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</si>
  <si>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</si>
  <si>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</si>
  <si>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</si>
  <si>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</si>
  <si>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</si>
  <si>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</si>
  <si>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</si>
  <si>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</si>
  <si>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</si>
  <si>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</si>
  <si>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</si>
  <si>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</si>
  <si>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</si>
  <si>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</si>
  <si>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</si>
  <si>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</si>
  <si>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</si>
  <si>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</si>
  <si>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</si>
  <si>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</si>
  <si>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</si>
  <si>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</si>
  <si>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</si>
  <si>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</si>
  <si>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</si>
  <si>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</si>
  <si>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</si>
  <si>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</si>
  <si>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</si>
  <si>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</si>
  <si>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</si>
  <si>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</si>
  <si>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</si>
  <si>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</si>
  <si>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</si>
  <si>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</si>
  <si>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</si>
  <si>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</si>
  <si>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</si>
  <si>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</si>
  <si>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</si>
  <si>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</si>
  <si>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</si>
  <si>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</si>
  <si>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</si>
  <si>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</si>
  <si>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</si>
  <si>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</si>
  <si>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</si>
  <si>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</si>
  <si>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</si>
  <si>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</si>
  <si>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</si>
  <si>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</si>
  <si>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</si>
  <si>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</si>
  <si>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</si>
  <si>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</si>
  <si>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</si>
  <si>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</si>
  <si>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</si>
  <si>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</si>
  <si>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</si>
  <si>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</si>
  <si>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</si>
  <si>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</si>
  <si>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</si>
  <si>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</si>
  <si>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</si>
  <si>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</si>
  <si>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</si>
  <si>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</si>
  <si>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</si>
  <si>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</si>
  <si>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</si>
  <si>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</si>
  <si>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</si>
  <si>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</si>
  <si>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</si>
  <si>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</si>
  <si>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</si>
  <si>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</si>
  <si>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</si>
  <si>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</si>
  <si>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</si>
  <si>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</si>
  <si>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</si>
  <si>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</si>
  <si>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</si>
  <si>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</si>
  <si>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</si>
  <si>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</si>
  <si>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</si>
  <si>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</si>
  <si>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</si>
  <si>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</si>
  <si>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</si>
  <si>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</si>
  <si>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</si>
  <si>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</si>
  <si>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</si>
  <si>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</si>
  <si>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</si>
  <si>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</si>
  <si>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</si>
  <si>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</si>
  <si>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</si>
  <si>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</si>
  <si>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</si>
  <si>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</si>
  <si>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</si>
  <si>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</si>
  <si>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</si>
  <si>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</si>
  <si>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</si>
  <si>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</si>
  <si>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</si>
  <si>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</si>
  <si>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</si>
  <si>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</si>
  <si>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</si>
  <si>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</si>
  <si>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</si>
  <si>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</si>
  <si>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</si>
  <si>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</si>
  <si>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</si>
  <si>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</si>
  <si>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</si>
  <si>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</si>
  <si>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</si>
  <si>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</si>
  <si>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</si>
  <si>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</si>
  <si>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</si>
  <si>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</si>
  <si>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</si>
  <si>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</si>
  <si>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</si>
  <si>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</si>
  <si>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</si>
  <si>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</si>
  <si>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</si>
  <si>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</si>
  <si>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</si>
  <si>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</si>
  <si>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</si>
  <si>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</si>
  <si>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</si>
  <si>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</si>
  <si>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</si>
  <si>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</si>
  <si>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</si>
  <si>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</si>
  <si>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</si>
  <si>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</si>
  <si>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</si>
  <si>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</si>
  <si>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</si>
  <si>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</si>
  <si>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</si>
  <si>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</si>
  <si>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</si>
  <si>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</si>
  <si>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</si>
  <si>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</si>
  <si>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</si>
  <si>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</si>
  <si>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</si>
  <si>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</si>
  <si>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</si>
  <si>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</si>
  <si>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</si>
  <si>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</si>
  <si>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</si>
  <si>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</si>
  <si>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</si>
  <si>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</si>
  <si>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</si>
  <si>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</si>
  <si>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</si>
  <si>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</si>
  <si>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</si>
  <si>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</si>
  <si>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</si>
  <si>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</si>
  <si>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</si>
  <si>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</si>
  <si>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</si>
  <si>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</si>
  <si>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</si>
  <si>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</si>
  <si>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</si>
  <si>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</si>
  <si>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</si>
  <si>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</si>
  <si>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</si>
  <si>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</si>
  <si>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</si>
  <si>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</si>
  <si>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</si>
  <si>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</si>
  <si>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</si>
  <si>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</si>
  <si>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</si>
  <si>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</si>
  <si>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</si>
  <si>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</si>
  <si>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</si>
  <si>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</si>
  <si>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</si>
  <si>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</si>
  <si>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</si>
  <si>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</si>
  <si>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</si>
  <si>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</si>
  <si>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</si>
  <si>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</si>
  <si>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</si>
  <si>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</si>
  <si>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</si>
  <si>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</si>
  <si>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</si>
  <si>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</si>
  <si>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</si>
  <si>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</si>
  <si>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</si>
  <si>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</si>
  <si>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</si>
  <si>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</si>
  <si>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</si>
  <si>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</si>
  <si>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</si>
  <si>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</si>
  <si>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</si>
  <si>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</si>
  <si>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</si>
  <si>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</si>
  <si>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</si>
  <si>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</si>
  <si>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</si>
  <si>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</si>
  <si>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</si>
  <si>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</si>
  <si>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</si>
  <si>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</si>
  <si>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</si>
  <si>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</si>
  <si>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</si>
  <si>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</si>
  <si>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</si>
  <si>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</si>
  <si>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</si>
  <si>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</si>
  <si>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</si>
  <si>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</si>
  <si>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</si>
  <si>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</si>
  <si>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</si>
  <si>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</si>
  <si>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</si>
  <si>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</si>
  <si>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</si>
  <si>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</si>
  <si>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</si>
  <si>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</si>
  <si>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</si>
  <si>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</si>
  <si>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</si>
  <si>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</si>
  <si>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</si>
  <si>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</si>
  <si>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</si>
  <si>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</si>
  <si>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</si>
  <si>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</si>
  <si>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</si>
  <si>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</si>
  <si>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</si>
  <si>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</si>
  <si>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</si>
  <si>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</si>
  <si>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</si>
  <si>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</si>
  <si>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</si>
  <si>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</si>
  <si>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</si>
  <si>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</si>
  <si>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</si>
  <si>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</si>
  <si>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</si>
  <si>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</si>
  <si>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</si>
  <si>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</si>
  <si>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</si>
  <si>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</si>
  <si>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</si>
  <si>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</si>
  <si>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</si>
  <si>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</si>
  <si>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</si>
  <si>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</si>
  <si>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</si>
  <si>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</si>
  <si>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</si>
  <si>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</si>
  <si>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</si>
  <si>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</si>
  <si>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</si>
  <si>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</si>
  <si>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</si>
  <si>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</si>
  <si>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</si>
  <si>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</si>
  <si>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</si>
  <si>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link</t>
  </si>
  <si>
    <t>Enter project descriptor</t>
  </si>
  <si>
    <t>Q-time for developing this plan</t>
  </si>
  <si>
    <t>Leadership Team</t>
  </si>
  <si>
    <r>
      <t xml:space="preserve">The lead manager is a contributing member on the team who:  
     Keeps the </t>
    </r>
    <r>
      <rPr>
        <sz val="10"/>
        <rFont val="Cambria"/>
        <family val="1"/>
        <scheme val="minor"/>
      </rPr>
      <t>lead administrator updted on rulemaking progress</t>
    </r>
    <r>
      <rPr>
        <sz val="10"/>
        <color theme="1"/>
        <rFont val="Cambria"/>
        <family val="1"/>
        <scheme val="minor"/>
      </rPr>
      <t xml:space="preserve"> and potential issues
     Stops/delays work product if the rough drafts are out of sync with current section or program priorities
     Participates in team work sessions as needed 
     Reviews/approves fee approvals, notice, rules and EQC staff report documents for program content
     Ensures Subject Expert has support needed  
   </t>
    </r>
  </si>
  <si>
    <t>Second Limited Maintenance Plans for Grants Pass CO and PM10</t>
  </si>
  <si>
    <t>LMPGP</t>
  </si>
  <si>
    <t>AQ</t>
  </si>
  <si>
    <t>LMP Grants Pass</t>
  </si>
  <si>
    <t>Aida's office</t>
  </si>
  <si>
    <t>Aida Biberic</t>
  </si>
  <si>
    <t>David Collier</t>
  </si>
  <si>
    <t>Uri Papish</t>
  </si>
  <si>
    <t>Andrea Gartenbaum</t>
  </si>
  <si>
    <t>Chris Swab</t>
  </si>
  <si>
    <t>Emissions Inventory - Technical Analysis</t>
  </si>
  <si>
    <t>Paul Garrahan</t>
  </si>
  <si>
    <t>Wayne Kauzlarich</t>
  </si>
  <si>
    <t>Claudia Davis</t>
  </si>
  <si>
    <t>Brandy Albertson, Wes Risher</t>
  </si>
  <si>
    <t>Technical Review</t>
  </si>
  <si>
    <t xml:space="preserve">Claudia Davis, Wayne Kauzlarich </t>
  </si>
  <si>
    <t xml:space="preserve">Review </t>
  </si>
  <si>
    <t>No longer resourced</t>
  </si>
  <si>
    <t>Brian White</t>
  </si>
  <si>
    <t>Michelle Thompson</t>
  </si>
  <si>
    <t>Lucy Edmondson</t>
  </si>
  <si>
    <t>Rouge Valley Council of Governments</t>
  </si>
  <si>
    <t>Dan Moore</t>
  </si>
  <si>
    <t xml:space="preserve">Project manager, reviews for technical and federal requirements for SIP </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</si>
</sst>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6">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mment-AaaaAaaa@deq.state.or.us" TargetMode="External"/><Relationship Id="rId7" Type="http://schemas.openxmlformats.org/officeDocument/2006/relationships/comments" Target="../comments2.xml"/><Relationship Id="rId2" Type="http://schemas.openxmlformats.org/officeDocument/2006/relationships/hyperlink" Target="file:///\\DEQ001\StandardBuild\Configuration\DEQApplications" TargetMode="External"/><Relationship Id="rId1" Type="http://schemas.openxmlformats.org/officeDocument/2006/relationships/hyperlink" Target="mailto:Comment-AaaaAaaa@dep.state.or.u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10</v>
      </c>
      <c r="B3" s="14"/>
      <c r="C3" s="10"/>
      <c r="D3" s="10"/>
      <c r="E3" s="10"/>
    </row>
    <row r="4" spans="1:6">
      <c r="A4" s="15" t="s">
        <v>69</v>
      </c>
      <c r="B4" s="13" t="s">
        <v>23</v>
      </c>
      <c r="C4" s="10" t="s">
        <v>0</v>
      </c>
      <c r="D4" s="10"/>
      <c r="E4" s="10"/>
    </row>
    <row r="5" spans="1:6">
      <c r="A5" s="20" t="s">
        <v>2</v>
      </c>
      <c r="B5" s="21">
        <v>0</v>
      </c>
      <c r="C5" s="10"/>
      <c r="D5" s="10"/>
      <c r="E5" s="10"/>
    </row>
    <row r="6" spans="1:6">
      <c r="A6" s="20" t="s">
        <v>18</v>
      </c>
      <c r="B6" s="21">
        <v>2</v>
      </c>
      <c r="C6" s="10"/>
      <c r="D6" s="10"/>
      <c r="E6" s="10"/>
    </row>
    <row r="7" spans="1:6">
      <c r="A7" s="20" t="s">
        <v>19</v>
      </c>
      <c r="B7" s="21">
        <v>4</v>
      </c>
      <c r="C7" s="10"/>
      <c r="D7" s="10"/>
      <c r="E7" s="10"/>
    </row>
    <row r="8" spans="1:6">
      <c r="A8" s="20" t="s">
        <v>20</v>
      </c>
      <c r="B8" s="21">
        <v>6</v>
      </c>
      <c r="C8" s="10"/>
      <c r="D8" s="10"/>
      <c r="E8" s="10"/>
    </row>
    <row r="9" spans="1:6">
      <c r="A9" s="20" t="s">
        <v>21</v>
      </c>
      <c r="B9" s="21">
        <v>8</v>
      </c>
      <c r="C9" s="10"/>
      <c r="D9" s="10"/>
      <c r="E9" s="10"/>
    </row>
    <row r="10" spans="1:6">
      <c r="A10" s="20" t="s">
        <v>22</v>
      </c>
      <c r="B10" s="21">
        <v>10</v>
      </c>
      <c r="C10" s="10"/>
      <c r="D10" s="10"/>
      <c r="E10" s="10"/>
    </row>
    <row r="11" spans="1:6">
      <c r="A11" s="18" t="s">
        <v>11</v>
      </c>
      <c r="B11" s="19"/>
      <c r="C11" s="10"/>
      <c r="D11" s="10"/>
      <c r="E11" s="10"/>
    </row>
    <row r="12" spans="1:6">
      <c r="A12" s="14"/>
      <c r="B12" s="14"/>
      <c r="C12" s="10"/>
      <c r="D12" s="10"/>
      <c r="E12" s="10"/>
    </row>
    <row r="13" spans="1:6">
      <c r="A13" s="14"/>
      <c r="B13" s="14" t="s">
        <v>311</v>
      </c>
      <c r="C13" s="10"/>
      <c r="D13" s="10"/>
      <c r="E13" s="10"/>
      <c r="F13" s="526"/>
    </row>
    <row r="14" spans="1:6">
      <c r="A14" s="15" t="s">
        <v>70</v>
      </c>
      <c r="B14" s="164" t="s">
        <v>71</v>
      </c>
      <c r="C14" s="164" t="s">
        <v>24</v>
      </c>
      <c r="D14" s="164" t="s">
        <v>25</v>
      </c>
      <c r="E14" s="10"/>
      <c r="F14" s="526"/>
    </row>
    <row r="15" spans="1:6">
      <c r="A15" s="20" t="s">
        <v>217</v>
      </c>
      <c r="B15" s="21">
        <v>0</v>
      </c>
      <c r="C15" s="21">
        <v>0</v>
      </c>
      <c r="D15" s="21">
        <v>0</v>
      </c>
      <c r="E15" s="10"/>
      <c r="F15" s="526"/>
    </row>
    <row r="16" spans="1:6">
      <c r="A16" s="20" t="s">
        <v>219</v>
      </c>
      <c r="B16" s="21">
        <v>1</v>
      </c>
      <c r="C16" s="21">
        <v>1</v>
      </c>
      <c r="D16" s="21">
        <v>8</v>
      </c>
      <c r="E16" s="10"/>
      <c r="F16" s="526"/>
    </row>
    <row r="17" spans="1:6">
      <c r="A17" s="20" t="s">
        <v>220</v>
      </c>
      <c r="B17" s="21">
        <v>2</v>
      </c>
      <c r="C17" s="21">
        <v>8</v>
      </c>
      <c r="D17" s="21">
        <v>40</v>
      </c>
      <c r="E17" s="10"/>
      <c r="F17" s="526"/>
    </row>
    <row r="18" spans="1:6">
      <c r="A18" s="20" t="s">
        <v>221</v>
      </c>
      <c r="B18" s="21">
        <v>3</v>
      </c>
      <c r="C18" s="21">
        <v>40</v>
      </c>
      <c r="D18" s="21">
        <v>80</v>
      </c>
      <c r="E18" s="10"/>
      <c r="F18" s="526"/>
    </row>
    <row r="19" spans="1:6">
      <c r="A19" s="20" t="s">
        <v>222</v>
      </c>
      <c r="B19" s="21">
        <v>4</v>
      </c>
      <c r="C19" s="21">
        <v>80</v>
      </c>
      <c r="D19" s="21">
        <v>170</v>
      </c>
      <c r="E19" s="10"/>
      <c r="F19" s="526"/>
    </row>
    <row r="20" spans="1:6">
      <c r="A20" s="20" t="s">
        <v>223</v>
      </c>
      <c r="B20" s="21">
        <v>5</v>
      </c>
      <c r="C20" s="21">
        <v>170</v>
      </c>
      <c r="D20" s="21">
        <v>340</v>
      </c>
      <c r="E20" s="10"/>
      <c r="F20" s="526"/>
    </row>
    <row r="21" spans="1:6">
      <c r="A21" s="20" t="s">
        <v>224</v>
      </c>
      <c r="B21" s="21">
        <v>6</v>
      </c>
      <c r="C21" s="21">
        <v>340</v>
      </c>
      <c r="D21" s="21">
        <v>680</v>
      </c>
      <c r="E21" s="10"/>
      <c r="F21" s="526">
        <v>25</v>
      </c>
    </row>
    <row r="22" spans="1:6">
      <c r="A22" s="20" t="s">
        <v>225</v>
      </c>
      <c r="B22" s="21">
        <v>7</v>
      </c>
      <c r="C22" s="21">
        <v>680</v>
      </c>
      <c r="D22" s="21">
        <v>1020</v>
      </c>
      <c r="E22" s="10"/>
      <c r="F22" s="527">
        <v>0.5</v>
      </c>
    </row>
    <row r="23" spans="1:6">
      <c r="A23" s="20" t="s">
        <v>226</v>
      </c>
      <c r="B23" s="21">
        <v>8</v>
      </c>
      <c r="C23" s="21">
        <v>1020</v>
      </c>
      <c r="D23" s="21">
        <v>1360</v>
      </c>
      <c r="E23" s="10"/>
      <c r="F23" s="526"/>
    </row>
    <row r="24" spans="1:6">
      <c r="A24" s="20" t="s">
        <v>218</v>
      </c>
      <c r="B24" s="21">
        <v>9</v>
      </c>
      <c r="C24" s="21">
        <v>1360</v>
      </c>
      <c r="D24" s="21">
        <v>2080</v>
      </c>
      <c r="E24" s="10"/>
      <c r="F24" s="526"/>
    </row>
    <row r="25" spans="1:6">
      <c r="A25" s="20" t="s">
        <v>227</v>
      </c>
      <c r="B25" s="21">
        <v>10</v>
      </c>
      <c r="C25" s="21">
        <v>2080</v>
      </c>
      <c r="D25" s="213" t="s">
        <v>86</v>
      </c>
      <c r="E25" s="10"/>
      <c r="F25" s="526"/>
    </row>
    <row r="26" spans="1:6">
      <c r="A26" s="18" t="s">
        <v>11</v>
      </c>
      <c r="B26" s="19"/>
      <c r="C26" s="10"/>
      <c r="D26" s="10"/>
      <c r="E26" s="10"/>
      <c r="F26" s="526"/>
    </row>
    <row r="27" spans="1:6">
      <c r="A27" s="14"/>
      <c r="B27" s="14"/>
      <c r="C27" s="10"/>
      <c r="D27" s="10"/>
      <c r="E27" s="10"/>
    </row>
    <row r="28" spans="1:6">
      <c r="A28" s="14"/>
      <c r="B28" s="14"/>
      <c r="C28" s="10"/>
      <c r="D28" s="10"/>
      <c r="E28" s="10"/>
    </row>
    <row r="29" spans="1:6">
      <c r="A29" s="15" t="s">
        <v>72</v>
      </c>
      <c r="B29" s="51"/>
      <c r="C29" s="10" t="s">
        <v>0</v>
      </c>
      <c r="D29" s="10"/>
      <c r="E29" s="10"/>
    </row>
    <row r="30" spans="1:6">
      <c r="A30" s="20" t="s">
        <v>0</v>
      </c>
      <c r="B30" s="51"/>
      <c r="C30" s="10"/>
      <c r="D30" s="10"/>
      <c r="E30" s="10"/>
    </row>
    <row r="31" spans="1:6">
      <c r="A31" s="20" t="s">
        <v>12</v>
      </c>
      <c r="B31" s="51"/>
      <c r="C31" s="10"/>
      <c r="D31" s="10"/>
      <c r="E31" s="10"/>
    </row>
    <row r="32" spans="1:6">
      <c r="A32" s="20" t="s">
        <v>13</v>
      </c>
      <c r="B32" s="51"/>
      <c r="C32" s="10"/>
      <c r="D32" s="10"/>
      <c r="E32" s="10"/>
    </row>
    <row r="33" spans="1:5">
      <c r="A33" s="20" t="s">
        <v>540</v>
      </c>
      <c r="B33" s="51"/>
      <c r="C33" s="51"/>
      <c r="D33" s="51"/>
      <c r="E33" s="51"/>
    </row>
    <row r="34" spans="1:5">
      <c r="A34" s="20" t="s">
        <v>541</v>
      </c>
      <c r="B34" s="51"/>
      <c r="C34" s="51"/>
      <c r="D34" s="51"/>
      <c r="E34" s="51"/>
    </row>
    <row r="35" spans="1:5">
      <c r="A35" s="20" t="s">
        <v>14</v>
      </c>
      <c r="B35" s="51"/>
      <c r="C35" s="10"/>
      <c r="D35" s="10"/>
      <c r="E35" s="10"/>
    </row>
    <row r="36" spans="1:5">
      <c r="A36" s="18" t="s">
        <v>11</v>
      </c>
      <c r="B36" s="19"/>
      <c r="C36" s="10"/>
      <c r="D36" s="10"/>
      <c r="E36" s="10"/>
    </row>
    <row r="37" spans="1:5">
      <c r="A37" s="14"/>
      <c r="B37" s="14"/>
      <c r="C37" s="10"/>
      <c r="D37" s="10"/>
      <c r="E37" s="10"/>
    </row>
    <row r="38" spans="1:5">
      <c r="A38" s="14"/>
      <c r="B38" s="14"/>
      <c r="C38" s="51"/>
      <c r="D38" s="51"/>
      <c r="E38" s="51"/>
    </row>
    <row r="39" spans="1:5">
      <c r="A39" s="15" t="s">
        <v>192</v>
      </c>
      <c r="B39" s="51"/>
      <c r="C39" s="51" t="s">
        <v>0</v>
      </c>
      <c r="D39" s="51"/>
      <c r="E39" s="51"/>
    </row>
    <row r="40" spans="1:5">
      <c r="A40" s="20" t="s">
        <v>50</v>
      </c>
      <c r="B40" s="51"/>
      <c r="C40" s="51"/>
      <c r="D40" s="51"/>
      <c r="E40" s="51"/>
    </row>
    <row r="41" spans="1:5">
      <c r="A41" s="20" t="s">
        <v>49</v>
      </c>
      <c r="B41" s="51"/>
      <c r="C41" s="51"/>
      <c r="D41" s="51"/>
      <c r="E41" s="51"/>
    </row>
    <row r="42" spans="1:5">
      <c r="A42" s="18" t="s">
        <v>11</v>
      </c>
      <c r="B42" s="19"/>
      <c r="C42" s="51"/>
      <c r="D42" s="51"/>
      <c r="E42" s="51"/>
    </row>
    <row r="43" spans="1:5">
      <c r="A43" s="14"/>
      <c r="B43" s="14"/>
      <c r="C43" s="51"/>
      <c r="D43" s="51"/>
      <c r="E43" s="51"/>
    </row>
    <row r="44" spans="1:5">
      <c r="A44" s="14"/>
      <c r="B44" s="14"/>
      <c r="C44" s="51"/>
      <c r="D44" s="51"/>
      <c r="E44" s="51"/>
    </row>
    <row r="45" spans="1:5">
      <c r="A45" s="15" t="s">
        <v>193</v>
      </c>
      <c r="B45" s="50"/>
      <c r="C45" s="50"/>
      <c r="D45" s="50"/>
      <c r="E45" s="50"/>
    </row>
    <row r="46" spans="1:5">
      <c r="A46" s="522" t="s">
        <v>244</v>
      </c>
      <c r="B46" s="50"/>
      <c r="C46" s="50"/>
      <c r="D46" s="50"/>
      <c r="E46" s="50"/>
    </row>
    <row r="47" spans="1:5">
      <c r="A47" s="522" t="s">
        <v>195</v>
      </c>
      <c r="B47" s="50"/>
      <c r="C47" s="50"/>
      <c r="D47" s="50"/>
      <c r="E47" s="50"/>
    </row>
    <row r="48" spans="1:5">
      <c r="A48" s="522" t="s">
        <v>245</v>
      </c>
      <c r="B48" s="50"/>
      <c r="C48" s="50"/>
      <c r="D48" s="50"/>
      <c r="E48" s="50"/>
    </row>
    <row r="49" spans="1:5">
      <c r="A49" s="522" t="s">
        <v>246</v>
      </c>
      <c r="B49" s="50"/>
      <c r="C49" s="50"/>
      <c r="D49" s="50"/>
      <c r="E49" s="50"/>
    </row>
    <row r="50" spans="1:5">
      <c r="A50" s="522" t="s">
        <v>247</v>
      </c>
      <c r="B50" s="50"/>
      <c r="C50" s="50"/>
      <c r="D50" s="50"/>
      <c r="E50" s="50"/>
    </row>
    <row r="51" spans="1:5">
      <c r="A51" s="522" t="s">
        <v>248</v>
      </c>
      <c r="B51" s="50"/>
      <c r="C51" s="50"/>
      <c r="D51" s="50"/>
      <c r="E51" s="50"/>
    </row>
    <row r="52" spans="1:5">
      <c r="A52" s="522" t="s">
        <v>249</v>
      </c>
      <c r="B52" s="50"/>
      <c r="C52" s="50"/>
      <c r="D52" s="50"/>
      <c r="E52" s="50"/>
    </row>
    <row r="53" spans="1:5">
      <c r="A53" s="522" t="s">
        <v>250</v>
      </c>
      <c r="B53" s="50"/>
      <c r="C53" s="50"/>
      <c r="D53" s="50"/>
      <c r="E53" s="50"/>
    </row>
    <row r="54" spans="1:5">
      <c r="A54" s="522" t="s">
        <v>251</v>
      </c>
      <c r="B54" s="50"/>
      <c r="C54" s="50"/>
      <c r="D54" s="50"/>
      <c r="E54" s="50"/>
    </row>
    <row r="55" spans="1:5">
      <c r="A55" s="522" t="s">
        <v>252</v>
      </c>
      <c r="B55" s="50"/>
      <c r="C55" s="50"/>
      <c r="D55" s="50"/>
      <c r="E55" s="50"/>
    </row>
    <row r="56" spans="1:5">
      <c r="A56" s="522" t="s">
        <v>253</v>
      </c>
      <c r="B56" s="50"/>
      <c r="C56" s="50"/>
      <c r="D56" s="50"/>
      <c r="E56" s="50"/>
    </row>
    <row r="57" spans="1:5">
      <c r="A57" s="522" t="s">
        <v>254</v>
      </c>
      <c r="B57" s="50"/>
      <c r="C57" s="50"/>
      <c r="D57" s="50"/>
      <c r="E57" s="50"/>
    </row>
    <row r="58" spans="1:5">
      <c r="A58" s="522" t="s">
        <v>255</v>
      </c>
      <c r="B58" s="50"/>
      <c r="C58" s="50"/>
      <c r="D58" s="50"/>
      <c r="E58" s="50"/>
    </row>
    <row r="59" spans="1:5" customFormat="1">
      <c r="A59" s="522" t="s">
        <v>177</v>
      </c>
      <c r="B59" s="50"/>
      <c r="C59" s="50"/>
      <c r="D59" s="50"/>
      <c r="E59" s="50"/>
    </row>
    <row r="60" spans="1:5">
      <c r="A60" s="18" t="s">
        <v>11</v>
      </c>
      <c r="B60" s="19"/>
      <c r="C60" s="51"/>
      <c r="D60" s="51"/>
      <c r="E60" s="51"/>
    </row>
    <row r="61" spans="1:5">
      <c r="A61" s="14"/>
      <c r="B61" s="14"/>
      <c r="C61" s="51"/>
      <c r="D61" s="51"/>
      <c r="E61" s="51"/>
    </row>
    <row r="62" spans="1:5">
      <c r="A62" s="15" t="s">
        <v>214</v>
      </c>
      <c r="B62" s="51"/>
      <c r="C62" s="51" t="s">
        <v>0</v>
      </c>
      <c r="D62" s="51"/>
      <c r="E62" s="51"/>
    </row>
    <row r="63" spans="1:5">
      <c r="A63" s="20" t="s">
        <v>161</v>
      </c>
      <c r="B63" s="51"/>
      <c r="C63" s="51"/>
      <c r="D63" s="51"/>
      <c r="E63" s="51"/>
    </row>
    <row r="64" spans="1:5">
      <c r="A64" s="20" t="s">
        <v>162</v>
      </c>
      <c r="B64" s="51"/>
      <c r="C64" s="51"/>
      <c r="D64" s="51"/>
      <c r="E64" s="51"/>
    </row>
    <row r="65" spans="1:5">
      <c r="A65" s="20" t="s">
        <v>215</v>
      </c>
      <c r="B65" s="51"/>
      <c r="C65" s="51"/>
      <c r="D65" s="51"/>
      <c r="E65" s="51"/>
    </row>
    <row r="66" spans="1:5">
      <c r="A66" s="20" t="s">
        <v>216</v>
      </c>
      <c r="B66" s="51"/>
      <c r="C66" s="51"/>
      <c r="D66" s="51"/>
      <c r="E66" s="51"/>
    </row>
    <row r="67" spans="1:5">
      <c r="A67" s="18" t="s">
        <v>11</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39" t="s">
        <v>307</v>
      </c>
      <c r="C1" s="739"/>
      <c r="D1" s="739"/>
      <c r="E1" s="739"/>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241</v>
      </c>
      <c r="B2" s="557" t="s">
        <v>257</v>
      </c>
      <c r="C2" s="557" t="s">
        <v>242</v>
      </c>
      <c r="D2" s="557" t="s">
        <v>243</v>
      </c>
      <c r="E2" s="557" t="s">
        <v>202</v>
      </c>
      <c r="F2" s="557" t="s">
        <v>201</v>
      </c>
      <c r="G2" s="556" t="s">
        <v>210</v>
      </c>
      <c r="H2" s="556" t="s">
        <v>310</v>
      </c>
      <c r="I2" s="558" t="s">
        <v>309</v>
      </c>
      <c r="J2" s="558" t="s">
        <v>308</v>
      </c>
      <c r="K2" s="556" t="s">
        <v>256</v>
      </c>
      <c r="L2" s="556" t="s">
        <v>163</v>
      </c>
      <c r="M2" s="558" t="s">
        <v>268</v>
      </c>
      <c r="N2" s="558" t="s">
        <v>269</v>
      </c>
      <c r="O2" s="535" t="s">
        <v>264</v>
      </c>
      <c r="P2" s="535" t="s">
        <v>265</v>
      </c>
      <c r="Q2" s="538" t="s">
        <v>266</v>
      </c>
      <c r="R2" s="538" t="s">
        <v>267</v>
      </c>
      <c r="S2" s="538" t="s">
        <v>270</v>
      </c>
      <c r="T2" s="538" t="s">
        <v>271</v>
      </c>
      <c r="U2" s="538" t="s">
        <v>272</v>
      </c>
      <c r="V2" s="538" t="s">
        <v>273</v>
      </c>
      <c r="W2" s="538" t="s">
        <v>274</v>
      </c>
      <c r="X2" s="538" t="s">
        <v>275</v>
      </c>
      <c r="Y2" s="538" t="s">
        <v>276</v>
      </c>
      <c r="Z2" s="538" t="s">
        <v>277</v>
      </c>
      <c r="AA2" s="538" t="s">
        <v>278</v>
      </c>
      <c r="AB2" s="538" t="s">
        <v>279</v>
      </c>
      <c r="AC2" s="539" t="s">
        <v>280</v>
      </c>
      <c r="AD2" s="539" t="s">
        <v>281</v>
      </c>
      <c r="AE2" s="539" t="s">
        <v>282</v>
      </c>
      <c r="AF2" s="539" t="s">
        <v>283</v>
      </c>
      <c r="AG2" s="539" t="s">
        <v>284</v>
      </c>
      <c r="AH2" s="539" t="s">
        <v>285</v>
      </c>
      <c r="AI2" s="539" t="s">
        <v>286</v>
      </c>
      <c r="AJ2" s="539" t="s">
        <v>287</v>
      </c>
      <c r="AK2" s="539" t="s">
        <v>288</v>
      </c>
      <c r="AL2" s="539" t="s">
        <v>289</v>
      </c>
      <c r="AM2" s="539" t="s">
        <v>290</v>
      </c>
      <c r="AN2" s="539" t="s">
        <v>291</v>
      </c>
      <c r="AO2" s="536" t="s">
        <v>292</v>
      </c>
      <c r="AP2" s="536" t="s">
        <v>293</v>
      </c>
      <c r="AQ2" s="536" t="s">
        <v>294</v>
      </c>
      <c r="AR2" s="536" t="s">
        <v>295</v>
      </c>
      <c r="AS2" s="536" t="s">
        <v>296</v>
      </c>
      <c r="AT2" s="536" t="s">
        <v>297</v>
      </c>
      <c r="AU2" s="536" t="s">
        <v>298</v>
      </c>
      <c r="AV2" s="536" t="s">
        <v>299</v>
      </c>
      <c r="AW2" s="536" t="s">
        <v>300</v>
      </c>
      <c r="AX2" s="536" t="s">
        <v>301</v>
      </c>
      <c r="AY2" s="536" t="s">
        <v>302</v>
      </c>
      <c r="AZ2" s="536" t="s">
        <v>303</v>
      </c>
      <c r="BA2" s="537" t="s">
        <v>304</v>
      </c>
      <c r="BB2" s="537" t="s">
        <v>305</v>
      </c>
      <c r="BC2" s="537" t="s">
        <v>306</v>
      </c>
    </row>
    <row r="3" spans="1:55">
      <c r="A3" s="530" t="str">
        <f t="shared" ref="A3:A34" si="0">R.1Division</f>
        <v>AQ</v>
      </c>
      <c r="B3" s="49" t="str">
        <f t="shared" ref="B3:B34" si="1">R.1CodeName</f>
        <v>LMPGP</v>
      </c>
      <c r="C3" s="49" t="s">
        <v>244</v>
      </c>
      <c r="D3" s="531" t="s">
        <v>194</v>
      </c>
      <c r="E3" s="49" t="s">
        <v>50</v>
      </c>
      <c r="F3" s="532" t="str">
        <f>R.3SEname</f>
        <v>Aida Biberic</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216</v>
      </c>
      <c r="N3" s="546" t="s">
        <v>216</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LMPGP</v>
      </c>
      <c r="C4" s="49" t="s">
        <v>244</v>
      </c>
      <c r="D4" s="531" t="s">
        <v>115</v>
      </c>
      <c r="E4" s="49" t="s">
        <v>50</v>
      </c>
      <c r="F4" s="532" t="str">
        <f>R.3LMname</f>
        <v>David Collier</v>
      </c>
      <c r="G4" s="542">
        <f>R.3LMHrs</f>
        <v>2</v>
      </c>
      <c r="H4" s="543">
        <f>Table3[[#This Row],[Hrs Rank]]</f>
        <v>2</v>
      </c>
      <c r="I4" s="533">
        <f t="shared" si="2"/>
        <v>8</v>
      </c>
      <c r="J4" s="533">
        <f t="shared" si="3"/>
        <v>40</v>
      </c>
      <c r="K4" s="545"/>
      <c r="L4" s="545"/>
      <c r="M4" s="546" t="s">
        <v>216</v>
      </c>
      <c r="N4" s="546" t="s">
        <v>216</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LMPGP</v>
      </c>
      <c r="C5" s="49" t="s">
        <v>244</v>
      </c>
      <c r="D5" s="531" t="s">
        <v>116</v>
      </c>
      <c r="E5" s="49" t="s">
        <v>50</v>
      </c>
      <c r="F5" s="532" t="str">
        <f>R.3LAname</f>
        <v>Uri Papish</v>
      </c>
      <c r="G5" s="542">
        <f>R.3LAHrs</f>
        <v>1</v>
      </c>
      <c r="H5" s="543">
        <f>Table3[[#This Row],[Hrs Rank]]</f>
        <v>1</v>
      </c>
      <c r="I5" s="533">
        <f t="shared" si="2"/>
        <v>1</v>
      </c>
      <c r="J5" s="533">
        <f t="shared" si="3"/>
        <v>8</v>
      </c>
      <c r="K5" s="545"/>
      <c r="L5" s="545"/>
      <c r="M5" s="546" t="s">
        <v>216</v>
      </c>
      <c r="N5" s="546" t="s">
        <v>216</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LMPGP</v>
      </c>
      <c r="C6" s="49" t="s">
        <v>244</v>
      </c>
      <c r="D6" s="531" t="s">
        <v>196</v>
      </c>
      <c r="E6" s="49" t="s">
        <v>50</v>
      </c>
      <c r="F6" s="532" t="str">
        <f>R.3PEname</f>
        <v>Andrea Gartenbaum</v>
      </c>
      <c r="G6" s="542">
        <f>R.3PEHrs</f>
        <v>4</v>
      </c>
      <c r="H6" s="543">
        <f>Table3[[#This Row],[Hrs Rank]]</f>
        <v>4</v>
      </c>
      <c r="I6" s="533">
        <f t="shared" si="2"/>
        <v>80</v>
      </c>
      <c r="J6" s="533">
        <f t="shared" si="3"/>
        <v>170</v>
      </c>
      <c r="K6" s="545"/>
      <c r="L6" s="545"/>
      <c r="M6" s="546" t="s">
        <v>216</v>
      </c>
      <c r="N6" s="546" t="s">
        <v>216</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LMPGP</v>
      </c>
      <c r="C7" s="49" t="s">
        <v>244</v>
      </c>
      <c r="D7" s="531" t="s">
        <v>117</v>
      </c>
      <c r="E7" s="49" t="s">
        <v>50</v>
      </c>
      <c r="F7" s="532" t="str">
        <f>R.3PAname</f>
        <v>PA name</v>
      </c>
      <c r="G7" s="542">
        <f>R.3PAHrs</f>
        <v>0</v>
      </c>
      <c r="H7" s="543">
        <f>Table3[[#This Row],[Hrs Rank]]</f>
        <v>0</v>
      </c>
      <c r="I7" s="533">
        <f t="shared" si="2"/>
        <v>0</v>
      </c>
      <c r="J7" s="533">
        <f t="shared" si="3"/>
        <v>0</v>
      </c>
      <c r="K7" s="545"/>
      <c r="L7" s="545"/>
      <c r="M7" s="546" t="s">
        <v>216</v>
      </c>
      <c r="N7" s="546" t="s">
        <v>216</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LMPGP</v>
      </c>
      <c r="C8" s="49" t="s">
        <v>244</v>
      </c>
      <c r="D8" s="531" t="str">
        <f>R.3CustomRole1</f>
        <v>Custom Role 1</v>
      </c>
      <c r="E8" s="49" t="s">
        <v>50</v>
      </c>
      <c r="F8" s="532" t="str">
        <f>R.3CustomName1</f>
        <v>Chris Swab</v>
      </c>
      <c r="G8" s="542">
        <f>R.3CustomHrs1</f>
        <v>5</v>
      </c>
      <c r="H8" s="543">
        <f>Table3[[#This Row],[Hrs Rank]]</f>
        <v>5</v>
      </c>
      <c r="I8" s="533">
        <f t="shared" si="2"/>
        <v>170</v>
      </c>
      <c r="J8" s="533">
        <f t="shared" si="3"/>
        <v>340</v>
      </c>
      <c r="K8" s="545"/>
      <c r="L8" s="545"/>
      <c r="M8" s="546" t="s">
        <v>216</v>
      </c>
      <c r="N8" s="546" t="s">
        <v>216</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LMPGP</v>
      </c>
      <c r="C9" s="49" t="s">
        <v>244</v>
      </c>
      <c r="D9" s="531" t="str">
        <f>R.3CustomRole2</f>
        <v>Custom Role 2</v>
      </c>
      <c r="E9" s="49" t="s">
        <v>50</v>
      </c>
      <c r="F9" s="532" t="str">
        <f>R.3CustomName2</f>
        <v>Cr2 name</v>
      </c>
      <c r="G9" s="542">
        <f>R.3CustomHrs2</f>
        <v>0</v>
      </c>
      <c r="H9" s="543">
        <f>Table3[[#This Row],[Hrs Rank]]</f>
        <v>0</v>
      </c>
      <c r="I9" s="533">
        <f t="shared" si="2"/>
        <v>0</v>
      </c>
      <c r="J9" s="533">
        <f t="shared" si="3"/>
        <v>0</v>
      </c>
      <c r="K9" s="545"/>
      <c r="L9" s="545"/>
      <c r="M9" s="546" t="s">
        <v>216</v>
      </c>
      <c r="N9" s="546" t="s">
        <v>216</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LMPGP</v>
      </c>
      <c r="C10" s="49" t="s">
        <v>195</v>
      </c>
      <c r="D10" s="531" t="s">
        <v>199</v>
      </c>
      <c r="E10" s="49" t="s">
        <v>50</v>
      </c>
      <c r="F10" s="532" t="str">
        <f>R.4AGName</f>
        <v>Paul Garrahan</v>
      </c>
      <c r="G10" s="542">
        <f>R.4AGHrs</f>
        <v>1</v>
      </c>
      <c r="H10" s="543">
        <f>Table3[[#This Row],[Hrs Rank]]</f>
        <v>1</v>
      </c>
      <c r="I10" s="533">
        <f t="shared" si="2"/>
        <v>1</v>
      </c>
      <c r="J10" s="533">
        <f t="shared" si="3"/>
        <v>8</v>
      </c>
      <c r="K10" s="545"/>
      <c r="L10" s="545"/>
      <c r="M10" s="546" t="s">
        <v>216</v>
      </c>
      <c r="N10" s="546" t="s">
        <v>216</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LMPGP</v>
      </c>
      <c r="C11" s="49" t="s">
        <v>195</v>
      </c>
      <c r="D11" s="531" t="s">
        <v>118</v>
      </c>
      <c r="E11" s="49" t="s">
        <v>50</v>
      </c>
      <c r="F11" s="532" t="str">
        <f>R.4ARCName</f>
        <v>Maggie Vandehey</v>
      </c>
      <c r="G11" s="542">
        <f>R.4ARCHrs</f>
        <v>4</v>
      </c>
      <c r="H11" s="543">
        <f>Table3[[#This Row],[Hrs Rank]]</f>
        <v>4</v>
      </c>
      <c r="I11" s="533">
        <f t="shared" si="2"/>
        <v>80</v>
      </c>
      <c r="J11" s="533">
        <f t="shared" si="3"/>
        <v>170</v>
      </c>
      <c r="K11" s="545"/>
      <c r="L11" s="545"/>
      <c r="M11" s="546" t="s">
        <v>216</v>
      </c>
      <c r="N11" s="546" t="s">
        <v>216</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LMPGP</v>
      </c>
      <c r="C12" s="49" t="s">
        <v>195</v>
      </c>
      <c r="D12" s="531" t="s">
        <v>164</v>
      </c>
      <c r="E12" s="49" t="s">
        <v>50</v>
      </c>
      <c r="F12" s="532" t="str">
        <f>R.4SIPCoName</f>
        <v>Andrea Gartenbaum</v>
      </c>
      <c r="G12" s="542">
        <f>R.4ASIPCoHrs</f>
        <v>2</v>
      </c>
      <c r="H12" s="543">
        <f>Table3[[#This Row],[Hrs Rank]]</f>
        <v>2</v>
      </c>
      <c r="I12" s="533">
        <f t="shared" si="2"/>
        <v>8</v>
      </c>
      <c r="J12" s="533">
        <f t="shared" si="3"/>
        <v>40</v>
      </c>
      <c r="K12" s="545"/>
      <c r="L12" s="545"/>
      <c r="M12" s="546" t="s">
        <v>216</v>
      </c>
      <c r="N12" s="546" t="s">
        <v>216</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LMPGP</v>
      </c>
      <c r="C13" s="49" t="s">
        <v>195</v>
      </c>
      <c r="D13" s="531" t="str">
        <f>R.4CustomRole1</f>
        <v>Custom Role 1</v>
      </c>
      <c r="E13" s="49" t="s">
        <v>50</v>
      </c>
      <c r="F13" s="532" t="str">
        <f>R.4CustomRole2</f>
        <v>Custom Role 2</v>
      </c>
      <c r="G13" s="542">
        <f>R.4CustomHrs1</f>
        <v>0</v>
      </c>
      <c r="H13" s="543">
        <f>Table3[[#This Row],[Hrs Rank]]</f>
        <v>0</v>
      </c>
      <c r="I13" s="533">
        <f t="shared" si="2"/>
        <v>0</v>
      </c>
      <c r="J13" s="533">
        <f t="shared" si="3"/>
        <v>0</v>
      </c>
      <c r="K13" s="545"/>
      <c r="L13" s="545"/>
      <c r="M13" s="546" t="s">
        <v>216</v>
      </c>
      <c r="N13" s="546" t="s">
        <v>216</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LMPGP</v>
      </c>
      <c r="C14" s="49" t="s">
        <v>195</v>
      </c>
      <c r="D14" s="531" t="str">
        <f>R.4CustomRole2</f>
        <v>Custom Role 2</v>
      </c>
      <c r="E14" s="49" t="s">
        <v>50</v>
      </c>
      <c r="F14" s="532" t="str">
        <f>R.4CustomRole1</f>
        <v>Custom Role 1</v>
      </c>
      <c r="G14" s="542">
        <f>R.4CustomHrs2</f>
        <v>0</v>
      </c>
      <c r="H14" s="543">
        <f>Table3[[#This Row],[Hrs Rank]]</f>
        <v>0</v>
      </c>
      <c r="I14" s="533">
        <f t="shared" si="2"/>
        <v>0</v>
      </c>
      <c r="J14" s="533">
        <f t="shared" si="3"/>
        <v>0</v>
      </c>
      <c r="K14" s="545"/>
      <c r="L14" s="545"/>
      <c r="M14" s="546" t="s">
        <v>216</v>
      </c>
      <c r="N14" s="546" t="s">
        <v>216</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LMPGP</v>
      </c>
      <c r="C15" s="49" t="s">
        <v>245</v>
      </c>
      <c r="D15" s="531" t="s">
        <v>172</v>
      </c>
      <c r="E15" s="49" t="s">
        <v>50</v>
      </c>
      <c r="F15" s="532" t="str">
        <f>R.5EQCName1</f>
        <v>EQC - all members</v>
      </c>
      <c r="G15" s="542">
        <f>R.5EQCHrs1</f>
        <v>1</v>
      </c>
      <c r="H15" s="543">
        <f>Table3[[#This Row],[Hrs Rank]]</f>
        <v>1</v>
      </c>
      <c r="I15" s="533">
        <f t="shared" si="2"/>
        <v>1</v>
      </c>
      <c r="J15" s="533">
        <f t="shared" si="3"/>
        <v>8</v>
      </c>
      <c r="K15" s="545"/>
      <c r="L15" s="545"/>
      <c r="M15" s="546" t="s">
        <v>216</v>
      </c>
      <c r="N15" s="546" t="s">
        <v>216</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LMPGP</v>
      </c>
      <c r="C16" s="49" t="s">
        <v>245</v>
      </c>
      <c r="D16" s="531" t="s">
        <v>174</v>
      </c>
      <c r="E16" s="49" t="s">
        <v>50</v>
      </c>
      <c r="F16" s="532" t="str">
        <f>R.5EQCName2</f>
        <v>Bill Blosser</v>
      </c>
      <c r="G16" s="542">
        <f>R.5EQCHrs2</f>
        <v>1</v>
      </c>
      <c r="H16" s="543">
        <f>Table3[[#This Row],[Hrs Rank]]</f>
        <v>1</v>
      </c>
      <c r="I16" s="533">
        <f t="shared" si="2"/>
        <v>1</v>
      </c>
      <c r="J16" s="533">
        <f t="shared" si="3"/>
        <v>8</v>
      </c>
      <c r="K16" s="545"/>
      <c r="L16" s="545"/>
      <c r="M16" s="546" t="s">
        <v>216</v>
      </c>
      <c r="N16" s="546" t="s">
        <v>216</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LMPGP</v>
      </c>
      <c r="C17" s="49" t="s">
        <v>245</v>
      </c>
      <c r="D17" s="531" t="s">
        <v>175</v>
      </c>
      <c r="E17" s="49" t="s">
        <v>50</v>
      </c>
      <c r="F17" s="532" t="str">
        <f>R.5EQCName3</f>
        <v>Jane O'Keeffee</v>
      </c>
      <c r="G17" s="542">
        <f>R.5EQCHrs3</f>
        <v>1</v>
      </c>
      <c r="H17" s="543">
        <f>Table3[[#This Row],[Hrs Rank]]</f>
        <v>1</v>
      </c>
      <c r="I17" s="533">
        <f t="shared" si="2"/>
        <v>1</v>
      </c>
      <c r="J17" s="533">
        <f t="shared" si="3"/>
        <v>8</v>
      </c>
      <c r="K17" s="545"/>
      <c r="L17" s="545"/>
      <c r="M17" s="546" t="s">
        <v>216</v>
      </c>
      <c r="N17" s="546" t="s">
        <v>216</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LMPGP</v>
      </c>
      <c r="C18" s="49" t="s">
        <v>245</v>
      </c>
      <c r="D18" s="531" t="s">
        <v>181</v>
      </c>
      <c r="E18" s="49" t="s">
        <v>50</v>
      </c>
      <c r="F18" s="532" t="str">
        <f>R.5EQCName4</f>
        <v>Ed Armstrong</v>
      </c>
      <c r="G18" s="542">
        <f>R.5EQCHrs4</f>
        <v>1</v>
      </c>
      <c r="H18" s="543">
        <f>Table3[[#This Row],[Hrs Rank]]</f>
        <v>1</v>
      </c>
      <c r="I18" s="533">
        <f t="shared" si="2"/>
        <v>1</v>
      </c>
      <c r="J18" s="533">
        <f t="shared" si="3"/>
        <v>8</v>
      </c>
      <c r="K18" s="545"/>
      <c r="L18" s="545"/>
      <c r="M18" s="546" t="s">
        <v>216</v>
      </c>
      <c r="N18" s="546" t="s">
        <v>216</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LMPGP</v>
      </c>
      <c r="C19" s="49" t="s">
        <v>245</v>
      </c>
      <c r="D19" s="531" t="s">
        <v>181</v>
      </c>
      <c r="E19" s="49" t="s">
        <v>50</v>
      </c>
      <c r="F19" s="532" t="str">
        <f>R.5EQCName5</f>
        <v>Morgan Rider</v>
      </c>
      <c r="G19" s="542">
        <f>R.5EQCHrs5</f>
        <v>1</v>
      </c>
      <c r="H19" s="543">
        <f>Table3[[#This Row],[Hrs Rank]]</f>
        <v>1</v>
      </c>
      <c r="I19" s="533">
        <f t="shared" si="2"/>
        <v>1</v>
      </c>
      <c r="J19" s="533">
        <f t="shared" si="3"/>
        <v>8</v>
      </c>
      <c r="K19" s="545"/>
      <c r="L19" s="545"/>
      <c r="M19" s="546" t="s">
        <v>216</v>
      </c>
      <c r="N19" s="546" t="s">
        <v>216</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LMPGP</v>
      </c>
      <c r="C20" s="49" t="s">
        <v>245</v>
      </c>
      <c r="D20" s="531" t="s">
        <v>181</v>
      </c>
      <c r="E20" s="49" t="s">
        <v>50</v>
      </c>
      <c r="F20" s="532" t="str">
        <f>R.5EQCName6</f>
        <v>Pending appointment</v>
      </c>
      <c r="G20" s="542">
        <f>R.5EQCHrs6</f>
        <v>0</v>
      </c>
      <c r="H20" s="543">
        <f>Table3[[#This Row],[Hrs Rank]]</f>
        <v>0</v>
      </c>
      <c r="I20" s="533">
        <f t="shared" si="2"/>
        <v>0</v>
      </c>
      <c r="J20" s="533">
        <f t="shared" si="3"/>
        <v>0</v>
      </c>
      <c r="K20" s="545"/>
      <c r="L20" s="545"/>
      <c r="M20" s="546" t="s">
        <v>216</v>
      </c>
      <c r="N20" s="546" t="s">
        <v>216</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LMPGP</v>
      </c>
      <c r="C21" s="49" t="s">
        <v>245</v>
      </c>
      <c r="D21" s="534" t="s">
        <v>258</v>
      </c>
      <c r="E21" s="49" t="s">
        <v>50</v>
      </c>
      <c r="F21" s="534" t="str">
        <f>R.5InterestedStaffNameA</f>
        <v>Wayne Kauzlarich</v>
      </c>
      <c r="G21" s="542">
        <f>R.5InterestedStaffHrsA</f>
        <v>1</v>
      </c>
      <c r="H21" s="543">
        <f>Table3[[#This Row],[Hrs Rank]]</f>
        <v>1</v>
      </c>
      <c r="I21" s="533">
        <f t="shared" si="2"/>
        <v>1</v>
      </c>
      <c r="J21" s="533">
        <f t="shared" si="3"/>
        <v>8</v>
      </c>
      <c r="K21" s="545"/>
      <c r="L21" s="545"/>
      <c r="M21" s="546" t="s">
        <v>216</v>
      </c>
      <c r="N21" s="546" t="s">
        <v>216</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LMPGP</v>
      </c>
      <c r="C22" s="49" t="s">
        <v>245</v>
      </c>
      <c r="D22" s="534" t="s">
        <v>258</v>
      </c>
      <c r="E22" s="49" t="s">
        <v>50</v>
      </c>
      <c r="F22" s="534" t="str">
        <f>R.5InterestedStaffNameB</f>
        <v>Claudia Davis</v>
      </c>
      <c r="G22" s="542">
        <f>R.5InterestedStaffHrsB</f>
        <v>1</v>
      </c>
      <c r="H22" s="543">
        <f>Table3[[#This Row],[Hrs Rank]]</f>
        <v>1</v>
      </c>
      <c r="I22" s="533">
        <f t="shared" si="2"/>
        <v>1</v>
      </c>
      <c r="J22" s="533">
        <f t="shared" si="3"/>
        <v>8</v>
      </c>
      <c r="K22" s="545"/>
      <c r="L22" s="545"/>
      <c r="M22" s="546" t="s">
        <v>216</v>
      </c>
      <c r="N22" s="546" t="s">
        <v>216</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LMPGP</v>
      </c>
      <c r="C23" s="49" t="s">
        <v>245</v>
      </c>
      <c r="D23" s="534" t="s">
        <v>258</v>
      </c>
      <c r="E23" s="49" t="s">
        <v>50</v>
      </c>
      <c r="F23" s="534" t="str">
        <f>R.5InterestedStaffNameC</f>
        <v xml:space="preserve"> </v>
      </c>
      <c r="G23" s="542">
        <f>R.5InterestedStaffHrsC</f>
        <v>0</v>
      </c>
      <c r="H23" s="543">
        <f>Table3[[#This Row],[Hrs Rank]]</f>
        <v>0</v>
      </c>
      <c r="I23" s="533">
        <f t="shared" si="2"/>
        <v>0</v>
      </c>
      <c r="J23" s="533">
        <f t="shared" si="3"/>
        <v>0</v>
      </c>
      <c r="K23" s="545"/>
      <c r="L23" s="545"/>
      <c r="M23" s="546" t="s">
        <v>216</v>
      </c>
      <c r="N23" s="546" t="s">
        <v>216</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LMPGP</v>
      </c>
      <c r="C24" s="49" t="s">
        <v>245</v>
      </c>
      <c r="D24" s="534" t="s">
        <v>258</v>
      </c>
      <c r="E24" s="49" t="s">
        <v>50</v>
      </c>
      <c r="F24" s="534" t="str">
        <f>R.5InterestedStaffNameD</f>
        <v xml:space="preserve"> </v>
      </c>
      <c r="G24" s="542">
        <f>R.5InterestedStaffHrsD</f>
        <v>0</v>
      </c>
      <c r="H24" s="543">
        <f>Table3[[#This Row],[Hrs Rank]]</f>
        <v>0</v>
      </c>
      <c r="I24" s="533">
        <f t="shared" si="2"/>
        <v>0</v>
      </c>
      <c r="J24" s="533">
        <f t="shared" si="3"/>
        <v>0</v>
      </c>
      <c r="K24" s="545"/>
      <c r="L24" s="545"/>
      <c r="M24" s="546" t="s">
        <v>216</v>
      </c>
      <c r="N24" s="546" t="s">
        <v>216</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LMPGP</v>
      </c>
      <c r="C25" s="49" t="s">
        <v>246</v>
      </c>
      <c r="D25" s="531" t="s">
        <v>121</v>
      </c>
      <c r="E25" s="49" t="s">
        <v>50</v>
      </c>
      <c r="F25" s="532">
        <f>R.6LQDevName1</f>
        <v>0</v>
      </c>
      <c r="G25" s="542">
        <f>R.6LQDevHrs1</f>
        <v>0</v>
      </c>
      <c r="H25" s="543">
        <f>Table3[[#This Row],[Hrs Rank]]</f>
        <v>0</v>
      </c>
      <c r="I25" s="533">
        <f t="shared" si="2"/>
        <v>0</v>
      </c>
      <c r="J25" s="533">
        <f t="shared" si="3"/>
        <v>0</v>
      </c>
      <c r="K25" s="545"/>
      <c r="L25" s="545"/>
      <c r="M25" s="546" t="s">
        <v>216</v>
      </c>
      <c r="N25" s="546" t="s">
        <v>216</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LMPGP</v>
      </c>
      <c r="C26" s="49" t="s">
        <v>246</v>
      </c>
      <c r="D26" s="531" t="s">
        <v>121</v>
      </c>
      <c r="E26" s="49" t="s">
        <v>50</v>
      </c>
      <c r="F26" s="532" t="str">
        <f>R.6LQDevName2</f>
        <v xml:space="preserve"> </v>
      </c>
      <c r="G26" s="542">
        <f>R.6LQDevHrs2</f>
        <v>0</v>
      </c>
      <c r="H26" s="543">
        <f>Table3[[#This Row],[Hrs Rank]]</f>
        <v>0</v>
      </c>
      <c r="I26" s="533">
        <f t="shared" si="2"/>
        <v>0</v>
      </c>
      <c r="J26" s="533">
        <f t="shared" si="3"/>
        <v>0</v>
      </c>
      <c r="K26" s="545"/>
      <c r="L26" s="545"/>
      <c r="M26" s="546" t="s">
        <v>216</v>
      </c>
      <c r="N26" s="546" t="s">
        <v>216</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LMPGP</v>
      </c>
      <c r="C27" s="49" t="s">
        <v>246</v>
      </c>
      <c r="D27" s="531" t="s">
        <v>121</v>
      </c>
      <c r="E27" s="49" t="s">
        <v>50</v>
      </c>
      <c r="F27" s="532" t="str">
        <f>R.6LQDevName3</f>
        <v xml:space="preserve"> </v>
      </c>
      <c r="G27" s="542">
        <f>R.6LQDevHrs3</f>
        <v>0</v>
      </c>
      <c r="H27" s="543">
        <f>Table3[[#This Row],[Hrs Rank]]</f>
        <v>0</v>
      </c>
      <c r="I27" s="533">
        <f t="shared" si="2"/>
        <v>0</v>
      </c>
      <c r="J27" s="533">
        <f t="shared" si="3"/>
        <v>0</v>
      </c>
      <c r="K27" s="545"/>
      <c r="L27" s="545"/>
      <c r="M27" s="546" t="s">
        <v>216</v>
      </c>
      <c r="N27" s="546" t="s">
        <v>216</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LMPGP</v>
      </c>
      <c r="C28" s="49" t="s">
        <v>246</v>
      </c>
      <c r="D28" s="531" t="s">
        <v>121</v>
      </c>
      <c r="E28" s="49" t="s">
        <v>50</v>
      </c>
      <c r="F28" s="532" t="str">
        <f>R.6LQDevName4</f>
        <v xml:space="preserve"> </v>
      </c>
      <c r="G28" s="542">
        <f>R.6LQDevHrs4</f>
        <v>0</v>
      </c>
      <c r="H28" s="543">
        <f>Table3[[#This Row],[Hrs Rank]]</f>
        <v>0</v>
      </c>
      <c r="I28" s="533">
        <f t="shared" si="2"/>
        <v>0</v>
      </c>
      <c r="J28" s="533">
        <f t="shared" si="3"/>
        <v>0</v>
      </c>
      <c r="K28" s="545"/>
      <c r="L28" s="545"/>
      <c r="M28" s="546" t="s">
        <v>216</v>
      </c>
      <c r="N28" s="546" t="s">
        <v>216</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LMPGP</v>
      </c>
      <c r="C29" s="49" t="s">
        <v>246</v>
      </c>
      <c r="D29" s="531" t="s">
        <v>121</v>
      </c>
      <c r="E29" s="49" t="s">
        <v>49</v>
      </c>
      <c r="F29" s="532" t="str">
        <f>R.6LQImpName1</f>
        <v xml:space="preserve"> </v>
      </c>
      <c r="G29" s="542">
        <f>R.6LQImpHrs1</f>
        <v>0</v>
      </c>
      <c r="H29" s="543">
        <f>Table3[[#This Row],[Hrs Rank]]</f>
        <v>0</v>
      </c>
      <c r="I29" s="533">
        <f t="shared" si="2"/>
        <v>0</v>
      </c>
      <c r="J29" s="533">
        <f t="shared" si="3"/>
        <v>0</v>
      </c>
      <c r="K29" s="545"/>
      <c r="L29" s="545"/>
      <c r="M29" s="546" t="s">
        <v>216</v>
      </c>
      <c r="N29" s="546" t="s">
        <v>216</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LMPGP</v>
      </c>
      <c r="C30" s="49" t="s">
        <v>246</v>
      </c>
      <c r="D30" s="531" t="s">
        <v>121</v>
      </c>
      <c r="E30" s="49" t="s">
        <v>49</v>
      </c>
      <c r="F30" s="532" t="str">
        <f>R.6LQImpName2</f>
        <v xml:space="preserve"> </v>
      </c>
      <c r="G30" s="542">
        <f>R.6LQImpHrs2</f>
        <v>0</v>
      </c>
      <c r="H30" s="543">
        <f>Table3[[#This Row],[Hrs Rank]]</f>
        <v>0</v>
      </c>
      <c r="I30" s="533">
        <f t="shared" si="2"/>
        <v>0</v>
      </c>
      <c r="J30" s="533">
        <f t="shared" si="3"/>
        <v>0</v>
      </c>
      <c r="K30" s="545"/>
      <c r="L30" s="545"/>
      <c r="M30" s="546" t="s">
        <v>216</v>
      </c>
      <c r="N30" s="546" t="s">
        <v>216</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LMPGP</v>
      </c>
      <c r="C31" s="49" t="s">
        <v>246</v>
      </c>
      <c r="D31" s="531" t="s">
        <v>121</v>
      </c>
      <c r="E31" s="49" t="s">
        <v>49</v>
      </c>
      <c r="F31" s="532" t="str">
        <f>R.6LQImpName3</f>
        <v xml:space="preserve"> </v>
      </c>
      <c r="G31" s="542">
        <f>R.6LQImpHrs3</f>
        <v>0</v>
      </c>
      <c r="H31" s="543">
        <f>Table3[[#This Row],[Hrs Rank]]</f>
        <v>0</v>
      </c>
      <c r="I31" s="533">
        <f t="shared" si="2"/>
        <v>0</v>
      </c>
      <c r="J31" s="533">
        <f t="shared" si="3"/>
        <v>0</v>
      </c>
      <c r="K31" s="545"/>
      <c r="L31" s="545"/>
      <c r="M31" s="546" t="s">
        <v>216</v>
      </c>
      <c r="N31" s="546" t="s">
        <v>216</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LMPGP</v>
      </c>
      <c r="C32" s="49" t="s">
        <v>246</v>
      </c>
      <c r="D32" s="531" t="s">
        <v>121</v>
      </c>
      <c r="E32" s="49" t="s">
        <v>49</v>
      </c>
      <c r="F32" s="532" t="str">
        <f>R.6LQImpName4</f>
        <v xml:space="preserve"> </v>
      </c>
      <c r="G32" s="542">
        <f>R.6LQImpHrs4</f>
        <v>0</v>
      </c>
      <c r="H32" s="543">
        <f>Table3[[#This Row],[Hrs Rank]]</f>
        <v>0</v>
      </c>
      <c r="I32" s="533">
        <f t="shared" si="2"/>
        <v>0</v>
      </c>
      <c r="J32" s="533">
        <f t="shared" si="3"/>
        <v>0</v>
      </c>
      <c r="K32" s="545"/>
      <c r="L32" s="545"/>
      <c r="M32" s="546" t="s">
        <v>216</v>
      </c>
      <c r="N32" s="546" t="s">
        <v>216</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LMPGP</v>
      </c>
      <c r="C33" s="49" t="s">
        <v>246</v>
      </c>
      <c r="D33" s="531" t="s">
        <v>122</v>
      </c>
      <c r="E33" s="49" t="s">
        <v>50</v>
      </c>
      <c r="F33" s="534">
        <f>R.6WQDevName1</f>
        <v>0</v>
      </c>
      <c r="G33" s="542">
        <f>R.6WQDevHrs1</f>
        <v>0</v>
      </c>
      <c r="H33" s="543">
        <f>Table3[[#This Row],[Hrs Rank]]</f>
        <v>0</v>
      </c>
      <c r="I33" s="533">
        <f t="shared" si="2"/>
        <v>0</v>
      </c>
      <c r="J33" s="533">
        <f t="shared" si="3"/>
        <v>0</v>
      </c>
      <c r="K33" s="545"/>
      <c r="L33" s="545"/>
      <c r="M33" s="546" t="s">
        <v>216</v>
      </c>
      <c r="N33" s="546" t="s">
        <v>216</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LMPGP</v>
      </c>
      <c r="C34" s="49" t="s">
        <v>246</v>
      </c>
      <c r="D34" s="531" t="s">
        <v>122</v>
      </c>
      <c r="E34" s="49" t="s">
        <v>50</v>
      </c>
      <c r="F34" s="534">
        <f>R.6WQDevName2</f>
        <v>0</v>
      </c>
      <c r="G34" s="542">
        <f>R.6WQDevHrs2</f>
        <v>0</v>
      </c>
      <c r="H34" s="543">
        <f>Table3[[#This Row],[Hrs Rank]]</f>
        <v>0</v>
      </c>
      <c r="I34" s="533">
        <f t="shared" si="2"/>
        <v>0</v>
      </c>
      <c r="J34" s="533">
        <f t="shared" si="3"/>
        <v>0</v>
      </c>
      <c r="K34" s="545"/>
      <c r="L34" s="545"/>
      <c r="M34" s="546" t="s">
        <v>216</v>
      </c>
      <c r="N34" s="546" t="s">
        <v>216</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LMPGP</v>
      </c>
      <c r="C35" s="49" t="s">
        <v>246</v>
      </c>
      <c r="D35" s="531" t="s">
        <v>122</v>
      </c>
      <c r="E35" s="49" t="s">
        <v>50</v>
      </c>
      <c r="F35" s="534">
        <f>R.6WQDevName3</f>
        <v>0</v>
      </c>
      <c r="G35" s="542">
        <f>R.6WQDevHrs3</f>
        <v>0</v>
      </c>
      <c r="H35" s="543">
        <f>Table3[[#This Row],[Hrs Rank]]</f>
        <v>0</v>
      </c>
      <c r="I35" s="533">
        <f t="shared" si="2"/>
        <v>0</v>
      </c>
      <c r="J35" s="533">
        <f t="shared" si="3"/>
        <v>0</v>
      </c>
      <c r="K35" s="545"/>
      <c r="L35" s="545"/>
      <c r="M35" s="546" t="s">
        <v>216</v>
      </c>
      <c r="N35" s="546" t="s">
        <v>216</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LMPGP</v>
      </c>
      <c r="C36" s="49" t="s">
        <v>246</v>
      </c>
      <c r="D36" s="531" t="s">
        <v>122</v>
      </c>
      <c r="E36" s="49" t="s">
        <v>50</v>
      </c>
      <c r="F36" s="534">
        <f>R.6WQDevName4</f>
        <v>0</v>
      </c>
      <c r="G36" s="542">
        <f>R.6WQDevHrs4</f>
        <v>0</v>
      </c>
      <c r="H36" s="543">
        <f>Table3[[#This Row],[Hrs Rank]]</f>
        <v>0</v>
      </c>
      <c r="I36" s="533">
        <f t="shared" si="2"/>
        <v>0</v>
      </c>
      <c r="J36" s="533">
        <f t="shared" si="3"/>
        <v>0</v>
      </c>
      <c r="K36" s="545"/>
      <c r="L36" s="545"/>
      <c r="M36" s="546" t="s">
        <v>216</v>
      </c>
      <c r="N36" s="546" t="s">
        <v>216</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LMPGP</v>
      </c>
      <c r="C37" s="49" t="s">
        <v>246</v>
      </c>
      <c r="D37" s="531" t="s">
        <v>122</v>
      </c>
      <c r="E37" s="49" t="s">
        <v>49</v>
      </c>
      <c r="F37" s="534" t="str">
        <f>R.6WQImpName1</f>
        <v xml:space="preserve"> </v>
      </c>
      <c r="G37" s="542">
        <f>R.6WQImpHrs1</f>
        <v>0</v>
      </c>
      <c r="H37" s="543">
        <f>Table3[[#This Row],[Hrs Rank]]</f>
        <v>0</v>
      </c>
      <c r="I37" s="533">
        <f t="shared" si="2"/>
        <v>0</v>
      </c>
      <c r="J37" s="533">
        <f t="shared" si="3"/>
        <v>0</v>
      </c>
      <c r="K37" s="545"/>
      <c r="L37" s="545"/>
      <c r="M37" s="546" t="s">
        <v>216</v>
      </c>
      <c r="N37" s="546" t="s">
        <v>216</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LMPGP</v>
      </c>
      <c r="C38" s="49" t="s">
        <v>246</v>
      </c>
      <c r="D38" s="531" t="s">
        <v>122</v>
      </c>
      <c r="E38" s="49" t="s">
        <v>49</v>
      </c>
      <c r="F38" s="534" t="str">
        <f>R.6WQImpName2</f>
        <v xml:space="preserve"> </v>
      </c>
      <c r="G38" s="542">
        <f>R.6WQImpHrs2</f>
        <v>0</v>
      </c>
      <c r="H38" s="543">
        <f>Table3[[#This Row],[Hrs Rank]]</f>
        <v>0</v>
      </c>
      <c r="I38" s="533">
        <f t="shared" si="2"/>
        <v>0</v>
      </c>
      <c r="J38" s="533">
        <f t="shared" si="3"/>
        <v>0</v>
      </c>
      <c r="K38" s="545"/>
      <c r="L38" s="545"/>
      <c r="M38" s="546" t="s">
        <v>216</v>
      </c>
      <c r="N38" s="546" t="s">
        <v>216</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LMPGP</v>
      </c>
      <c r="C39" s="49" t="s">
        <v>246</v>
      </c>
      <c r="D39" s="531" t="s">
        <v>122</v>
      </c>
      <c r="E39" s="49" t="s">
        <v>49</v>
      </c>
      <c r="F39" s="534" t="str">
        <f>R.6WQImpName3</f>
        <v xml:space="preserve"> </v>
      </c>
      <c r="G39" s="542">
        <f>R.6WQImpHrs3</f>
        <v>0</v>
      </c>
      <c r="H39" s="543">
        <f>Table3[[#This Row],[Hrs Rank]]</f>
        <v>0</v>
      </c>
      <c r="I39" s="533">
        <f t="shared" si="2"/>
        <v>0</v>
      </c>
      <c r="J39" s="533">
        <f t="shared" si="3"/>
        <v>0</v>
      </c>
      <c r="K39" s="545"/>
      <c r="L39" s="545"/>
      <c r="M39" s="546" t="s">
        <v>216</v>
      </c>
      <c r="N39" s="546" t="s">
        <v>216</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LMPGP</v>
      </c>
      <c r="C40" s="49" t="s">
        <v>246</v>
      </c>
      <c r="D40" s="531" t="s">
        <v>122</v>
      </c>
      <c r="E40" s="49" t="s">
        <v>49</v>
      </c>
      <c r="F40" s="534" t="str">
        <f>R.6WQImpName4</f>
        <v xml:space="preserve"> </v>
      </c>
      <c r="G40" s="542">
        <f>R.6WQImpHrs4</f>
        <v>0</v>
      </c>
      <c r="H40" s="543">
        <f>Table3[[#This Row],[Hrs Rank]]</f>
        <v>0</v>
      </c>
      <c r="I40" s="533">
        <f t="shared" si="2"/>
        <v>0</v>
      </c>
      <c r="J40" s="533">
        <f t="shared" si="3"/>
        <v>0</v>
      </c>
      <c r="K40" s="545"/>
      <c r="L40" s="545"/>
      <c r="M40" s="546" t="s">
        <v>216</v>
      </c>
      <c r="N40" s="546" t="s">
        <v>216</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LMPGP</v>
      </c>
      <c r="C41" s="49" t="s">
        <v>246</v>
      </c>
      <c r="D41" s="531" t="s">
        <v>123</v>
      </c>
      <c r="E41" s="49" t="s">
        <v>50</v>
      </c>
      <c r="F41" s="534" t="str">
        <f>R.6AQDevName1</f>
        <v>Brandy Albertson, Wes Risher</v>
      </c>
      <c r="G41" s="542">
        <f>R.6AQDevHrs1</f>
        <v>2</v>
      </c>
      <c r="H41" s="543">
        <f>Table3[[#This Row],[Hrs Rank]]</f>
        <v>2</v>
      </c>
      <c r="I41" s="533">
        <f t="shared" si="2"/>
        <v>8</v>
      </c>
      <c r="J41" s="533">
        <f t="shared" si="3"/>
        <v>40</v>
      </c>
      <c r="K41" s="545"/>
      <c r="L41" s="545"/>
      <c r="M41" s="546" t="s">
        <v>216</v>
      </c>
      <c r="N41" s="546" t="s">
        <v>216</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LMPGP</v>
      </c>
      <c r="C42" s="49" t="s">
        <v>246</v>
      </c>
      <c r="D42" s="531" t="s">
        <v>123</v>
      </c>
      <c r="E42" s="49" t="s">
        <v>50</v>
      </c>
      <c r="F42" s="534" t="str">
        <f>R.6AQDevName2</f>
        <v xml:space="preserve"> </v>
      </c>
      <c r="G42" s="542">
        <f>R.6AQDevHrs2</f>
        <v>0</v>
      </c>
      <c r="H42" s="543">
        <f>Table3[[#This Row],[Hrs Rank]]</f>
        <v>0</v>
      </c>
      <c r="I42" s="533">
        <f t="shared" si="2"/>
        <v>0</v>
      </c>
      <c r="J42" s="533">
        <f t="shared" si="3"/>
        <v>0</v>
      </c>
      <c r="K42" s="545"/>
      <c r="L42" s="545"/>
      <c r="M42" s="546" t="s">
        <v>216</v>
      </c>
      <c r="N42" s="546" t="s">
        <v>216</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LMPGP</v>
      </c>
      <c r="C43" s="49" t="s">
        <v>246</v>
      </c>
      <c r="D43" s="531" t="s">
        <v>123</v>
      </c>
      <c r="E43" s="49" t="s">
        <v>50</v>
      </c>
      <c r="F43" s="534" t="str">
        <f>R.6AQDevName3</f>
        <v xml:space="preserve"> </v>
      </c>
      <c r="G43" s="542">
        <f>R.6AQDevHrs3</f>
        <v>0</v>
      </c>
      <c r="H43" s="543">
        <f>Table3[[#This Row],[Hrs Rank]]</f>
        <v>0</v>
      </c>
      <c r="I43" s="533">
        <f t="shared" si="2"/>
        <v>0</v>
      </c>
      <c r="J43" s="533">
        <f t="shared" si="3"/>
        <v>0</v>
      </c>
      <c r="K43" s="545"/>
      <c r="L43" s="545"/>
      <c r="M43" s="546" t="s">
        <v>216</v>
      </c>
      <c r="N43" s="546" t="s">
        <v>216</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LMPGP</v>
      </c>
      <c r="C44" s="49" t="s">
        <v>246</v>
      </c>
      <c r="D44" s="531" t="s">
        <v>123</v>
      </c>
      <c r="E44" s="49" t="s">
        <v>50</v>
      </c>
      <c r="F44" s="534">
        <f>R.6AQDevName4</f>
        <v>0</v>
      </c>
      <c r="G44" s="542">
        <f>R.6AQDevHrs4</f>
        <v>0</v>
      </c>
      <c r="H44" s="543">
        <f>Table3[[#This Row],[Hrs Rank]]</f>
        <v>0</v>
      </c>
      <c r="I44" s="533">
        <f t="shared" si="2"/>
        <v>0</v>
      </c>
      <c r="J44" s="533">
        <f t="shared" si="3"/>
        <v>0</v>
      </c>
      <c r="K44" s="545"/>
      <c r="L44" s="545"/>
      <c r="M44" s="546" t="s">
        <v>216</v>
      </c>
      <c r="N44" s="546" t="s">
        <v>216</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LMPGP</v>
      </c>
      <c r="C45" s="49" t="s">
        <v>246</v>
      </c>
      <c r="D45" s="531" t="s">
        <v>123</v>
      </c>
      <c r="E45" s="49" t="s">
        <v>49</v>
      </c>
      <c r="F45" s="534" t="str">
        <f>R.6AQImpName1</f>
        <v xml:space="preserve"> </v>
      </c>
      <c r="G45" s="542">
        <f>R.6AQImpHrs1</f>
        <v>0</v>
      </c>
      <c r="H45" s="543">
        <f>Table3[[#This Row],[Hrs Rank]]</f>
        <v>0</v>
      </c>
      <c r="I45" s="533">
        <f t="shared" si="2"/>
        <v>0</v>
      </c>
      <c r="J45" s="533">
        <f t="shared" si="3"/>
        <v>0</v>
      </c>
      <c r="K45" s="545"/>
      <c r="L45" s="545"/>
      <c r="M45" s="546" t="s">
        <v>216</v>
      </c>
      <c r="N45" s="546" t="s">
        <v>216</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LMPGP</v>
      </c>
      <c r="C46" s="49" t="s">
        <v>246</v>
      </c>
      <c r="D46" s="531" t="s">
        <v>123</v>
      </c>
      <c r="E46" s="49" t="s">
        <v>49</v>
      </c>
      <c r="F46" s="534" t="str">
        <f>R.6AQImpName2</f>
        <v xml:space="preserve"> </v>
      </c>
      <c r="G46" s="542">
        <f>R.6AQImpHrs2</f>
        <v>0</v>
      </c>
      <c r="H46" s="543">
        <f>Table3[[#This Row],[Hrs Rank]]</f>
        <v>0</v>
      </c>
      <c r="I46" s="533">
        <f t="shared" si="2"/>
        <v>0</v>
      </c>
      <c r="J46" s="533">
        <f t="shared" si="3"/>
        <v>0</v>
      </c>
      <c r="K46" s="545"/>
      <c r="L46" s="545"/>
      <c r="M46" s="546" t="s">
        <v>216</v>
      </c>
      <c r="N46" s="546" t="s">
        <v>216</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LMPGP</v>
      </c>
      <c r="C47" s="49" t="s">
        <v>246</v>
      </c>
      <c r="D47" s="531" t="s">
        <v>123</v>
      </c>
      <c r="E47" s="49" t="s">
        <v>49</v>
      </c>
      <c r="F47" s="534" t="str">
        <f>R.6AQImpName3</f>
        <v xml:space="preserve"> </v>
      </c>
      <c r="G47" s="542">
        <f>R.6AQImpHrs3</f>
        <v>0</v>
      </c>
      <c r="H47" s="543">
        <f>Table3[[#This Row],[Hrs Rank]]</f>
        <v>0</v>
      </c>
      <c r="I47" s="533">
        <f t="shared" si="2"/>
        <v>0</v>
      </c>
      <c r="J47" s="533">
        <f t="shared" si="3"/>
        <v>0</v>
      </c>
      <c r="K47" s="545"/>
      <c r="L47" s="545"/>
      <c r="M47" s="546" t="s">
        <v>216</v>
      </c>
      <c r="N47" s="546" t="s">
        <v>216</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LMPGP</v>
      </c>
      <c r="C48" s="49" t="s">
        <v>246</v>
      </c>
      <c r="D48" s="531" t="s">
        <v>123</v>
      </c>
      <c r="E48" s="49" t="s">
        <v>49</v>
      </c>
      <c r="F48" s="534" t="str">
        <f>R.6AQImpName4</f>
        <v xml:space="preserve"> </v>
      </c>
      <c r="G48" s="542">
        <f>R.6AQImpHrs4</f>
        <v>0</v>
      </c>
      <c r="H48" s="543">
        <f>Table3[[#This Row],[Hrs Rank]]</f>
        <v>0</v>
      </c>
      <c r="I48" s="533">
        <f t="shared" si="2"/>
        <v>0</v>
      </c>
      <c r="J48" s="533">
        <f t="shared" si="3"/>
        <v>0</v>
      </c>
      <c r="K48" s="545"/>
      <c r="L48" s="545"/>
      <c r="M48" s="546" t="s">
        <v>216</v>
      </c>
      <c r="N48" s="546" t="s">
        <v>216</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LMPGP</v>
      </c>
      <c r="C49" s="49" t="s">
        <v>246</v>
      </c>
      <c r="D49" s="531" t="s">
        <v>200</v>
      </c>
      <c r="E49" s="49" t="s">
        <v>50</v>
      </c>
      <c r="F49" s="534" t="str">
        <f>R.6MSDDevName1</f>
        <v xml:space="preserve"> </v>
      </c>
      <c r="G49" s="542">
        <f>R.6MSDDevHrs1</f>
        <v>0</v>
      </c>
      <c r="H49" s="543">
        <f>Table3[[#This Row],[Hrs Rank]]</f>
        <v>0</v>
      </c>
      <c r="I49" s="533">
        <f t="shared" si="2"/>
        <v>0</v>
      </c>
      <c r="J49" s="533">
        <f t="shared" si="3"/>
        <v>0</v>
      </c>
      <c r="K49" s="545"/>
      <c r="L49" s="545"/>
      <c r="M49" s="546" t="s">
        <v>216</v>
      </c>
      <c r="N49" s="546" t="s">
        <v>216</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LMPGP</v>
      </c>
      <c r="C50" s="49" t="s">
        <v>246</v>
      </c>
      <c r="D50" s="531" t="s">
        <v>200</v>
      </c>
      <c r="E50" s="49" t="s">
        <v>50</v>
      </c>
      <c r="F50" s="534" t="str">
        <f>R.6MSDDevName2</f>
        <v xml:space="preserve"> </v>
      </c>
      <c r="G50" s="542">
        <f>R.6MSDDevHrs2</f>
        <v>0</v>
      </c>
      <c r="H50" s="543">
        <f>Table3[[#This Row],[Hrs Rank]]</f>
        <v>0</v>
      </c>
      <c r="I50" s="533">
        <f t="shared" si="2"/>
        <v>0</v>
      </c>
      <c r="J50" s="533">
        <f t="shared" si="3"/>
        <v>0</v>
      </c>
      <c r="K50" s="545"/>
      <c r="L50" s="545"/>
      <c r="M50" s="546" t="s">
        <v>216</v>
      </c>
      <c r="N50" s="546" t="s">
        <v>216</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LMPGP</v>
      </c>
      <c r="C51" s="49" t="s">
        <v>246</v>
      </c>
      <c r="D51" s="531" t="s">
        <v>200</v>
      </c>
      <c r="E51" s="49" t="s">
        <v>50</v>
      </c>
      <c r="F51" s="534" t="str">
        <f>R.6MSDDevName3</f>
        <v xml:space="preserve"> </v>
      </c>
      <c r="G51" s="542">
        <f>R.6MSDDevHrs3</f>
        <v>0</v>
      </c>
      <c r="H51" s="543">
        <f>Table3[[#This Row],[Hrs Rank]]</f>
        <v>0</v>
      </c>
      <c r="I51" s="533">
        <f t="shared" si="2"/>
        <v>0</v>
      </c>
      <c r="J51" s="533">
        <f t="shared" si="3"/>
        <v>0</v>
      </c>
      <c r="K51" s="545"/>
      <c r="L51" s="545"/>
      <c r="M51" s="546" t="s">
        <v>216</v>
      </c>
      <c r="N51" s="546" t="s">
        <v>216</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LMPGP</v>
      </c>
      <c r="C52" s="49" t="s">
        <v>246</v>
      </c>
      <c r="D52" s="531" t="s">
        <v>200</v>
      </c>
      <c r="E52" s="49" t="s">
        <v>50</v>
      </c>
      <c r="F52" s="534" t="str">
        <f>R.6MSDDevName4</f>
        <v xml:space="preserve"> </v>
      </c>
      <c r="G52" s="542">
        <f>R.6MSDDevHrs4</f>
        <v>0</v>
      </c>
      <c r="H52" s="543">
        <f>Table3[[#This Row],[Hrs Rank]]</f>
        <v>0</v>
      </c>
      <c r="I52" s="533">
        <f t="shared" si="2"/>
        <v>0</v>
      </c>
      <c r="J52" s="533">
        <f t="shared" si="3"/>
        <v>0</v>
      </c>
      <c r="K52" s="545"/>
      <c r="L52" s="545"/>
      <c r="M52" s="546" t="s">
        <v>216</v>
      </c>
      <c r="N52" s="546" t="s">
        <v>216</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LMPGP</v>
      </c>
      <c r="C53" s="49" t="s">
        <v>246</v>
      </c>
      <c r="D53" s="531" t="s">
        <v>200</v>
      </c>
      <c r="E53" s="49" t="s">
        <v>49</v>
      </c>
      <c r="F53" s="534" t="str">
        <f>R.6MSDImpName1</f>
        <v xml:space="preserve"> </v>
      </c>
      <c r="G53" s="542">
        <f>R.6MSDImpHrs1</f>
        <v>0</v>
      </c>
      <c r="H53" s="543">
        <f>Table3[[#This Row],[Hrs Rank]]</f>
        <v>0</v>
      </c>
      <c r="I53" s="533">
        <f t="shared" si="2"/>
        <v>0</v>
      </c>
      <c r="J53" s="533">
        <f t="shared" si="3"/>
        <v>0</v>
      </c>
      <c r="K53" s="545"/>
      <c r="L53" s="545"/>
      <c r="M53" s="546" t="s">
        <v>216</v>
      </c>
      <c r="N53" s="546" t="s">
        <v>216</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LMPGP</v>
      </c>
      <c r="C54" s="49" t="s">
        <v>246</v>
      </c>
      <c r="D54" s="531" t="s">
        <v>200</v>
      </c>
      <c r="E54" s="49" t="s">
        <v>49</v>
      </c>
      <c r="F54" s="534" t="str">
        <f>R.6MSDImpName2</f>
        <v xml:space="preserve"> </v>
      </c>
      <c r="G54" s="542">
        <f>R.6MSDImpHrs2</f>
        <v>0</v>
      </c>
      <c r="H54" s="543">
        <f>Table3[[#This Row],[Hrs Rank]]</f>
        <v>0</v>
      </c>
      <c r="I54" s="533">
        <f t="shared" si="2"/>
        <v>0</v>
      </c>
      <c r="J54" s="533">
        <f t="shared" si="3"/>
        <v>0</v>
      </c>
      <c r="K54" s="545"/>
      <c r="L54" s="545"/>
      <c r="M54" s="546" t="s">
        <v>216</v>
      </c>
      <c r="N54" s="546" t="s">
        <v>216</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LMPGP</v>
      </c>
      <c r="C55" s="49" t="s">
        <v>246</v>
      </c>
      <c r="D55" s="531" t="s">
        <v>200</v>
      </c>
      <c r="E55" s="49" t="s">
        <v>49</v>
      </c>
      <c r="F55" s="534" t="str">
        <f>R.6MSDImpName3</f>
        <v xml:space="preserve"> </v>
      </c>
      <c r="G55" s="542">
        <f>R.6MSDImpHrs3</f>
        <v>0</v>
      </c>
      <c r="H55" s="543">
        <f>Table3[[#This Row],[Hrs Rank]]</f>
        <v>0</v>
      </c>
      <c r="I55" s="533">
        <f t="shared" si="2"/>
        <v>0</v>
      </c>
      <c r="J55" s="533">
        <f t="shared" si="3"/>
        <v>0</v>
      </c>
      <c r="K55" s="545"/>
      <c r="L55" s="545"/>
      <c r="M55" s="546" t="s">
        <v>216</v>
      </c>
      <c r="N55" s="546" t="s">
        <v>216</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LMPGP</v>
      </c>
      <c r="C56" s="49" t="s">
        <v>246</v>
      </c>
      <c r="D56" s="531" t="s">
        <v>200</v>
      </c>
      <c r="E56" s="49" t="s">
        <v>49</v>
      </c>
      <c r="F56" s="534" t="str">
        <f>R.6MSDImpName4</f>
        <v xml:space="preserve"> </v>
      </c>
      <c r="G56" s="542">
        <f>R.6MSDImpHrs4</f>
        <v>0</v>
      </c>
      <c r="H56" s="543">
        <f>Table3[[#This Row],[Hrs Rank]]</f>
        <v>0</v>
      </c>
      <c r="I56" s="533">
        <f t="shared" si="2"/>
        <v>0</v>
      </c>
      <c r="J56" s="533">
        <f t="shared" si="3"/>
        <v>0</v>
      </c>
      <c r="K56" s="545"/>
      <c r="L56" s="545"/>
      <c r="M56" s="546" t="s">
        <v>216</v>
      </c>
      <c r="N56" s="546" t="s">
        <v>216</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LMPGP</v>
      </c>
      <c r="C57" s="49" t="s">
        <v>247</v>
      </c>
      <c r="D57" s="531" t="s">
        <v>203</v>
      </c>
      <c r="E57" s="49" t="s">
        <v>50</v>
      </c>
      <c r="F57" s="534">
        <f>R.7EastDevName1</f>
        <v>0</v>
      </c>
      <c r="G57" s="542">
        <f>R.7EastDevHrs1</f>
        <v>0</v>
      </c>
      <c r="H57" s="543">
        <f>Table3[[#This Row],[Hrs Rank]]</f>
        <v>0</v>
      </c>
      <c r="I57" s="533">
        <f t="shared" si="2"/>
        <v>0</v>
      </c>
      <c r="J57" s="533">
        <f t="shared" si="3"/>
        <v>0</v>
      </c>
      <c r="K57" s="545"/>
      <c r="L57" s="545"/>
      <c r="M57" s="546" t="s">
        <v>216</v>
      </c>
      <c r="N57" s="546" t="s">
        <v>216</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LMPGP</v>
      </c>
      <c r="C58" s="49" t="s">
        <v>247</v>
      </c>
      <c r="D58" s="531" t="s">
        <v>203</v>
      </c>
      <c r="E58" s="49" t="s">
        <v>50</v>
      </c>
      <c r="F58" s="534" t="str">
        <f>R.7EastDevName2</f>
        <v xml:space="preserve"> </v>
      </c>
      <c r="G58" s="542">
        <f>R.7EastDevHrs2</f>
        <v>0</v>
      </c>
      <c r="H58" s="543">
        <f>Table3[[#This Row],[Hrs Rank]]</f>
        <v>0</v>
      </c>
      <c r="I58" s="533">
        <f t="shared" si="2"/>
        <v>0</v>
      </c>
      <c r="J58" s="533">
        <f t="shared" si="3"/>
        <v>0</v>
      </c>
      <c r="K58" s="545"/>
      <c r="L58" s="545"/>
      <c r="M58" s="546" t="s">
        <v>216</v>
      </c>
      <c r="N58" s="546" t="s">
        <v>216</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LMPGP</v>
      </c>
      <c r="C59" s="49" t="s">
        <v>247</v>
      </c>
      <c r="D59" s="531" t="s">
        <v>203</v>
      </c>
      <c r="E59" s="49" t="s">
        <v>50</v>
      </c>
      <c r="F59" s="534" t="str">
        <f>R.7EastDevName3</f>
        <v xml:space="preserve"> </v>
      </c>
      <c r="G59" s="542">
        <f>R.7EastDevHrs3</f>
        <v>0</v>
      </c>
      <c r="H59" s="543">
        <f>Table3[[#This Row],[Hrs Rank]]</f>
        <v>0</v>
      </c>
      <c r="I59" s="533">
        <f t="shared" si="2"/>
        <v>0</v>
      </c>
      <c r="J59" s="533">
        <f t="shared" si="3"/>
        <v>0</v>
      </c>
      <c r="K59" s="545"/>
      <c r="L59" s="545"/>
      <c r="M59" s="546" t="s">
        <v>216</v>
      </c>
      <c r="N59" s="546" t="s">
        <v>216</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LMPGP</v>
      </c>
      <c r="C60" s="49" t="s">
        <v>247</v>
      </c>
      <c r="D60" s="531" t="s">
        <v>203</v>
      </c>
      <c r="E60" s="49" t="s">
        <v>50</v>
      </c>
      <c r="F60" s="534">
        <f>R.7EastDevName4</f>
        <v>0</v>
      </c>
      <c r="G60" s="542">
        <f>R.7EastDevHrs4</f>
        <v>0</v>
      </c>
      <c r="H60" s="543">
        <f>Table3[[#This Row],[Hrs Rank]]</f>
        <v>0</v>
      </c>
      <c r="I60" s="533">
        <f t="shared" si="2"/>
        <v>0</v>
      </c>
      <c r="J60" s="533">
        <f t="shared" si="3"/>
        <v>0</v>
      </c>
      <c r="K60" s="545"/>
      <c r="L60" s="545"/>
      <c r="M60" s="546" t="s">
        <v>216</v>
      </c>
      <c r="N60" s="546" t="s">
        <v>216</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LMPGP</v>
      </c>
      <c r="C61" s="49" t="s">
        <v>247</v>
      </c>
      <c r="D61" s="531" t="s">
        <v>203</v>
      </c>
      <c r="E61" s="49" t="s">
        <v>49</v>
      </c>
      <c r="F61" s="534">
        <f>R.7EastImpName1</f>
        <v>0</v>
      </c>
      <c r="G61" s="542">
        <f>R.7EastImpHrs1</f>
        <v>0</v>
      </c>
      <c r="H61" s="543">
        <f>Table3[[#This Row],[Hrs Rank]]</f>
        <v>0</v>
      </c>
      <c r="I61" s="533">
        <f t="shared" si="2"/>
        <v>0</v>
      </c>
      <c r="J61" s="533">
        <f t="shared" si="3"/>
        <v>0</v>
      </c>
      <c r="K61" s="545"/>
      <c r="L61" s="545"/>
      <c r="M61" s="546" t="s">
        <v>216</v>
      </c>
      <c r="N61" s="546" t="s">
        <v>216</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LMPGP</v>
      </c>
      <c r="C62" s="49" t="s">
        <v>247</v>
      </c>
      <c r="D62" s="531" t="s">
        <v>203</v>
      </c>
      <c r="E62" s="49" t="s">
        <v>49</v>
      </c>
      <c r="F62" s="534">
        <f>R.7EastImpName2</f>
        <v>0</v>
      </c>
      <c r="G62" s="542">
        <f>R.7EastImpHrs2</f>
        <v>0</v>
      </c>
      <c r="H62" s="543">
        <f>Table3[[#This Row],[Hrs Rank]]</f>
        <v>0</v>
      </c>
      <c r="I62" s="533">
        <f t="shared" si="2"/>
        <v>0</v>
      </c>
      <c r="J62" s="533">
        <f t="shared" si="3"/>
        <v>0</v>
      </c>
      <c r="K62" s="545"/>
      <c r="L62" s="545"/>
      <c r="M62" s="546" t="s">
        <v>216</v>
      </c>
      <c r="N62" s="546" t="s">
        <v>216</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LMPGP</v>
      </c>
      <c r="C63" s="49" t="s">
        <v>247</v>
      </c>
      <c r="D63" s="531" t="s">
        <v>203</v>
      </c>
      <c r="E63" s="49" t="s">
        <v>49</v>
      </c>
      <c r="F63" s="534">
        <f>R.7EastImpName3</f>
        <v>0</v>
      </c>
      <c r="G63" s="542">
        <f>R.7EastImpHrs3</f>
        <v>0</v>
      </c>
      <c r="H63" s="543">
        <f>Table3[[#This Row],[Hrs Rank]]</f>
        <v>0</v>
      </c>
      <c r="I63" s="533">
        <f t="shared" si="2"/>
        <v>0</v>
      </c>
      <c r="J63" s="533">
        <f t="shared" si="3"/>
        <v>0</v>
      </c>
      <c r="K63" s="545"/>
      <c r="L63" s="545"/>
      <c r="M63" s="546" t="s">
        <v>216</v>
      </c>
      <c r="N63" s="546" t="s">
        <v>216</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LMPGP</v>
      </c>
      <c r="C64" s="49" t="s">
        <v>247</v>
      </c>
      <c r="D64" s="531" t="s">
        <v>203</v>
      </c>
      <c r="E64" s="49" t="s">
        <v>49</v>
      </c>
      <c r="F64" s="534">
        <f>R.7EastImpName4</f>
        <v>0</v>
      </c>
      <c r="G64" s="542">
        <f>R.7EastImpHrs4</f>
        <v>0</v>
      </c>
      <c r="H64" s="543">
        <f>Table3[[#This Row],[Hrs Rank]]</f>
        <v>0</v>
      </c>
      <c r="I64" s="533">
        <f t="shared" si="2"/>
        <v>0</v>
      </c>
      <c r="J64" s="533">
        <f t="shared" si="3"/>
        <v>0</v>
      </c>
      <c r="K64" s="545"/>
      <c r="L64" s="545"/>
      <c r="M64" s="546" t="s">
        <v>216</v>
      </c>
      <c r="N64" s="546" t="s">
        <v>216</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LMPGP</v>
      </c>
      <c r="C65" s="49" t="s">
        <v>247</v>
      </c>
      <c r="D65" s="531" t="s">
        <v>204</v>
      </c>
      <c r="E65" s="49" t="s">
        <v>50</v>
      </c>
      <c r="F65" s="534" t="str">
        <f>R.7WestDevName1</f>
        <v xml:space="preserve">Claudia Davis, Wayne Kauzlarich </v>
      </c>
      <c r="G65" s="542">
        <f>R.7WestDevHrs1</f>
        <v>1</v>
      </c>
      <c r="H65" s="543">
        <f>Table3[[#This Row],[Hrs Rank]]</f>
        <v>1</v>
      </c>
      <c r="I65" s="533">
        <f t="shared" si="2"/>
        <v>1</v>
      </c>
      <c r="J65" s="533">
        <f t="shared" si="3"/>
        <v>8</v>
      </c>
      <c r="K65" s="545"/>
      <c r="L65" s="545"/>
      <c r="M65" s="546" t="s">
        <v>216</v>
      </c>
      <c r="N65" s="546" t="s">
        <v>216</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LMPGP</v>
      </c>
      <c r="C66" s="49" t="s">
        <v>247</v>
      </c>
      <c r="D66" s="531" t="s">
        <v>204</v>
      </c>
      <c r="E66" s="49" t="s">
        <v>50</v>
      </c>
      <c r="F66" s="534">
        <f>R.7WestDevName2</f>
        <v>0</v>
      </c>
      <c r="G66" s="542">
        <f>R.7WestDevHrs2</f>
        <v>0</v>
      </c>
      <c r="H66" s="543">
        <f>Table3[[#This Row],[Hrs Rank]]</f>
        <v>0</v>
      </c>
      <c r="I66" s="533">
        <f t="shared" si="2"/>
        <v>0</v>
      </c>
      <c r="J66" s="533">
        <f t="shared" si="3"/>
        <v>0</v>
      </c>
      <c r="K66" s="545"/>
      <c r="L66" s="545"/>
      <c r="M66" s="546" t="s">
        <v>216</v>
      </c>
      <c r="N66" s="546" t="s">
        <v>216</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LMPGP</v>
      </c>
      <c r="C67" s="49" t="s">
        <v>247</v>
      </c>
      <c r="D67" s="531" t="s">
        <v>204</v>
      </c>
      <c r="E67" s="49" t="s">
        <v>50</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216</v>
      </c>
      <c r="N67" s="546" t="s">
        <v>216</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LMPGP</v>
      </c>
      <c r="C68" s="49" t="s">
        <v>247</v>
      </c>
      <c r="D68" s="531" t="s">
        <v>204</v>
      </c>
      <c r="E68" s="49" t="s">
        <v>50</v>
      </c>
      <c r="F68" s="534">
        <f>R.7WestDevName4</f>
        <v>0</v>
      </c>
      <c r="G68" s="542">
        <f>R.7WestDevHrs4</f>
        <v>0</v>
      </c>
      <c r="H68" s="543">
        <f>Table3[[#This Row],[Hrs Rank]]</f>
        <v>0</v>
      </c>
      <c r="I68" s="533">
        <f t="shared" si="8"/>
        <v>0</v>
      </c>
      <c r="J68" s="533">
        <f t="shared" si="9"/>
        <v>0</v>
      </c>
      <c r="K68" s="545"/>
      <c r="L68" s="545"/>
      <c r="M68" s="546" t="s">
        <v>216</v>
      </c>
      <c r="N68" s="546" t="s">
        <v>216</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LMPGP</v>
      </c>
      <c r="C69" s="49" t="s">
        <v>247</v>
      </c>
      <c r="D69" s="531" t="s">
        <v>204</v>
      </c>
      <c r="E69" s="49" t="s">
        <v>49</v>
      </c>
      <c r="F69" s="534" t="str">
        <f>R.7WestImpName1</f>
        <v xml:space="preserve"> </v>
      </c>
      <c r="G69" s="542">
        <f>R.7WestImpHrs1</f>
        <v>0</v>
      </c>
      <c r="H69" s="543">
        <f>Table3[[#This Row],[Hrs Rank]]</f>
        <v>0</v>
      </c>
      <c r="I69" s="533">
        <f t="shared" si="8"/>
        <v>0</v>
      </c>
      <c r="J69" s="533">
        <f t="shared" si="9"/>
        <v>0</v>
      </c>
      <c r="K69" s="545"/>
      <c r="L69" s="545"/>
      <c r="M69" s="546" t="s">
        <v>216</v>
      </c>
      <c r="N69" s="546" t="s">
        <v>216</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LMPGP</v>
      </c>
      <c r="C70" s="49" t="s">
        <v>247</v>
      </c>
      <c r="D70" s="531" t="s">
        <v>204</v>
      </c>
      <c r="E70" s="49" t="s">
        <v>49</v>
      </c>
      <c r="F70" s="534">
        <f>R.7WestImpName2</f>
        <v>0</v>
      </c>
      <c r="G70" s="542">
        <f>R.7WestDevHrs2</f>
        <v>0</v>
      </c>
      <c r="H70" s="543">
        <f>Table3[[#This Row],[Hrs Rank]]</f>
        <v>0</v>
      </c>
      <c r="I70" s="533">
        <f t="shared" si="8"/>
        <v>0</v>
      </c>
      <c r="J70" s="533">
        <f t="shared" si="9"/>
        <v>0</v>
      </c>
      <c r="K70" s="545"/>
      <c r="L70" s="545"/>
      <c r="M70" s="546" t="s">
        <v>216</v>
      </c>
      <c r="N70" s="546" t="s">
        <v>216</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LMPGP</v>
      </c>
      <c r="C71" s="49" t="s">
        <v>247</v>
      </c>
      <c r="D71" s="531" t="s">
        <v>204</v>
      </c>
      <c r="E71" s="49" t="s">
        <v>49</v>
      </c>
      <c r="F71" s="534">
        <f>R.7WestImpName3</f>
        <v>0</v>
      </c>
      <c r="G71" s="542">
        <f>R.7WestDevHrs3</f>
        <v>0</v>
      </c>
      <c r="H71" s="543">
        <f>Table3[[#This Row],[Hrs Rank]]</f>
        <v>0</v>
      </c>
      <c r="I71" s="533">
        <f t="shared" si="8"/>
        <v>0</v>
      </c>
      <c r="J71" s="533">
        <f t="shared" si="9"/>
        <v>0</v>
      </c>
      <c r="K71" s="545"/>
      <c r="L71" s="545"/>
      <c r="M71" s="546" t="s">
        <v>216</v>
      </c>
      <c r="N71" s="546" t="s">
        <v>216</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LMPGP</v>
      </c>
      <c r="C72" s="49" t="s">
        <v>247</v>
      </c>
      <c r="D72" s="531" t="s">
        <v>204</v>
      </c>
      <c r="E72" s="49" t="s">
        <v>49</v>
      </c>
      <c r="F72" s="534">
        <f>R.7WestImpName4</f>
        <v>0</v>
      </c>
      <c r="G72" s="542">
        <f>R.7WestDevHrs4</f>
        <v>0</v>
      </c>
      <c r="H72" s="543">
        <f>Table3[[#This Row],[Hrs Rank]]</f>
        <v>0</v>
      </c>
      <c r="I72" s="533">
        <f t="shared" si="8"/>
        <v>0</v>
      </c>
      <c r="J72" s="533">
        <f t="shared" si="9"/>
        <v>0</v>
      </c>
      <c r="K72" s="545"/>
      <c r="L72" s="545"/>
      <c r="M72" s="546" t="s">
        <v>216</v>
      </c>
      <c r="N72" s="546" t="s">
        <v>216</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LMPGP</v>
      </c>
      <c r="C73" s="49" t="s">
        <v>247</v>
      </c>
      <c r="D73" s="531" t="s">
        <v>205</v>
      </c>
      <c r="E73" s="49" t="s">
        <v>50</v>
      </c>
      <c r="F73" s="534" t="str">
        <f>R.7NWRegionDevName1</f>
        <v xml:space="preserve"> </v>
      </c>
      <c r="G73" s="542">
        <f>R.7NWRegionDevHrs1</f>
        <v>0</v>
      </c>
      <c r="H73" s="543">
        <f>Table3[[#This Row],[Hrs Rank]]</f>
        <v>0</v>
      </c>
      <c r="I73" s="533">
        <f t="shared" si="8"/>
        <v>0</v>
      </c>
      <c r="J73" s="533">
        <f t="shared" si="9"/>
        <v>0</v>
      </c>
      <c r="K73" s="545"/>
      <c r="L73" s="545"/>
      <c r="M73" s="546" t="s">
        <v>216</v>
      </c>
      <c r="N73" s="546" t="s">
        <v>216</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LMPGP</v>
      </c>
      <c r="C74" s="49" t="s">
        <v>247</v>
      </c>
      <c r="D74" s="531" t="s">
        <v>205</v>
      </c>
      <c r="E74" s="49" t="s">
        <v>50</v>
      </c>
      <c r="F74" s="534" t="str">
        <f>R.7NWRegionDevName2</f>
        <v xml:space="preserve"> </v>
      </c>
      <c r="G74" s="542">
        <f>R.7NWRegionDevHrs2</f>
        <v>0</v>
      </c>
      <c r="H74" s="543">
        <f>Table3[[#This Row],[Hrs Rank]]</f>
        <v>0</v>
      </c>
      <c r="I74" s="533">
        <f t="shared" si="8"/>
        <v>0</v>
      </c>
      <c r="J74" s="533">
        <f t="shared" si="9"/>
        <v>0</v>
      </c>
      <c r="K74" s="545"/>
      <c r="L74" s="545"/>
      <c r="M74" s="546" t="s">
        <v>216</v>
      </c>
      <c r="N74" s="546" t="s">
        <v>216</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LMPGP</v>
      </c>
      <c r="C75" s="49" t="s">
        <v>247</v>
      </c>
      <c r="D75" s="531" t="s">
        <v>205</v>
      </c>
      <c r="E75" s="49" t="s">
        <v>50</v>
      </c>
      <c r="F75" s="534" t="str">
        <f>R.7NWRegionDevName3</f>
        <v xml:space="preserve"> </v>
      </c>
      <c r="G75" s="542">
        <f>R.7NWRegionDevHrs3</f>
        <v>0</v>
      </c>
      <c r="H75" s="543">
        <f>Table3[[#This Row],[Hrs Rank]]</f>
        <v>0</v>
      </c>
      <c r="I75" s="533">
        <f t="shared" si="8"/>
        <v>0</v>
      </c>
      <c r="J75" s="533">
        <f t="shared" si="9"/>
        <v>0</v>
      </c>
      <c r="K75" s="545"/>
      <c r="L75" s="545"/>
      <c r="M75" s="546" t="s">
        <v>216</v>
      </c>
      <c r="N75" s="546" t="s">
        <v>216</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LMPGP</v>
      </c>
      <c r="C76" s="49" t="s">
        <v>247</v>
      </c>
      <c r="D76" s="531" t="s">
        <v>205</v>
      </c>
      <c r="E76" s="49" t="s">
        <v>50</v>
      </c>
      <c r="F76" s="534" t="str">
        <f>R.7NWRegionDevName4</f>
        <v xml:space="preserve"> </v>
      </c>
      <c r="G76" s="542">
        <f>R.7NWRegionDevHrs4</f>
        <v>0</v>
      </c>
      <c r="H76" s="543">
        <f>Table3[[#This Row],[Hrs Rank]]</f>
        <v>0</v>
      </c>
      <c r="I76" s="533">
        <f t="shared" si="8"/>
        <v>0</v>
      </c>
      <c r="J76" s="533">
        <f t="shared" si="9"/>
        <v>0</v>
      </c>
      <c r="K76" s="545"/>
      <c r="L76" s="545"/>
      <c r="M76" s="546" t="s">
        <v>216</v>
      </c>
      <c r="N76" s="546" t="s">
        <v>216</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LMPGP</v>
      </c>
      <c r="C77" s="49" t="s">
        <v>247</v>
      </c>
      <c r="D77" s="531" t="s">
        <v>205</v>
      </c>
      <c r="E77" s="49" t="s">
        <v>49</v>
      </c>
      <c r="F77" s="534" t="str">
        <f>R.7NWRegionImpName1</f>
        <v xml:space="preserve"> </v>
      </c>
      <c r="G77" s="542">
        <f>R.7NWRegionImpHrs1</f>
        <v>0</v>
      </c>
      <c r="H77" s="543">
        <f>Table3[[#This Row],[Hrs Rank]]</f>
        <v>0</v>
      </c>
      <c r="I77" s="533">
        <f t="shared" si="8"/>
        <v>0</v>
      </c>
      <c r="J77" s="533">
        <f t="shared" si="9"/>
        <v>0</v>
      </c>
      <c r="K77" s="545"/>
      <c r="L77" s="545"/>
      <c r="M77" s="546" t="s">
        <v>216</v>
      </c>
      <c r="N77" s="546" t="s">
        <v>216</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LMPGP</v>
      </c>
      <c r="C78" s="49" t="s">
        <v>247</v>
      </c>
      <c r="D78" s="531" t="s">
        <v>205</v>
      </c>
      <c r="E78" s="49" t="s">
        <v>49</v>
      </c>
      <c r="F78" s="534" t="str">
        <f>R.7NWRegionImpName2</f>
        <v xml:space="preserve"> </v>
      </c>
      <c r="G78" s="542">
        <f>R.7NWRegionImpHrs2</f>
        <v>0</v>
      </c>
      <c r="H78" s="543">
        <f>Table3[[#This Row],[Hrs Rank]]</f>
        <v>0</v>
      </c>
      <c r="I78" s="533">
        <f t="shared" si="8"/>
        <v>0</v>
      </c>
      <c r="J78" s="533">
        <f t="shared" si="9"/>
        <v>0</v>
      </c>
      <c r="K78" s="545"/>
      <c r="L78" s="545"/>
      <c r="M78" s="546" t="s">
        <v>216</v>
      </c>
      <c r="N78" s="546" t="s">
        <v>216</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LMPGP</v>
      </c>
      <c r="C79" s="49" t="s">
        <v>247</v>
      </c>
      <c r="D79" s="531" t="s">
        <v>205</v>
      </c>
      <c r="E79" s="49" t="s">
        <v>49</v>
      </c>
      <c r="F79" s="534" t="str">
        <f>R.7NWRegionImpName3</f>
        <v xml:space="preserve"> </v>
      </c>
      <c r="G79" s="542">
        <f>R.7NWRegionImpHrs3</f>
        <v>0</v>
      </c>
      <c r="H79" s="543">
        <f>Table3[[#This Row],[Hrs Rank]]</f>
        <v>0</v>
      </c>
      <c r="I79" s="533">
        <f t="shared" si="8"/>
        <v>0</v>
      </c>
      <c r="J79" s="533">
        <f t="shared" si="9"/>
        <v>0</v>
      </c>
      <c r="K79" s="545"/>
      <c r="L79" s="545"/>
      <c r="M79" s="546" t="s">
        <v>216</v>
      </c>
      <c r="N79" s="546" t="s">
        <v>216</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LMPGP</v>
      </c>
      <c r="C80" s="49" t="s">
        <v>247</v>
      </c>
      <c r="D80" s="531" t="s">
        <v>205</v>
      </c>
      <c r="E80" s="49" t="s">
        <v>49</v>
      </c>
      <c r="F80" s="534" t="str">
        <f>R.7NWRegionImpName4</f>
        <v xml:space="preserve"> </v>
      </c>
      <c r="G80" s="542">
        <f>R.7NWRegionImpHrs4</f>
        <v>0</v>
      </c>
      <c r="H80" s="543">
        <f>Table3[[#This Row],[Hrs Rank]]</f>
        <v>0</v>
      </c>
      <c r="I80" s="533">
        <f t="shared" si="8"/>
        <v>0</v>
      </c>
      <c r="J80" s="533">
        <f t="shared" si="9"/>
        <v>0</v>
      </c>
      <c r="K80" s="545"/>
      <c r="L80" s="545"/>
      <c r="M80" s="546" t="s">
        <v>216</v>
      </c>
      <c r="N80" s="546" t="s">
        <v>216</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LMPGP</v>
      </c>
      <c r="C81" s="49" t="s">
        <v>248</v>
      </c>
      <c r="D81" s="531" t="s">
        <v>142</v>
      </c>
      <c r="E81" s="49" t="s">
        <v>50</v>
      </c>
      <c r="F81" s="534" t="str">
        <f>R.8BudDevName1</f>
        <v>No longer resourced</v>
      </c>
      <c r="G81" s="542">
        <f>R.8BudDevHrs1</f>
        <v>0</v>
      </c>
      <c r="H81" s="543">
        <f>Table3[[#This Row],[Hrs Rank]]</f>
        <v>0</v>
      </c>
      <c r="I81" s="533">
        <f t="shared" si="8"/>
        <v>0</v>
      </c>
      <c r="J81" s="533">
        <f t="shared" si="9"/>
        <v>0</v>
      </c>
      <c r="K81" s="545"/>
      <c r="L81" s="545"/>
      <c r="M81" s="546" t="s">
        <v>216</v>
      </c>
      <c r="N81" s="546" t="s">
        <v>216</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LMPGP</v>
      </c>
      <c r="C82" s="49" t="s">
        <v>248</v>
      </c>
      <c r="D82" s="531" t="s">
        <v>142</v>
      </c>
      <c r="E82" s="49" t="s">
        <v>50</v>
      </c>
      <c r="F82" s="534" t="str">
        <f>R.8BudDevName2</f>
        <v xml:space="preserve"> </v>
      </c>
      <c r="G82" s="542">
        <f>R.8BudDevHrs2</f>
        <v>0</v>
      </c>
      <c r="H82" s="543">
        <f>Table3[[#This Row],[Hrs Rank]]</f>
        <v>0</v>
      </c>
      <c r="I82" s="533">
        <f t="shared" si="8"/>
        <v>0</v>
      </c>
      <c r="J82" s="533">
        <f t="shared" si="9"/>
        <v>0</v>
      </c>
      <c r="K82" s="545"/>
      <c r="L82" s="545"/>
      <c r="M82" s="546" t="s">
        <v>216</v>
      </c>
      <c r="N82" s="546" t="s">
        <v>216</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LMPGP</v>
      </c>
      <c r="C83" s="49" t="s">
        <v>248</v>
      </c>
      <c r="D83" s="531" t="s">
        <v>142</v>
      </c>
      <c r="E83" s="49" t="s">
        <v>50</v>
      </c>
      <c r="F83" s="534" t="str">
        <f>R.8BudDevName3</f>
        <v xml:space="preserve"> </v>
      </c>
      <c r="G83" s="542">
        <f>R.8BudDevHrs3</f>
        <v>0</v>
      </c>
      <c r="H83" s="543">
        <f>Table3[[#This Row],[Hrs Rank]]</f>
        <v>0</v>
      </c>
      <c r="I83" s="533">
        <f t="shared" si="8"/>
        <v>0</v>
      </c>
      <c r="J83" s="533">
        <f t="shared" si="9"/>
        <v>0</v>
      </c>
      <c r="K83" s="545"/>
      <c r="L83" s="545"/>
      <c r="M83" s="546" t="s">
        <v>216</v>
      </c>
      <c r="N83" s="546" t="s">
        <v>216</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LMPGP</v>
      </c>
      <c r="C84" s="49" t="s">
        <v>248</v>
      </c>
      <c r="D84" s="531" t="s">
        <v>142</v>
      </c>
      <c r="E84" s="49" t="s">
        <v>50</v>
      </c>
      <c r="F84" s="534" t="str">
        <f>R.8BudDevName4</f>
        <v xml:space="preserve"> </v>
      </c>
      <c r="G84" s="542">
        <f>R.8BudDevHrs4</f>
        <v>0</v>
      </c>
      <c r="H84" s="543">
        <f>Table3[[#This Row],[Hrs Rank]]</f>
        <v>0</v>
      </c>
      <c r="I84" s="533">
        <f t="shared" si="8"/>
        <v>0</v>
      </c>
      <c r="J84" s="533">
        <f t="shared" si="9"/>
        <v>0</v>
      </c>
      <c r="K84" s="545"/>
      <c r="L84" s="545"/>
      <c r="M84" s="546" t="s">
        <v>216</v>
      </c>
      <c r="N84" s="546" t="s">
        <v>216</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LMPGP</v>
      </c>
      <c r="C85" s="49" t="s">
        <v>248</v>
      </c>
      <c r="D85" s="531" t="s">
        <v>142</v>
      </c>
      <c r="E85" s="49" t="s">
        <v>49</v>
      </c>
      <c r="F85" s="534" t="str">
        <f>R.8BudImpName1</f>
        <v xml:space="preserve"> </v>
      </c>
      <c r="G85" s="542">
        <f>R.8BudImpHrs1</f>
        <v>0</v>
      </c>
      <c r="H85" s="543">
        <f>Table3[[#This Row],[Hrs Rank]]</f>
        <v>0</v>
      </c>
      <c r="I85" s="533">
        <f t="shared" si="8"/>
        <v>0</v>
      </c>
      <c r="J85" s="533">
        <f t="shared" si="9"/>
        <v>0</v>
      </c>
      <c r="K85" s="545"/>
      <c r="L85" s="545"/>
      <c r="M85" s="546" t="s">
        <v>216</v>
      </c>
      <c r="N85" s="546" t="s">
        <v>216</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LMPGP</v>
      </c>
      <c r="C86" s="49" t="s">
        <v>248</v>
      </c>
      <c r="D86" s="531" t="s">
        <v>142</v>
      </c>
      <c r="E86" s="49" t="s">
        <v>49</v>
      </c>
      <c r="F86" s="534" t="str">
        <f>R.8BudImpName2</f>
        <v xml:space="preserve"> </v>
      </c>
      <c r="G86" s="542">
        <f>R.8BudImpHrs2</f>
        <v>0</v>
      </c>
      <c r="H86" s="543">
        <f>Table3[[#This Row],[Hrs Rank]]</f>
        <v>0</v>
      </c>
      <c r="I86" s="533">
        <f t="shared" si="8"/>
        <v>0</v>
      </c>
      <c r="J86" s="533">
        <f t="shared" si="9"/>
        <v>0</v>
      </c>
      <c r="K86" s="545"/>
      <c r="L86" s="545"/>
      <c r="M86" s="546" t="s">
        <v>216</v>
      </c>
      <c r="N86" s="546" t="s">
        <v>216</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LMPGP</v>
      </c>
      <c r="C87" s="49" t="s">
        <v>248</v>
      </c>
      <c r="D87" s="531" t="s">
        <v>142</v>
      </c>
      <c r="E87" s="49" t="s">
        <v>49</v>
      </c>
      <c r="F87" s="534" t="str">
        <f>R.8BudImpName3</f>
        <v xml:space="preserve"> </v>
      </c>
      <c r="G87" s="542">
        <f>R.8BudImpHrs3</f>
        <v>0</v>
      </c>
      <c r="H87" s="543">
        <f>Table3[[#This Row],[Hrs Rank]]</f>
        <v>0</v>
      </c>
      <c r="I87" s="533">
        <f t="shared" si="8"/>
        <v>0</v>
      </c>
      <c r="J87" s="533">
        <f t="shared" si="9"/>
        <v>0</v>
      </c>
      <c r="K87" s="545"/>
      <c r="L87" s="545"/>
      <c r="M87" s="546" t="s">
        <v>216</v>
      </c>
      <c r="N87" s="546" t="s">
        <v>216</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LMPGP</v>
      </c>
      <c r="C88" s="49" t="s">
        <v>248</v>
      </c>
      <c r="D88" s="531" t="s">
        <v>142</v>
      </c>
      <c r="E88" s="49" t="s">
        <v>49</v>
      </c>
      <c r="F88" s="534" t="str">
        <f>R.8BudImpName4</f>
        <v xml:space="preserve"> </v>
      </c>
      <c r="G88" s="542">
        <f>R.8BudImpHrs4</f>
        <v>0</v>
      </c>
      <c r="H88" s="543">
        <f>Table3[[#This Row],[Hrs Rank]]</f>
        <v>0</v>
      </c>
      <c r="I88" s="533">
        <f t="shared" si="8"/>
        <v>0</v>
      </c>
      <c r="J88" s="533">
        <f t="shared" si="9"/>
        <v>0</v>
      </c>
      <c r="K88" s="545"/>
      <c r="L88" s="545"/>
      <c r="M88" s="546" t="s">
        <v>216</v>
      </c>
      <c r="N88" s="546" t="s">
        <v>216</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LMPGP</v>
      </c>
      <c r="C89" s="49" t="s">
        <v>248</v>
      </c>
      <c r="D89" s="531" t="s">
        <v>140</v>
      </c>
      <c r="E89" s="49" t="s">
        <v>50</v>
      </c>
      <c r="F89" s="534" t="str">
        <f>R.8AcctDevName1</f>
        <v xml:space="preserve"> </v>
      </c>
      <c r="G89" s="542">
        <f>R.8AcctDevHrs1</f>
        <v>0</v>
      </c>
      <c r="H89" s="543">
        <f>Table3[[#This Row],[Hrs Rank]]</f>
        <v>0</v>
      </c>
      <c r="I89" s="533">
        <f t="shared" si="8"/>
        <v>0</v>
      </c>
      <c r="J89" s="533">
        <f t="shared" si="9"/>
        <v>0</v>
      </c>
      <c r="K89" s="545"/>
      <c r="L89" s="545"/>
      <c r="M89" s="546" t="s">
        <v>216</v>
      </c>
      <c r="N89" s="546" t="s">
        <v>216</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LMPGP</v>
      </c>
      <c r="C90" s="49" t="s">
        <v>248</v>
      </c>
      <c r="D90" s="531" t="s">
        <v>140</v>
      </c>
      <c r="E90" s="49" t="s">
        <v>50</v>
      </c>
      <c r="F90" s="534" t="str">
        <f>R.8AcctDevName2</f>
        <v xml:space="preserve"> </v>
      </c>
      <c r="G90" s="542">
        <f>R.8AcctDevHrs2</f>
        <v>0</v>
      </c>
      <c r="H90" s="543">
        <f>Table3[[#This Row],[Hrs Rank]]</f>
        <v>0</v>
      </c>
      <c r="I90" s="533">
        <f t="shared" si="8"/>
        <v>0</v>
      </c>
      <c r="J90" s="533">
        <f t="shared" si="9"/>
        <v>0</v>
      </c>
      <c r="K90" s="545"/>
      <c r="L90" s="545"/>
      <c r="M90" s="546" t="s">
        <v>216</v>
      </c>
      <c r="N90" s="546" t="s">
        <v>216</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LMPGP</v>
      </c>
      <c r="C91" s="49" t="s">
        <v>248</v>
      </c>
      <c r="D91" s="531" t="s">
        <v>140</v>
      </c>
      <c r="E91" s="49" t="s">
        <v>50</v>
      </c>
      <c r="F91" s="534" t="str">
        <f>R.8AcctDevName3</f>
        <v xml:space="preserve"> </v>
      </c>
      <c r="G91" s="542">
        <f>R.8AcctDevHrs3</f>
        <v>0</v>
      </c>
      <c r="H91" s="543">
        <f>Table3[[#This Row],[Hrs Rank]]</f>
        <v>0</v>
      </c>
      <c r="I91" s="533">
        <f t="shared" si="8"/>
        <v>0</v>
      </c>
      <c r="J91" s="533">
        <f t="shared" si="9"/>
        <v>0</v>
      </c>
      <c r="K91" s="545"/>
      <c r="L91" s="545"/>
      <c r="M91" s="546" t="s">
        <v>216</v>
      </c>
      <c r="N91" s="546" t="s">
        <v>216</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LMPGP</v>
      </c>
      <c r="C92" s="49" t="s">
        <v>248</v>
      </c>
      <c r="D92" s="531" t="s">
        <v>140</v>
      </c>
      <c r="E92" s="49" t="s">
        <v>50</v>
      </c>
      <c r="F92" s="534" t="str">
        <f>R.8AcctDevName4</f>
        <v xml:space="preserve"> </v>
      </c>
      <c r="G92" s="542">
        <f>R.8AcctDevHrs4</f>
        <v>0</v>
      </c>
      <c r="H92" s="543">
        <f>Table3[[#This Row],[Hrs Rank]]</f>
        <v>0</v>
      </c>
      <c r="I92" s="533">
        <f t="shared" si="8"/>
        <v>0</v>
      </c>
      <c r="J92" s="533">
        <f t="shared" si="9"/>
        <v>0</v>
      </c>
      <c r="K92" s="545"/>
      <c r="L92" s="545"/>
      <c r="M92" s="546" t="s">
        <v>216</v>
      </c>
      <c r="N92" s="546" t="s">
        <v>216</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LMPGP</v>
      </c>
      <c r="C93" s="49" t="s">
        <v>248</v>
      </c>
      <c r="D93" s="531" t="s">
        <v>140</v>
      </c>
      <c r="E93" s="49" t="s">
        <v>49</v>
      </c>
      <c r="F93" s="534">
        <f>R.8AcctImpName1</f>
        <v>0</v>
      </c>
      <c r="G93" s="542">
        <f>R.8AcctImpHrs1</f>
        <v>0</v>
      </c>
      <c r="H93" s="543">
        <f>Table3[[#This Row],[Hrs Rank]]</f>
        <v>0</v>
      </c>
      <c r="I93" s="533">
        <f t="shared" si="8"/>
        <v>0</v>
      </c>
      <c r="J93" s="533">
        <f t="shared" si="9"/>
        <v>0</v>
      </c>
      <c r="K93" s="545"/>
      <c r="L93" s="545"/>
      <c r="M93" s="546" t="s">
        <v>216</v>
      </c>
      <c r="N93" s="546" t="s">
        <v>216</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LMPGP</v>
      </c>
      <c r="C94" s="49" t="s">
        <v>248</v>
      </c>
      <c r="D94" s="531" t="s">
        <v>140</v>
      </c>
      <c r="E94" s="49" t="s">
        <v>49</v>
      </c>
      <c r="F94" s="534" t="str">
        <f>R.8AcctImpName2</f>
        <v xml:space="preserve"> </v>
      </c>
      <c r="G94" s="542">
        <f>R.8AcctImpHrs2</f>
        <v>0</v>
      </c>
      <c r="H94" s="543">
        <f>Table3[[#This Row],[Hrs Rank]]</f>
        <v>0</v>
      </c>
      <c r="I94" s="533">
        <f t="shared" si="8"/>
        <v>0</v>
      </c>
      <c r="J94" s="533">
        <f t="shared" si="9"/>
        <v>0</v>
      </c>
      <c r="K94" s="545"/>
      <c r="L94" s="545"/>
      <c r="M94" s="546" t="s">
        <v>216</v>
      </c>
      <c r="N94" s="546" t="s">
        <v>216</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LMPGP</v>
      </c>
      <c r="C95" s="49" t="s">
        <v>248</v>
      </c>
      <c r="D95" s="531" t="s">
        <v>140</v>
      </c>
      <c r="E95" s="49" t="s">
        <v>49</v>
      </c>
      <c r="F95" s="534" t="str">
        <f>R.8AcctImpName3</f>
        <v xml:space="preserve"> </v>
      </c>
      <c r="G95" s="542">
        <f>R.8AcctImpHrs3</f>
        <v>0</v>
      </c>
      <c r="H95" s="543">
        <f>Table3[[#This Row],[Hrs Rank]]</f>
        <v>0</v>
      </c>
      <c r="I95" s="533">
        <f t="shared" si="8"/>
        <v>0</v>
      </c>
      <c r="J95" s="533">
        <f t="shared" si="9"/>
        <v>0</v>
      </c>
      <c r="K95" s="545"/>
      <c r="L95" s="545"/>
      <c r="M95" s="546" t="s">
        <v>216</v>
      </c>
      <c r="N95" s="546" t="s">
        <v>216</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LMPGP</v>
      </c>
      <c r="C96" s="49" t="s">
        <v>248</v>
      </c>
      <c r="D96" s="531" t="s">
        <v>140</v>
      </c>
      <c r="E96" s="49" t="s">
        <v>49</v>
      </c>
      <c r="F96" s="534" t="str">
        <f>R.8AcctImpName4</f>
        <v xml:space="preserve"> </v>
      </c>
      <c r="G96" s="542">
        <f>R.8AcctImpHrs4</f>
        <v>0</v>
      </c>
      <c r="H96" s="543">
        <f>Table3[[#This Row],[Hrs Rank]]</f>
        <v>0</v>
      </c>
      <c r="I96" s="533">
        <f t="shared" si="8"/>
        <v>0</v>
      </c>
      <c r="J96" s="533">
        <f t="shared" si="9"/>
        <v>0</v>
      </c>
      <c r="K96" s="545"/>
      <c r="L96" s="545"/>
      <c r="M96" s="546" t="s">
        <v>216</v>
      </c>
      <c r="N96" s="546" t="s">
        <v>216</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LMPGP</v>
      </c>
      <c r="C97" s="49" t="s">
        <v>248</v>
      </c>
      <c r="D97" s="531" t="s">
        <v>141</v>
      </c>
      <c r="E97" s="49" t="s">
        <v>50</v>
      </c>
      <c r="F97" s="534">
        <f>R.8DContractDevName1</f>
        <v>0</v>
      </c>
      <c r="G97" s="542">
        <f>R.8DContractDevHrs1</f>
        <v>0</v>
      </c>
      <c r="H97" s="543">
        <f>Table3[[#This Row],[Hrs Rank]]</f>
        <v>0</v>
      </c>
      <c r="I97" s="533">
        <f t="shared" si="8"/>
        <v>0</v>
      </c>
      <c r="J97" s="533">
        <f t="shared" si="9"/>
        <v>0</v>
      </c>
      <c r="K97" s="545"/>
      <c r="L97" s="545"/>
      <c r="M97" s="546" t="s">
        <v>216</v>
      </c>
      <c r="N97" s="546" t="s">
        <v>216</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LMPGP</v>
      </c>
      <c r="C98" s="49" t="s">
        <v>248</v>
      </c>
      <c r="D98" s="531" t="s">
        <v>141</v>
      </c>
      <c r="E98" s="49" t="s">
        <v>50</v>
      </c>
      <c r="F98" s="534" t="str">
        <f>R.8DContractDevName2</f>
        <v xml:space="preserve"> </v>
      </c>
      <c r="G98" s="542">
        <f>R.8DContractDevHrs2</f>
        <v>0</v>
      </c>
      <c r="H98" s="543">
        <f>Table3[[#This Row],[Hrs Rank]]</f>
        <v>0</v>
      </c>
      <c r="I98" s="533">
        <f t="shared" si="8"/>
        <v>0</v>
      </c>
      <c r="J98" s="533">
        <f t="shared" si="9"/>
        <v>0</v>
      </c>
      <c r="K98" s="545"/>
      <c r="L98" s="545"/>
      <c r="M98" s="546" t="s">
        <v>216</v>
      </c>
      <c r="N98" s="546" t="s">
        <v>216</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LMPGP</v>
      </c>
      <c r="C99" s="49" t="s">
        <v>248</v>
      </c>
      <c r="D99" s="531" t="s">
        <v>141</v>
      </c>
      <c r="E99" s="49" t="s">
        <v>50</v>
      </c>
      <c r="F99" s="534" t="str">
        <f>R.8DContractDevName3</f>
        <v xml:space="preserve"> </v>
      </c>
      <c r="G99" s="542">
        <f>R.8DContractDevHrs3</f>
        <v>0</v>
      </c>
      <c r="H99" s="543">
        <f>Table3[[#This Row],[Hrs Rank]]</f>
        <v>0</v>
      </c>
      <c r="I99" s="533">
        <f t="shared" si="8"/>
        <v>0</v>
      </c>
      <c r="J99" s="533">
        <f t="shared" si="9"/>
        <v>0</v>
      </c>
      <c r="K99" s="545"/>
      <c r="L99" s="545"/>
      <c r="M99" s="546" t="s">
        <v>216</v>
      </c>
      <c r="N99" s="546" t="s">
        <v>216</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LMPGP</v>
      </c>
      <c r="C100" s="49" t="s">
        <v>248</v>
      </c>
      <c r="D100" s="531" t="s">
        <v>141</v>
      </c>
      <c r="E100" s="49" t="s">
        <v>50</v>
      </c>
      <c r="F100" s="534" t="str">
        <f>R.8DContractDevName4</f>
        <v xml:space="preserve"> </v>
      </c>
      <c r="G100" s="542">
        <f>R.8DContractDevHrs4</f>
        <v>0</v>
      </c>
      <c r="H100" s="543">
        <f>Table3[[#This Row],[Hrs Rank]]</f>
        <v>0</v>
      </c>
      <c r="I100" s="533">
        <f t="shared" si="8"/>
        <v>0</v>
      </c>
      <c r="J100" s="533">
        <f t="shared" si="9"/>
        <v>0</v>
      </c>
      <c r="K100" s="545"/>
      <c r="L100" s="545"/>
      <c r="M100" s="546" t="s">
        <v>216</v>
      </c>
      <c r="N100" s="546" t="s">
        <v>216</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LMPGP</v>
      </c>
      <c r="C101" s="49" t="s">
        <v>248</v>
      </c>
      <c r="D101" s="531" t="s">
        <v>141</v>
      </c>
      <c r="E101" s="49" t="s">
        <v>49</v>
      </c>
      <c r="F101" s="534">
        <f>R.8DContractImpName1</f>
        <v>0</v>
      </c>
      <c r="G101" s="542">
        <f>R.8DContractImpHrs1</f>
        <v>0</v>
      </c>
      <c r="H101" s="543">
        <f>Table3[[#This Row],[Hrs Rank]]</f>
        <v>0</v>
      </c>
      <c r="I101" s="533">
        <f t="shared" si="8"/>
        <v>0</v>
      </c>
      <c r="J101" s="533">
        <f t="shared" si="9"/>
        <v>0</v>
      </c>
      <c r="K101" s="545"/>
      <c r="L101" s="545"/>
      <c r="M101" s="546" t="s">
        <v>216</v>
      </c>
      <c r="N101" s="546" t="s">
        <v>216</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LMPGP</v>
      </c>
      <c r="C102" s="49" t="s">
        <v>248</v>
      </c>
      <c r="D102" s="531" t="s">
        <v>141</v>
      </c>
      <c r="E102" s="49" t="s">
        <v>49</v>
      </c>
      <c r="F102" s="534">
        <f>R.8DContractImpName2</f>
        <v>0</v>
      </c>
      <c r="G102" s="542">
        <f>R.8DContractImpHrs2</f>
        <v>0</v>
      </c>
      <c r="H102" s="543">
        <f>Table3[[#This Row],[Hrs Rank]]</f>
        <v>0</v>
      </c>
      <c r="I102" s="533">
        <f t="shared" si="8"/>
        <v>0</v>
      </c>
      <c r="J102" s="533">
        <f t="shared" si="9"/>
        <v>0</v>
      </c>
      <c r="K102" s="545"/>
      <c r="L102" s="545"/>
      <c r="M102" s="546" t="s">
        <v>216</v>
      </c>
      <c r="N102" s="546" t="s">
        <v>216</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LMPGP</v>
      </c>
      <c r="C103" s="49" t="s">
        <v>248</v>
      </c>
      <c r="D103" s="531" t="s">
        <v>141</v>
      </c>
      <c r="E103" s="49" t="s">
        <v>49</v>
      </c>
      <c r="F103" s="534" t="str">
        <f>R.8DContractImpName3</f>
        <v xml:space="preserve"> </v>
      </c>
      <c r="G103" s="542">
        <f>R.8DContractImpHrs3</f>
        <v>0</v>
      </c>
      <c r="H103" s="543">
        <f>Table3[[#This Row],[Hrs Rank]]</f>
        <v>0</v>
      </c>
      <c r="I103" s="533">
        <f t="shared" si="8"/>
        <v>0</v>
      </c>
      <c r="J103" s="533">
        <f t="shared" si="9"/>
        <v>0</v>
      </c>
      <c r="K103" s="545"/>
      <c r="L103" s="545"/>
      <c r="M103" s="546" t="s">
        <v>216</v>
      </c>
      <c r="N103" s="546" t="s">
        <v>216</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LMPGP</v>
      </c>
      <c r="C104" s="49" t="s">
        <v>248</v>
      </c>
      <c r="D104" s="531" t="s">
        <v>141</v>
      </c>
      <c r="E104" s="49" t="s">
        <v>49</v>
      </c>
      <c r="F104" s="534" t="str">
        <f>R.8DContractImpName4</f>
        <v xml:space="preserve"> </v>
      </c>
      <c r="G104" s="542">
        <f>R.8DContractImpHrs4</f>
        <v>0</v>
      </c>
      <c r="H104" s="543">
        <f>Table3[[#This Row],[Hrs Rank]]</f>
        <v>0</v>
      </c>
      <c r="I104" s="533">
        <f t="shared" si="8"/>
        <v>0</v>
      </c>
      <c r="J104" s="533">
        <f t="shared" si="9"/>
        <v>0</v>
      </c>
      <c r="K104" s="545"/>
      <c r="L104" s="545"/>
      <c r="M104" s="546" t="s">
        <v>216</v>
      </c>
      <c r="N104" s="546" t="s">
        <v>216</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LMPGP</v>
      </c>
      <c r="C105" s="49" t="s">
        <v>249</v>
      </c>
      <c r="D105" s="531" t="s">
        <v>259</v>
      </c>
      <c r="E105" s="49" t="s">
        <v>50</v>
      </c>
      <c r="F105" s="534" t="str">
        <f>R.9ComStrategyDevName1</f>
        <v>Brian White</v>
      </c>
      <c r="G105" s="542">
        <f>R.9ComStrategyDevHrs1</f>
        <v>1</v>
      </c>
      <c r="H105" s="543">
        <f>Table3[[#This Row],[Hrs Rank]]</f>
        <v>1</v>
      </c>
      <c r="I105" s="533">
        <f t="shared" si="8"/>
        <v>1</v>
      </c>
      <c r="J105" s="533">
        <f t="shared" si="9"/>
        <v>8</v>
      </c>
      <c r="K105" s="545"/>
      <c r="L105" s="545"/>
      <c r="M105" s="546" t="s">
        <v>216</v>
      </c>
      <c r="N105" s="546" t="s">
        <v>216</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LMPGP</v>
      </c>
      <c r="C106" s="49" t="s">
        <v>249</v>
      </c>
      <c r="D106" s="531" t="s">
        <v>259</v>
      </c>
      <c r="E106" s="49" t="s">
        <v>50</v>
      </c>
      <c r="F106" s="534">
        <f>R.9ComStrategyDevName2</f>
        <v>0</v>
      </c>
      <c r="G106" s="542">
        <f>R.9ComStrategyDevHrs2</f>
        <v>0</v>
      </c>
      <c r="H106" s="543">
        <f>Table3[[#This Row],[Hrs Rank]]</f>
        <v>0</v>
      </c>
      <c r="I106" s="533">
        <f t="shared" si="8"/>
        <v>0</v>
      </c>
      <c r="J106" s="533">
        <f t="shared" si="9"/>
        <v>0</v>
      </c>
      <c r="K106" s="545"/>
      <c r="L106" s="545"/>
      <c r="M106" s="546" t="s">
        <v>216</v>
      </c>
      <c r="N106" s="546" t="s">
        <v>216</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LMPGP</v>
      </c>
      <c r="C107" s="49" t="s">
        <v>249</v>
      </c>
      <c r="D107" s="531" t="s">
        <v>259</v>
      </c>
      <c r="E107" s="49" t="s">
        <v>50</v>
      </c>
      <c r="F107" s="534" t="str">
        <f>R.9ComStrategyDevName3</f>
        <v xml:space="preserve"> </v>
      </c>
      <c r="G107" s="542">
        <f>R.9ComStrategyDevHrs3</f>
        <v>0</v>
      </c>
      <c r="H107" s="543">
        <f>Table3[[#This Row],[Hrs Rank]]</f>
        <v>0</v>
      </c>
      <c r="I107" s="533">
        <f t="shared" si="8"/>
        <v>0</v>
      </c>
      <c r="J107" s="533">
        <f t="shared" si="9"/>
        <v>0</v>
      </c>
      <c r="K107" s="545"/>
      <c r="L107" s="545"/>
      <c r="M107" s="546" t="s">
        <v>216</v>
      </c>
      <c r="N107" s="546" t="s">
        <v>216</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LMPGP</v>
      </c>
      <c r="C108" s="49" t="s">
        <v>249</v>
      </c>
      <c r="D108" s="531" t="s">
        <v>259</v>
      </c>
      <c r="E108" s="49" t="s">
        <v>50</v>
      </c>
      <c r="F108" s="534" t="str">
        <f>R.9ComStrategyDevName4</f>
        <v xml:space="preserve"> </v>
      </c>
      <c r="G108" s="542">
        <f>R.9ComStrategyDevHrs4</f>
        <v>0</v>
      </c>
      <c r="H108" s="543">
        <f>Table3[[#This Row],[Hrs Rank]]</f>
        <v>0</v>
      </c>
      <c r="I108" s="533">
        <f t="shared" si="8"/>
        <v>0</v>
      </c>
      <c r="J108" s="533">
        <f t="shared" si="9"/>
        <v>0</v>
      </c>
      <c r="K108" s="545"/>
      <c r="L108" s="545"/>
      <c r="M108" s="546" t="s">
        <v>216</v>
      </c>
      <c r="N108" s="546" t="s">
        <v>216</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LMPGP</v>
      </c>
      <c r="C109" s="49" t="s">
        <v>249</v>
      </c>
      <c r="D109" s="531" t="s">
        <v>259</v>
      </c>
      <c r="E109" s="49" t="s">
        <v>49</v>
      </c>
      <c r="F109" s="534" t="str">
        <f>R.9ComStrategyImpName1</f>
        <v xml:space="preserve"> </v>
      </c>
      <c r="G109" s="542">
        <f>R.9ComStrategyImpHrs1</f>
        <v>0</v>
      </c>
      <c r="H109" s="543">
        <f>Table3[[#This Row],[Hrs Rank]]</f>
        <v>0</v>
      </c>
      <c r="I109" s="533">
        <f t="shared" si="8"/>
        <v>0</v>
      </c>
      <c r="J109" s="533">
        <f t="shared" si="9"/>
        <v>0</v>
      </c>
      <c r="K109" s="545"/>
      <c r="L109" s="545"/>
      <c r="M109" s="546" t="s">
        <v>216</v>
      </c>
      <c r="N109" s="546" t="s">
        <v>216</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LMPGP</v>
      </c>
      <c r="C110" s="49" t="s">
        <v>249</v>
      </c>
      <c r="D110" s="531" t="s">
        <v>259</v>
      </c>
      <c r="E110" s="49" t="s">
        <v>49</v>
      </c>
      <c r="F110" s="534">
        <f>R.9ComStrategyImpName2</f>
        <v>0</v>
      </c>
      <c r="G110" s="542">
        <f>R.9ComStrategyImpHrs2</f>
        <v>0</v>
      </c>
      <c r="H110" s="543">
        <f>Table3[[#This Row],[Hrs Rank]]</f>
        <v>0</v>
      </c>
      <c r="I110" s="533">
        <f t="shared" si="8"/>
        <v>0</v>
      </c>
      <c r="J110" s="533">
        <f t="shared" si="9"/>
        <v>0</v>
      </c>
      <c r="K110" s="545"/>
      <c r="L110" s="545"/>
      <c r="M110" s="546" t="s">
        <v>216</v>
      </c>
      <c r="N110" s="546" t="s">
        <v>216</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LMPGP</v>
      </c>
      <c r="C111" s="49" t="s">
        <v>249</v>
      </c>
      <c r="D111" s="531" t="s">
        <v>259</v>
      </c>
      <c r="E111" s="49" t="s">
        <v>49</v>
      </c>
      <c r="F111" s="534">
        <f>R.9ComStrategyImpName3</f>
        <v>0</v>
      </c>
      <c r="G111" s="542">
        <f>R.9ComStrategyImpHrs3</f>
        <v>0</v>
      </c>
      <c r="H111" s="543">
        <f>Table3[[#This Row],[Hrs Rank]]</f>
        <v>0</v>
      </c>
      <c r="I111" s="533">
        <f t="shared" si="8"/>
        <v>0</v>
      </c>
      <c r="J111" s="533">
        <f t="shared" si="9"/>
        <v>0</v>
      </c>
      <c r="K111" s="545"/>
      <c r="L111" s="545"/>
      <c r="M111" s="546" t="s">
        <v>216</v>
      </c>
      <c r="N111" s="546" t="s">
        <v>216</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LMPGP</v>
      </c>
      <c r="C112" s="49" t="s">
        <v>249</v>
      </c>
      <c r="D112" s="531" t="s">
        <v>259</v>
      </c>
      <c r="E112" s="49" t="s">
        <v>49</v>
      </c>
      <c r="F112" s="534" t="str">
        <f>R.9ComStrategyImpName4</f>
        <v xml:space="preserve"> </v>
      </c>
      <c r="G112" s="542">
        <f>R.9ComStrategyImpHrs4</f>
        <v>0</v>
      </c>
      <c r="H112" s="543">
        <f>Table3[[#This Row],[Hrs Rank]]</f>
        <v>0</v>
      </c>
      <c r="I112" s="533">
        <f t="shared" si="8"/>
        <v>0</v>
      </c>
      <c r="J112" s="533">
        <f t="shared" si="9"/>
        <v>0</v>
      </c>
      <c r="K112" s="545"/>
      <c r="L112" s="545"/>
      <c r="M112" s="546" t="s">
        <v>216</v>
      </c>
      <c r="N112" s="546" t="s">
        <v>216</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LMPGP</v>
      </c>
      <c r="C113" s="49" t="s">
        <v>249</v>
      </c>
      <c r="D113" s="531" t="s">
        <v>260</v>
      </c>
      <c r="E113" s="49" t="s">
        <v>50</v>
      </c>
      <c r="F113" s="534">
        <f>R.9PRDevName1</f>
        <v>0</v>
      </c>
      <c r="G113" s="542">
        <f>R.9PRDevHrs1</f>
        <v>0</v>
      </c>
      <c r="H113" s="543">
        <f>Table3[[#This Row],[Hrs Rank]]</f>
        <v>0</v>
      </c>
      <c r="I113" s="533">
        <f t="shared" si="8"/>
        <v>0</v>
      </c>
      <c r="J113" s="533">
        <f t="shared" si="9"/>
        <v>0</v>
      </c>
      <c r="K113" s="545"/>
      <c r="L113" s="545"/>
      <c r="M113" s="546" t="s">
        <v>216</v>
      </c>
      <c r="N113" s="546" t="s">
        <v>216</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LMPGP</v>
      </c>
      <c r="C114" s="49" t="s">
        <v>249</v>
      </c>
      <c r="D114" s="531" t="s">
        <v>260</v>
      </c>
      <c r="E114" s="49" t="s">
        <v>50</v>
      </c>
      <c r="F114" s="534" t="str">
        <f>R.9PRDevName2</f>
        <v xml:space="preserve"> </v>
      </c>
      <c r="G114" s="542">
        <f>R.9PRDevHrs2</f>
        <v>0</v>
      </c>
      <c r="H114" s="543">
        <f>Table3[[#This Row],[Hrs Rank]]</f>
        <v>0</v>
      </c>
      <c r="I114" s="533">
        <f t="shared" si="8"/>
        <v>0</v>
      </c>
      <c r="J114" s="533">
        <f t="shared" si="9"/>
        <v>0</v>
      </c>
      <c r="K114" s="545"/>
      <c r="L114" s="545"/>
      <c r="M114" s="546" t="s">
        <v>216</v>
      </c>
      <c r="N114" s="546" t="s">
        <v>216</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LMPGP</v>
      </c>
      <c r="C115" s="49" t="s">
        <v>249</v>
      </c>
      <c r="D115" s="531" t="s">
        <v>260</v>
      </c>
      <c r="E115" s="49" t="s">
        <v>50</v>
      </c>
      <c r="F115" s="534" t="str">
        <f>R.9PRDevName3</f>
        <v xml:space="preserve"> </v>
      </c>
      <c r="G115" s="542">
        <f>R.9PRDevHrs3</f>
        <v>0</v>
      </c>
      <c r="H115" s="543">
        <f>Table3[[#This Row],[Hrs Rank]]</f>
        <v>0</v>
      </c>
      <c r="I115" s="533">
        <f t="shared" si="8"/>
        <v>0</v>
      </c>
      <c r="J115" s="533">
        <f t="shared" si="9"/>
        <v>0</v>
      </c>
      <c r="K115" s="545"/>
      <c r="L115" s="545"/>
      <c r="M115" s="546" t="s">
        <v>216</v>
      </c>
      <c r="N115" s="546" t="s">
        <v>216</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LMPGP</v>
      </c>
      <c r="C116" s="49" t="s">
        <v>249</v>
      </c>
      <c r="D116" s="531" t="s">
        <v>260</v>
      </c>
      <c r="E116" s="49" t="s">
        <v>50</v>
      </c>
      <c r="F116" s="534" t="str">
        <f>R.9PRDevName4</f>
        <v xml:space="preserve"> </v>
      </c>
      <c r="G116" s="542">
        <f>R.9PRDevHrs4</f>
        <v>0</v>
      </c>
      <c r="H116" s="543">
        <f>Table3[[#This Row],[Hrs Rank]]</f>
        <v>0</v>
      </c>
      <c r="I116" s="533">
        <f t="shared" si="8"/>
        <v>0</v>
      </c>
      <c r="J116" s="533">
        <f t="shared" si="9"/>
        <v>0</v>
      </c>
      <c r="K116" s="545"/>
      <c r="L116" s="545"/>
      <c r="M116" s="546" t="s">
        <v>216</v>
      </c>
      <c r="N116" s="546" t="s">
        <v>216</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LMPGP</v>
      </c>
      <c r="C117" s="49" t="s">
        <v>249</v>
      </c>
      <c r="D117" s="531" t="s">
        <v>260</v>
      </c>
      <c r="E117" s="49" t="s">
        <v>49</v>
      </c>
      <c r="F117" s="534">
        <f>R.9PRImpName1</f>
        <v>0</v>
      </c>
      <c r="G117" s="542">
        <f>R.9PRImpHrs1</f>
        <v>0</v>
      </c>
      <c r="H117" s="543">
        <f>Table3[[#This Row],[Hrs Rank]]</f>
        <v>0</v>
      </c>
      <c r="I117" s="533">
        <f t="shared" si="8"/>
        <v>0</v>
      </c>
      <c r="J117" s="533">
        <f t="shared" si="9"/>
        <v>0</v>
      </c>
      <c r="K117" s="545"/>
      <c r="L117" s="545"/>
      <c r="M117" s="546" t="s">
        <v>216</v>
      </c>
      <c r="N117" s="546" t="s">
        <v>216</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LMPGP</v>
      </c>
      <c r="C118" s="49" t="s">
        <v>249</v>
      </c>
      <c r="D118" s="531" t="s">
        <v>260</v>
      </c>
      <c r="E118" s="49" t="s">
        <v>49</v>
      </c>
      <c r="F118" s="534" t="str">
        <f>R.9PRImpName2</f>
        <v xml:space="preserve"> </v>
      </c>
      <c r="G118" s="542">
        <f>R.9PRImpHrs2</f>
        <v>0</v>
      </c>
      <c r="H118" s="543">
        <f>Table3[[#This Row],[Hrs Rank]]</f>
        <v>0</v>
      </c>
      <c r="I118" s="533">
        <f t="shared" si="8"/>
        <v>0</v>
      </c>
      <c r="J118" s="533">
        <f t="shared" si="9"/>
        <v>0</v>
      </c>
      <c r="K118" s="545"/>
      <c r="L118" s="545"/>
      <c r="M118" s="546" t="s">
        <v>216</v>
      </c>
      <c r="N118" s="546" t="s">
        <v>216</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LMPGP</v>
      </c>
      <c r="C119" s="49" t="s">
        <v>249</v>
      </c>
      <c r="D119" s="531" t="s">
        <v>260</v>
      </c>
      <c r="E119" s="49" t="s">
        <v>49</v>
      </c>
      <c r="F119" s="534" t="str">
        <f>R.9PRImpName3</f>
        <v xml:space="preserve"> </v>
      </c>
      <c r="G119" s="542">
        <f>R.9PRImpHrs3</f>
        <v>0</v>
      </c>
      <c r="H119" s="543">
        <f>Table3[[#This Row],[Hrs Rank]]</f>
        <v>0</v>
      </c>
      <c r="I119" s="533">
        <f t="shared" si="8"/>
        <v>0</v>
      </c>
      <c r="J119" s="533">
        <f t="shared" si="9"/>
        <v>0</v>
      </c>
      <c r="K119" s="545"/>
      <c r="L119" s="545"/>
      <c r="M119" s="546" t="s">
        <v>216</v>
      </c>
      <c r="N119" s="546" t="s">
        <v>216</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LMPGP</v>
      </c>
      <c r="C120" s="49" t="s">
        <v>249</v>
      </c>
      <c r="D120" s="531" t="s">
        <v>260</v>
      </c>
      <c r="E120" s="49" t="s">
        <v>49</v>
      </c>
      <c r="F120" s="534" t="str">
        <f>R.9PRImpName4</f>
        <v xml:space="preserve"> </v>
      </c>
      <c r="G120" s="542">
        <f>R.9PRImpHrs4</f>
        <v>0</v>
      </c>
      <c r="H120" s="543">
        <f>Table3[[#This Row],[Hrs Rank]]</f>
        <v>0</v>
      </c>
      <c r="I120" s="533">
        <f t="shared" si="8"/>
        <v>0</v>
      </c>
      <c r="J120" s="533">
        <f t="shared" si="9"/>
        <v>0</v>
      </c>
      <c r="K120" s="545"/>
      <c r="L120" s="545"/>
      <c r="M120" s="546" t="s">
        <v>216</v>
      </c>
      <c r="N120" s="546" t="s">
        <v>216</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LMPGP</v>
      </c>
      <c r="C121" s="49" t="s">
        <v>249</v>
      </c>
      <c r="D121" s="531" t="s">
        <v>102</v>
      </c>
      <c r="E121" s="49" t="s">
        <v>50</v>
      </c>
      <c r="F121" s="534" t="str">
        <f>R.9WebDevName1</f>
        <v>Michelle Thompson</v>
      </c>
      <c r="G121" s="542">
        <f>R.9WebDevHrs1</f>
        <v>1</v>
      </c>
      <c r="H121" s="543">
        <f>Table3[[#This Row],[Hrs Rank]]</f>
        <v>1</v>
      </c>
      <c r="I121" s="533">
        <f t="shared" si="8"/>
        <v>1</v>
      </c>
      <c r="J121" s="533">
        <f t="shared" si="9"/>
        <v>8</v>
      </c>
      <c r="K121" s="545"/>
      <c r="L121" s="545"/>
      <c r="M121" s="546" t="s">
        <v>216</v>
      </c>
      <c r="N121" s="546" t="s">
        <v>216</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LMPGP</v>
      </c>
      <c r="C122" s="49" t="s">
        <v>249</v>
      </c>
      <c r="D122" s="531" t="s">
        <v>102</v>
      </c>
      <c r="E122" s="49" t="s">
        <v>50</v>
      </c>
      <c r="F122" s="534" t="str">
        <f>R.9WebDevName2</f>
        <v xml:space="preserve"> </v>
      </c>
      <c r="G122" s="542">
        <f>R.9WebDevHrs2</f>
        <v>0</v>
      </c>
      <c r="H122" s="543">
        <f>Table3[[#This Row],[Hrs Rank]]</f>
        <v>0</v>
      </c>
      <c r="I122" s="533">
        <f t="shared" si="8"/>
        <v>0</v>
      </c>
      <c r="J122" s="533">
        <f t="shared" si="9"/>
        <v>0</v>
      </c>
      <c r="K122" s="545"/>
      <c r="L122" s="545"/>
      <c r="M122" s="546" t="s">
        <v>216</v>
      </c>
      <c r="N122" s="546" t="s">
        <v>216</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LMPGP</v>
      </c>
      <c r="C123" s="49" t="s">
        <v>249</v>
      </c>
      <c r="D123" s="531" t="s">
        <v>102</v>
      </c>
      <c r="E123" s="49" t="s">
        <v>50</v>
      </c>
      <c r="F123" s="534" t="str">
        <f>R.9WebDevName3</f>
        <v xml:space="preserve"> </v>
      </c>
      <c r="G123" s="542">
        <f>R.9WebDevHrs3</f>
        <v>0</v>
      </c>
      <c r="H123" s="543">
        <f>Table3[[#This Row],[Hrs Rank]]</f>
        <v>0</v>
      </c>
      <c r="I123" s="533">
        <f t="shared" si="8"/>
        <v>0</v>
      </c>
      <c r="J123" s="533">
        <f t="shared" si="9"/>
        <v>0</v>
      </c>
      <c r="K123" s="545"/>
      <c r="L123" s="545"/>
      <c r="M123" s="546" t="s">
        <v>216</v>
      </c>
      <c r="N123" s="546" t="s">
        <v>216</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LMPGP</v>
      </c>
      <c r="C124" s="49" t="s">
        <v>249</v>
      </c>
      <c r="D124" s="531" t="s">
        <v>102</v>
      </c>
      <c r="E124" s="49" t="s">
        <v>50</v>
      </c>
      <c r="F124" s="534" t="str">
        <f>R.9WebDevName4</f>
        <v xml:space="preserve"> </v>
      </c>
      <c r="G124" s="542">
        <f>R.9WebDevHrs4</f>
        <v>0</v>
      </c>
      <c r="H124" s="543">
        <f>Table3[[#This Row],[Hrs Rank]]</f>
        <v>0</v>
      </c>
      <c r="I124" s="533">
        <f t="shared" si="8"/>
        <v>0</v>
      </c>
      <c r="J124" s="533">
        <f t="shared" si="9"/>
        <v>0</v>
      </c>
      <c r="K124" s="545"/>
      <c r="L124" s="545"/>
      <c r="M124" s="546" t="s">
        <v>216</v>
      </c>
      <c r="N124" s="546" t="s">
        <v>216</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LMPGP</v>
      </c>
      <c r="C125" s="49" t="s">
        <v>249</v>
      </c>
      <c r="D125" s="531" t="s">
        <v>102</v>
      </c>
      <c r="E125" s="49" t="s">
        <v>49</v>
      </c>
      <c r="F125" s="534" t="str">
        <f>R.9WebImpName1</f>
        <v>Michelle Thompson</v>
      </c>
      <c r="G125" s="542">
        <f>R.9WebImpHrs1</f>
        <v>1</v>
      </c>
      <c r="H125" s="543">
        <f>Table3[[#This Row],[Hrs Rank]]</f>
        <v>1</v>
      </c>
      <c r="I125" s="533">
        <f t="shared" si="8"/>
        <v>1</v>
      </c>
      <c r="J125" s="533">
        <f t="shared" si="9"/>
        <v>8</v>
      </c>
      <c r="K125" s="545"/>
      <c r="L125" s="545"/>
      <c r="M125" s="546" t="s">
        <v>216</v>
      </c>
      <c r="N125" s="546" t="s">
        <v>216</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LMPGP</v>
      </c>
      <c r="C126" s="49" t="s">
        <v>249</v>
      </c>
      <c r="D126" s="531" t="s">
        <v>102</v>
      </c>
      <c r="E126" s="49" t="s">
        <v>49</v>
      </c>
      <c r="F126" s="534" t="str">
        <f>R.9WebImpName2</f>
        <v xml:space="preserve"> </v>
      </c>
      <c r="G126" s="542">
        <f>R.9WebImpHrs2</f>
        <v>0</v>
      </c>
      <c r="H126" s="543">
        <f>Table3[[#This Row],[Hrs Rank]]</f>
        <v>0</v>
      </c>
      <c r="I126" s="533">
        <f t="shared" si="8"/>
        <v>0</v>
      </c>
      <c r="J126" s="533">
        <f t="shared" si="9"/>
        <v>0</v>
      </c>
      <c r="K126" s="545"/>
      <c r="L126" s="545"/>
      <c r="M126" s="546" t="s">
        <v>216</v>
      </c>
      <c r="N126" s="546" t="s">
        <v>216</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LMPGP</v>
      </c>
      <c r="C127" s="49" t="s">
        <v>249</v>
      </c>
      <c r="D127" s="531" t="s">
        <v>102</v>
      </c>
      <c r="E127" s="49" t="s">
        <v>49</v>
      </c>
      <c r="F127" s="534" t="str">
        <f>R.9WebImpName3</f>
        <v xml:space="preserve"> </v>
      </c>
      <c r="G127" s="542">
        <f>R.9WebImpHrs3</f>
        <v>0</v>
      </c>
      <c r="H127" s="543">
        <f>Table3[[#This Row],[Hrs Rank]]</f>
        <v>0</v>
      </c>
      <c r="I127" s="533">
        <f t="shared" si="8"/>
        <v>0</v>
      </c>
      <c r="J127" s="533">
        <f t="shared" si="9"/>
        <v>0</v>
      </c>
      <c r="K127" s="545"/>
      <c r="L127" s="545"/>
      <c r="M127" s="546" t="s">
        <v>216</v>
      </c>
      <c r="N127" s="546" t="s">
        <v>216</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LMPGP</v>
      </c>
      <c r="C128" s="49" t="s">
        <v>249</v>
      </c>
      <c r="D128" s="531" t="s">
        <v>102</v>
      </c>
      <c r="E128" s="49" t="s">
        <v>49</v>
      </c>
      <c r="F128" s="534" t="str">
        <f>R.9WebImpName4</f>
        <v xml:space="preserve"> </v>
      </c>
      <c r="G128" s="542">
        <f>R.9WebImpHrs4</f>
        <v>0</v>
      </c>
      <c r="H128" s="543">
        <f>Table3[[#This Row],[Hrs Rank]]</f>
        <v>0</v>
      </c>
      <c r="I128" s="533">
        <f t="shared" si="8"/>
        <v>0</v>
      </c>
      <c r="J128" s="533">
        <f t="shared" si="9"/>
        <v>0</v>
      </c>
      <c r="K128" s="545"/>
      <c r="L128" s="545"/>
      <c r="M128" s="546" t="s">
        <v>216</v>
      </c>
      <c r="N128" s="546" t="s">
        <v>216</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LMPGP</v>
      </c>
      <c r="C129" s="49" t="s">
        <v>250</v>
      </c>
      <c r="D129" s="531" t="s">
        <v>138</v>
      </c>
      <c r="E129" s="49" t="s">
        <v>50</v>
      </c>
      <c r="F129" s="534">
        <f>R.10HRDevName1</f>
        <v>0</v>
      </c>
      <c r="G129" s="542">
        <f>R.10HRDevHrs1</f>
        <v>0</v>
      </c>
      <c r="H129" s="543">
        <f>Table3[[#This Row],[Hrs Rank]]</f>
        <v>0</v>
      </c>
      <c r="I129" s="533">
        <f t="shared" si="8"/>
        <v>0</v>
      </c>
      <c r="J129" s="533">
        <f t="shared" si="9"/>
        <v>0</v>
      </c>
      <c r="K129" s="545"/>
      <c r="L129" s="545"/>
      <c r="M129" s="546" t="s">
        <v>216</v>
      </c>
      <c r="N129" s="546" t="s">
        <v>216</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LMPGP</v>
      </c>
      <c r="C130" s="49" t="s">
        <v>250</v>
      </c>
      <c r="D130" s="531" t="s">
        <v>138</v>
      </c>
      <c r="E130" s="49" t="s">
        <v>50</v>
      </c>
      <c r="F130" s="534">
        <f>R.10HRDevName2</f>
        <v>0</v>
      </c>
      <c r="G130" s="542">
        <f>R.10HRDevHrs2</f>
        <v>0</v>
      </c>
      <c r="H130" s="543">
        <f>Table3[[#This Row],[Hrs Rank]]</f>
        <v>0</v>
      </c>
      <c r="I130" s="533">
        <f t="shared" si="8"/>
        <v>0</v>
      </c>
      <c r="J130" s="533">
        <f t="shared" si="9"/>
        <v>0</v>
      </c>
      <c r="K130" s="545"/>
      <c r="L130" s="545"/>
      <c r="M130" s="546" t="s">
        <v>216</v>
      </c>
      <c r="N130" s="546" t="s">
        <v>216</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LMPGP</v>
      </c>
      <c r="C131" s="49" t="s">
        <v>250</v>
      </c>
      <c r="D131" s="531" t="s">
        <v>138</v>
      </c>
      <c r="E131" s="49" t="s">
        <v>50</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216</v>
      </c>
      <c r="N131" s="546" t="s">
        <v>216</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LMPGP</v>
      </c>
      <c r="C132" s="49" t="s">
        <v>250</v>
      </c>
      <c r="D132" s="531" t="s">
        <v>138</v>
      </c>
      <c r="E132" s="49" t="s">
        <v>50</v>
      </c>
      <c r="F132" s="534" t="str">
        <f>R.10HRDevName4</f>
        <v xml:space="preserve"> </v>
      </c>
      <c r="G132" s="542">
        <f>R.10HRDevHrs4</f>
        <v>0</v>
      </c>
      <c r="H132" s="543">
        <f>Table3[[#This Row],[Hrs Rank]]</f>
        <v>0</v>
      </c>
      <c r="I132" s="533">
        <f t="shared" si="14"/>
        <v>0</v>
      </c>
      <c r="J132" s="533">
        <f t="shared" si="15"/>
        <v>0</v>
      </c>
      <c r="K132" s="545"/>
      <c r="L132" s="545"/>
      <c r="M132" s="546" t="s">
        <v>216</v>
      </c>
      <c r="N132" s="546" t="s">
        <v>216</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LMPGP</v>
      </c>
      <c r="C133" s="49" t="s">
        <v>250</v>
      </c>
      <c r="D133" s="531" t="s">
        <v>138</v>
      </c>
      <c r="E133" s="49" t="s">
        <v>49</v>
      </c>
      <c r="F133" s="534">
        <f>R.10HRImpName1</f>
        <v>0</v>
      </c>
      <c r="G133" s="542">
        <f>R.10HRImpHrs1</f>
        <v>0</v>
      </c>
      <c r="H133" s="543">
        <f>Table3[[#This Row],[Hrs Rank]]</f>
        <v>0</v>
      </c>
      <c r="I133" s="533">
        <f t="shared" si="14"/>
        <v>0</v>
      </c>
      <c r="J133" s="533">
        <f t="shared" si="15"/>
        <v>0</v>
      </c>
      <c r="K133" s="545"/>
      <c r="L133" s="545"/>
      <c r="M133" s="546" t="s">
        <v>216</v>
      </c>
      <c r="N133" s="546" t="s">
        <v>216</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LMPGP</v>
      </c>
      <c r="C134" s="49" t="s">
        <v>250</v>
      </c>
      <c r="D134" s="531" t="s">
        <v>138</v>
      </c>
      <c r="E134" s="49" t="s">
        <v>49</v>
      </c>
      <c r="F134" s="534" t="str">
        <f>R.10HRImpName2</f>
        <v xml:space="preserve"> </v>
      </c>
      <c r="G134" s="542">
        <f>R.10HRImpHrs2</f>
        <v>0</v>
      </c>
      <c r="H134" s="543">
        <f>Table3[[#This Row],[Hrs Rank]]</f>
        <v>0</v>
      </c>
      <c r="I134" s="533">
        <f t="shared" si="14"/>
        <v>0</v>
      </c>
      <c r="J134" s="533">
        <f t="shared" si="15"/>
        <v>0</v>
      </c>
      <c r="K134" s="545"/>
      <c r="L134" s="545"/>
      <c r="M134" s="546" t="s">
        <v>216</v>
      </c>
      <c r="N134" s="546" t="s">
        <v>216</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LMPGP</v>
      </c>
      <c r="C135" s="49" t="s">
        <v>250</v>
      </c>
      <c r="D135" s="531" t="s">
        <v>138</v>
      </c>
      <c r="E135" s="49" t="s">
        <v>49</v>
      </c>
      <c r="F135" s="534" t="str">
        <f>R.10HRImpName3</f>
        <v xml:space="preserve"> </v>
      </c>
      <c r="G135" s="542">
        <f>R.10HRImpHrs3</f>
        <v>0</v>
      </c>
      <c r="H135" s="543">
        <f>Table3[[#This Row],[Hrs Rank]]</f>
        <v>0</v>
      </c>
      <c r="I135" s="533">
        <f t="shared" si="14"/>
        <v>0</v>
      </c>
      <c r="J135" s="533">
        <f t="shared" si="15"/>
        <v>0</v>
      </c>
      <c r="K135" s="545"/>
      <c r="L135" s="545"/>
      <c r="M135" s="546" t="s">
        <v>216</v>
      </c>
      <c r="N135" s="546" t="s">
        <v>216</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LMPGP</v>
      </c>
      <c r="C136" s="49" t="s">
        <v>250</v>
      </c>
      <c r="D136" s="531" t="s">
        <v>138</v>
      </c>
      <c r="E136" s="49" t="s">
        <v>49</v>
      </c>
      <c r="F136" s="534" t="str">
        <f>R.10HRImpName4</f>
        <v xml:space="preserve"> </v>
      </c>
      <c r="G136" s="542">
        <f>R.10HRImpHrs4</f>
        <v>0</v>
      </c>
      <c r="H136" s="543">
        <f>Table3[[#This Row],[Hrs Rank]]</f>
        <v>0</v>
      </c>
      <c r="I136" s="533">
        <f t="shared" si="14"/>
        <v>0</v>
      </c>
      <c r="J136" s="533">
        <f t="shared" si="15"/>
        <v>0</v>
      </c>
      <c r="K136" s="545"/>
      <c r="L136" s="545"/>
      <c r="M136" s="546" t="s">
        <v>216</v>
      </c>
      <c r="N136" s="546" t="s">
        <v>216</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LMPGP</v>
      </c>
      <c r="C137" s="49" t="s">
        <v>250</v>
      </c>
      <c r="D137" s="531" t="s">
        <v>137</v>
      </c>
      <c r="E137" s="49" t="s">
        <v>50</v>
      </c>
      <c r="F137" s="534">
        <f>R.10PolicyDevName1</f>
        <v>0</v>
      </c>
      <c r="G137" s="542">
        <f>R.10PolicyDevHrs1</f>
        <v>0</v>
      </c>
      <c r="H137" s="543">
        <f>Table3[[#This Row],[Hrs Rank]]</f>
        <v>0</v>
      </c>
      <c r="I137" s="533">
        <f t="shared" si="14"/>
        <v>0</v>
      </c>
      <c r="J137" s="533">
        <f t="shared" si="15"/>
        <v>0</v>
      </c>
      <c r="K137" s="545"/>
      <c r="L137" s="545"/>
      <c r="M137" s="546" t="s">
        <v>216</v>
      </c>
      <c r="N137" s="546" t="s">
        <v>216</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LMPGP</v>
      </c>
      <c r="C138" s="49" t="s">
        <v>250</v>
      </c>
      <c r="D138" s="531" t="s">
        <v>137</v>
      </c>
      <c r="E138" s="49" t="s">
        <v>50</v>
      </c>
      <c r="F138" s="534" t="str">
        <f>R.10PolicyDevName2</f>
        <v xml:space="preserve"> </v>
      </c>
      <c r="G138" s="542">
        <f>R.10PolicyDevHrs2</f>
        <v>0</v>
      </c>
      <c r="H138" s="543">
        <f>Table3[[#This Row],[Hrs Rank]]</f>
        <v>0</v>
      </c>
      <c r="I138" s="533">
        <f t="shared" si="14"/>
        <v>0</v>
      </c>
      <c r="J138" s="533">
        <f t="shared" si="15"/>
        <v>0</v>
      </c>
      <c r="K138" s="545"/>
      <c r="L138" s="545"/>
      <c r="M138" s="546" t="s">
        <v>216</v>
      </c>
      <c r="N138" s="546" t="s">
        <v>216</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LMPGP</v>
      </c>
      <c r="C139" s="49" t="s">
        <v>250</v>
      </c>
      <c r="D139" s="531" t="s">
        <v>137</v>
      </c>
      <c r="E139" s="49" t="s">
        <v>50</v>
      </c>
      <c r="F139" s="534" t="str">
        <f>R.10PolicyDevName3</f>
        <v xml:space="preserve"> </v>
      </c>
      <c r="G139" s="542">
        <f>R.10PolicyDevHrs3</f>
        <v>0</v>
      </c>
      <c r="H139" s="543">
        <f>Table3[[#This Row],[Hrs Rank]]</f>
        <v>0</v>
      </c>
      <c r="I139" s="533">
        <f t="shared" si="14"/>
        <v>0</v>
      </c>
      <c r="J139" s="533">
        <f t="shared" si="15"/>
        <v>0</v>
      </c>
      <c r="K139" s="545"/>
      <c r="L139" s="545"/>
      <c r="M139" s="546" t="s">
        <v>216</v>
      </c>
      <c r="N139" s="546" t="s">
        <v>216</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LMPGP</v>
      </c>
      <c r="C140" s="49" t="s">
        <v>250</v>
      </c>
      <c r="D140" s="531" t="s">
        <v>137</v>
      </c>
      <c r="E140" s="49" t="s">
        <v>50</v>
      </c>
      <c r="F140" s="534" t="str">
        <f>R.10PolicyDevName4</f>
        <v xml:space="preserve"> </v>
      </c>
      <c r="G140" s="542">
        <f>R.10PolicyDevHrs4</f>
        <v>0</v>
      </c>
      <c r="H140" s="543">
        <f>Table3[[#This Row],[Hrs Rank]]</f>
        <v>0</v>
      </c>
      <c r="I140" s="533">
        <f t="shared" si="14"/>
        <v>0</v>
      </c>
      <c r="J140" s="533">
        <f t="shared" si="15"/>
        <v>0</v>
      </c>
      <c r="K140" s="545"/>
      <c r="L140" s="545"/>
      <c r="M140" s="546" t="s">
        <v>216</v>
      </c>
      <c r="N140" s="546" t="s">
        <v>216</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LMPGP</v>
      </c>
      <c r="C141" s="49" t="s">
        <v>250</v>
      </c>
      <c r="D141" s="531" t="s">
        <v>137</v>
      </c>
      <c r="E141" s="49" t="s">
        <v>49</v>
      </c>
      <c r="F141" s="534">
        <f>R.10PolicyImpName1</f>
        <v>0</v>
      </c>
      <c r="G141" s="542">
        <f>R.10PolicyImpHrs1</f>
        <v>0</v>
      </c>
      <c r="H141" s="543">
        <f>Table3[[#This Row],[Hrs Rank]]</f>
        <v>0</v>
      </c>
      <c r="I141" s="533">
        <f t="shared" si="14"/>
        <v>0</v>
      </c>
      <c r="J141" s="533">
        <f t="shared" si="15"/>
        <v>0</v>
      </c>
      <c r="K141" s="545"/>
      <c r="L141" s="545"/>
      <c r="M141" s="546" t="s">
        <v>216</v>
      </c>
      <c r="N141" s="546" t="s">
        <v>216</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LMPGP</v>
      </c>
      <c r="C142" s="49" t="s">
        <v>250</v>
      </c>
      <c r="D142" s="531" t="s">
        <v>137</v>
      </c>
      <c r="E142" s="49" t="s">
        <v>49</v>
      </c>
      <c r="F142" s="534" t="str">
        <f>R.10PolicyImpName2</f>
        <v xml:space="preserve"> </v>
      </c>
      <c r="G142" s="542">
        <f>R.10PolicyImpHrs2</f>
        <v>0</v>
      </c>
      <c r="H142" s="543">
        <f>Table3[[#This Row],[Hrs Rank]]</f>
        <v>0</v>
      </c>
      <c r="I142" s="533">
        <f t="shared" si="14"/>
        <v>0</v>
      </c>
      <c r="J142" s="533">
        <f t="shared" si="15"/>
        <v>0</v>
      </c>
      <c r="K142" s="545"/>
      <c r="L142" s="545"/>
      <c r="M142" s="546" t="s">
        <v>216</v>
      </c>
      <c r="N142" s="546" t="s">
        <v>216</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LMPGP</v>
      </c>
      <c r="C143" s="49" t="s">
        <v>250</v>
      </c>
      <c r="D143" s="531" t="s">
        <v>137</v>
      </c>
      <c r="E143" s="49" t="s">
        <v>49</v>
      </c>
      <c r="F143" s="534" t="str">
        <f>R.10PolicyImpName3</f>
        <v xml:space="preserve"> </v>
      </c>
      <c r="G143" s="542">
        <f>R.10PolicyImpHrs3</f>
        <v>0</v>
      </c>
      <c r="H143" s="543">
        <f>Table3[[#This Row],[Hrs Rank]]</f>
        <v>0</v>
      </c>
      <c r="I143" s="533">
        <f t="shared" si="14"/>
        <v>0</v>
      </c>
      <c r="J143" s="533">
        <f t="shared" si="15"/>
        <v>0</v>
      </c>
      <c r="K143" s="545"/>
      <c r="L143" s="545"/>
      <c r="M143" s="546" t="s">
        <v>216</v>
      </c>
      <c r="N143" s="546" t="s">
        <v>216</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LMPGP</v>
      </c>
      <c r="C144" s="49" t="s">
        <v>250</v>
      </c>
      <c r="D144" s="531" t="s">
        <v>137</v>
      </c>
      <c r="E144" s="49" t="s">
        <v>49</v>
      </c>
      <c r="F144" s="534" t="str">
        <f>R.10PolicyImpName4</f>
        <v xml:space="preserve"> </v>
      </c>
      <c r="G144" s="542">
        <f>R.10PolicyImpHrs4</f>
        <v>0</v>
      </c>
      <c r="H144" s="543">
        <f>Table3[[#This Row],[Hrs Rank]]</f>
        <v>0</v>
      </c>
      <c r="I144" s="533">
        <f t="shared" si="14"/>
        <v>0</v>
      </c>
      <c r="J144" s="533">
        <f t="shared" si="15"/>
        <v>0</v>
      </c>
      <c r="K144" s="545"/>
      <c r="L144" s="545"/>
      <c r="M144" s="546" t="s">
        <v>216</v>
      </c>
      <c r="N144" s="546" t="s">
        <v>216</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LMPGP</v>
      </c>
      <c r="C145" s="49" t="s">
        <v>250</v>
      </c>
      <c r="D145" s="531" t="s">
        <v>136</v>
      </c>
      <c r="E145" s="49" t="s">
        <v>50</v>
      </c>
      <c r="F145" s="534" t="str">
        <f>R.10SafetyDevName1</f>
        <v xml:space="preserve"> </v>
      </c>
      <c r="G145" s="542">
        <f>R.10SafetyDevHrs1</f>
        <v>0</v>
      </c>
      <c r="H145" s="543">
        <f>Table3[[#This Row],[Hrs Rank]]</f>
        <v>0</v>
      </c>
      <c r="I145" s="533">
        <f t="shared" si="14"/>
        <v>0</v>
      </c>
      <c r="J145" s="533">
        <f t="shared" si="15"/>
        <v>0</v>
      </c>
      <c r="K145" s="545"/>
      <c r="L145" s="545"/>
      <c r="M145" s="546" t="s">
        <v>216</v>
      </c>
      <c r="N145" s="546" t="s">
        <v>216</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LMPGP</v>
      </c>
      <c r="C146" s="49" t="s">
        <v>250</v>
      </c>
      <c r="D146" s="531" t="s">
        <v>136</v>
      </c>
      <c r="E146" s="49" t="s">
        <v>50</v>
      </c>
      <c r="F146" s="534" t="str">
        <f>R.10SafetyDevName2</f>
        <v xml:space="preserve"> </v>
      </c>
      <c r="G146" s="542">
        <f>R.10SafetyDevHrs2</f>
        <v>0</v>
      </c>
      <c r="H146" s="543">
        <f>Table3[[#This Row],[Hrs Rank]]</f>
        <v>0</v>
      </c>
      <c r="I146" s="533">
        <f t="shared" si="14"/>
        <v>0</v>
      </c>
      <c r="J146" s="533">
        <f t="shared" si="15"/>
        <v>0</v>
      </c>
      <c r="K146" s="545"/>
      <c r="L146" s="545"/>
      <c r="M146" s="546" t="s">
        <v>216</v>
      </c>
      <c r="N146" s="546" t="s">
        <v>216</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LMPGP</v>
      </c>
      <c r="C147" s="49" t="s">
        <v>250</v>
      </c>
      <c r="D147" s="531" t="s">
        <v>136</v>
      </c>
      <c r="E147" s="49" t="s">
        <v>50</v>
      </c>
      <c r="F147" s="534" t="str">
        <f>R.10SafetyDevName3</f>
        <v xml:space="preserve"> </v>
      </c>
      <c r="G147" s="542">
        <f>R.10SafetyDevHrs3</f>
        <v>0</v>
      </c>
      <c r="H147" s="543">
        <f>Table3[[#This Row],[Hrs Rank]]</f>
        <v>0</v>
      </c>
      <c r="I147" s="533">
        <f t="shared" si="14"/>
        <v>0</v>
      </c>
      <c r="J147" s="533">
        <f t="shared" si="15"/>
        <v>0</v>
      </c>
      <c r="K147" s="545"/>
      <c r="L147" s="545"/>
      <c r="M147" s="546" t="s">
        <v>216</v>
      </c>
      <c r="N147" s="546" t="s">
        <v>216</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LMPGP</v>
      </c>
      <c r="C148" s="49" t="s">
        <v>250</v>
      </c>
      <c r="D148" s="531" t="s">
        <v>136</v>
      </c>
      <c r="E148" s="49" t="s">
        <v>50</v>
      </c>
      <c r="F148" s="534" t="str">
        <f>R.10SafetyDevName4</f>
        <v xml:space="preserve"> </v>
      </c>
      <c r="G148" s="542">
        <f>R.10SafetyDevHrs4</f>
        <v>0</v>
      </c>
      <c r="H148" s="543">
        <f>Table3[[#This Row],[Hrs Rank]]</f>
        <v>0</v>
      </c>
      <c r="I148" s="533">
        <f t="shared" si="14"/>
        <v>0</v>
      </c>
      <c r="J148" s="533">
        <f t="shared" si="15"/>
        <v>0</v>
      </c>
      <c r="K148" s="545"/>
      <c r="L148" s="545"/>
      <c r="M148" s="546" t="s">
        <v>216</v>
      </c>
      <c r="N148" s="546" t="s">
        <v>216</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LMPGP</v>
      </c>
      <c r="C149" s="49" t="s">
        <v>250</v>
      </c>
      <c r="D149" s="531" t="s">
        <v>136</v>
      </c>
      <c r="E149" s="49" t="s">
        <v>49</v>
      </c>
      <c r="F149" s="534" t="str">
        <f>R.10SafetyImpName1</f>
        <v xml:space="preserve"> </v>
      </c>
      <c r="G149" s="542">
        <f>R.10SafetyImpHrs1</f>
        <v>0</v>
      </c>
      <c r="H149" s="543">
        <f>Table3[[#This Row],[Hrs Rank]]</f>
        <v>0</v>
      </c>
      <c r="I149" s="533">
        <f t="shared" si="14"/>
        <v>0</v>
      </c>
      <c r="J149" s="533">
        <f t="shared" si="15"/>
        <v>0</v>
      </c>
      <c r="K149" s="545"/>
      <c r="L149" s="545"/>
      <c r="M149" s="546" t="s">
        <v>216</v>
      </c>
      <c r="N149" s="546" t="s">
        <v>216</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LMPGP</v>
      </c>
      <c r="C150" s="49" t="s">
        <v>250</v>
      </c>
      <c r="D150" s="531" t="s">
        <v>136</v>
      </c>
      <c r="E150" s="49" t="s">
        <v>49</v>
      </c>
      <c r="F150" s="534" t="str">
        <f>R.10SafetyImpName2</f>
        <v xml:space="preserve"> </v>
      </c>
      <c r="G150" s="542">
        <f>R.10SafetyImpHrs2</f>
        <v>0</v>
      </c>
      <c r="H150" s="543">
        <f>Table3[[#This Row],[Hrs Rank]]</f>
        <v>0</v>
      </c>
      <c r="I150" s="533">
        <f t="shared" si="14"/>
        <v>0</v>
      </c>
      <c r="J150" s="533">
        <f t="shared" si="15"/>
        <v>0</v>
      </c>
      <c r="K150" s="545"/>
      <c r="L150" s="545"/>
      <c r="M150" s="546" t="s">
        <v>216</v>
      </c>
      <c r="N150" s="546" t="s">
        <v>216</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LMPGP</v>
      </c>
      <c r="C151" s="49" t="s">
        <v>250</v>
      </c>
      <c r="D151" s="531" t="s">
        <v>136</v>
      </c>
      <c r="E151" s="49" t="s">
        <v>49</v>
      </c>
      <c r="F151" s="534">
        <f>R.10SafetyImpName3</f>
        <v>0</v>
      </c>
      <c r="G151" s="542">
        <f>R.10SafetyImpHrs3</f>
        <v>0</v>
      </c>
      <c r="H151" s="543">
        <f>Table3[[#This Row],[Hrs Rank]]</f>
        <v>0</v>
      </c>
      <c r="I151" s="533">
        <f t="shared" si="14"/>
        <v>0</v>
      </c>
      <c r="J151" s="533">
        <f t="shared" si="15"/>
        <v>0</v>
      </c>
      <c r="K151" s="545"/>
      <c r="L151" s="545"/>
      <c r="M151" s="546" t="s">
        <v>216</v>
      </c>
      <c r="N151" s="546" t="s">
        <v>216</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LMPGP</v>
      </c>
      <c r="C152" s="49" t="s">
        <v>250</v>
      </c>
      <c r="D152" s="531" t="s">
        <v>136</v>
      </c>
      <c r="E152" s="49" t="s">
        <v>49</v>
      </c>
      <c r="F152" s="534" t="str">
        <f>R.10SafetyImpName4</f>
        <v xml:space="preserve"> </v>
      </c>
      <c r="G152" s="542">
        <f>R.10SafetyImpHrs4</f>
        <v>0</v>
      </c>
      <c r="H152" s="543">
        <f>Table3[[#This Row],[Hrs Rank]]</f>
        <v>0</v>
      </c>
      <c r="I152" s="533">
        <f t="shared" si="14"/>
        <v>0</v>
      </c>
      <c r="J152" s="533">
        <f t="shared" si="15"/>
        <v>0</v>
      </c>
      <c r="K152" s="545"/>
      <c r="L152" s="545"/>
      <c r="M152" s="546" t="s">
        <v>216</v>
      </c>
      <c r="N152" s="546" t="s">
        <v>216</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LMPGP</v>
      </c>
      <c r="C153" s="49" t="s">
        <v>250</v>
      </c>
      <c r="D153" s="531" t="s">
        <v>135</v>
      </c>
      <c r="E153" s="49" t="s">
        <v>50</v>
      </c>
      <c r="F153" s="534">
        <f>R.10TrainingDevName1</f>
        <v>0</v>
      </c>
      <c r="G153" s="542">
        <f>R.10TrainingDevHrs1</f>
        <v>0</v>
      </c>
      <c r="H153" s="543">
        <f>Table3[[#This Row],[Hrs Rank]]</f>
        <v>0</v>
      </c>
      <c r="I153" s="533">
        <f t="shared" si="14"/>
        <v>0</v>
      </c>
      <c r="J153" s="533">
        <f t="shared" si="15"/>
        <v>0</v>
      </c>
      <c r="K153" s="545"/>
      <c r="L153" s="545"/>
      <c r="M153" s="546" t="s">
        <v>216</v>
      </c>
      <c r="N153" s="546" t="s">
        <v>216</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LMPGP</v>
      </c>
      <c r="C154" s="49" t="s">
        <v>250</v>
      </c>
      <c r="D154" s="531" t="s">
        <v>135</v>
      </c>
      <c r="E154" s="49" t="s">
        <v>50</v>
      </c>
      <c r="F154" s="534">
        <f>R.10TrainingDevName2</f>
        <v>0</v>
      </c>
      <c r="G154" s="542">
        <f>R.10TrainingDevHrs2</f>
        <v>0</v>
      </c>
      <c r="H154" s="543">
        <f>Table3[[#This Row],[Hrs Rank]]</f>
        <v>0</v>
      </c>
      <c r="I154" s="533">
        <f t="shared" si="14"/>
        <v>0</v>
      </c>
      <c r="J154" s="533">
        <f t="shared" si="15"/>
        <v>0</v>
      </c>
      <c r="K154" s="545"/>
      <c r="L154" s="545"/>
      <c r="M154" s="546" t="s">
        <v>216</v>
      </c>
      <c r="N154" s="546" t="s">
        <v>216</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LMPGP</v>
      </c>
      <c r="C155" s="49" t="s">
        <v>250</v>
      </c>
      <c r="D155" s="531" t="s">
        <v>135</v>
      </c>
      <c r="E155" s="49" t="s">
        <v>50</v>
      </c>
      <c r="F155" s="534" t="str">
        <f>R.10TrainingDevName3</f>
        <v xml:space="preserve"> </v>
      </c>
      <c r="G155" s="542">
        <f>R.10TrainingDevHrs3</f>
        <v>0</v>
      </c>
      <c r="H155" s="543">
        <f>Table3[[#This Row],[Hrs Rank]]</f>
        <v>0</v>
      </c>
      <c r="I155" s="533">
        <f t="shared" si="14"/>
        <v>0</v>
      </c>
      <c r="J155" s="533">
        <f t="shared" si="15"/>
        <v>0</v>
      </c>
      <c r="K155" s="545"/>
      <c r="L155" s="545"/>
      <c r="M155" s="546" t="s">
        <v>216</v>
      </c>
      <c r="N155" s="546" t="s">
        <v>216</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LMPGP</v>
      </c>
      <c r="C156" s="49" t="s">
        <v>250</v>
      </c>
      <c r="D156" s="531" t="s">
        <v>135</v>
      </c>
      <c r="E156" s="49" t="s">
        <v>50</v>
      </c>
      <c r="F156" s="534" t="str">
        <f>R.10TrainingDevName4</f>
        <v xml:space="preserve"> </v>
      </c>
      <c r="G156" s="542">
        <f>R.10TrainingDevHrs4</f>
        <v>0</v>
      </c>
      <c r="H156" s="543">
        <f>Table3[[#This Row],[Hrs Rank]]</f>
        <v>0</v>
      </c>
      <c r="I156" s="533">
        <f t="shared" si="14"/>
        <v>0</v>
      </c>
      <c r="J156" s="533">
        <f t="shared" si="15"/>
        <v>0</v>
      </c>
      <c r="K156" s="550"/>
      <c r="L156" s="550"/>
      <c r="M156" s="546" t="s">
        <v>216</v>
      </c>
      <c r="N156" s="546" t="s">
        <v>216</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LMPGP</v>
      </c>
      <c r="C157" s="49" t="s">
        <v>250</v>
      </c>
      <c r="D157" s="531" t="s">
        <v>135</v>
      </c>
      <c r="E157" s="49" t="s">
        <v>49</v>
      </c>
      <c r="F157" s="534" t="str">
        <f>R.10TrainingImpName1</f>
        <v xml:space="preserve"> </v>
      </c>
      <c r="G157" s="542">
        <f>R.10TrainingImpHrs1</f>
        <v>0</v>
      </c>
      <c r="H157" s="543">
        <f>Table3[[#This Row],[Hrs Rank]]</f>
        <v>0</v>
      </c>
      <c r="I157" s="533">
        <f t="shared" si="14"/>
        <v>0</v>
      </c>
      <c r="J157" s="533">
        <f t="shared" si="15"/>
        <v>0</v>
      </c>
      <c r="K157" s="550"/>
      <c r="L157" s="550"/>
      <c r="M157" s="546" t="s">
        <v>216</v>
      </c>
      <c r="N157" s="546" t="s">
        <v>216</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LMPGP</v>
      </c>
      <c r="C158" s="49" t="s">
        <v>250</v>
      </c>
      <c r="D158" s="531" t="s">
        <v>135</v>
      </c>
      <c r="E158" s="49" t="s">
        <v>49</v>
      </c>
      <c r="F158" s="534" t="str">
        <f>R.10TrainingImpName2</f>
        <v xml:space="preserve"> </v>
      </c>
      <c r="G158" s="542">
        <f>R.10TrainingImpHrs2</f>
        <v>0</v>
      </c>
      <c r="H158" s="543">
        <f>Table3[[#This Row],[Hrs Rank]]</f>
        <v>0</v>
      </c>
      <c r="I158" s="533">
        <f t="shared" si="14"/>
        <v>0</v>
      </c>
      <c r="J158" s="533">
        <f t="shared" si="15"/>
        <v>0</v>
      </c>
      <c r="K158" s="550"/>
      <c r="L158" s="550"/>
      <c r="M158" s="546" t="s">
        <v>216</v>
      </c>
      <c r="N158" s="546" t="s">
        <v>216</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LMPGP</v>
      </c>
      <c r="C159" s="49" t="s">
        <v>250</v>
      </c>
      <c r="D159" s="531" t="s">
        <v>135</v>
      </c>
      <c r="E159" s="49" t="s">
        <v>49</v>
      </c>
      <c r="F159" s="534" t="str">
        <f>R.10TrainingImpName3</f>
        <v xml:space="preserve"> </v>
      </c>
      <c r="G159" s="542">
        <f>R.10TrainingImpHrs3</f>
        <v>0</v>
      </c>
      <c r="H159" s="543">
        <f>Table3[[#This Row],[Hrs Rank]]</f>
        <v>0</v>
      </c>
      <c r="I159" s="533">
        <f t="shared" si="14"/>
        <v>0</v>
      </c>
      <c r="J159" s="533">
        <f t="shared" si="15"/>
        <v>0</v>
      </c>
      <c r="K159" s="550"/>
      <c r="L159" s="550"/>
      <c r="M159" s="546" t="s">
        <v>216</v>
      </c>
      <c r="N159" s="546" t="s">
        <v>216</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LMPGP</v>
      </c>
      <c r="C160" s="49" t="s">
        <v>250</v>
      </c>
      <c r="D160" s="531" t="s">
        <v>135</v>
      </c>
      <c r="E160" s="49" t="s">
        <v>49</v>
      </c>
      <c r="F160" s="534" t="str">
        <f>R.10TrainingImpName4</f>
        <v xml:space="preserve"> </v>
      </c>
      <c r="G160" s="542">
        <f>R.10TrainingImpHrs4</f>
        <v>0</v>
      </c>
      <c r="H160" s="543">
        <f>Table3[[#This Row],[Hrs Rank]]</f>
        <v>0</v>
      </c>
      <c r="I160" s="533">
        <f t="shared" si="14"/>
        <v>0</v>
      </c>
      <c r="J160" s="533">
        <f t="shared" si="15"/>
        <v>0</v>
      </c>
      <c r="K160" s="550"/>
      <c r="L160" s="550"/>
      <c r="M160" s="546" t="s">
        <v>216</v>
      </c>
      <c r="N160" s="546" t="s">
        <v>216</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LMPGP</v>
      </c>
      <c r="C161" s="49" t="s">
        <v>251</v>
      </c>
      <c r="D161" s="531" t="s">
        <v>261</v>
      </c>
      <c r="E161" s="49" t="s">
        <v>50</v>
      </c>
      <c r="F161" s="534" t="str">
        <f>R.11DivTechDevName1</f>
        <v xml:space="preserve"> </v>
      </c>
      <c r="G161" s="542">
        <f>R.11DivTechDevHrs1</f>
        <v>0</v>
      </c>
      <c r="H161" s="543">
        <f>Table3[[#This Row],[Hrs Rank]]</f>
        <v>0</v>
      </c>
      <c r="I161" s="533">
        <f t="shared" si="14"/>
        <v>0</v>
      </c>
      <c r="J161" s="533">
        <f t="shared" si="15"/>
        <v>0</v>
      </c>
      <c r="K161" s="550"/>
      <c r="L161" s="550"/>
      <c r="M161" s="546" t="s">
        <v>216</v>
      </c>
      <c r="N161" s="546" t="s">
        <v>216</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LMPGP</v>
      </c>
      <c r="C162" s="49" t="s">
        <v>251</v>
      </c>
      <c r="D162" s="531" t="s">
        <v>261</v>
      </c>
      <c r="E162" s="49" t="s">
        <v>50</v>
      </c>
      <c r="F162" s="534" t="str">
        <f>R.11DivTechDevName2</f>
        <v xml:space="preserve"> </v>
      </c>
      <c r="G162" s="542">
        <f>R.11DivTechDevHrs2</f>
        <v>0</v>
      </c>
      <c r="H162" s="543">
        <f>Table3[[#This Row],[Hrs Rank]]</f>
        <v>0</v>
      </c>
      <c r="I162" s="533">
        <f t="shared" si="14"/>
        <v>0</v>
      </c>
      <c r="J162" s="533">
        <f t="shared" si="15"/>
        <v>0</v>
      </c>
      <c r="K162" s="550"/>
      <c r="L162" s="550"/>
      <c r="M162" s="546" t="s">
        <v>216</v>
      </c>
      <c r="N162" s="546" t="s">
        <v>216</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LMPGP</v>
      </c>
      <c r="C163" s="49" t="s">
        <v>251</v>
      </c>
      <c r="D163" s="531" t="s">
        <v>261</v>
      </c>
      <c r="E163" s="49" t="s">
        <v>50</v>
      </c>
      <c r="F163" s="534" t="str">
        <f>R.11DivTechDevName3</f>
        <v xml:space="preserve"> </v>
      </c>
      <c r="G163" s="542">
        <f>R.11DivTechDevHrs3</f>
        <v>0</v>
      </c>
      <c r="H163" s="543">
        <f>Table3[[#This Row],[Hrs Rank]]</f>
        <v>0</v>
      </c>
      <c r="I163" s="533">
        <f t="shared" si="14"/>
        <v>0</v>
      </c>
      <c r="J163" s="533">
        <f t="shared" si="15"/>
        <v>0</v>
      </c>
      <c r="K163" s="550"/>
      <c r="L163" s="550"/>
      <c r="M163" s="546" t="s">
        <v>216</v>
      </c>
      <c r="N163" s="546" t="s">
        <v>216</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LMPGP</v>
      </c>
      <c r="C164" s="49" t="s">
        <v>251</v>
      </c>
      <c r="D164" s="531" t="s">
        <v>261</v>
      </c>
      <c r="E164" s="49" t="s">
        <v>50</v>
      </c>
      <c r="F164" s="534">
        <f>R.11DivTechDevName4</f>
        <v>0</v>
      </c>
      <c r="G164" s="542">
        <f>R.11DivTechDevHrs4</f>
        <v>0</v>
      </c>
      <c r="H164" s="543">
        <f>Table3[[#This Row],[Hrs Rank]]</f>
        <v>0</v>
      </c>
      <c r="I164" s="533">
        <f t="shared" si="14"/>
        <v>0</v>
      </c>
      <c r="J164" s="533">
        <f t="shared" si="15"/>
        <v>0</v>
      </c>
      <c r="K164" s="550"/>
      <c r="L164" s="550"/>
      <c r="M164" s="546" t="s">
        <v>216</v>
      </c>
      <c r="N164" s="546" t="s">
        <v>216</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LMPGP</v>
      </c>
      <c r="C165" s="49" t="s">
        <v>251</v>
      </c>
      <c r="D165" s="531" t="s">
        <v>261</v>
      </c>
      <c r="E165" s="49" t="s">
        <v>49</v>
      </c>
      <c r="F165" s="534" t="str">
        <f>R.11DivTechImpName1</f>
        <v xml:space="preserve"> </v>
      </c>
      <c r="G165" s="542">
        <f>R.11DivTechImpHrs1</f>
        <v>0</v>
      </c>
      <c r="H165" s="543">
        <f>Table3[[#This Row],[Hrs Rank]]</f>
        <v>0</v>
      </c>
      <c r="I165" s="533">
        <f t="shared" si="14"/>
        <v>0</v>
      </c>
      <c r="J165" s="533">
        <f t="shared" si="15"/>
        <v>0</v>
      </c>
      <c r="K165" s="550"/>
      <c r="L165" s="550"/>
      <c r="M165" s="546" t="s">
        <v>216</v>
      </c>
      <c r="N165" s="546" t="s">
        <v>216</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LMPGP</v>
      </c>
      <c r="C166" s="49" t="s">
        <v>251</v>
      </c>
      <c r="D166" s="531" t="s">
        <v>261</v>
      </c>
      <c r="E166" s="49" t="s">
        <v>49</v>
      </c>
      <c r="F166" s="534">
        <f>R.11DivTechImpName2</f>
        <v>0</v>
      </c>
      <c r="G166" s="542">
        <f>R.11DivTechImpHrs2</f>
        <v>0</v>
      </c>
      <c r="H166" s="543">
        <f>Table3[[#This Row],[Hrs Rank]]</f>
        <v>0</v>
      </c>
      <c r="I166" s="533">
        <f t="shared" si="14"/>
        <v>0</v>
      </c>
      <c r="J166" s="533">
        <f t="shared" si="15"/>
        <v>0</v>
      </c>
      <c r="K166" s="550"/>
      <c r="L166" s="550"/>
      <c r="M166" s="546" t="s">
        <v>216</v>
      </c>
      <c r="N166" s="546" t="s">
        <v>216</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LMPGP</v>
      </c>
      <c r="C167" s="49" t="s">
        <v>251</v>
      </c>
      <c r="D167" s="531" t="s">
        <v>261</v>
      </c>
      <c r="E167" s="49" t="s">
        <v>49</v>
      </c>
      <c r="F167" s="534" t="str">
        <f>R.11DivTechImpName3</f>
        <v xml:space="preserve"> </v>
      </c>
      <c r="G167" s="542">
        <f>R.11DivTechImpHrs3</f>
        <v>0</v>
      </c>
      <c r="H167" s="543">
        <f>Table3[[#This Row],[Hrs Rank]]</f>
        <v>0</v>
      </c>
      <c r="I167" s="533">
        <f t="shared" si="14"/>
        <v>0</v>
      </c>
      <c r="J167" s="533">
        <f t="shared" si="15"/>
        <v>0</v>
      </c>
      <c r="K167" s="550"/>
      <c r="L167" s="550"/>
      <c r="M167" s="546" t="s">
        <v>216</v>
      </c>
      <c r="N167" s="546" t="s">
        <v>216</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LMPGP</v>
      </c>
      <c r="C168" s="49" t="s">
        <v>251</v>
      </c>
      <c r="D168" s="531" t="s">
        <v>261</v>
      </c>
      <c r="E168" s="49" t="s">
        <v>49</v>
      </c>
      <c r="F168" s="534" t="str">
        <f>R.11DivTechImpName4</f>
        <v xml:space="preserve"> </v>
      </c>
      <c r="G168" s="542">
        <f>R.11DivTechImpHrs4</f>
        <v>0</v>
      </c>
      <c r="H168" s="543">
        <f>Table3[[#This Row],[Hrs Rank]]</f>
        <v>0</v>
      </c>
      <c r="I168" s="533">
        <f t="shared" si="14"/>
        <v>0</v>
      </c>
      <c r="J168" s="533">
        <f t="shared" si="15"/>
        <v>0</v>
      </c>
      <c r="K168" s="550"/>
      <c r="L168" s="550"/>
      <c r="M168" s="546" t="s">
        <v>216</v>
      </c>
      <c r="N168" s="546" t="s">
        <v>216</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LMPGP</v>
      </c>
      <c r="C169" s="49" t="s">
        <v>251</v>
      </c>
      <c r="D169" s="531" t="s">
        <v>133</v>
      </c>
      <c r="E169" s="49" t="s">
        <v>50</v>
      </c>
      <c r="F169" s="534" t="str">
        <f>R.11ITDevName1</f>
        <v xml:space="preserve"> </v>
      </c>
      <c r="G169" s="542">
        <f>R.11ITDevHrs1</f>
        <v>0</v>
      </c>
      <c r="H169" s="543">
        <f>Table3[[#This Row],[Hrs Rank]]</f>
        <v>0</v>
      </c>
      <c r="I169" s="533">
        <f t="shared" si="14"/>
        <v>0</v>
      </c>
      <c r="J169" s="533">
        <f t="shared" si="15"/>
        <v>0</v>
      </c>
      <c r="K169" s="550"/>
      <c r="L169" s="550"/>
      <c r="M169" s="546" t="s">
        <v>216</v>
      </c>
      <c r="N169" s="546" t="s">
        <v>216</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LMPGP</v>
      </c>
      <c r="C170" s="49" t="s">
        <v>251</v>
      </c>
      <c r="D170" s="531" t="s">
        <v>133</v>
      </c>
      <c r="E170" s="49" t="s">
        <v>50</v>
      </c>
      <c r="F170" s="534" t="str">
        <f>R.11ITDevName2</f>
        <v xml:space="preserve"> </v>
      </c>
      <c r="G170" s="542">
        <f>R.11ITDevHrs2</f>
        <v>0</v>
      </c>
      <c r="H170" s="543">
        <f>Table3[[#This Row],[Hrs Rank]]</f>
        <v>0</v>
      </c>
      <c r="I170" s="533">
        <f t="shared" si="14"/>
        <v>0</v>
      </c>
      <c r="J170" s="533">
        <f t="shared" si="15"/>
        <v>0</v>
      </c>
      <c r="K170" s="550"/>
      <c r="L170" s="550"/>
      <c r="M170" s="546" t="s">
        <v>216</v>
      </c>
      <c r="N170" s="546" t="s">
        <v>216</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LMPGP</v>
      </c>
      <c r="C171" s="49" t="s">
        <v>251</v>
      </c>
      <c r="D171" s="531" t="s">
        <v>133</v>
      </c>
      <c r="E171" s="49" t="s">
        <v>50</v>
      </c>
      <c r="F171" s="534" t="str">
        <f>R.11ITDevName3</f>
        <v xml:space="preserve"> </v>
      </c>
      <c r="G171" s="542">
        <f>R.11ITDevHrs3</f>
        <v>0</v>
      </c>
      <c r="H171" s="543">
        <f>Table3[[#This Row],[Hrs Rank]]</f>
        <v>0</v>
      </c>
      <c r="I171" s="533">
        <f t="shared" si="14"/>
        <v>0</v>
      </c>
      <c r="J171" s="533">
        <f t="shared" si="15"/>
        <v>0</v>
      </c>
      <c r="K171" s="550"/>
      <c r="L171" s="550"/>
      <c r="M171" s="546" t="s">
        <v>216</v>
      </c>
      <c r="N171" s="546" t="s">
        <v>216</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LMPGP</v>
      </c>
      <c r="C172" s="49" t="s">
        <v>251</v>
      </c>
      <c r="D172" s="531" t="s">
        <v>133</v>
      </c>
      <c r="E172" s="49" t="s">
        <v>50</v>
      </c>
      <c r="F172" s="534">
        <f>R.11ITDevName4</f>
        <v>0</v>
      </c>
      <c r="G172" s="542">
        <f>R.11ITDevHrs4</f>
        <v>0</v>
      </c>
      <c r="H172" s="543">
        <f>Table3[[#This Row],[Hrs Rank]]</f>
        <v>0</v>
      </c>
      <c r="I172" s="533">
        <f t="shared" si="14"/>
        <v>0</v>
      </c>
      <c r="J172" s="533">
        <f t="shared" si="15"/>
        <v>0</v>
      </c>
      <c r="K172" s="550"/>
      <c r="L172" s="550"/>
      <c r="M172" s="546" t="s">
        <v>216</v>
      </c>
      <c r="N172" s="546" t="s">
        <v>216</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LMPGP</v>
      </c>
      <c r="C173" s="49" t="s">
        <v>251</v>
      </c>
      <c r="D173" s="531" t="s">
        <v>133</v>
      </c>
      <c r="E173" s="49" t="s">
        <v>49</v>
      </c>
      <c r="F173" s="534">
        <f>R.11ITImpName1</f>
        <v>0</v>
      </c>
      <c r="G173" s="542">
        <f>R.11ITImpHrs1</f>
        <v>0</v>
      </c>
      <c r="H173" s="543">
        <f>Table3[[#This Row],[Hrs Rank]]</f>
        <v>0</v>
      </c>
      <c r="I173" s="533">
        <f t="shared" si="14"/>
        <v>0</v>
      </c>
      <c r="J173" s="533">
        <f t="shared" si="15"/>
        <v>0</v>
      </c>
      <c r="K173" s="550"/>
      <c r="L173" s="550"/>
      <c r="M173" s="546" t="s">
        <v>216</v>
      </c>
      <c r="N173" s="546" t="s">
        <v>216</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LMPGP</v>
      </c>
      <c r="C174" s="49" t="s">
        <v>251</v>
      </c>
      <c r="D174" s="531" t="s">
        <v>133</v>
      </c>
      <c r="E174" s="49" t="s">
        <v>49</v>
      </c>
      <c r="F174" s="534" t="str">
        <f>R.11ITImpName2</f>
        <v xml:space="preserve"> </v>
      </c>
      <c r="G174" s="542">
        <f>R.11ITImpHrs2</f>
        <v>0</v>
      </c>
      <c r="H174" s="543">
        <f>Table3[[#This Row],[Hrs Rank]]</f>
        <v>0</v>
      </c>
      <c r="I174" s="533">
        <f t="shared" si="14"/>
        <v>0</v>
      </c>
      <c r="J174" s="533">
        <f t="shared" si="15"/>
        <v>0</v>
      </c>
      <c r="K174" s="550"/>
      <c r="L174" s="550"/>
      <c r="M174" s="546" t="s">
        <v>216</v>
      </c>
      <c r="N174" s="546" t="s">
        <v>216</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LMPGP</v>
      </c>
      <c r="C175" s="49" t="s">
        <v>251</v>
      </c>
      <c r="D175" s="531" t="s">
        <v>133</v>
      </c>
      <c r="E175" s="49" t="s">
        <v>49</v>
      </c>
      <c r="F175" s="534" t="str">
        <f>R.11ITImpName3</f>
        <v xml:space="preserve"> </v>
      </c>
      <c r="G175" s="542">
        <f>R.11ITImpHrs3</f>
        <v>0</v>
      </c>
      <c r="H175" s="543">
        <f>Table3[[#This Row],[Hrs Rank]]</f>
        <v>0</v>
      </c>
      <c r="I175" s="533">
        <f t="shared" si="14"/>
        <v>0</v>
      </c>
      <c r="J175" s="533">
        <f t="shared" si="15"/>
        <v>0</v>
      </c>
      <c r="K175" s="550"/>
      <c r="L175" s="550"/>
      <c r="M175" s="546" t="s">
        <v>216</v>
      </c>
      <c r="N175" s="546" t="s">
        <v>216</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LMPGP</v>
      </c>
      <c r="C176" s="49" t="s">
        <v>251</v>
      </c>
      <c r="D176" s="531" t="s">
        <v>133</v>
      </c>
      <c r="E176" s="49" t="s">
        <v>49</v>
      </c>
      <c r="F176" s="534" t="str">
        <f>R.11ITImpName4</f>
        <v xml:space="preserve"> </v>
      </c>
      <c r="G176" s="542">
        <f>R.11ITImpHrs4</f>
        <v>0</v>
      </c>
      <c r="H176" s="543">
        <f>Table3[[#This Row],[Hrs Rank]]</f>
        <v>0</v>
      </c>
      <c r="I176" s="533">
        <f t="shared" si="14"/>
        <v>0</v>
      </c>
      <c r="J176" s="533">
        <f t="shared" si="15"/>
        <v>0</v>
      </c>
      <c r="K176" s="550"/>
      <c r="L176" s="550"/>
      <c r="M176" s="546" t="s">
        <v>216</v>
      </c>
      <c r="N176" s="546" t="s">
        <v>216</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LMPGP</v>
      </c>
      <c r="C177" s="49" t="s">
        <v>251</v>
      </c>
      <c r="D177" s="531" t="s">
        <v>262</v>
      </c>
      <c r="E177" s="49" t="s">
        <v>50</v>
      </c>
      <c r="F177" s="534">
        <f>R.11BSDDevName1</f>
        <v>0</v>
      </c>
      <c r="G177" s="542">
        <f>R.11BSDDevHrs1</f>
        <v>0</v>
      </c>
      <c r="H177" s="543">
        <f>Table3[[#This Row],[Hrs Rank]]</f>
        <v>0</v>
      </c>
      <c r="I177" s="533">
        <f t="shared" si="14"/>
        <v>0</v>
      </c>
      <c r="J177" s="533">
        <f t="shared" si="15"/>
        <v>0</v>
      </c>
      <c r="K177" s="550"/>
      <c r="L177" s="550"/>
      <c r="M177" s="546" t="s">
        <v>216</v>
      </c>
      <c r="N177" s="546" t="s">
        <v>216</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LMPGP</v>
      </c>
      <c r="C178" s="49" t="s">
        <v>251</v>
      </c>
      <c r="D178" s="531" t="s">
        <v>262</v>
      </c>
      <c r="E178" s="49" t="s">
        <v>50</v>
      </c>
      <c r="F178" s="534" t="str">
        <f>R.11BSDDevName2</f>
        <v xml:space="preserve"> </v>
      </c>
      <c r="G178" s="542">
        <f>R.11BSDDevHrs2</f>
        <v>0</v>
      </c>
      <c r="H178" s="543">
        <f>Table3[[#This Row],[Hrs Rank]]</f>
        <v>0</v>
      </c>
      <c r="I178" s="533">
        <f t="shared" si="14"/>
        <v>0</v>
      </c>
      <c r="J178" s="533">
        <f t="shared" si="15"/>
        <v>0</v>
      </c>
      <c r="K178" s="550"/>
      <c r="L178" s="550"/>
      <c r="M178" s="546" t="s">
        <v>216</v>
      </c>
      <c r="N178" s="546" t="s">
        <v>216</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LMPGP</v>
      </c>
      <c r="C179" s="49" t="s">
        <v>251</v>
      </c>
      <c r="D179" s="531" t="s">
        <v>262</v>
      </c>
      <c r="E179" s="49" t="s">
        <v>50</v>
      </c>
      <c r="F179" s="534" t="str">
        <f>R.11BSDDevName3</f>
        <v xml:space="preserve"> </v>
      </c>
      <c r="G179" s="542">
        <f>R.11BSDDevHrs3</f>
        <v>0</v>
      </c>
      <c r="H179" s="543">
        <f>Table3[[#This Row],[Hrs Rank]]</f>
        <v>0</v>
      </c>
      <c r="I179" s="533">
        <f t="shared" si="14"/>
        <v>0</v>
      </c>
      <c r="J179" s="533">
        <f t="shared" si="15"/>
        <v>0</v>
      </c>
      <c r="K179" s="550"/>
      <c r="L179" s="550"/>
      <c r="M179" s="546" t="s">
        <v>216</v>
      </c>
      <c r="N179" s="546" t="s">
        <v>216</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LMPGP</v>
      </c>
      <c r="C180" s="49" t="s">
        <v>251</v>
      </c>
      <c r="D180" s="531" t="s">
        <v>262</v>
      </c>
      <c r="E180" s="49" t="s">
        <v>50</v>
      </c>
      <c r="F180" s="534" t="str">
        <f>R.11BSDDevName4</f>
        <v xml:space="preserve"> </v>
      </c>
      <c r="G180" s="542">
        <f>R.11BSDDevHrs4</f>
        <v>0</v>
      </c>
      <c r="H180" s="543">
        <f>Table3[[#This Row],[Hrs Rank]]</f>
        <v>0</v>
      </c>
      <c r="I180" s="533">
        <f t="shared" si="14"/>
        <v>0</v>
      </c>
      <c r="J180" s="533">
        <f t="shared" si="15"/>
        <v>0</v>
      </c>
      <c r="K180" s="550"/>
      <c r="L180" s="550"/>
      <c r="M180" s="546" t="s">
        <v>216</v>
      </c>
      <c r="N180" s="546" t="s">
        <v>216</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LMPGP</v>
      </c>
      <c r="C181" s="49" t="s">
        <v>251</v>
      </c>
      <c r="D181" s="531" t="s">
        <v>262</v>
      </c>
      <c r="E181" s="49" t="s">
        <v>49</v>
      </c>
      <c r="F181" s="534">
        <f>R.11BSDImpName1</f>
        <v>0</v>
      </c>
      <c r="G181" s="542">
        <f>R.11BSDImpHrs1</f>
        <v>0</v>
      </c>
      <c r="H181" s="543">
        <f>Table3[[#This Row],[Hrs Rank]]</f>
        <v>0</v>
      </c>
      <c r="I181" s="533">
        <f t="shared" si="14"/>
        <v>0</v>
      </c>
      <c r="J181" s="533">
        <f t="shared" si="15"/>
        <v>0</v>
      </c>
      <c r="K181" s="550"/>
      <c r="L181" s="550"/>
      <c r="M181" s="546" t="s">
        <v>216</v>
      </c>
      <c r="N181" s="546" t="s">
        <v>216</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LMPGP</v>
      </c>
      <c r="C182" s="49" t="s">
        <v>251</v>
      </c>
      <c r="D182" s="531" t="s">
        <v>262</v>
      </c>
      <c r="E182" s="49" t="s">
        <v>49</v>
      </c>
      <c r="F182" s="534" t="str">
        <f>R.11BSDImpName2</f>
        <v xml:space="preserve"> </v>
      </c>
      <c r="G182" s="542">
        <f>R.11BSDImpHrs2</f>
        <v>0</v>
      </c>
      <c r="H182" s="543">
        <f>Table3[[#This Row],[Hrs Rank]]</f>
        <v>0</v>
      </c>
      <c r="I182" s="533">
        <f t="shared" si="14"/>
        <v>0</v>
      </c>
      <c r="J182" s="533">
        <f t="shared" si="15"/>
        <v>0</v>
      </c>
      <c r="K182" s="550"/>
      <c r="L182" s="550"/>
      <c r="M182" s="546" t="s">
        <v>216</v>
      </c>
      <c r="N182" s="546" t="s">
        <v>216</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LMPGP</v>
      </c>
      <c r="C183" s="49" t="s">
        <v>251</v>
      </c>
      <c r="D183" s="531" t="s">
        <v>262</v>
      </c>
      <c r="E183" s="49" t="s">
        <v>49</v>
      </c>
      <c r="F183" s="534" t="str">
        <f>R.11BSDImpName3</f>
        <v xml:space="preserve"> </v>
      </c>
      <c r="G183" s="542">
        <f>R.11BSDImpHrs3</f>
        <v>0</v>
      </c>
      <c r="H183" s="543">
        <f>Table3[[#This Row],[Hrs Rank]]</f>
        <v>0</v>
      </c>
      <c r="I183" s="533">
        <f t="shared" si="14"/>
        <v>0</v>
      </c>
      <c r="J183" s="533">
        <f t="shared" si="15"/>
        <v>0</v>
      </c>
      <c r="K183" s="550"/>
      <c r="L183" s="550"/>
      <c r="M183" s="546" t="s">
        <v>216</v>
      </c>
      <c r="N183" s="546" t="s">
        <v>216</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LMPGP</v>
      </c>
      <c r="C184" s="49" t="s">
        <v>251</v>
      </c>
      <c r="D184" s="531" t="s">
        <v>262</v>
      </c>
      <c r="E184" s="49" t="s">
        <v>49</v>
      </c>
      <c r="F184" s="534" t="str">
        <f>R.11BSDImpName4</f>
        <v xml:space="preserve"> </v>
      </c>
      <c r="G184" s="542">
        <f>R.11BSDImpHrs4</f>
        <v>0</v>
      </c>
      <c r="H184" s="543">
        <f>Table3[[#This Row],[Hrs Rank]]</f>
        <v>0</v>
      </c>
      <c r="I184" s="533">
        <f t="shared" si="14"/>
        <v>0</v>
      </c>
      <c r="J184" s="533">
        <f t="shared" si="15"/>
        <v>0</v>
      </c>
      <c r="K184" s="550"/>
      <c r="L184" s="550"/>
      <c r="M184" s="546" t="s">
        <v>216</v>
      </c>
      <c r="N184" s="546" t="s">
        <v>216</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LMPGP</v>
      </c>
      <c r="C185" s="49" t="s">
        <v>252</v>
      </c>
      <c r="D185" s="531" t="s">
        <v>148</v>
      </c>
      <c r="E185" s="49" t="s">
        <v>50</v>
      </c>
      <c r="F185" s="534">
        <f>R.12OCEDevName1</f>
        <v>0</v>
      </c>
      <c r="G185" s="542">
        <f>R.12OCEDevHrs1</f>
        <v>0</v>
      </c>
      <c r="H185" s="543">
        <f>Table3[[#This Row],[Hrs Rank]]</f>
        <v>0</v>
      </c>
      <c r="I185" s="533">
        <f t="shared" si="14"/>
        <v>0</v>
      </c>
      <c r="J185" s="533">
        <f t="shared" si="15"/>
        <v>0</v>
      </c>
      <c r="K185" s="550"/>
      <c r="L185" s="550"/>
      <c r="M185" s="546" t="s">
        <v>216</v>
      </c>
      <c r="N185" s="546" t="s">
        <v>216</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LMPGP</v>
      </c>
      <c r="C186" s="49" t="s">
        <v>252</v>
      </c>
      <c r="D186" s="531" t="s">
        <v>148</v>
      </c>
      <c r="E186" s="49" t="s">
        <v>50</v>
      </c>
      <c r="F186" s="534" t="str">
        <f>R.12OCEDevName2</f>
        <v xml:space="preserve"> </v>
      </c>
      <c r="G186" s="542">
        <f>R.12OCEDevHrs2</f>
        <v>0</v>
      </c>
      <c r="H186" s="543">
        <f>Table3[[#This Row],[Hrs Rank]]</f>
        <v>0</v>
      </c>
      <c r="I186" s="533">
        <f t="shared" si="14"/>
        <v>0</v>
      </c>
      <c r="J186" s="533">
        <f t="shared" si="15"/>
        <v>0</v>
      </c>
      <c r="K186" s="550"/>
      <c r="L186" s="550"/>
      <c r="M186" s="546" t="s">
        <v>216</v>
      </c>
      <c r="N186" s="546" t="s">
        <v>216</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LMPGP</v>
      </c>
      <c r="C187" s="49" t="s">
        <v>252</v>
      </c>
      <c r="D187" s="531" t="s">
        <v>148</v>
      </c>
      <c r="E187" s="49" t="s">
        <v>50</v>
      </c>
      <c r="F187" s="534" t="str">
        <f>R.12OCEDevName3</f>
        <v xml:space="preserve"> </v>
      </c>
      <c r="G187" s="542">
        <f>R.12OCEDevHrs3</f>
        <v>0</v>
      </c>
      <c r="H187" s="543">
        <f>Table3[[#This Row],[Hrs Rank]]</f>
        <v>0</v>
      </c>
      <c r="I187" s="533">
        <f t="shared" si="14"/>
        <v>0</v>
      </c>
      <c r="J187" s="533">
        <f t="shared" si="15"/>
        <v>0</v>
      </c>
      <c r="K187" s="550"/>
      <c r="L187" s="550"/>
      <c r="M187" s="546" t="s">
        <v>216</v>
      </c>
      <c r="N187" s="546" t="s">
        <v>216</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LMPGP</v>
      </c>
      <c r="C188" s="49" t="s">
        <v>252</v>
      </c>
      <c r="D188" s="531" t="s">
        <v>148</v>
      </c>
      <c r="E188" s="49" t="s">
        <v>50</v>
      </c>
      <c r="F188" s="534" t="str">
        <f>R.12OCEDevName4</f>
        <v xml:space="preserve"> </v>
      </c>
      <c r="G188" s="542">
        <f>R.12OCEDevHrs4</f>
        <v>0</v>
      </c>
      <c r="H188" s="543">
        <f>Table3[[#This Row],[Hrs Rank]]</f>
        <v>0</v>
      </c>
      <c r="I188" s="533">
        <f t="shared" si="14"/>
        <v>0</v>
      </c>
      <c r="J188" s="533">
        <f t="shared" si="15"/>
        <v>0</v>
      </c>
      <c r="K188" s="550"/>
      <c r="L188" s="550"/>
      <c r="M188" s="546" t="s">
        <v>216</v>
      </c>
      <c r="N188" s="546" t="s">
        <v>216</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LMPGP</v>
      </c>
      <c r="C189" s="49" t="s">
        <v>252</v>
      </c>
      <c r="D189" s="531" t="s">
        <v>148</v>
      </c>
      <c r="E189" s="49" t="s">
        <v>49</v>
      </c>
      <c r="F189" s="534">
        <f>R.12OCEImpName1</f>
        <v>0</v>
      </c>
      <c r="G189" s="542">
        <f>R.12OCEImpHrs1</f>
        <v>0</v>
      </c>
      <c r="H189" s="543">
        <f>Table3[[#This Row],[Hrs Rank]]</f>
        <v>0</v>
      </c>
      <c r="I189" s="533">
        <f t="shared" si="14"/>
        <v>0</v>
      </c>
      <c r="J189" s="533">
        <f t="shared" si="15"/>
        <v>0</v>
      </c>
      <c r="K189" s="550"/>
      <c r="L189" s="550"/>
      <c r="M189" s="546" t="s">
        <v>216</v>
      </c>
      <c r="N189" s="546" t="s">
        <v>216</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LMPGP</v>
      </c>
      <c r="C190" s="49" t="s">
        <v>252</v>
      </c>
      <c r="D190" s="531" t="s">
        <v>148</v>
      </c>
      <c r="E190" s="49" t="s">
        <v>49</v>
      </c>
      <c r="F190" s="534">
        <f>R.12OCEImpName2</f>
        <v>0</v>
      </c>
      <c r="G190" s="542">
        <f>R.12OCEImpHrs2</f>
        <v>0</v>
      </c>
      <c r="H190" s="543">
        <f>Table3[[#This Row],[Hrs Rank]]</f>
        <v>0</v>
      </c>
      <c r="I190" s="533">
        <f t="shared" si="14"/>
        <v>0</v>
      </c>
      <c r="J190" s="533">
        <f t="shared" si="15"/>
        <v>0</v>
      </c>
      <c r="K190" s="550"/>
      <c r="L190" s="550"/>
      <c r="M190" s="546" t="s">
        <v>216</v>
      </c>
      <c r="N190" s="546" t="s">
        <v>216</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LMPGP</v>
      </c>
      <c r="C191" s="49" t="s">
        <v>252</v>
      </c>
      <c r="D191" s="531" t="s">
        <v>148</v>
      </c>
      <c r="E191" s="49" t="s">
        <v>49</v>
      </c>
      <c r="F191" s="534" t="str">
        <f>R.12OCEImpName3</f>
        <v xml:space="preserve"> </v>
      </c>
      <c r="G191" s="542">
        <f>R.12OCEImpHrs3</f>
        <v>0</v>
      </c>
      <c r="H191" s="543">
        <f>Table3[[#This Row],[Hrs Rank]]</f>
        <v>0</v>
      </c>
      <c r="I191" s="533">
        <f t="shared" si="14"/>
        <v>0</v>
      </c>
      <c r="J191" s="533">
        <f t="shared" si="15"/>
        <v>0</v>
      </c>
      <c r="K191" s="550"/>
      <c r="L191" s="550"/>
      <c r="M191" s="546" t="s">
        <v>216</v>
      </c>
      <c r="N191" s="546" t="s">
        <v>216</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LMPGP</v>
      </c>
      <c r="C192" s="49" t="s">
        <v>252</v>
      </c>
      <c r="D192" s="531" t="s">
        <v>148</v>
      </c>
      <c r="E192" s="49" t="s">
        <v>49</v>
      </c>
      <c r="F192" s="534" t="str">
        <f>R.12OCEImpName4</f>
        <v xml:space="preserve"> </v>
      </c>
      <c r="G192" s="542">
        <f>R.12OCEImpHrs4</f>
        <v>0</v>
      </c>
      <c r="H192" s="543">
        <f>Table3[[#This Row],[Hrs Rank]]</f>
        <v>0</v>
      </c>
      <c r="I192" s="533">
        <f t="shared" si="14"/>
        <v>0</v>
      </c>
      <c r="J192" s="533">
        <f t="shared" si="15"/>
        <v>0</v>
      </c>
      <c r="K192" s="550"/>
      <c r="L192" s="550"/>
      <c r="M192" s="546" t="s">
        <v>216</v>
      </c>
      <c r="N192" s="546" t="s">
        <v>216</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LMPGP</v>
      </c>
      <c r="C193" s="49" t="s">
        <v>253</v>
      </c>
      <c r="D193" s="531" t="s">
        <v>124</v>
      </c>
      <c r="E193" s="49" t="s">
        <v>50</v>
      </c>
      <c r="F193" s="534">
        <f>R.13MonitorDevName1</f>
        <v>0</v>
      </c>
      <c r="G193" s="542">
        <f>R.13MonitorDevHrs1</f>
        <v>0</v>
      </c>
      <c r="H193" s="543">
        <f>Table3[[#This Row],[Hrs Rank]]</f>
        <v>0</v>
      </c>
      <c r="I193" s="533">
        <f t="shared" si="14"/>
        <v>0</v>
      </c>
      <c r="J193" s="533">
        <f t="shared" si="15"/>
        <v>0</v>
      </c>
      <c r="K193" s="550"/>
      <c r="L193" s="550"/>
      <c r="M193" s="546" t="s">
        <v>216</v>
      </c>
      <c r="N193" s="546" t="s">
        <v>216</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LMPGP</v>
      </c>
      <c r="C194" s="49" t="s">
        <v>253</v>
      </c>
      <c r="D194" s="531" t="s">
        <v>124</v>
      </c>
      <c r="E194" s="49" t="s">
        <v>50</v>
      </c>
      <c r="F194" s="534">
        <f>R.13MonitorDevName2</f>
        <v>0</v>
      </c>
      <c r="G194" s="542">
        <f>R.13MonitorDevHrs2</f>
        <v>0</v>
      </c>
      <c r="H194" s="543">
        <f>Table3[[#This Row],[Hrs Rank]]</f>
        <v>0</v>
      </c>
      <c r="I194" s="533">
        <f t="shared" si="14"/>
        <v>0</v>
      </c>
      <c r="J194" s="533">
        <f t="shared" si="15"/>
        <v>0</v>
      </c>
      <c r="K194" s="550"/>
      <c r="L194" s="550"/>
      <c r="M194" s="546" t="s">
        <v>216</v>
      </c>
      <c r="N194" s="546" t="s">
        <v>216</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LMPGP</v>
      </c>
      <c r="C195" s="49" t="s">
        <v>253</v>
      </c>
      <c r="D195" s="531" t="s">
        <v>124</v>
      </c>
      <c r="E195" s="49" t="s">
        <v>50</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216</v>
      </c>
      <c r="N195" s="546" t="s">
        <v>216</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LMPGP</v>
      </c>
      <c r="C196" s="49" t="s">
        <v>253</v>
      </c>
      <c r="D196" s="531" t="s">
        <v>124</v>
      </c>
      <c r="E196" s="49" t="s">
        <v>50</v>
      </c>
      <c r="F196" s="534" t="str">
        <f>R.13MonitorDevName4</f>
        <v xml:space="preserve"> </v>
      </c>
      <c r="G196" s="542">
        <f>R.13MonitorDevHrs4</f>
        <v>0</v>
      </c>
      <c r="H196" s="543">
        <f>Table3[[#This Row],[Hrs Rank]]</f>
        <v>0</v>
      </c>
      <c r="I196" s="533">
        <f t="shared" si="22"/>
        <v>0</v>
      </c>
      <c r="J196" s="533">
        <f t="shared" si="23"/>
        <v>0</v>
      </c>
      <c r="K196" s="550"/>
      <c r="L196" s="550"/>
      <c r="M196" s="546" t="s">
        <v>216</v>
      </c>
      <c r="N196" s="546" t="s">
        <v>216</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LMPGP</v>
      </c>
      <c r="C197" s="49" t="s">
        <v>253</v>
      </c>
      <c r="D197" s="531" t="s">
        <v>124</v>
      </c>
      <c r="E197" s="49" t="s">
        <v>49</v>
      </c>
      <c r="F197" s="534">
        <f>R.13MonitorImpName1</f>
        <v>0</v>
      </c>
      <c r="G197" s="542">
        <f>R.13MonitorImpHrs1</f>
        <v>0</v>
      </c>
      <c r="H197" s="543">
        <f>Table3[[#This Row],[Hrs Rank]]</f>
        <v>0</v>
      </c>
      <c r="I197" s="533">
        <f t="shared" si="22"/>
        <v>0</v>
      </c>
      <c r="J197" s="533">
        <f t="shared" si="23"/>
        <v>0</v>
      </c>
      <c r="K197" s="550"/>
      <c r="L197" s="550"/>
      <c r="M197" s="546" t="s">
        <v>216</v>
      </c>
      <c r="N197" s="546" t="s">
        <v>216</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LMPGP</v>
      </c>
      <c r="C198" s="49" t="s">
        <v>253</v>
      </c>
      <c r="D198" s="531" t="s">
        <v>124</v>
      </c>
      <c r="E198" s="49" t="s">
        <v>49</v>
      </c>
      <c r="F198" s="534" t="str">
        <f>R.13MonitorImpName2</f>
        <v xml:space="preserve"> </v>
      </c>
      <c r="G198" s="542">
        <f>R.13MonitorImpHrs2</f>
        <v>0</v>
      </c>
      <c r="H198" s="543">
        <f>Table3[[#This Row],[Hrs Rank]]</f>
        <v>0</v>
      </c>
      <c r="I198" s="533">
        <f t="shared" si="22"/>
        <v>0</v>
      </c>
      <c r="J198" s="533">
        <f t="shared" si="23"/>
        <v>0</v>
      </c>
      <c r="K198" s="550"/>
      <c r="L198" s="550"/>
      <c r="M198" s="546" t="s">
        <v>216</v>
      </c>
      <c r="N198" s="546" t="s">
        <v>216</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LMPGP</v>
      </c>
      <c r="C199" s="49" t="s">
        <v>253</v>
      </c>
      <c r="D199" s="531" t="s">
        <v>124</v>
      </c>
      <c r="E199" s="49" t="s">
        <v>49</v>
      </c>
      <c r="F199" s="534" t="str">
        <f>R.13MonitorImpName3</f>
        <v xml:space="preserve"> </v>
      </c>
      <c r="G199" s="542">
        <f>R.13MonitorImpHrs3</f>
        <v>0</v>
      </c>
      <c r="H199" s="543">
        <f>Table3[[#This Row],[Hrs Rank]]</f>
        <v>0</v>
      </c>
      <c r="I199" s="533">
        <f t="shared" si="22"/>
        <v>0</v>
      </c>
      <c r="J199" s="533">
        <f t="shared" si="23"/>
        <v>0</v>
      </c>
      <c r="K199" s="550"/>
      <c r="L199" s="550"/>
      <c r="M199" s="546" t="s">
        <v>216</v>
      </c>
      <c r="N199" s="546" t="s">
        <v>216</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LMPGP</v>
      </c>
      <c r="C200" s="49" t="s">
        <v>253</v>
      </c>
      <c r="D200" s="531" t="s">
        <v>124</v>
      </c>
      <c r="E200" s="49" t="s">
        <v>49</v>
      </c>
      <c r="F200" s="534" t="str">
        <f>R.13MonitorImpName4</f>
        <v xml:space="preserve"> </v>
      </c>
      <c r="G200" s="542">
        <f>R.13MonitorImpHrs4</f>
        <v>0</v>
      </c>
      <c r="H200" s="543">
        <f>Table3[[#This Row],[Hrs Rank]]</f>
        <v>0</v>
      </c>
      <c r="I200" s="533">
        <f t="shared" si="22"/>
        <v>0</v>
      </c>
      <c r="J200" s="533">
        <f t="shared" si="23"/>
        <v>0</v>
      </c>
      <c r="K200" s="550"/>
      <c r="L200" s="550"/>
      <c r="M200" s="546" t="s">
        <v>216</v>
      </c>
      <c r="N200" s="546" t="s">
        <v>216</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LMPGP</v>
      </c>
      <c r="C201" s="49" t="s">
        <v>253</v>
      </c>
      <c r="D201" s="531" t="s">
        <v>125</v>
      </c>
      <c r="E201" s="49" t="s">
        <v>50</v>
      </c>
      <c r="F201" s="534">
        <f>R.13TestDevName1</f>
        <v>0</v>
      </c>
      <c r="G201" s="542">
        <f>R.13TestDevHrs1</f>
        <v>0</v>
      </c>
      <c r="H201" s="543">
        <f>Table3[[#This Row],[Hrs Rank]]</f>
        <v>0</v>
      </c>
      <c r="I201" s="533">
        <f t="shared" si="22"/>
        <v>0</v>
      </c>
      <c r="J201" s="533">
        <f t="shared" si="23"/>
        <v>0</v>
      </c>
      <c r="K201" s="550"/>
      <c r="L201" s="550"/>
      <c r="M201" s="546" t="s">
        <v>216</v>
      </c>
      <c r="N201" s="546" t="s">
        <v>216</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LMPGP</v>
      </c>
      <c r="C202" s="49" t="s">
        <v>253</v>
      </c>
      <c r="D202" s="531" t="s">
        <v>125</v>
      </c>
      <c r="E202" s="49" t="s">
        <v>50</v>
      </c>
      <c r="F202" s="534" t="str">
        <f>R.13TestDevName2</f>
        <v xml:space="preserve"> </v>
      </c>
      <c r="G202" s="542">
        <f>R.13TestDevHrs2</f>
        <v>0</v>
      </c>
      <c r="H202" s="543">
        <f>Table3[[#This Row],[Hrs Rank]]</f>
        <v>0</v>
      </c>
      <c r="I202" s="533">
        <f t="shared" si="22"/>
        <v>0</v>
      </c>
      <c r="J202" s="533">
        <f t="shared" si="23"/>
        <v>0</v>
      </c>
      <c r="K202" s="550"/>
      <c r="L202" s="550"/>
      <c r="M202" s="546" t="s">
        <v>216</v>
      </c>
      <c r="N202" s="546" t="s">
        <v>216</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LMPGP</v>
      </c>
      <c r="C203" s="49" t="s">
        <v>253</v>
      </c>
      <c r="D203" s="531" t="s">
        <v>125</v>
      </c>
      <c r="E203" s="49" t="s">
        <v>50</v>
      </c>
      <c r="F203" s="534" t="str">
        <f>R.13TestDevName3</f>
        <v xml:space="preserve"> </v>
      </c>
      <c r="G203" s="542">
        <f>R.13TestDevHrs3</f>
        <v>0</v>
      </c>
      <c r="H203" s="543">
        <f>Table3[[#This Row],[Hrs Rank]]</f>
        <v>0</v>
      </c>
      <c r="I203" s="533">
        <f t="shared" si="22"/>
        <v>0</v>
      </c>
      <c r="J203" s="533">
        <f t="shared" si="23"/>
        <v>0</v>
      </c>
      <c r="K203" s="550"/>
      <c r="L203" s="550"/>
      <c r="M203" s="546" t="s">
        <v>216</v>
      </c>
      <c r="N203" s="546" t="s">
        <v>216</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LMPGP</v>
      </c>
      <c r="C204" s="49" t="s">
        <v>253</v>
      </c>
      <c r="D204" s="531" t="s">
        <v>125</v>
      </c>
      <c r="E204" s="49" t="s">
        <v>50</v>
      </c>
      <c r="F204" s="534" t="str">
        <f>R.13TestDevName4</f>
        <v xml:space="preserve"> </v>
      </c>
      <c r="G204" s="542">
        <f>R.13TestDevHrs4</f>
        <v>0</v>
      </c>
      <c r="H204" s="543">
        <f>Table3[[#This Row],[Hrs Rank]]</f>
        <v>0</v>
      </c>
      <c r="I204" s="533">
        <f t="shared" si="22"/>
        <v>0</v>
      </c>
      <c r="J204" s="533">
        <f t="shared" si="23"/>
        <v>0</v>
      </c>
      <c r="K204" s="550"/>
      <c r="L204" s="550"/>
      <c r="M204" s="546" t="s">
        <v>216</v>
      </c>
      <c r="N204" s="546" t="s">
        <v>216</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LMPGP</v>
      </c>
      <c r="C205" s="49" t="s">
        <v>253</v>
      </c>
      <c r="D205" s="531" t="s">
        <v>125</v>
      </c>
      <c r="E205" s="49" t="s">
        <v>49</v>
      </c>
      <c r="F205" s="534">
        <f>R.13TestImpName1</f>
        <v>0</v>
      </c>
      <c r="G205" s="542">
        <f>R.13TestImpHrs1</f>
        <v>0</v>
      </c>
      <c r="H205" s="543">
        <f>Table3[[#This Row],[Hrs Rank]]</f>
        <v>0</v>
      </c>
      <c r="I205" s="533">
        <f t="shared" si="22"/>
        <v>0</v>
      </c>
      <c r="J205" s="533">
        <f t="shared" si="23"/>
        <v>0</v>
      </c>
      <c r="K205" s="550"/>
      <c r="L205" s="550"/>
      <c r="M205" s="546" t="s">
        <v>216</v>
      </c>
      <c r="N205" s="546" t="s">
        <v>216</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LMPGP</v>
      </c>
      <c r="C206" s="49" t="s">
        <v>253</v>
      </c>
      <c r="D206" s="531" t="s">
        <v>125</v>
      </c>
      <c r="E206" s="49" t="s">
        <v>49</v>
      </c>
      <c r="F206" s="534" t="str">
        <f>R.13TestImpName2</f>
        <v xml:space="preserve"> </v>
      </c>
      <c r="G206" s="542">
        <f>R.13TestImpHrs2</f>
        <v>0</v>
      </c>
      <c r="H206" s="543">
        <f>Table3[[#This Row],[Hrs Rank]]</f>
        <v>0</v>
      </c>
      <c r="I206" s="533">
        <f t="shared" si="22"/>
        <v>0</v>
      </c>
      <c r="J206" s="533">
        <f t="shared" si="23"/>
        <v>0</v>
      </c>
      <c r="K206" s="550"/>
      <c r="L206" s="550"/>
      <c r="M206" s="546" t="s">
        <v>216</v>
      </c>
      <c r="N206" s="546" t="s">
        <v>216</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LMPGP</v>
      </c>
      <c r="C207" s="49" t="s">
        <v>253</v>
      </c>
      <c r="D207" s="531" t="s">
        <v>125</v>
      </c>
      <c r="E207" s="49" t="s">
        <v>49</v>
      </c>
      <c r="F207" s="534" t="str">
        <f>R.13TestImpName3</f>
        <v xml:space="preserve"> </v>
      </c>
      <c r="G207" s="542">
        <f>R.13TestImpHrs3</f>
        <v>0</v>
      </c>
      <c r="H207" s="543">
        <f>Table3[[#This Row],[Hrs Rank]]</f>
        <v>0</v>
      </c>
      <c r="I207" s="533">
        <f t="shared" si="22"/>
        <v>0</v>
      </c>
      <c r="J207" s="533">
        <f t="shared" si="23"/>
        <v>0</v>
      </c>
      <c r="K207" s="550"/>
      <c r="L207" s="550"/>
      <c r="M207" s="546" t="s">
        <v>216</v>
      </c>
      <c r="N207" s="546" t="s">
        <v>216</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LMPGP</v>
      </c>
      <c r="C208" s="49" t="s">
        <v>253</v>
      </c>
      <c r="D208" s="531" t="s">
        <v>125</v>
      </c>
      <c r="E208" s="49" t="s">
        <v>49</v>
      </c>
      <c r="F208" s="534" t="str">
        <f>R.13TestImpName4</f>
        <v xml:space="preserve"> </v>
      </c>
      <c r="G208" s="542">
        <f>R.13TestImpHrs4</f>
        <v>0</v>
      </c>
      <c r="H208" s="543">
        <f>Table3[[#This Row],[Hrs Rank]]</f>
        <v>0</v>
      </c>
      <c r="I208" s="533">
        <f t="shared" si="22"/>
        <v>0</v>
      </c>
      <c r="J208" s="533">
        <f t="shared" si="23"/>
        <v>0</v>
      </c>
      <c r="K208" s="550"/>
      <c r="L208" s="550"/>
      <c r="M208" s="546" t="s">
        <v>216</v>
      </c>
      <c r="N208" s="546" t="s">
        <v>216</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LMPGP</v>
      </c>
      <c r="C209" s="49" t="s">
        <v>253</v>
      </c>
      <c r="D209" s="531" t="s">
        <v>131</v>
      </c>
      <c r="E209" s="49" t="s">
        <v>50</v>
      </c>
      <c r="F209" s="534">
        <f>R.13QADevName1</f>
        <v>0</v>
      </c>
      <c r="G209" s="542">
        <f>R.13QADevHrs1</f>
        <v>0</v>
      </c>
      <c r="H209" s="543">
        <f>Table3[[#This Row],[Hrs Rank]]</f>
        <v>0</v>
      </c>
      <c r="I209" s="533">
        <f t="shared" si="22"/>
        <v>0</v>
      </c>
      <c r="J209" s="533">
        <f t="shared" si="23"/>
        <v>0</v>
      </c>
      <c r="K209" s="550"/>
      <c r="L209" s="550"/>
      <c r="M209" s="546" t="s">
        <v>216</v>
      </c>
      <c r="N209" s="546" t="s">
        <v>216</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LMPGP</v>
      </c>
      <c r="C210" s="49" t="s">
        <v>253</v>
      </c>
      <c r="D210" s="531" t="s">
        <v>131</v>
      </c>
      <c r="E210" s="49" t="s">
        <v>50</v>
      </c>
      <c r="F210" s="534">
        <f>R.13QADevName2</f>
        <v>0</v>
      </c>
      <c r="G210" s="542">
        <f>R.13QADevHrs2</f>
        <v>0</v>
      </c>
      <c r="H210" s="543">
        <f>Table3[[#This Row],[Hrs Rank]]</f>
        <v>0</v>
      </c>
      <c r="I210" s="533">
        <f t="shared" si="22"/>
        <v>0</v>
      </c>
      <c r="J210" s="533">
        <f t="shared" si="23"/>
        <v>0</v>
      </c>
      <c r="K210" s="550"/>
      <c r="L210" s="550"/>
      <c r="M210" s="546" t="s">
        <v>216</v>
      </c>
      <c r="N210" s="546" t="s">
        <v>216</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LMPGP</v>
      </c>
      <c r="C211" s="49" t="s">
        <v>253</v>
      </c>
      <c r="D211" s="531" t="s">
        <v>131</v>
      </c>
      <c r="E211" s="49" t="s">
        <v>50</v>
      </c>
      <c r="F211" s="534">
        <f>R.13QADevName3</f>
        <v>0</v>
      </c>
      <c r="G211" s="542">
        <f>R.13QADevHrs3</f>
        <v>0</v>
      </c>
      <c r="H211" s="543">
        <f>Table3[[#This Row],[Hrs Rank]]</f>
        <v>0</v>
      </c>
      <c r="I211" s="533">
        <f t="shared" si="22"/>
        <v>0</v>
      </c>
      <c r="J211" s="533">
        <f t="shared" si="23"/>
        <v>0</v>
      </c>
      <c r="K211" s="550"/>
      <c r="L211" s="550"/>
      <c r="M211" s="546" t="s">
        <v>216</v>
      </c>
      <c r="N211" s="546" t="s">
        <v>216</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LMPGP</v>
      </c>
      <c r="C212" s="49" t="s">
        <v>253</v>
      </c>
      <c r="D212" s="531" t="s">
        <v>131</v>
      </c>
      <c r="E212" s="49" t="s">
        <v>50</v>
      </c>
      <c r="F212" s="534">
        <f>R.13QADevName4</f>
        <v>0</v>
      </c>
      <c r="G212" s="542">
        <f>R.13QADevHrs4</f>
        <v>0</v>
      </c>
      <c r="H212" s="543">
        <f>Table3[[#This Row],[Hrs Rank]]</f>
        <v>0</v>
      </c>
      <c r="I212" s="533">
        <f t="shared" si="22"/>
        <v>0</v>
      </c>
      <c r="J212" s="533">
        <f t="shared" si="23"/>
        <v>0</v>
      </c>
      <c r="K212" s="550"/>
      <c r="L212" s="550"/>
      <c r="M212" s="546" t="s">
        <v>216</v>
      </c>
      <c r="N212" s="546" t="s">
        <v>216</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LMPGP</v>
      </c>
      <c r="C213" s="49" t="s">
        <v>253</v>
      </c>
      <c r="D213" s="531" t="s">
        <v>131</v>
      </c>
      <c r="E213" s="49" t="s">
        <v>49</v>
      </c>
      <c r="F213" s="534">
        <f>R.13QAImpName1</f>
        <v>0</v>
      </c>
      <c r="G213" s="542">
        <f>R.13QAImpHrs1</f>
        <v>0</v>
      </c>
      <c r="H213" s="543">
        <f>Table3[[#This Row],[Hrs Rank]]</f>
        <v>0</v>
      </c>
      <c r="I213" s="533">
        <f t="shared" si="22"/>
        <v>0</v>
      </c>
      <c r="J213" s="533">
        <f t="shared" si="23"/>
        <v>0</v>
      </c>
      <c r="K213" s="550"/>
      <c r="L213" s="550"/>
      <c r="M213" s="546" t="s">
        <v>216</v>
      </c>
      <c r="N213" s="546" t="s">
        <v>216</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LMPGP</v>
      </c>
      <c r="C214" s="49" t="s">
        <v>253</v>
      </c>
      <c r="D214" s="531" t="s">
        <v>131</v>
      </c>
      <c r="E214" s="49" t="s">
        <v>49</v>
      </c>
      <c r="F214" s="534">
        <f>R.13QAImpName2</f>
        <v>0</v>
      </c>
      <c r="G214" s="542">
        <f>R.13QAImpHrs2</f>
        <v>0</v>
      </c>
      <c r="H214" s="543">
        <f>Table3[[#This Row],[Hrs Rank]]</f>
        <v>0</v>
      </c>
      <c r="I214" s="533">
        <f t="shared" si="22"/>
        <v>0</v>
      </c>
      <c r="J214" s="533">
        <f t="shared" si="23"/>
        <v>0</v>
      </c>
      <c r="K214" s="550"/>
      <c r="L214" s="550"/>
      <c r="M214" s="546" t="s">
        <v>216</v>
      </c>
      <c r="N214" s="546" t="s">
        <v>216</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LMPGP</v>
      </c>
      <c r="C215" s="49" t="s">
        <v>253</v>
      </c>
      <c r="D215" s="531" t="s">
        <v>131</v>
      </c>
      <c r="E215" s="49" t="s">
        <v>49</v>
      </c>
      <c r="F215" s="534">
        <f>R.13QAImpName3</f>
        <v>0</v>
      </c>
      <c r="G215" s="542">
        <f>R.13QAImpHrs3</f>
        <v>0</v>
      </c>
      <c r="H215" s="543">
        <f>Table3[[#This Row],[Hrs Rank]]</f>
        <v>0</v>
      </c>
      <c r="I215" s="533">
        <f t="shared" si="22"/>
        <v>0</v>
      </c>
      <c r="J215" s="533">
        <f t="shared" si="23"/>
        <v>0</v>
      </c>
      <c r="K215" s="550"/>
      <c r="L215" s="550"/>
      <c r="M215" s="546" t="s">
        <v>216</v>
      </c>
      <c r="N215" s="546" t="s">
        <v>216</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LMPGP</v>
      </c>
      <c r="C216" s="49" t="s">
        <v>253</v>
      </c>
      <c r="D216" s="531" t="s">
        <v>131</v>
      </c>
      <c r="E216" s="49" t="s">
        <v>49</v>
      </c>
      <c r="F216" s="534">
        <f>R.13QAImpName4</f>
        <v>0</v>
      </c>
      <c r="G216" s="542">
        <f>R.13QAImpHrs4</f>
        <v>0</v>
      </c>
      <c r="H216" s="543">
        <f>Table3[[#This Row],[Hrs Rank]]</f>
        <v>0</v>
      </c>
      <c r="I216" s="533">
        <f t="shared" si="22"/>
        <v>0</v>
      </c>
      <c r="J216" s="533">
        <f t="shared" si="23"/>
        <v>0</v>
      </c>
      <c r="K216" s="550"/>
      <c r="L216" s="550"/>
      <c r="M216" s="546" t="s">
        <v>216</v>
      </c>
      <c r="N216" s="546" t="s">
        <v>216</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LMPGP</v>
      </c>
      <c r="C217" s="49" t="s">
        <v>254</v>
      </c>
      <c r="D217" s="531" t="s">
        <v>126</v>
      </c>
      <c r="E217" s="49" t="s">
        <v>50</v>
      </c>
      <c r="F217" s="534">
        <f>R.14LRAPADevName1</f>
        <v>0</v>
      </c>
      <c r="G217" s="542">
        <v>0</v>
      </c>
      <c r="H217" s="543">
        <f>Table3[[#This Row],[Hrs Rank]]</f>
        <v>0</v>
      </c>
      <c r="I217" s="533">
        <f t="shared" si="22"/>
        <v>0</v>
      </c>
      <c r="J217" s="533">
        <f t="shared" si="23"/>
        <v>0</v>
      </c>
      <c r="K217" s="550"/>
      <c r="L217" s="550"/>
      <c r="M217" s="546" t="s">
        <v>216</v>
      </c>
      <c r="N217" s="546" t="s">
        <v>216</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LMPGP</v>
      </c>
      <c r="C218" s="49" t="s">
        <v>254</v>
      </c>
      <c r="D218" s="531" t="s">
        <v>126</v>
      </c>
      <c r="E218" s="49" t="s">
        <v>50</v>
      </c>
      <c r="F218" s="534" t="str">
        <f>R.14LRAPADevName2</f>
        <v xml:space="preserve"> </v>
      </c>
      <c r="G218" s="542">
        <f>R.14LRAPADevHrs1</f>
        <v>0</v>
      </c>
      <c r="H218" s="543">
        <f>Table3[[#This Row],[Hrs Rank]]</f>
        <v>0</v>
      </c>
      <c r="I218" s="533">
        <f t="shared" si="22"/>
        <v>0</v>
      </c>
      <c r="J218" s="533">
        <f t="shared" si="23"/>
        <v>0</v>
      </c>
      <c r="K218" s="550"/>
      <c r="L218" s="550"/>
      <c r="M218" s="546" t="s">
        <v>216</v>
      </c>
      <c r="N218" s="546" t="s">
        <v>216</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LMPGP</v>
      </c>
      <c r="C219" s="49" t="s">
        <v>254</v>
      </c>
      <c r="D219" s="531" t="s">
        <v>126</v>
      </c>
      <c r="E219" s="49" t="s">
        <v>50</v>
      </c>
      <c r="F219" s="534" t="str">
        <f>R.14LRAPADevName3</f>
        <v xml:space="preserve"> </v>
      </c>
      <c r="G219" s="542">
        <f>R.14LRAPADevHrs2</f>
        <v>0</v>
      </c>
      <c r="H219" s="543">
        <f>Table3[[#This Row],[Hrs Rank]]</f>
        <v>0</v>
      </c>
      <c r="I219" s="533">
        <f t="shared" si="22"/>
        <v>0</v>
      </c>
      <c r="J219" s="533">
        <f t="shared" si="23"/>
        <v>0</v>
      </c>
      <c r="K219" s="550"/>
      <c r="L219" s="550"/>
      <c r="M219" s="546" t="s">
        <v>216</v>
      </c>
      <c r="N219" s="546" t="s">
        <v>216</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LMPGP</v>
      </c>
      <c r="C220" s="49" t="s">
        <v>254</v>
      </c>
      <c r="D220" s="531" t="s">
        <v>126</v>
      </c>
      <c r="E220" s="49" t="s">
        <v>50</v>
      </c>
      <c r="F220" s="534" t="str">
        <f>R.14LRAPADevName4</f>
        <v xml:space="preserve"> </v>
      </c>
      <c r="G220" s="542">
        <f>R.14LRAPADevHrs3</f>
        <v>0</v>
      </c>
      <c r="H220" s="543">
        <f>Table3[[#This Row],[Hrs Rank]]</f>
        <v>0</v>
      </c>
      <c r="I220" s="533">
        <f t="shared" si="22"/>
        <v>0</v>
      </c>
      <c r="J220" s="533">
        <f t="shared" si="23"/>
        <v>0</v>
      </c>
      <c r="K220" s="550"/>
      <c r="L220" s="550"/>
      <c r="M220" s="546" t="s">
        <v>216</v>
      </c>
      <c r="N220" s="546" t="s">
        <v>216</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LMPGP</v>
      </c>
      <c r="C221" s="49" t="s">
        <v>254</v>
      </c>
      <c r="D221" s="531" t="s">
        <v>126</v>
      </c>
      <c r="E221" s="49" t="s">
        <v>49</v>
      </c>
      <c r="F221" s="534" t="str">
        <f>R.14LRAPAImpName1</f>
        <v xml:space="preserve"> </v>
      </c>
      <c r="G221" s="542">
        <f>R.14LRAPADevHrs4</f>
        <v>0</v>
      </c>
      <c r="H221" s="543">
        <f>Table3[[#This Row],[Hrs Rank]]</f>
        <v>0</v>
      </c>
      <c r="I221" s="533">
        <f t="shared" si="22"/>
        <v>0</v>
      </c>
      <c r="J221" s="533">
        <f t="shared" si="23"/>
        <v>0</v>
      </c>
      <c r="K221" s="550"/>
      <c r="L221" s="550"/>
      <c r="M221" s="546" t="s">
        <v>216</v>
      </c>
      <c r="N221" s="546" t="s">
        <v>216</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LMPGP</v>
      </c>
      <c r="C222" s="49" t="s">
        <v>254</v>
      </c>
      <c r="D222" s="531" t="s">
        <v>126</v>
      </c>
      <c r="E222" s="49" t="s">
        <v>49</v>
      </c>
      <c r="F222" s="534" t="str">
        <f>R.14LRAPAImpName2</f>
        <v xml:space="preserve"> </v>
      </c>
      <c r="G222" s="542">
        <f>R.14LRAPAImpHrs2</f>
        <v>0</v>
      </c>
      <c r="H222" s="543">
        <f>Table3[[#This Row],[Hrs Rank]]</f>
        <v>0</v>
      </c>
      <c r="I222" s="533">
        <f t="shared" si="22"/>
        <v>0</v>
      </c>
      <c r="J222" s="533">
        <f t="shared" si="23"/>
        <v>0</v>
      </c>
      <c r="K222" s="550"/>
      <c r="L222" s="550"/>
      <c r="M222" s="546" t="s">
        <v>216</v>
      </c>
      <c r="N222" s="546" t="s">
        <v>216</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LMPGP</v>
      </c>
      <c r="C223" s="49" t="s">
        <v>254</v>
      </c>
      <c r="D223" s="531" t="s">
        <v>126</v>
      </c>
      <c r="E223" s="49" t="s">
        <v>49</v>
      </c>
      <c r="F223" s="534" t="str">
        <f>R.14LRAPAImpName3</f>
        <v xml:space="preserve"> </v>
      </c>
      <c r="G223" s="542">
        <v>0</v>
      </c>
      <c r="H223" s="543">
        <f>Table3[[#This Row],[Hrs Rank]]</f>
        <v>0</v>
      </c>
      <c r="I223" s="533">
        <f t="shared" si="22"/>
        <v>0</v>
      </c>
      <c r="J223" s="533">
        <f t="shared" si="23"/>
        <v>0</v>
      </c>
      <c r="K223" s="550"/>
      <c r="L223" s="550"/>
      <c r="M223" s="546" t="s">
        <v>216</v>
      </c>
      <c r="N223" s="546" t="s">
        <v>216</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LMPGP</v>
      </c>
      <c r="C224" s="49" t="s">
        <v>254</v>
      </c>
      <c r="D224" s="531" t="s">
        <v>126</v>
      </c>
      <c r="E224" s="49" t="s">
        <v>49</v>
      </c>
      <c r="F224" s="534" t="str">
        <f>R.14LRAPAImpName4</f>
        <v xml:space="preserve"> </v>
      </c>
      <c r="G224" s="542">
        <f>R.14LRAPAImpHrs4</f>
        <v>0</v>
      </c>
      <c r="H224" s="543">
        <f>Table3[[#This Row],[Hrs Rank]]</f>
        <v>0</v>
      </c>
      <c r="I224" s="533">
        <f t="shared" si="22"/>
        <v>0</v>
      </c>
      <c r="J224" s="533">
        <f t="shared" si="23"/>
        <v>0</v>
      </c>
      <c r="K224" s="550"/>
      <c r="L224" s="550"/>
      <c r="M224" s="546" t="s">
        <v>216</v>
      </c>
      <c r="N224" s="546" t="s">
        <v>216</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LMPGP</v>
      </c>
      <c r="C225" s="49" t="s">
        <v>254</v>
      </c>
      <c r="D225" s="531" t="s">
        <v>127</v>
      </c>
      <c r="E225" s="49" t="s">
        <v>50</v>
      </c>
      <c r="F225" s="542" t="str">
        <f>R.14EPADevName1</f>
        <v>Lucy Edmondson</v>
      </c>
      <c r="G225" s="542">
        <f>R.14EPADevHrs1</f>
        <v>4</v>
      </c>
      <c r="H225" s="543">
        <f>Table3[[#This Row],[Hrs Rank]]</f>
        <v>4</v>
      </c>
      <c r="I225" s="533">
        <f t="shared" si="22"/>
        <v>80</v>
      </c>
      <c r="J225" s="533">
        <f t="shared" si="23"/>
        <v>170</v>
      </c>
      <c r="K225" s="550"/>
      <c r="L225" s="550"/>
      <c r="M225" s="546" t="s">
        <v>216</v>
      </c>
      <c r="N225" s="546" t="s">
        <v>216</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LMPGP</v>
      </c>
      <c r="C226" s="49" t="s">
        <v>254</v>
      </c>
      <c r="D226" s="531" t="s">
        <v>127</v>
      </c>
      <c r="E226" s="49" t="s">
        <v>50</v>
      </c>
      <c r="F226" s="542" t="str">
        <f>R.14EPADevName2</f>
        <v xml:space="preserve"> </v>
      </c>
      <c r="G226" s="542">
        <f>R.14EPADevHrs2</f>
        <v>0</v>
      </c>
      <c r="H226" s="543">
        <f>Table3[[#This Row],[Hrs Rank]]</f>
        <v>0</v>
      </c>
      <c r="I226" s="533">
        <f t="shared" si="22"/>
        <v>0</v>
      </c>
      <c r="J226" s="533">
        <f t="shared" si="23"/>
        <v>0</v>
      </c>
      <c r="K226" s="550"/>
      <c r="L226" s="550"/>
      <c r="M226" s="546" t="s">
        <v>216</v>
      </c>
      <c r="N226" s="546" t="s">
        <v>216</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LMPGP</v>
      </c>
      <c r="C227" s="49" t="s">
        <v>254</v>
      </c>
      <c r="D227" s="531" t="s">
        <v>127</v>
      </c>
      <c r="E227" s="49" t="s">
        <v>50</v>
      </c>
      <c r="F227" s="542" t="str">
        <f>R.14EPADevName3</f>
        <v xml:space="preserve"> </v>
      </c>
      <c r="G227" s="542">
        <f>R.14EPADevHrs3</f>
        <v>0</v>
      </c>
      <c r="H227" s="543">
        <f>Table3[[#This Row],[Hrs Rank]]</f>
        <v>0</v>
      </c>
      <c r="I227" s="533">
        <f t="shared" si="22"/>
        <v>0</v>
      </c>
      <c r="J227" s="533">
        <f t="shared" si="23"/>
        <v>0</v>
      </c>
      <c r="K227" s="550"/>
      <c r="L227" s="550"/>
      <c r="M227" s="546" t="s">
        <v>216</v>
      </c>
      <c r="N227" s="546" t="s">
        <v>216</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LMPGP</v>
      </c>
      <c r="C228" s="49" t="s">
        <v>254</v>
      </c>
      <c r="D228" s="531" t="s">
        <v>127</v>
      </c>
      <c r="E228" s="49" t="s">
        <v>50</v>
      </c>
      <c r="F228" s="542" t="str">
        <f>R.14EPADevName4</f>
        <v xml:space="preserve"> </v>
      </c>
      <c r="G228" s="542">
        <f>R.14EPADevHrs4</f>
        <v>0</v>
      </c>
      <c r="H228" s="543">
        <f>Table3[[#This Row],[Hrs Rank]]</f>
        <v>0</v>
      </c>
      <c r="I228" s="533">
        <f t="shared" si="22"/>
        <v>0</v>
      </c>
      <c r="J228" s="533">
        <f t="shared" si="23"/>
        <v>0</v>
      </c>
      <c r="K228" s="550"/>
      <c r="L228" s="550"/>
      <c r="M228" s="546" t="s">
        <v>216</v>
      </c>
      <c r="N228" s="546" t="s">
        <v>216</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LMPGP</v>
      </c>
      <c r="C229" s="49" t="s">
        <v>254</v>
      </c>
      <c r="D229" s="531" t="s">
        <v>127</v>
      </c>
      <c r="E229" s="49" t="s">
        <v>49</v>
      </c>
      <c r="F229" s="542" t="str">
        <f>R.14EPAImpName1</f>
        <v xml:space="preserve"> </v>
      </c>
      <c r="G229" s="542">
        <f>R.14EPAImpHrs1</f>
        <v>0</v>
      </c>
      <c r="H229" s="543">
        <f>Table3[[#This Row],[Hrs Rank]]</f>
        <v>0</v>
      </c>
      <c r="I229" s="533">
        <f t="shared" si="22"/>
        <v>0</v>
      </c>
      <c r="J229" s="533">
        <f t="shared" si="23"/>
        <v>0</v>
      </c>
      <c r="K229" s="550"/>
      <c r="L229" s="550"/>
      <c r="M229" s="546" t="s">
        <v>216</v>
      </c>
      <c r="N229" s="546" t="s">
        <v>216</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LMPGP</v>
      </c>
      <c r="C230" s="49" t="s">
        <v>254</v>
      </c>
      <c r="D230" s="531" t="s">
        <v>127</v>
      </c>
      <c r="E230" s="49" t="s">
        <v>49</v>
      </c>
      <c r="F230" s="542" t="str">
        <f>R.14EPAImpName2</f>
        <v xml:space="preserve"> </v>
      </c>
      <c r="G230" s="542">
        <f>R.14EPAImpHrs2</f>
        <v>0</v>
      </c>
      <c r="H230" s="543">
        <f>Table3[[#This Row],[Hrs Rank]]</f>
        <v>0</v>
      </c>
      <c r="I230" s="533">
        <f t="shared" si="22"/>
        <v>0</v>
      </c>
      <c r="J230" s="533">
        <f t="shared" si="23"/>
        <v>0</v>
      </c>
      <c r="K230" s="550"/>
      <c r="L230" s="550"/>
      <c r="M230" s="546" t="s">
        <v>216</v>
      </c>
      <c r="N230" s="546" t="s">
        <v>216</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LMPGP</v>
      </c>
      <c r="C231" s="49" t="s">
        <v>254</v>
      </c>
      <c r="D231" s="531" t="s">
        <v>127</v>
      </c>
      <c r="E231" s="49" t="s">
        <v>49</v>
      </c>
      <c r="F231" s="542" t="str">
        <f>R.14EPAImpName3</f>
        <v xml:space="preserve"> </v>
      </c>
      <c r="G231" s="542">
        <f>R.14EPAImpHrs3</f>
        <v>0</v>
      </c>
      <c r="H231" s="543">
        <f>Table3[[#This Row],[Hrs Rank]]</f>
        <v>0</v>
      </c>
      <c r="I231" s="533">
        <f t="shared" si="22"/>
        <v>0</v>
      </c>
      <c r="J231" s="533">
        <f t="shared" si="23"/>
        <v>0</v>
      </c>
      <c r="K231" s="550"/>
      <c r="L231" s="550"/>
      <c r="M231" s="546" t="s">
        <v>216</v>
      </c>
      <c r="N231" s="546" t="s">
        <v>216</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LMPGP</v>
      </c>
      <c r="C232" s="49" t="s">
        <v>254</v>
      </c>
      <c r="D232" s="531" t="s">
        <v>127</v>
      </c>
      <c r="E232" s="49" t="s">
        <v>49</v>
      </c>
      <c r="F232" s="534" t="str">
        <f>R.14EPAImpName4</f>
        <v xml:space="preserve"> </v>
      </c>
      <c r="G232" s="542">
        <f>R.14EPAImpHrs4</f>
        <v>0</v>
      </c>
      <c r="H232" s="543">
        <f>Table3[[#This Row],[Hrs Rank]]</f>
        <v>0</v>
      </c>
      <c r="I232" s="533">
        <f t="shared" si="22"/>
        <v>0</v>
      </c>
      <c r="J232" s="533">
        <f t="shared" si="23"/>
        <v>0</v>
      </c>
      <c r="K232" s="550"/>
      <c r="L232" s="550"/>
      <c r="M232" s="546" t="s">
        <v>216</v>
      </c>
      <c r="N232" s="546" t="s">
        <v>216</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LMPGP</v>
      </c>
      <c r="C233" s="49" t="s">
        <v>254</v>
      </c>
      <c r="D233" s="531" t="s">
        <v>128</v>
      </c>
      <c r="E233" s="49" t="s">
        <v>50</v>
      </c>
      <c r="F233" s="534" t="str">
        <f>R.14MuniDevName1</f>
        <v>Dan Moore</v>
      </c>
      <c r="G233" s="542">
        <f>R.14MuniDevHrs1</f>
        <v>4</v>
      </c>
      <c r="H233" s="543">
        <f>Table3[[#This Row],[Hrs Rank]]</f>
        <v>4</v>
      </c>
      <c r="I233" s="533">
        <f t="shared" si="22"/>
        <v>80</v>
      </c>
      <c r="J233" s="533">
        <f t="shared" si="23"/>
        <v>170</v>
      </c>
      <c r="K233" s="550"/>
      <c r="L233" s="550"/>
      <c r="M233" s="546" t="s">
        <v>216</v>
      </c>
      <c r="N233" s="546" t="s">
        <v>216</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LMPGP</v>
      </c>
      <c r="C234" s="49" t="s">
        <v>254</v>
      </c>
      <c r="D234" s="531" t="s">
        <v>128</v>
      </c>
      <c r="E234" s="49" t="s">
        <v>50</v>
      </c>
      <c r="F234" s="534" t="str">
        <f>R.14MuniDevName2</f>
        <v xml:space="preserve"> </v>
      </c>
      <c r="G234" s="542">
        <f>R.14MuniDevHrs2</f>
        <v>0</v>
      </c>
      <c r="H234" s="543">
        <f>Table3[[#This Row],[Hrs Rank]]</f>
        <v>0</v>
      </c>
      <c r="I234" s="533">
        <f t="shared" si="22"/>
        <v>0</v>
      </c>
      <c r="J234" s="533">
        <f t="shared" si="23"/>
        <v>0</v>
      </c>
      <c r="K234" s="550"/>
      <c r="L234" s="550"/>
      <c r="M234" s="546" t="s">
        <v>216</v>
      </c>
      <c r="N234" s="546" t="s">
        <v>216</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LMPGP</v>
      </c>
      <c r="C235" s="49" t="s">
        <v>254</v>
      </c>
      <c r="D235" s="531" t="s">
        <v>128</v>
      </c>
      <c r="E235" s="49" t="s">
        <v>50</v>
      </c>
      <c r="F235" s="534" t="str">
        <f>R.14MuniDevName3</f>
        <v xml:space="preserve"> </v>
      </c>
      <c r="G235" s="542">
        <f>R.14MuniDevHrs3</f>
        <v>0</v>
      </c>
      <c r="H235" s="543">
        <f>Table3[[#This Row],[Hrs Rank]]</f>
        <v>0</v>
      </c>
      <c r="I235" s="533">
        <f t="shared" si="22"/>
        <v>0</v>
      </c>
      <c r="J235" s="533">
        <f t="shared" si="23"/>
        <v>0</v>
      </c>
      <c r="K235" s="550"/>
      <c r="L235" s="550"/>
      <c r="M235" s="546" t="s">
        <v>216</v>
      </c>
      <c r="N235" s="546" t="s">
        <v>216</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LMPGP</v>
      </c>
      <c r="C236" s="49" t="s">
        <v>254</v>
      </c>
      <c r="D236" s="531" t="s">
        <v>128</v>
      </c>
      <c r="E236" s="49" t="s">
        <v>50</v>
      </c>
      <c r="F236" s="534" t="str">
        <f>R.14MuniDevName4</f>
        <v xml:space="preserve"> </v>
      </c>
      <c r="G236" s="542">
        <f>R.14MuniDevHrs4</f>
        <v>0</v>
      </c>
      <c r="H236" s="543">
        <f>Table3[[#This Row],[Hrs Rank]]</f>
        <v>0</v>
      </c>
      <c r="I236" s="533">
        <f t="shared" si="22"/>
        <v>0</v>
      </c>
      <c r="J236" s="533">
        <f t="shared" si="23"/>
        <v>0</v>
      </c>
      <c r="K236" s="550"/>
      <c r="L236" s="550"/>
      <c r="M236" s="546" t="s">
        <v>216</v>
      </c>
      <c r="N236" s="546" t="s">
        <v>216</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LMPGP</v>
      </c>
      <c r="C237" s="49" t="s">
        <v>254</v>
      </c>
      <c r="D237" s="531" t="s">
        <v>128</v>
      </c>
      <c r="E237" s="49" t="s">
        <v>49</v>
      </c>
      <c r="F237" s="534" t="str">
        <f>R.14MuniImpName1</f>
        <v xml:space="preserve"> </v>
      </c>
      <c r="G237" s="542">
        <f>R.14MuniImpHrs1</f>
        <v>0</v>
      </c>
      <c r="H237" s="543">
        <f>Table3[[#This Row],[Hrs Rank]]</f>
        <v>0</v>
      </c>
      <c r="I237" s="533">
        <f t="shared" si="22"/>
        <v>0</v>
      </c>
      <c r="J237" s="533">
        <f t="shared" si="23"/>
        <v>0</v>
      </c>
      <c r="K237" s="550"/>
      <c r="L237" s="550"/>
      <c r="M237" s="546" t="s">
        <v>216</v>
      </c>
      <c r="N237" s="546" t="s">
        <v>216</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LMPGP</v>
      </c>
      <c r="C238" s="49" t="s">
        <v>254</v>
      </c>
      <c r="D238" s="531" t="s">
        <v>128</v>
      </c>
      <c r="E238" s="49" t="s">
        <v>49</v>
      </c>
      <c r="F238" s="534" t="str">
        <f>R.14MuniImpName2</f>
        <v xml:space="preserve"> </v>
      </c>
      <c r="G238" s="542">
        <f>R.14MuniImpHrs2</f>
        <v>0</v>
      </c>
      <c r="H238" s="543">
        <f>Table3[[#This Row],[Hrs Rank]]</f>
        <v>0</v>
      </c>
      <c r="I238" s="533">
        <f t="shared" si="22"/>
        <v>0</v>
      </c>
      <c r="J238" s="533">
        <f t="shared" si="23"/>
        <v>0</v>
      </c>
      <c r="K238" s="550"/>
      <c r="L238" s="550"/>
      <c r="M238" s="546" t="s">
        <v>216</v>
      </c>
      <c r="N238" s="546" t="s">
        <v>216</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LMPGP</v>
      </c>
      <c r="C239" s="49" t="s">
        <v>254</v>
      </c>
      <c r="D239" s="531" t="s">
        <v>128</v>
      </c>
      <c r="E239" s="49" t="s">
        <v>49</v>
      </c>
      <c r="F239" s="534" t="str">
        <f>R.14MuniImpName3</f>
        <v xml:space="preserve"> </v>
      </c>
      <c r="G239" s="542">
        <f>R.14MuniImpHrs3</f>
        <v>0</v>
      </c>
      <c r="H239" s="543">
        <f>Table3[[#This Row],[Hrs Rank]]</f>
        <v>0</v>
      </c>
      <c r="I239" s="533">
        <f t="shared" si="22"/>
        <v>0</v>
      </c>
      <c r="J239" s="533">
        <f t="shared" si="23"/>
        <v>0</v>
      </c>
      <c r="K239" s="550"/>
      <c r="L239" s="550"/>
      <c r="M239" s="546" t="s">
        <v>216</v>
      </c>
      <c r="N239" s="546" t="s">
        <v>216</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LMPGP</v>
      </c>
      <c r="C240" s="49" t="s">
        <v>254</v>
      </c>
      <c r="D240" s="531" t="s">
        <v>128</v>
      </c>
      <c r="E240" s="49" t="s">
        <v>49</v>
      </c>
      <c r="F240" s="534" t="str">
        <f>R.14MuniImpName4</f>
        <v xml:space="preserve"> </v>
      </c>
      <c r="G240" s="542">
        <f>R.14MuniImpHrs4</f>
        <v>0</v>
      </c>
      <c r="H240" s="543">
        <f>Table3[[#This Row],[Hrs Rank]]</f>
        <v>0</v>
      </c>
      <c r="I240" s="533">
        <f t="shared" si="22"/>
        <v>0</v>
      </c>
      <c r="J240" s="533">
        <f t="shared" si="23"/>
        <v>0</v>
      </c>
      <c r="K240" s="550"/>
      <c r="L240" s="550"/>
      <c r="M240" s="546" t="s">
        <v>216</v>
      </c>
      <c r="N240" s="546" t="s">
        <v>216</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LMPGP</v>
      </c>
      <c r="C241" s="49" t="s">
        <v>254</v>
      </c>
      <c r="D241" s="531" t="s">
        <v>129</v>
      </c>
      <c r="E241" s="49" t="s">
        <v>50</v>
      </c>
      <c r="F241" s="534">
        <f>R.14CountyDevName1</f>
        <v>0</v>
      </c>
      <c r="G241" s="542">
        <f>R.14CountyDevHrs1</f>
        <v>0</v>
      </c>
      <c r="H241" s="543">
        <f>Table3[[#This Row],[Hrs Rank]]</f>
        <v>0</v>
      </c>
      <c r="I241" s="533">
        <f t="shared" si="22"/>
        <v>0</v>
      </c>
      <c r="J241" s="533">
        <f t="shared" si="23"/>
        <v>0</v>
      </c>
      <c r="K241" s="550"/>
      <c r="L241" s="550"/>
      <c r="M241" s="546" t="s">
        <v>216</v>
      </c>
      <c r="N241" s="546" t="s">
        <v>216</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LMPGP</v>
      </c>
      <c r="C242" s="49" t="s">
        <v>254</v>
      </c>
      <c r="D242" s="531" t="s">
        <v>129</v>
      </c>
      <c r="E242" s="49" t="s">
        <v>50</v>
      </c>
      <c r="F242" s="534" t="str">
        <f>R.14CountyDevName2</f>
        <v xml:space="preserve"> </v>
      </c>
      <c r="G242" s="542">
        <f>R.14CountyDevHrs2</f>
        <v>0</v>
      </c>
      <c r="H242" s="543">
        <f>Table3[[#This Row],[Hrs Rank]]</f>
        <v>0</v>
      </c>
      <c r="I242" s="533">
        <f t="shared" si="22"/>
        <v>0</v>
      </c>
      <c r="J242" s="533">
        <f t="shared" si="23"/>
        <v>0</v>
      </c>
      <c r="K242" s="550"/>
      <c r="L242" s="550"/>
      <c r="M242" s="546" t="s">
        <v>216</v>
      </c>
      <c r="N242" s="546" t="s">
        <v>216</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LMPGP</v>
      </c>
      <c r="C243" s="49" t="s">
        <v>254</v>
      </c>
      <c r="D243" s="531" t="s">
        <v>129</v>
      </c>
      <c r="E243" s="49" t="s">
        <v>50</v>
      </c>
      <c r="F243" s="534" t="str">
        <f>R.14CountyDevName3</f>
        <v xml:space="preserve"> </v>
      </c>
      <c r="G243" s="542">
        <f>R.14CountyDevHrs3</f>
        <v>0</v>
      </c>
      <c r="H243" s="543">
        <f>Table3[[#This Row],[Hrs Rank]]</f>
        <v>0</v>
      </c>
      <c r="I243" s="533">
        <f t="shared" si="22"/>
        <v>0</v>
      </c>
      <c r="J243" s="533">
        <f t="shared" si="23"/>
        <v>0</v>
      </c>
      <c r="K243" s="550"/>
      <c r="L243" s="550"/>
      <c r="M243" s="546" t="s">
        <v>216</v>
      </c>
      <c r="N243" s="546" t="s">
        <v>216</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LMPGP</v>
      </c>
      <c r="C244" s="49" t="s">
        <v>254</v>
      </c>
      <c r="D244" s="531" t="s">
        <v>129</v>
      </c>
      <c r="E244" s="49" t="s">
        <v>50</v>
      </c>
      <c r="F244" s="534" t="str">
        <f>R.14CountyDevName4</f>
        <v xml:space="preserve"> </v>
      </c>
      <c r="G244" s="542">
        <f>R.14CountyDevHrs4</f>
        <v>0</v>
      </c>
      <c r="H244" s="543">
        <f>Table3[[#This Row],[Hrs Rank]]</f>
        <v>0</v>
      </c>
      <c r="I244" s="533">
        <f t="shared" si="22"/>
        <v>0</v>
      </c>
      <c r="J244" s="533">
        <f t="shared" si="23"/>
        <v>0</v>
      </c>
      <c r="K244" s="550"/>
      <c r="L244" s="550"/>
      <c r="M244" s="546" t="s">
        <v>216</v>
      </c>
      <c r="N244" s="546" t="s">
        <v>216</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LMPGP</v>
      </c>
      <c r="C245" s="49" t="s">
        <v>254</v>
      </c>
      <c r="D245" s="531" t="s">
        <v>129</v>
      </c>
      <c r="E245" s="49" t="s">
        <v>49</v>
      </c>
      <c r="F245" s="534">
        <f>R.14CountyImpName1</f>
        <v>0</v>
      </c>
      <c r="G245" s="542">
        <f>R.14CountyImpHrs1</f>
        <v>0</v>
      </c>
      <c r="H245" s="543">
        <f>Table3[[#This Row],[Hrs Rank]]</f>
        <v>0</v>
      </c>
      <c r="I245" s="533">
        <f t="shared" si="22"/>
        <v>0</v>
      </c>
      <c r="J245" s="533">
        <f t="shared" si="23"/>
        <v>0</v>
      </c>
      <c r="K245" s="550"/>
      <c r="L245" s="550"/>
      <c r="M245" s="546" t="s">
        <v>216</v>
      </c>
      <c r="N245" s="546" t="s">
        <v>216</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LMPGP</v>
      </c>
      <c r="C246" s="49" t="s">
        <v>254</v>
      </c>
      <c r="D246" s="531" t="s">
        <v>129</v>
      </c>
      <c r="E246" s="49" t="s">
        <v>49</v>
      </c>
      <c r="F246" s="534" t="str">
        <f>R.14CountyImpName2</f>
        <v xml:space="preserve"> </v>
      </c>
      <c r="G246" s="542">
        <f>R.14CountyImpHrs2</f>
        <v>0</v>
      </c>
      <c r="H246" s="543">
        <f>Table3[[#This Row],[Hrs Rank]]</f>
        <v>0</v>
      </c>
      <c r="I246" s="533">
        <f t="shared" si="22"/>
        <v>0</v>
      </c>
      <c r="J246" s="533">
        <f t="shared" si="23"/>
        <v>0</v>
      </c>
      <c r="K246" s="550"/>
      <c r="L246" s="550"/>
      <c r="M246" s="546" t="s">
        <v>216</v>
      </c>
      <c r="N246" s="546" t="s">
        <v>216</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LMPGP</v>
      </c>
      <c r="C247" s="49" t="s">
        <v>254</v>
      </c>
      <c r="D247" s="531" t="s">
        <v>129</v>
      </c>
      <c r="E247" s="49" t="s">
        <v>49</v>
      </c>
      <c r="F247" s="534" t="str">
        <f>R.14CountyImpName3</f>
        <v xml:space="preserve"> </v>
      </c>
      <c r="G247" s="542">
        <f>R.14CountyImpHrs3</f>
        <v>0</v>
      </c>
      <c r="H247" s="543">
        <f>Table3[[#This Row],[Hrs Rank]]</f>
        <v>0</v>
      </c>
      <c r="I247" s="533">
        <f t="shared" si="22"/>
        <v>0</v>
      </c>
      <c r="J247" s="533">
        <f t="shared" si="23"/>
        <v>0</v>
      </c>
      <c r="K247" s="550"/>
      <c r="L247" s="550"/>
      <c r="M247" s="546" t="s">
        <v>216</v>
      </c>
      <c r="N247" s="546" t="s">
        <v>216</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LMPGP</v>
      </c>
      <c r="C248" s="49" t="s">
        <v>254</v>
      </c>
      <c r="D248" s="531" t="s">
        <v>129</v>
      </c>
      <c r="E248" s="49" t="s">
        <v>49</v>
      </c>
      <c r="F248" s="534" t="str">
        <f>R.14CountyImpName4</f>
        <v xml:space="preserve"> </v>
      </c>
      <c r="G248" s="542">
        <f>R.14CountyImpHrs4</f>
        <v>0</v>
      </c>
      <c r="H248" s="543">
        <f>Table3[[#This Row],[Hrs Rank]]</f>
        <v>0</v>
      </c>
      <c r="I248" s="533">
        <f t="shared" si="22"/>
        <v>0</v>
      </c>
      <c r="J248" s="533">
        <f t="shared" si="23"/>
        <v>0</v>
      </c>
      <c r="K248" s="550"/>
      <c r="L248" s="550"/>
      <c r="M248" s="546" t="s">
        <v>216</v>
      </c>
      <c r="N248" s="546" t="s">
        <v>216</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LMPGP</v>
      </c>
      <c r="C249" s="49" t="s">
        <v>254</v>
      </c>
      <c r="D249" s="531" t="s">
        <v>130</v>
      </c>
      <c r="E249" s="49" t="s">
        <v>50</v>
      </c>
      <c r="F249" s="534">
        <f>R.14DistrictsDevName1</f>
        <v>0</v>
      </c>
      <c r="G249" s="542">
        <f>R.14DistrictsDevHrs1</f>
        <v>0</v>
      </c>
      <c r="H249" s="543">
        <f>Table3[[#This Row],[Hrs Rank]]</f>
        <v>0</v>
      </c>
      <c r="I249" s="533">
        <f t="shared" si="22"/>
        <v>0</v>
      </c>
      <c r="J249" s="533">
        <f t="shared" si="23"/>
        <v>0</v>
      </c>
      <c r="K249" s="550"/>
      <c r="L249" s="550"/>
      <c r="M249" s="546" t="s">
        <v>216</v>
      </c>
      <c r="N249" s="546" t="s">
        <v>216</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LMPGP</v>
      </c>
      <c r="C250" s="49" t="s">
        <v>254</v>
      </c>
      <c r="D250" s="531" t="s">
        <v>130</v>
      </c>
      <c r="E250" s="49" t="s">
        <v>50</v>
      </c>
      <c r="F250" s="534" t="str">
        <f>R.14DistrictsDevName2</f>
        <v xml:space="preserve"> </v>
      </c>
      <c r="G250" s="542">
        <f>R.14DistrictsDevHrs2</f>
        <v>0</v>
      </c>
      <c r="H250" s="543">
        <f>Table3[[#This Row],[Hrs Rank]]</f>
        <v>0</v>
      </c>
      <c r="I250" s="533">
        <f t="shared" si="22"/>
        <v>0</v>
      </c>
      <c r="J250" s="533">
        <f t="shared" si="23"/>
        <v>0</v>
      </c>
      <c r="K250" s="550"/>
      <c r="L250" s="550"/>
      <c r="M250" s="546" t="s">
        <v>216</v>
      </c>
      <c r="N250" s="546" t="s">
        <v>216</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LMPGP</v>
      </c>
      <c r="C251" s="49" t="s">
        <v>254</v>
      </c>
      <c r="D251" s="531" t="s">
        <v>130</v>
      </c>
      <c r="E251" s="49" t="s">
        <v>50</v>
      </c>
      <c r="F251" s="534" t="str">
        <f>R.14DistrictsDevName3</f>
        <v xml:space="preserve"> </v>
      </c>
      <c r="G251" s="542">
        <f>R.14DistrictsDevHrs3</f>
        <v>0</v>
      </c>
      <c r="H251" s="543">
        <f>Table3[[#This Row],[Hrs Rank]]</f>
        <v>0</v>
      </c>
      <c r="I251" s="533">
        <f t="shared" si="22"/>
        <v>0</v>
      </c>
      <c r="J251" s="533">
        <f t="shared" si="23"/>
        <v>0</v>
      </c>
      <c r="K251" s="550"/>
      <c r="L251" s="550"/>
      <c r="M251" s="546" t="s">
        <v>216</v>
      </c>
      <c r="N251" s="546" t="s">
        <v>216</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LMPGP</v>
      </c>
      <c r="C252" s="49" t="s">
        <v>254</v>
      </c>
      <c r="D252" s="531" t="s">
        <v>130</v>
      </c>
      <c r="E252" s="49" t="s">
        <v>50</v>
      </c>
      <c r="F252" s="534" t="str">
        <f>R.14DistrictsDevName4</f>
        <v xml:space="preserve"> </v>
      </c>
      <c r="G252" s="542">
        <f>R.14DistrictsDevHrs4</f>
        <v>0</v>
      </c>
      <c r="H252" s="543">
        <f>Table3[[#This Row],[Hrs Rank]]</f>
        <v>0</v>
      </c>
      <c r="I252" s="533">
        <f t="shared" si="22"/>
        <v>0</v>
      </c>
      <c r="J252" s="533">
        <f t="shared" si="23"/>
        <v>0</v>
      </c>
      <c r="K252" s="550"/>
      <c r="L252" s="550"/>
      <c r="M252" s="546" t="s">
        <v>216</v>
      </c>
      <c r="N252" s="546" t="s">
        <v>216</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LMPGP</v>
      </c>
      <c r="C253" s="49" t="s">
        <v>254</v>
      </c>
      <c r="D253" s="531" t="s">
        <v>130</v>
      </c>
      <c r="E253" s="49" t="s">
        <v>49</v>
      </c>
      <c r="F253" s="534">
        <f>R.14DistrictsImpName1</f>
        <v>0</v>
      </c>
      <c r="G253" s="542">
        <f>R.14DistrictsImpHrs1</f>
        <v>0</v>
      </c>
      <c r="H253" s="543">
        <f>Table3[[#This Row],[Hrs Rank]]</f>
        <v>0</v>
      </c>
      <c r="I253" s="533">
        <f t="shared" si="22"/>
        <v>0</v>
      </c>
      <c r="J253" s="533">
        <f t="shared" si="23"/>
        <v>0</v>
      </c>
      <c r="K253" s="550"/>
      <c r="L253" s="550"/>
      <c r="M253" s="546" t="s">
        <v>216</v>
      </c>
      <c r="N253" s="546" t="s">
        <v>216</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LMPGP</v>
      </c>
      <c r="C254" s="49" t="s">
        <v>254</v>
      </c>
      <c r="D254" s="531" t="s">
        <v>130</v>
      </c>
      <c r="E254" s="49" t="s">
        <v>49</v>
      </c>
      <c r="F254" s="534" t="str">
        <f>R.14DistrictsImpName2</f>
        <v xml:space="preserve"> </v>
      </c>
      <c r="G254" s="542">
        <f>R.14DistrictsImpHrs2</f>
        <v>0</v>
      </c>
      <c r="H254" s="543">
        <f>Table3[[#This Row],[Hrs Rank]]</f>
        <v>0</v>
      </c>
      <c r="I254" s="533">
        <f t="shared" si="22"/>
        <v>0</v>
      </c>
      <c r="J254" s="533">
        <f t="shared" si="23"/>
        <v>0</v>
      </c>
      <c r="K254" s="550"/>
      <c r="L254" s="550"/>
      <c r="M254" s="546" t="s">
        <v>216</v>
      </c>
      <c r="N254" s="546" t="s">
        <v>216</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LMPGP</v>
      </c>
      <c r="C255" s="49" t="s">
        <v>254</v>
      </c>
      <c r="D255" s="531" t="s">
        <v>130</v>
      </c>
      <c r="E255" s="49" t="s">
        <v>49</v>
      </c>
      <c r="F255" s="534" t="str">
        <f>R.14DistrictsImpName3</f>
        <v xml:space="preserve"> </v>
      </c>
      <c r="G255" s="542">
        <f>R.14DistrictsImpHrs3</f>
        <v>0</v>
      </c>
      <c r="H255" s="543">
        <f>Table3[[#This Row],[Hrs Rank]]</f>
        <v>0</v>
      </c>
      <c r="I255" s="533">
        <f t="shared" si="22"/>
        <v>0</v>
      </c>
      <c r="J255" s="533">
        <f t="shared" si="23"/>
        <v>0</v>
      </c>
      <c r="K255" s="550"/>
      <c r="L255" s="550"/>
      <c r="M255" s="546" t="s">
        <v>216</v>
      </c>
      <c r="N255" s="546" t="s">
        <v>216</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LMPGP</v>
      </c>
      <c r="C256" s="49" t="s">
        <v>254</v>
      </c>
      <c r="D256" s="531" t="s">
        <v>130</v>
      </c>
      <c r="E256" s="49" t="s">
        <v>49</v>
      </c>
      <c r="F256" s="534" t="str">
        <f>R.14DistrictsImpName4</f>
        <v xml:space="preserve"> </v>
      </c>
      <c r="G256" s="542">
        <f>R.14DistrictsImpHrs4</f>
        <v>0</v>
      </c>
      <c r="H256" s="543">
        <f>Table3[[#This Row],[Hrs Rank]]</f>
        <v>0</v>
      </c>
      <c r="I256" s="533">
        <f t="shared" si="22"/>
        <v>0</v>
      </c>
      <c r="J256" s="533">
        <f t="shared" si="23"/>
        <v>0</v>
      </c>
      <c r="K256" s="550"/>
      <c r="L256" s="550"/>
      <c r="M256" s="546" t="s">
        <v>216</v>
      </c>
      <c r="N256" s="546" t="s">
        <v>216</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LMPGP</v>
      </c>
      <c r="C257" s="49" t="s">
        <v>254</v>
      </c>
      <c r="D257" s="531" t="s">
        <v>263</v>
      </c>
      <c r="E257" s="49" t="s">
        <v>50</v>
      </c>
      <c r="F257" s="534" t="str">
        <f>R.14TribeDevName1</f>
        <v>Christine Svetkovich</v>
      </c>
      <c r="G257" s="542">
        <f>R.14TribeDevHrs1</f>
        <v>0</v>
      </c>
      <c r="H257" s="543">
        <f>Table3[[#This Row],[Hrs Rank]]</f>
        <v>0</v>
      </c>
      <c r="I257" s="533">
        <f t="shared" si="22"/>
        <v>0</v>
      </c>
      <c r="J257" s="533">
        <f t="shared" si="23"/>
        <v>0</v>
      </c>
      <c r="K257" s="550"/>
      <c r="L257" s="550"/>
      <c r="M257" s="546" t="s">
        <v>216</v>
      </c>
      <c r="N257" s="546" t="s">
        <v>216</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LMPGP</v>
      </c>
      <c r="C258" s="49" t="s">
        <v>254</v>
      </c>
      <c r="D258" s="531" t="s">
        <v>263</v>
      </c>
      <c r="E258" s="49" t="s">
        <v>50</v>
      </c>
      <c r="F258" s="534" t="str">
        <f>R.14TribeDevName2</f>
        <v xml:space="preserve"> </v>
      </c>
      <c r="G258" s="542">
        <f>R.14TribeDevHrs2</f>
        <v>0</v>
      </c>
      <c r="H258" s="543">
        <f>Table3[[#This Row],[Hrs Rank]]</f>
        <v>0</v>
      </c>
      <c r="I258" s="533">
        <f t="shared" si="22"/>
        <v>0</v>
      </c>
      <c r="J258" s="533">
        <f t="shared" si="23"/>
        <v>0</v>
      </c>
      <c r="K258" s="550"/>
      <c r="L258" s="550"/>
      <c r="M258" s="546" t="s">
        <v>216</v>
      </c>
      <c r="N258" s="546" t="s">
        <v>216</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LMPGP</v>
      </c>
      <c r="C259" s="49" t="s">
        <v>254</v>
      </c>
      <c r="D259" s="531" t="s">
        <v>263</v>
      </c>
      <c r="E259" s="49" t="s">
        <v>50</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216</v>
      </c>
      <c r="N259" s="546" t="s">
        <v>216</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LMPGP</v>
      </c>
      <c r="C260" s="49" t="s">
        <v>254</v>
      </c>
      <c r="D260" s="531" t="s">
        <v>263</v>
      </c>
      <c r="E260" s="49" t="s">
        <v>50</v>
      </c>
      <c r="F260" s="534" t="str">
        <f>R.14TribeDevName4</f>
        <v xml:space="preserve"> </v>
      </c>
      <c r="G260" s="542">
        <f>R.14TribeDevHrs4</f>
        <v>0</v>
      </c>
      <c r="H260" s="543">
        <f>Table3[[#This Row],[Hrs Rank]]</f>
        <v>0</v>
      </c>
      <c r="I260" s="533">
        <f t="shared" si="28"/>
        <v>0</v>
      </c>
      <c r="J260" s="533">
        <f t="shared" si="29"/>
        <v>0</v>
      </c>
      <c r="K260" s="550"/>
      <c r="L260" s="550"/>
      <c r="M260" s="546" t="s">
        <v>216</v>
      </c>
      <c r="N260" s="546" t="s">
        <v>216</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LMPGP</v>
      </c>
      <c r="C261" s="49" t="s">
        <v>254</v>
      </c>
      <c r="D261" s="531" t="s">
        <v>263</v>
      </c>
      <c r="E261" s="49" t="s">
        <v>49</v>
      </c>
      <c r="F261" s="534">
        <f>R.14TribeImpName1</f>
        <v>0</v>
      </c>
      <c r="G261" s="542">
        <f>R.14TribeImpHrs1</f>
        <v>0</v>
      </c>
      <c r="H261" s="543">
        <f>Table3[[#This Row],[Hrs Rank]]</f>
        <v>0</v>
      </c>
      <c r="I261" s="533">
        <f t="shared" si="28"/>
        <v>0</v>
      </c>
      <c r="J261" s="533">
        <f t="shared" si="29"/>
        <v>0</v>
      </c>
      <c r="K261" s="550"/>
      <c r="L261" s="550"/>
      <c r="M261" s="546" t="s">
        <v>216</v>
      </c>
      <c r="N261" s="546" t="s">
        <v>216</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LMPGP</v>
      </c>
      <c r="C262" s="49" t="s">
        <v>254</v>
      </c>
      <c r="D262" s="531" t="s">
        <v>263</v>
      </c>
      <c r="E262" s="49" t="s">
        <v>49</v>
      </c>
      <c r="F262" s="534" t="str">
        <f>R.14TribeImpName2</f>
        <v xml:space="preserve"> </v>
      </c>
      <c r="G262" s="542">
        <f>R.14TribeImpHrs2</f>
        <v>0</v>
      </c>
      <c r="H262" s="543">
        <f>Table3[[#This Row],[Hrs Rank]]</f>
        <v>0</v>
      </c>
      <c r="I262" s="533">
        <f t="shared" si="28"/>
        <v>0</v>
      </c>
      <c r="J262" s="533">
        <f t="shared" si="29"/>
        <v>0</v>
      </c>
      <c r="K262" s="550"/>
      <c r="L262" s="550"/>
      <c r="M262" s="546" t="s">
        <v>216</v>
      </c>
      <c r="N262" s="546" t="s">
        <v>216</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LMPGP</v>
      </c>
      <c r="C263" s="49" t="s">
        <v>254</v>
      </c>
      <c r="D263" s="531" t="s">
        <v>263</v>
      </c>
      <c r="E263" s="49" t="s">
        <v>49</v>
      </c>
      <c r="F263" s="534" t="str">
        <f>R.14TribeImpName3</f>
        <v xml:space="preserve"> </v>
      </c>
      <c r="G263" s="542">
        <f>R.14TribeImpHrs3</f>
        <v>0</v>
      </c>
      <c r="H263" s="543">
        <f>Table3[[#This Row],[Hrs Rank]]</f>
        <v>0</v>
      </c>
      <c r="I263" s="533">
        <f t="shared" si="28"/>
        <v>0</v>
      </c>
      <c r="J263" s="533">
        <f t="shared" si="29"/>
        <v>0</v>
      </c>
      <c r="K263" s="550"/>
      <c r="L263" s="550"/>
      <c r="M263" s="546" t="s">
        <v>216</v>
      </c>
      <c r="N263" s="546" t="s">
        <v>216</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LMPGP</v>
      </c>
      <c r="C264" s="49" t="s">
        <v>254</v>
      </c>
      <c r="D264" s="531" t="s">
        <v>263</v>
      </c>
      <c r="E264" s="49" t="s">
        <v>49</v>
      </c>
      <c r="F264" s="534" t="str">
        <f>R.14TribeImpName4</f>
        <v xml:space="preserve"> </v>
      </c>
      <c r="G264" s="542">
        <f>R.14TribeImpHrs4</f>
        <v>0</v>
      </c>
      <c r="H264" s="543">
        <f>Table3[[#This Row],[Hrs Rank]]</f>
        <v>0</v>
      </c>
      <c r="I264" s="533">
        <f t="shared" si="28"/>
        <v>0</v>
      </c>
      <c r="J264" s="533">
        <f t="shared" si="29"/>
        <v>0</v>
      </c>
      <c r="K264" s="550"/>
      <c r="L264" s="550"/>
      <c r="M264" s="546" t="s">
        <v>216</v>
      </c>
      <c r="N264" s="546" t="s">
        <v>216</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LMPGP</v>
      </c>
      <c r="C265" s="49" t="s">
        <v>255</v>
      </c>
      <c r="D265" s="531" t="str">
        <f>'15CustomParticipants'!D$9</f>
        <v>Enter custom role 1</v>
      </c>
      <c r="E265" s="49" t="s">
        <v>50</v>
      </c>
      <c r="F265" s="534" t="str">
        <f t="shared" ref="F265:F280" si="30">R.3PAname</f>
        <v>PA name</v>
      </c>
      <c r="G265" s="542"/>
      <c r="H265" s="543">
        <f>Table3[[#This Row],[Hrs Rank]]</f>
        <v>0</v>
      </c>
      <c r="I265" s="533">
        <f t="shared" si="28"/>
        <v>0</v>
      </c>
      <c r="J265" s="533">
        <f t="shared" si="29"/>
        <v>0</v>
      </c>
      <c r="K265" s="550"/>
      <c r="L265" s="550"/>
      <c r="M265" s="546" t="s">
        <v>216</v>
      </c>
      <c r="N265" s="546" t="s">
        <v>216</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LMPGP</v>
      </c>
      <c r="C266" s="49" t="s">
        <v>255</v>
      </c>
      <c r="D266" s="531" t="str">
        <f>'15CustomParticipants'!D$9</f>
        <v>Enter custom role 1</v>
      </c>
      <c r="E266" s="49" t="s">
        <v>50</v>
      </c>
      <c r="F266" s="534" t="str">
        <f t="shared" si="30"/>
        <v>PA name</v>
      </c>
      <c r="G266" s="542"/>
      <c r="H266" s="543">
        <f>Table3[[#This Row],[Hrs Rank]]</f>
        <v>0</v>
      </c>
      <c r="I266" s="533">
        <f t="shared" si="28"/>
        <v>0</v>
      </c>
      <c r="J266" s="533">
        <f t="shared" si="29"/>
        <v>0</v>
      </c>
      <c r="K266" s="550"/>
      <c r="L266" s="550"/>
      <c r="M266" s="546" t="s">
        <v>216</v>
      </c>
      <c r="N266" s="546" t="s">
        <v>216</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LMPGP</v>
      </c>
      <c r="C267" s="49" t="s">
        <v>255</v>
      </c>
      <c r="D267" s="531" t="str">
        <f>'15CustomParticipants'!D$9</f>
        <v>Enter custom role 1</v>
      </c>
      <c r="E267" s="49" t="s">
        <v>50</v>
      </c>
      <c r="F267" s="534" t="str">
        <f t="shared" si="30"/>
        <v>PA name</v>
      </c>
      <c r="G267" s="542"/>
      <c r="H267" s="543">
        <f>Table3[[#This Row],[Hrs Rank]]</f>
        <v>0</v>
      </c>
      <c r="I267" s="533">
        <f t="shared" si="28"/>
        <v>0</v>
      </c>
      <c r="J267" s="533">
        <f t="shared" si="29"/>
        <v>0</v>
      </c>
      <c r="K267" s="550"/>
      <c r="L267" s="550"/>
      <c r="M267" s="546" t="s">
        <v>216</v>
      </c>
      <c r="N267" s="546" t="s">
        <v>216</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LMPGP</v>
      </c>
      <c r="C268" s="49" t="s">
        <v>255</v>
      </c>
      <c r="D268" s="531" t="str">
        <f>'15CustomParticipants'!D$9</f>
        <v>Enter custom role 1</v>
      </c>
      <c r="E268" s="49" t="s">
        <v>50</v>
      </c>
      <c r="F268" s="534" t="str">
        <f t="shared" si="30"/>
        <v>PA name</v>
      </c>
      <c r="G268" s="542"/>
      <c r="H268" s="543">
        <f>Table3[[#This Row],[Hrs Rank]]</f>
        <v>0</v>
      </c>
      <c r="I268" s="533">
        <f t="shared" si="28"/>
        <v>0</v>
      </c>
      <c r="J268" s="533">
        <f t="shared" si="29"/>
        <v>0</v>
      </c>
      <c r="K268" s="550"/>
      <c r="L268" s="550"/>
      <c r="M268" s="546" t="s">
        <v>216</v>
      </c>
      <c r="N268" s="546" t="s">
        <v>216</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LMPGP</v>
      </c>
      <c r="C269" s="49" t="s">
        <v>255</v>
      </c>
      <c r="D269" s="531" t="str">
        <f>'15CustomParticipants'!D$9</f>
        <v>Enter custom role 1</v>
      </c>
      <c r="E269" s="49" t="s">
        <v>49</v>
      </c>
      <c r="F269" s="534" t="str">
        <f t="shared" si="30"/>
        <v>PA name</v>
      </c>
      <c r="G269" s="542"/>
      <c r="H269" s="543">
        <f>Table3[[#This Row],[Hrs Rank]]</f>
        <v>0</v>
      </c>
      <c r="I269" s="533">
        <f t="shared" si="28"/>
        <v>0</v>
      </c>
      <c r="J269" s="533">
        <f t="shared" si="29"/>
        <v>0</v>
      </c>
      <c r="K269" s="550"/>
      <c r="L269" s="550"/>
      <c r="M269" s="546" t="s">
        <v>216</v>
      </c>
      <c r="N269" s="546" t="s">
        <v>216</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LMPGP</v>
      </c>
      <c r="C270" s="49" t="s">
        <v>255</v>
      </c>
      <c r="D270" s="531" t="str">
        <f>'15CustomParticipants'!D$9</f>
        <v>Enter custom role 1</v>
      </c>
      <c r="E270" s="49" t="s">
        <v>49</v>
      </c>
      <c r="F270" s="534" t="str">
        <f t="shared" si="30"/>
        <v>PA name</v>
      </c>
      <c r="G270" s="542"/>
      <c r="H270" s="543">
        <f>Table3[[#This Row],[Hrs Rank]]</f>
        <v>0</v>
      </c>
      <c r="I270" s="533">
        <f t="shared" si="28"/>
        <v>0</v>
      </c>
      <c r="J270" s="533">
        <f t="shared" si="29"/>
        <v>0</v>
      </c>
      <c r="K270" s="550"/>
      <c r="L270" s="550"/>
      <c r="M270" s="546" t="s">
        <v>216</v>
      </c>
      <c r="N270" s="546" t="s">
        <v>216</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LMPGP</v>
      </c>
      <c r="C271" s="49" t="s">
        <v>255</v>
      </c>
      <c r="D271" s="531" t="str">
        <f>'15CustomParticipants'!D$9</f>
        <v>Enter custom role 1</v>
      </c>
      <c r="E271" s="49" t="s">
        <v>49</v>
      </c>
      <c r="F271" s="534" t="str">
        <f t="shared" si="30"/>
        <v>PA name</v>
      </c>
      <c r="G271" s="542"/>
      <c r="H271" s="543">
        <f>Table3[[#This Row],[Hrs Rank]]</f>
        <v>0</v>
      </c>
      <c r="I271" s="533">
        <f t="shared" si="28"/>
        <v>0</v>
      </c>
      <c r="J271" s="533">
        <f t="shared" si="29"/>
        <v>0</v>
      </c>
      <c r="K271" s="550"/>
      <c r="L271" s="550"/>
      <c r="M271" s="546" t="s">
        <v>216</v>
      </c>
      <c r="N271" s="546" t="s">
        <v>216</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LMPGP</v>
      </c>
      <c r="C272" s="49" t="s">
        <v>255</v>
      </c>
      <c r="D272" s="531" t="str">
        <f>'15CustomParticipants'!D$9</f>
        <v>Enter custom role 1</v>
      </c>
      <c r="E272" s="49" t="s">
        <v>49</v>
      </c>
      <c r="F272" s="534" t="str">
        <f t="shared" si="30"/>
        <v>PA name</v>
      </c>
      <c r="G272" s="542"/>
      <c r="H272" s="543">
        <f>Table3[[#This Row],[Hrs Rank]]</f>
        <v>0</v>
      </c>
      <c r="I272" s="533">
        <f t="shared" si="28"/>
        <v>0</v>
      </c>
      <c r="J272" s="533">
        <f t="shared" si="29"/>
        <v>0</v>
      </c>
      <c r="K272" s="550"/>
      <c r="L272" s="550"/>
      <c r="M272" s="546" t="s">
        <v>216</v>
      </c>
      <c r="N272" s="546" t="s">
        <v>216</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LMPGP</v>
      </c>
      <c r="C273" s="49" t="s">
        <v>255</v>
      </c>
      <c r="D273" s="531" t="str">
        <f>'15CustomParticipants'!D$25</f>
        <v>Enter custom role 2</v>
      </c>
      <c r="E273" s="49" t="s">
        <v>50</v>
      </c>
      <c r="F273" s="534" t="str">
        <f t="shared" si="30"/>
        <v>PA name</v>
      </c>
      <c r="G273" s="542"/>
      <c r="H273" s="543">
        <f>Table3[[#This Row],[Hrs Rank]]</f>
        <v>0</v>
      </c>
      <c r="I273" s="533">
        <f t="shared" si="28"/>
        <v>0</v>
      </c>
      <c r="J273" s="533">
        <f t="shared" si="29"/>
        <v>0</v>
      </c>
      <c r="K273" s="550"/>
      <c r="L273" s="550"/>
      <c r="M273" s="546" t="s">
        <v>216</v>
      </c>
      <c r="N273" s="546" t="s">
        <v>216</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LMPGP</v>
      </c>
      <c r="C274" s="49" t="s">
        <v>255</v>
      </c>
      <c r="D274" s="531" t="str">
        <f>'15CustomParticipants'!D$25</f>
        <v>Enter custom role 2</v>
      </c>
      <c r="E274" s="49" t="s">
        <v>50</v>
      </c>
      <c r="F274" s="534" t="str">
        <f t="shared" si="30"/>
        <v>PA name</v>
      </c>
      <c r="G274" s="542"/>
      <c r="H274" s="543">
        <f>Table3[[#This Row],[Hrs Rank]]</f>
        <v>0</v>
      </c>
      <c r="I274" s="533">
        <f t="shared" si="28"/>
        <v>0</v>
      </c>
      <c r="J274" s="533">
        <f t="shared" si="29"/>
        <v>0</v>
      </c>
      <c r="K274" s="550"/>
      <c r="L274" s="550"/>
      <c r="M274" s="546" t="s">
        <v>216</v>
      </c>
      <c r="N274" s="546" t="s">
        <v>216</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LMPGP</v>
      </c>
      <c r="C275" s="49" t="s">
        <v>255</v>
      </c>
      <c r="D275" s="531" t="str">
        <f>'15CustomParticipants'!D$25</f>
        <v>Enter custom role 2</v>
      </c>
      <c r="E275" s="49" t="s">
        <v>50</v>
      </c>
      <c r="F275" s="534" t="str">
        <f t="shared" si="30"/>
        <v>PA name</v>
      </c>
      <c r="G275" s="542"/>
      <c r="H275" s="543">
        <f>Table3[[#This Row],[Hrs Rank]]</f>
        <v>0</v>
      </c>
      <c r="I275" s="533">
        <f t="shared" si="28"/>
        <v>0</v>
      </c>
      <c r="J275" s="533">
        <f t="shared" si="29"/>
        <v>0</v>
      </c>
      <c r="K275" s="550"/>
      <c r="L275" s="550"/>
      <c r="M275" s="546" t="s">
        <v>216</v>
      </c>
      <c r="N275" s="546" t="s">
        <v>216</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LMPGP</v>
      </c>
      <c r="C276" s="49" t="s">
        <v>255</v>
      </c>
      <c r="D276" s="531" t="str">
        <f>'15CustomParticipants'!D$25</f>
        <v>Enter custom role 2</v>
      </c>
      <c r="E276" s="49" t="s">
        <v>50</v>
      </c>
      <c r="F276" s="534" t="str">
        <f t="shared" si="30"/>
        <v>PA name</v>
      </c>
      <c r="G276" s="542"/>
      <c r="H276" s="543">
        <f>Table3[[#This Row],[Hrs Rank]]</f>
        <v>0</v>
      </c>
      <c r="I276" s="533">
        <f t="shared" si="28"/>
        <v>0</v>
      </c>
      <c r="J276" s="533">
        <f t="shared" si="29"/>
        <v>0</v>
      </c>
      <c r="K276" s="550"/>
      <c r="L276" s="550"/>
      <c r="M276" s="546" t="s">
        <v>216</v>
      </c>
      <c r="N276" s="546" t="s">
        <v>216</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LMPGP</v>
      </c>
      <c r="C277" s="49" t="s">
        <v>255</v>
      </c>
      <c r="D277" s="531" t="str">
        <f>'15CustomParticipants'!D$25</f>
        <v>Enter custom role 2</v>
      </c>
      <c r="E277" s="49" t="s">
        <v>49</v>
      </c>
      <c r="F277" s="534" t="str">
        <f t="shared" si="30"/>
        <v>PA name</v>
      </c>
      <c r="G277" s="542"/>
      <c r="H277" s="543">
        <f>Table3[[#This Row],[Hrs Rank]]</f>
        <v>0</v>
      </c>
      <c r="I277" s="533">
        <f t="shared" si="28"/>
        <v>0</v>
      </c>
      <c r="J277" s="533">
        <f t="shared" si="29"/>
        <v>0</v>
      </c>
      <c r="K277" s="550"/>
      <c r="L277" s="550"/>
      <c r="M277" s="546" t="s">
        <v>216</v>
      </c>
      <c r="N277" s="546" t="s">
        <v>216</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LMPGP</v>
      </c>
      <c r="C278" s="49" t="s">
        <v>255</v>
      </c>
      <c r="D278" s="531" t="str">
        <f>'15CustomParticipants'!D$25</f>
        <v>Enter custom role 2</v>
      </c>
      <c r="E278" s="49" t="s">
        <v>49</v>
      </c>
      <c r="F278" s="534" t="str">
        <f t="shared" si="30"/>
        <v>PA name</v>
      </c>
      <c r="G278" s="542"/>
      <c r="H278" s="543">
        <f>Table3[[#This Row],[Hrs Rank]]</f>
        <v>0</v>
      </c>
      <c r="I278" s="533">
        <f t="shared" si="28"/>
        <v>0</v>
      </c>
      <c r="J278" s="533">
        <f t="shared" si="29"/>
        <v>0</v>
      </c>
      <c r="K278" s="550"/>
      <c r="L278" s="550"/>
      <c r="M278" s="546" t="s">
        <v>216</v>
      </c>
      <c r="N278" s="546" t="s">
        <v>216</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LMPGP</v>
      </c>
      <c r="C279" s="49" t="s">
        <v>255</v>
      </c>
      <c r="D279" s="531" t="str">
        <f>'15CustomParticipants'!D$25</f>
        <v>Enter custom role 2</v>
      </c>
      <c r="E279" s="49" t="s">
        <v>49</v>
      </c>
      <c r="F279" s="534" t="str">
        <f t="shared" si="30"/>
        <v>PA name</v>
      </c>
      <c r="G279" s="542"/>
      <c r="H279" s="543">
        <f>Table3[[#This Row],[Hrs Rank]]</f>
        <v>0</v>
      </c>
      <c r="I279" s="533">
        <f t="shared" si="28"/>
        <v>0</v>
      </c>
      <c r="J279" s="533">
        <f t="shared" si="29"/>
        <v>0</v>
      </c>
      <c r="K279" s="550"/>
      <c r="L279" s="550"/>
      <c r="M279" s="546" t="s">
        <v>216</v>
      </c>
      <c r="N279" s="546" t="s">
        <v>216</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LMPGP</v>
      </c>
      <c r="C280" s="49" t="s">
        <v>255</v>
      </c>
      <c r="D280" s="531" t="str">
        <f>'15CustomParticipants'!D$25</f>
        <v>Enter custom role 2</v>
      </c>
      <c r="E280" s="49" t="s">
        <v>49</v>
      </c>
      <c r="F280" s="534" t="str">
        <f t="shared" si="30"/>
        <v>PA name</v>
      </c>
      <c r="G280" s="542"/>
      <c r="H280" s="543">
        <f>Table3[[#This Row],[Hrs Rank]]</f>
        <v>0</v>
      </c>
      <c r="I280" s="533">
        <f t="shared" si="28"/>
        <v>0</v>
      </c>
      <c r="J280" s="533">
        <f t="shared" si="29"/>
        <v>0</v>
      </c>
      <c r="K280" s="550"/>
      <c r="L280" s="550"/>
      <c r="M280" s="546" t="s">
        <v>216</v>
      </c>
      <c r="N280" s="546" t="s">
        <v>216</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LMPGP</v>
      </c>
      <c r="C281" s="49" t="s">
        <v>255</v>
      </c>
      <c r="D281" s="531" t="str">
        <f>'15CustomParticipants'!D$41</f>
        <v>Enter custom role 3</v>
      </c>
      <c r="E281" s="49" t="s">
        <v>50</v>
      </c>
      <c r="F281" s="534" t="str">
        <f t="shared" ref="F281:F296" si="31">R.3PAname</f>
        <v>PA name</v>
      </c>
      <c r="G281" s="542"/>
      <c r="H281" s="543">
        <f>Table3[[#This Row],[Hrs Rank]]</f>
        <v>0</v>
      </c>
      <c r="I281" s="533">
        <f t="shared" si="28"/>
        <v>0</v>
      </c>
      <c r="J281" s="533">
        <f t="shared" si="29"/>
        <v>0</v>
      </c>
      <c r="K281" s="550"/>
      <c r="L281" s="550"/>
      <c r="M281" s="546" t="s">
        <v>216</v>
      </c>
      <c r="N281" s="546" t="s">
        <v>216</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LMPGP</v>
      </c>
      <c r="C282" s="49" t="s">
        <v>255</v>
      </c>
      <c r="D282" s="531" t="str">
        <f>'15CustomParticipants'!D$41</f>
        <v>Enter custom role 3</v>
      </c>
      <c r="E282" s="49" t="s">
        <v>50</v>
      </c>
      <c r="F282" s="534" t="str">
        <f t="shared" si="31"/>
        <v>PA name</v>
      </c>
      <c r="G282" s="542"/>
      <c r="H282" s="543">
        <f>Table3[[#This Row],[Hrs Rank]]</f>
        <v>0</v>
      </c>
      <c r="I282" s="533">
        <f t="shared" si="28"/>
        <v>0</v>
      </c>
      <c r="J282" s="533">
        <f t="shared" si="29"/>
        <v>0</v>
      </c>
      <c r="K282" s="550"/>
      <c r="L282" s="550"/>
      <c r="M282" s="546" t="s">
        <v>216</v>
      </c>
      <c r="N282" s="546" t="s">
        <v>216</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LMPGP</v>
      </c>
      <c r="C283" s="49" t="s">
        <v>255</v>
      </c>
      <c r="D283" s="531" t="str">
        <f>'15CustomParticipants'!D$41</f>
        <v>Enter custom role 3</v>
      </c>
      <c r="E283" s="49" t="s">
        <v>50</v>
      </c>
      <c r="F283" s="534" t="str">
        <f t="shared" si="31"/>
        <v>PA name</v>
      </c>
      <c r="G283" s="542"/>
      <c r="H283" s="543">
        <f>Table3[[#This Row],[Hrs Rank]]</f>
        <v>0</v>
      </c>
      <c r="I283" s="533">
        <f t="shared" si="28"/>
        <v>0</v>
      </c>
      <c r="J283" s="533">
        <f t="shared" si="29"/>
        <v>0</v>
      </c>
      <c r="K283" s="550"/>
      <c r="L283" s="550"/>
      <c r="M283" s="546" t="s">
        <v>216</v>
      </c>
      <c r="N283" s="546" t="s">
        <v>216</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LMPGP</v>
      </c>
      <c r="C284" s="49" t="s">
        <v>255</v>
      </c>
      <c r="D284" s="531" t="str">
        <f>'15CustomParticipants'!D$41</f>
        <v>Enter custom role 3</v>
      </c>
      <c r="E284" s="49" t="s">
        <v>50</v>
      </c>
      <c r="F284" s="534" t="str">
        <f t="shared" si="31"/>
        <v>PA name</v>
      </c>
      <c r="G284" s="542"/>
      <c r="H284" s="543">
        <f>Table3[[#This Row],[Hrs Rank]]</f>
        <v>0</v>
      </c>
      <c r="I284" s="533">
        <f t="shared" si="28"/>
        <v>0</v>
      </c>
      <c r="J284" s="533">
        <f t="shared" si="29"/>
        <v>0</v>
      </c>
      <c r="K284" s="550"/>
      <c r="L284" s="550"/>
      <c r="M284" s="546" t="s">
        <v>216</v>
      </c>
      <c r="N284" s="546" t="s">
        <v>216</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LMPGP</v>
      </c>
      <c r="C285" s="49" t="s">
        <v>255</v>
      </c>
      <c r="D285" s="531" t="str">
        <f>'15CustomParticipants'!D$41</f>
        <v>Enter custom role 3</v>
      </c>
      <c r="E285" s="49" t="s">
        <v>49</v>
      </c>
      <c r="F285" s="534" t="str">
        <f t="shared" si="31"/>
        <v>PA name</v>
      </c>
      <c r="G285" s="542"/>
      <c r="H285" s="543">
        <f>Table3[[#This Row],[Hrs Rank]]</f>
        <v>0</v>
      </c>
      <c r="I285" s="533">
        <f t="shared" si="28"/>
        <v>0</v>
      </c>
      <c r="J285" s="533">
        <f t="shared" si="29"/>
        <v>0</v>
      </c>
      <c r="K285" s="550"/>
      <c r="L285" s="550"/>
      <c r="M285" s="546" t="s">
        <v>216</v>
      </c>
      <c r="N285" s="546" t="s">
        <v>216</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LMPGP</v>
      </c>
      <c r="C286" s="49" t="s">
        <v>255</v>
      </c>
      <c r="D286" s="531" t="str">
        <f>'15CustomParticipants'!D$41</f>
        <v>Enter custom role 3</v>
      </c>
      <c r="E286" s="49" t="s">
        <v>49</v>
      </c>
      <c r="F286" s="534" t="str">
        <f t="shared" si="31"/>
        <v>PA name</v>
      </c>
      <c r="G286" s="542"/>
      <c r="H286" s="543">
        <f>Table3[[#This Row],[Hrs Rank]]</f>
        <v>0</v>
      </c>
      <c r="I286" s="533">
        <f t="shared" si="28"/>
        <v>0</v>
      </c>
      <c r="J286" s="533">
        <f t="shared" si="29"/>
        <v>0</v>
      </c>
      <c r="K286" s="550"/>
      <c r="L286" s="550"/>
      <c r="M286" s="546" t="s">
        <v>216</v>
      </c>
      <c r="N286" s="546" t="s">
        <v>216</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LMPGP</v>
      </c>
      <c r="C287" s="49" t="s">
        <v>255</v>
      </c>
      <c r="D287" s="531" t="str">
        <f>'15CustomParticipants'!D$41</f>
        <v>Enter custom role 3</v>
      </c>
      <c r="E287" s="49" t="s">
        <v>49</v>
      </c>
      <c r="F287" s="534" t="str">
        <f t="shared" si="31"/>
        <v>PA name</v>
      </c>
      <c r="G287" s="542"/>
      <c r="H287" s="543">
        <f>Table3[[#This Row],[Hrs Rank]]</f>
        <v>0</v>
      </c>
      <c r="I287" s="533">
        <f t="shared" si="28"/>
        <v>0</v>
      </c>
      <c r="J287" s="533">
        <f t="shared" si="29"/>
        <v>0</v>
      </c>
      <c r="K287" s="550"/>
      <c r="L287" s="550"/>
      <c r="M287" s="546" t="s">
        <v>216</v>
      </c>
      <c r="N287" s="546" t="s">
        <v>216</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LMPGP</v>
      </c>
      <c r="C288" s="49" t="s">
        <v>255</v>
      </c>
      <c r="D288" s="531" t="str">
        <f>'15CustomParticipants'!D$41</f>
        <v>Enter custom role 3</v>
      </c>
      <c r="E288" s="49" t="s">
        <v>49</v>
      </c>
      <c r="F288" s="534" t="str">
        <f t="shared" si="31"/>
        <v>PA name</v>
      </c>
      <c r="G288" s="542"/>
      <c r="H288" s="543">
        <f>Table3[[#This Row],[Hrs Rank]]</f>
        <v>0</v>
      </c>
      <c r="I288" s="533">
        <f t="shared" si="28"/>
        <v>0</v>
      </c>
      <c r="J288" s="533">
        <f t="shared" si="29"/>
        <v>0</v>
      </c>
      <c r="K288" s="550"/>
      <c r="L288" s="550"/>
      <c r="M288" s="546" t="s">
        <v>216</v>
      </c>
      <c r="N288" s="546" t="s">
        <v>216</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LMPGP</v>
      </c>
      <c r="C289" s="49" t="s">
        <v>255</v>
      </c>
      <c r="D289" s="531" t="str">
        <f>'15CustomParticipants'!D$57</f>
        <v>Enter custom role 4</v>
      </c>
      <c r="E289" s="49" t="s">
        <v>50</v>
      </c>
      <c r="F289" s="534" t="str">
        <f t="shared" si="31"/>
        <v>PA name</v>
      </c>
      <c r="G289" s="542"/>
      <c r="H289" s="543">
        <f>Table3[[#This Row],[Hrs Rank]]</f>
        <v>0</v>
      </c>
      <c r="I289" s="533">
        <f t="shared" si="28"/>
        <v>0</v>
      </c>
      <c r="J289" s="533">
        <f t="shared" si="29"/>
        <v>0</v>
      </c>
      <c r="K289" s="550"/>
      <c r="L289" s="550"/>
      <c r="M289" s="546" t="s">
        <v>216</v>
      </c>
      <c r="N289" s="546" t="s">
        <v>216</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LMPGP</v>
      </c>
      <c r="C290" s="49" t="s">
        <v>255</v>
      </c>
      <c r="D290" s="531" t="str">
        <f>'15CustomParticipants'!D$57</f>
        <v>Enter custom role 4</v>
      </c>
      <c r="E290" s="49" t="s">
        <v>50</v>
      </c>
      <c r="F290" s="534" t="str">
        <f t="shared" si="31"/>
        <v>PA name</v>
      </c>
      <c r="G290" s="542"/>
      <c r="H290" s="543">
        <f>Table3[[#This Row],[Hrs Rank]]</f>
        <v>0</v>
      </c>
      <c r="I290" s="533">
        <f t="shared" si="28"/>
        <v>0</v>
      </c>
      <c r="J290" s="533">
        <f t="shared" si="29"/>
        <v>0</v>
      </c>
      <c r="K290" s="550"/>
      <c r="L290" s="550"/>
      <c r="M290" s="546" t="s">
        <v>216</v>
      </c>
      <c r="N290" s="546" t="s">
        <v>216</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LMPGP</v>
      </c>
      <c r="C291" s="49" t="s">
        <v>255</v>
      </c>
      <c r="D291" s="531" t="str">
        <f>'15CustomParticipants'!D$57</f>
        <v>Enter custom role 4</v>
      </c>
      <c r="E291" s="49" t="s">
        <v>50</v>
      </c>
      <c r="F291" s="534" t="str">
        <f t="shared" si="31"/>
        <v>PA name</v>
      </c>
      <c r="G291" s="542"/>
      <c r="H291" s="543">
        <f>Table3[[#This Row],[Hrs Rank]]</f>
        <v>0</v>
      </c>
      <c r="I291" s="533">
        <f t="shared" si="28"/>
        <v>0</v>
      </c>
      <c r="J291" s="533">
        <f t="shared" si="29"/>
        <v>0</v>
      </c>
      <c r="K291" s="550"/>
      <c r="L291" s="550"/>
      <c r="M291" s="546" t="s">
        <v>216</v>
      </c>
      <c r="N291" s="546" t="s">
        <v>216</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LMPGP</v>
      </c>
      <c r="C292" s="49" t="s">
        <v>255</v>
      </c>
      <c r="D292" s="531" t="str">
        <f>'15CustomParticipants'!D$57</f>
        <v>Enter custom role 4</v>
      </c>
      <c r="E292" s="49" t="s">
        <v>50</v>
      </c>
      <c r="F292" s="534" t="str">
        <f t="shared" si="31"/>
        <v>PA name</v>
      </c>
      <c r="G292" s="542"/>
      <c r="H292" s="543">
        <f>Table3[[#This Row],[Hrs Rank]]</f>
        <v>0</v>
      </c>
      <c r="I292" s="533">
        <f t="shared" si="28"/>
        <v>0</v>
      </c>
      <c r="J292" s="533">
        <f t="shared" si="29"/>
        <v>0</v>
      </c>
      <c r="K292" s="550"/>
      <c r="L292" s="550"/>
      <c r="M292" s="546" t="s">
        <v>216</v>
      </c>
      <c r="N292" s="546" t="s">
        <v>216</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LMPGP</v>
      </c>
      <c r="C293" s="49" t="s">
        <v>255</v>
      </c>
      <c r="D293" s="531" t="str">
        <f>'15CustomParticipants'!D$57</f>
        <v>Enter custom role 4</v>
      </c>
      <c r="E293" s="49" t="s">
        <v>49</v>
      </c>
      <c r="F293" s="534" t="str">
        <f t="shared" si="31"/>
        <v>PA name</v>
      </c>
      <c r="G293" s="542"/>
      <c r="H293" s="543">
        <f>Table3[[#This Row],[Hrs Rank]]</f>
        <v>0</v>
      </c>
      <c r="I293" s="533">
        <f t="shared" si="28"/>
        <v>0</v>
      </c>
      <c r="J293" s="533">
        <f t="shared" si="29"/>
        <v>0</v>
      </c>
      <c r="K293" s="550"/>
      <c r="L293" s="550"/>
      <c r="M293" s="546" t="s">
        <v>216</v>
      </c>
      <c r="N293" s="546" t="s">
        <v>216</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LMPGP</v>
      </c>
      <c r="C294" s="49" t="s">
        <v>255</v>
      </c>
      <c r="D294" s="531" t="str">
        <f>'15CustomParticipants'!D$57</f>
        <v>Enter custom role 4</v>
      </c>
      <c r="E294" s="49" t="s">
        <v>49</v>
      </c>
      <c r="F294" s="534" t="str">
        <f t="shared" si="31"/>
        <v>PA name</v>
      </c>
      <c r="G294" s="542"/>
      <c r="H294" s="543">
        <f>Table3[[#This Row],[Hrs Rank]]</f>
        <v>0</v>
      </c>
      <c r="I294" s="533">
        <f t="shared" si="28"/>
        <v>0</v>
      </c>
      <c r="J294" s="533">
        <f t="shared" si="29"/>
        <v>0</v>
      </c>
      <c r="K294" s="550"/>
      <c r="L294" s="550"/>
      <c r="M294" s="546" t="s">
        <v>216</v>
      </c>
      <c r="N294" s="546" t="s">
        <v>216</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LMPGP</v>
      </c>
      <c r="C295" s="49" t="s">
        <v>255</v>
      </c>
      <c r="D295" s="531" t="str">
        <f>'15CustomParticipants'!D$57</f>
        <v>Enter custom role 4</v>
      </c>
      <c r="E295" s="49" t="s">
        <v>49</v>
      </c>
      <c r="F295" s="534" t="str">
        <f t="shared" si="31"/>
        <v>PA name</v>
      </c>
      <c r="G295" s="542"/>
      <c r="H295" s="543">
        <f>Table3[[#This Row],[Hrs Rank]]</f>
        <v>0</v>
      </c>
      <c r="I295" s="533">
        <f t="shared" si="28"/>
        <v>0</v>
      </c>
      <c r="J295" s="533">
        <f t="shared" si="29"/>
        <v>0</v>
      </c>
      <c r="K295" s="550"/>
      <c r="L295" s="550"/>
      <c r="M295" s="546" t="s">
        <v>216</v>
      </c>
      <c r="N295" s="546" t="s">
        <v>216</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LMPGP</v>
      </c>
      <c r="C296" s="49" t="s">
        <v>255</v>
      </c>
      <c r="D296" s="531" t="str">
        <f>'15CustomParticipants'!D$57</f>
        <v>Enter custom role 4</v>
      </c>
      <c r="E296" s="49" t="s">
        <v>49</v>
      </c>
      <c r="F296" s="534" t="str">
        <f t="shared" si="31"/>
        <v>PA name</v>
      </c>
      <c r="G296" s="542"/>
      <c r="H296" s="543">
        <f>Table3[[#This Row],[Hrs Rank]]</f>
        <v>0</v>
      </c>
      <c r="I296" s="533">
        <f t="shared" si="28"/>
        <v>0</v>
      </c>
      <c r="J296" s="533">
        <f t="shared" si="29"/>
        <v>0</v>
      </c>
      <c r="K296" s="550"/>
      <c r="L296" s="550"/>
      <c r="M296" s="546" t="s">
        <v>216</v>
      </c>
      <c r="N296" s="546" t="s">
        <v>216</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10" zoomScaleNormal="100" workbookViewId="0">
      <selection activeCell="D34" sqref="D34:P34"/>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100</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103</v>
      </c>
      <c r="B2" s="333"/>
      <c r="C2" s="331">
        <v>7</v>
      </c>
      <c r="D2" s="330" t="s">
        <v>58</v>
      </c>
      <c r="E2" s="715" t="str">
        <f>R.1MediaAndLongName</f>
        <v>AQ LMP Grants Pass</v>
      </c>
      <c r="F2" s="715"/>
      <c r="G2" s="715"/>
      <c r="H2" s="715"/>
      <c r="I2" s="715"/>
      <c r="J2" s="715"/>
      <c r="K2" s="715"/>
      <c r="L2" s="715"/>
      <c r="M2" s="715"/>
      <c r="N2" s="715"/>
      <c r="O2" s="715"/>
      <c r="P2" s="715"/>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01" t="s">
        <v>54</v>
      </c>
      <c r="N3" s="701"/>
      <c r="O3" s="701"/>
      <c r="P3" s="701"/>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52</v>
      </c>
      <c r="E4" s="80">
        <f>S4</f>
        <v>1</v>
      </c>
      <c r="F4" s="702" t="s">
        <v>51</v>
      </c>
      <c r="G4" s="702"/>
      <c r="H4" s="702"/>
      <c r="I4" s="702"/>
      <c r="J4" s="702"/>
      <c r="K4" s="702"/>
      <c r="L4" s="702"/>
      <c r="M4" s="703" t="str">
        <f>S5</f>
        <v>1-8</v>
      </c>
      <c r="N4" s="703"/>
      <c r="O4" s="703"/>
      <c r="P4" s="703"/>
      <c r="Q4" s="155"/>
      <c r="R4" s="333"/>
      <c r="S4" s="353">
        <f>COUNTIFS(S13:S55,"&gt;0")</f>
        <v>1</v>
      </c>
      <c r="T4" s="354">
        <f>SUM(T13:T55)</f>
        <v>1</v>
      </c>
      <c r="U4" s="354">
        <f>SUM(U13:U55)</f>
        <v>8</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53</v>
      </c>
      <c r="E5" s="97">
        <f>R.AvgHrDEQCost</f>
        <v>58</v>
      </c>
      <c r="F5" s="702" t="s">
        <v>55</v>
      </c>
      <c r="G5" s="702"/>
      <c r="H5" s="702"/>
      <c r="I5" s="702"/>
      <c r="J5" s="702"/>
      <c r="K5" s="702"/>
      <c r="L5" s="702"/>
      <c r="M5" s="704" t="str">
        <f>S6</f>
        <v>$58-464</v>
      </c>
      <c r="N5" s="704"/>
      <c r="O5" s="704"/>
      <c r="P5" s="704"/>
      <c r="Q5" s="155"/>
      <c r="R5" s="333"/>
      <c r="S5" s="121" t="str">
        <f>IF(R.7StaffCount=0,"0",IF(R.7LowHrs=0,"0-"&amp;TEXT(R.7HighHrs,"#,###"),TEXT(R.7LowHrs,"#,###")&amp;"-"&amp;TEXT(R.7HighHrs,"#,###")))</f>
        <v>1-8</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$58-464</v>
      </c>
      <c r="T6" s="123">
        <f>T4*E5</f>
        <v>58</v>
      </c>
      <c r="U6" s="123">
        <f>U4*E5</f>
        <v>464</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32" t="s">
        <v>239</v>
      </c>
      <c r="E7" s="733"/>
      <c r="F7" s="733"/>
      <c r="G7" s="733"/>
      <c r="H7" s="733"/>
      <c r="I7" s="733"/>
      <c r="J7" s="733"/>
      <c r="K7" s="733"/>
      <c r="L7" s="733"/>
      <c r="M7" s="733"/>
      <c r="N7" s="733"/>
      <c r="O7" s="733"/>
      <c r="P7" s="734"/>
      <c r="Q7" s="155"/>
      <c r="R7" s="333"/>
      <c r="S7" s="495">
        <f>AVERAGEIF(S14:S56,"&gt;0")</f>
        <v>1</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103</v>
      </c>
      <c r="B9" s="333"/>
      <c r="C9" s="482" t="s">
        <v>0</v>
      </c>
      <c r="D9" s="380" t="s">
        <v>143</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50</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690"/>
      <c r="E11" s="691"/>
      <c r="F11" s="691"/>
      <c r="G11" s="691"/>
      <c r="H11" s="691"/>
      <c r="I11" s="691"/>
      <c r="J11" s="691"/>
      <c r="K11" s="691"/>
      <c r="L11" s="691"/>
      <c r="M11" s="691"/>
      <c r="N11" s="691"/>
      <c r="O11" s="691"/>
      <c r="P11" s="692"/>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57</v>
      </c>
      <c r="E12" s="392" t="s">
        <v>15</v>
      </c>
      <c r="F12" s="735" t="s">
        <v>16</v>
      </c>
      <c r="G12" s="735"/>
      <c r="H12" s="735"/>
      <c r="I12" s="735"/>
      <c r="J12" s="735"/>
      <c r="K12" s="735"/>
      <c r="L12" s="735"/>
      <c r="M12" s="735"/>
      <c r="N12" s="735"/>
      <c r="O12" s="735"/>
      <c r="P12" s="392" t="s">
        <v>17</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35"/>
      <c r="E13" s="29" t="s">
        <v>217</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4" t="s">
        <v>542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217</v>
      </c>
      <c r="F14" s="70">
        <v>1</v>
      </c>
      <c r="G14" s="71">
        <v>2</v>
      </c>
      <c r="H14" s="72">
        <v>3</v>
      </c>
      <c r="I14" s="73">
        <v>4</v>
      </c>
      <c r="J14" s="74">
        <v>5</v>
      </c>
      <c r="K14" s="75">
        <v>6</v>
      </c>
      <c r="L14" s="76">
        <v>7</v>
      </c>
      <c r="M14" s="77">
        <v>8</v>
      </c>
      <c r="N14" s="78">
        <v>9</v>
      </c>
      <c r="O14" s="79">
        <v>10</v>
      </c>
      <c r="P14" s="31" t="s">
        <v>12</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217</v>
      </c>
      <c r="F15" s="70">
        <v>1</v>
      </c>
      <c r="G15" s="71">
        <v>2</v>
      </c>
      <c r="H15" s="72">
        <v>3</v>
      </c>
      <c r="I15" s="73">
        <v>4</v>
      </c>
      <c r="J15" s="74">
        <v>5</v>
      </c>
      <c r="K15" s="75">
        <v>6</v>
      </c>
      <c r="L15" s="76">
        <v>7</v>
      </c>
      <c r="M15" s="77">
        <v>8</v>
      </c>
      <c r="N15" s="78">
        <v>9</v>
      </c>
      <c r="O15" s="79">
        <v>10</v>
      </c>
      <c r="P15" s="31" t="s">
        <v>13</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49</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42"/>
      <c r="E18" s="743"/>
      <c r="F18" s="743"/>
      <c r="G18" s="743"/>
      <c r="H18" s="743"/>
      <c r="I18" s="743"/>
      <c r="J18" s="743"/>
      <c r="K18" s="743"/>
      <c r="L18" s="743"/>
      <c r="M18" s="743"/>
      <c r="N18" s="743"/>
      <c r="O18" s="743"/>
      <c r="P18" s="744"/>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57</v>
      </c>
      <c r="E19" s="291" t="s">
        <v>15</v>
      </c>
      <c r="F19" s="291" t="s">
        <v>16</v>
      </c>
      <c r="G19" s="291"/>
      <c r="H19" s="291"/>
      <c r="I19" s="291"/>
      <c r="J19" s="291"/>
      <c r="K19" s="291"/>
      <c r="L19" s="291"/>
      <c r="M19" s="291"/>
      <c r="N19" s="291"/>
      <c r="O19" s="291"/>
      <c r="P19" s="291" t="s">
        <v>17</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217</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4" t="s">
        <v>542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41"/>
      <c r="F24" s="741"/>
      <c r="G24" s="741"/>
      <c r="H24" s="741"/>
      <c r="I24" s="741"/>
      <c r="J24" s="741"/>
      <c r="K24" s="741"/>
      <c r="L24" s="741"/>
      <c r="M24" s="741"/>
      <c r="N24" s="741"/>
      <c r="O24" s="741"/>
      <c r="P24" s="741"/>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103</v>
      </c>
      <c r="B25" s="333"/>
      <c r="C25" s="135"/>
      <c r="D25" s="303" t="s">
        <v>144</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50</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690" t="s">
        <v>605</v>
      </c>
      <c r="E27" s="691"/>
      <c r="F27" s="691"/>
      <c r="G27" s="691"/>
      <c r="H27" s="691"/>
      <c r="I27" s="691"/>
      <c r="J27" s="691"/>
      <c r="K27" s="691"/>
      <c r="L27" s="691"/>
      <c r="M27" s="691"/>
      <c r="N27" s="691"/>
      <c r="O27" s="691"/>
      <c r="P27" s="692"/>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57</v>
      </c>
      <c r="E28" s="158" t="s">
        <v>15</v>
      </c>
      <c r="F28" s="158" t="s">
        <v>16</v>
      </c>
      <c r="G28" s="158"/>
      <c r="H28" s="158"/>
      <c r="I28" s="158"/>
      <c r="J28" s="158"/>
      <c r="K28" s="158"/>
      <c r="L28" s="158"/>
      <c r="M28" s="158"/>
      <c r="N28" s="158"/>
      <c r="O28" s="158"/>
      <c r="P28" s="158" t="s">
        <v>17</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t="s">
        <v>604</v>
      </c>
      <c r="E29" s="29" t="s">
        <v>219</v>
      </c>
      <c r="F29" s="70">
        <v>1</v>
      </c>
      <c r="G29" s="71">
        <v>2</v>
      </c>
      <c r="H29" s="72">
        <v>3</v>
      </c>
      <c r="I29" s="73">
        <v>4</v>
      </c>
      <c r="J29" s="74">
        <v>5</v>
      </c>
      <c r="K29" s="75">
        <v>6</v>
      </c>
      <c r="L29" s="76">
        <v>7</v>
      </c>
      <c r="M29" s="77">
        <v>8</v>
      </c>
      <c r="N29" s="78">
        <v>9</v>
      </c>
      <c r="O29" s="79">
        <v>10</v>
      </c>
      <c r="P29" s="31" t="s">
        <v>0</v>
      </c>
      <c r="Q29" s="138"/>
      <c r="R29" s="333"/>
      <c r="S29" s="132">
        <f>VLOOKUP($E29,R.VL_DEQResourcesInvolved,2,FALSE)</f>
        <v>1</v>
      </c>
      <c r="T29" s="120">
        <f>VLOOKUP($E29,R.VL_DEQResourcesInvolved,3,FALSE)</f>
        <v>1</v>
      </c>
      <c r="U29" s="120">
        <f>IF(S29=10,T29,VLOOKUP($E29,R.VL_DEQResourcesInvolved,4,FALSE))</f>
        <v>8</v>
      </c>
      <c r="V29" s="574" t="s">
        <v>542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217</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49</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42"/>
      <c r="E34" s="743"/>
      <c r="F34" s="743"/>
      <c r="G34" s="743"/>
      <c r="H34" s="743"/>
      <c r="I34" s="743"/>
      <c r="J34" s="743"/>
      <c r="K34" s="743"/>
      <c r="L34" s="743"/>
      <c r="M34" s="743"/>
      <c r="N34" s="743"/>
      <c r="O34" s="743"/>
      <c r="P34" s="744"/>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57</v>
      </c>
      <c r="E35" s="158" t="s">
        <v>15</v>
      </c>
      <c r="F35" s="158" t="s">
        <v>16</v>
      </c>
      <c r="G35" s="158"/>
      <c r="H35" s="158"/>
      <c r="I35" s="158"/>
      <c r="J35" s="158"/>
      <c r="K35" s="158"/>
      <c r="L35" s="158"/>
      <c r="M35" s="158"/>
      <c r="N35" s="158"/>
      <c r="O35" s="158"/>
      <c r="P35" s="158" t="s">
        <v>17</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217</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4" t="s">
        <v>542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217</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41"/>
      <c r="F40" s="741"/>
      <c r="G40" s="741"/>
      <c r="H40" s="741"/>
      <c r="I40" s="741"/>
      <c r="J40" s="741"/>
      <c r="K40" s="741"/>
      <c r="L40" s="741"/>
      <c r="M40" s="741"/>
      <c r="N40" s="741"/>
      <c r="O40" s="741"/>
      <c r="P40" s="741"/>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103</v>
      </c>
      <c r="B41" s="333"/>
      <c r="C41" s="479" t="s">
        <v>0</v>
      </c>
      <c r="D41" s="303" t="s">
        <v>145</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50</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690" t="s">
        <v>0</v>
      </c>
      <c r="E43" s="691"/>
      <c r="F43" s="691"/>
      <c r="G43" s="691"/>
      <c r="H43" s="691"/>
      <c r="I43" s="691"/>
      <c r="J43" s="691"/>
      <c r="K43" s="691"/>
      <c r="L43" s="691"/>
      <c r="M43" s="691"/>
      <c r="N43" s="691"/>
      <c r="O43" s="691"/>
      <c r="P43" s="692"/>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57</v>
      </c>
      <c r="E44" s="392" t="s">
        <v>15</v>
      </c>
      <c r="F44" s="735" t="s">
        <v>16</v>
      </c>
      <c r="G44" s="735"/>
      <c r="H44" s="735"/>
      <c r="I44" s="735"/>
      <c r="J44" s="735"/>
      <c r="K44" s="735"/>
      <c r="L44" s="735"/>
      <c r="M44" s="735"/>
      <c r="N44" s="735"/>
      <c r="O44" s="735"/>
      <c r="P44" s="392" t="s">
        <v>17</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74" t="s">
        <v>542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49</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42" t="s">
        <v>0</v>
      </c>
      <c r="E50" s="743"/>
      <c r="F50" s="743"/>
      <c r="G50" s="743"/>
      <c r="H50" s="743"/>
      <c r="I50" s="743"/>
      <c r="J50" s="743"/>
      <c r="K50" s="743"/>
      <c r="L50" s="743"/>
      <c r="M50" s="743"/>
      <c r="N50" s="743"/>
      <c r="O50" s="743"/>
      <c r="P50" s="744"/>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57</v>
      </c>
      <c r="E51" s="291" t="s">
        <v>15</v>
      </c>
      <c r="F51" s="291" t="s">
        <v>16</v>
      </c>
      <c r="G51" s="291"/>
      <c r="H51" s="291"/>
      <c r="I51" s="291"/>
      <c r="J51" s="291"/>
      <c r="K51" s="291"/>
      <c r="L51" s="291"/>
      <c r="M51" s="291"/>
      <c r="N51" s="291"/>
      <c r="O51" s="291"/>
      <c r="P51" s="291" t="s">
        <v>17</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4" t="s">
        <v>542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40"/>
      <c r="F56" s="740"/>
      <c r="G56" s="740"/>
      <c r="H56" s="740"/>
      <c r="I56" s="740"/>
      <c r="J56" s="740"/>
      <c r="K56" s="740"/>
      <c r="L56" s="740"/>
      <c r="M56" s="740"/>
      <c r="N56" s="740"/>
      <c r="O56" s="740"/>
      <c r="P56" s="740"/>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45" t="str">
        <f>"Please suggest process improvements to the "&amp;D2&amp;" worksheet."</f>
        <v>Please suggest process improvements to the Regions worksheet.</v>
      </c>
      <c r="E57" s="745"/>
      <c r="F57" s="745"/>
      <c r="G57" s="745"/>
      <c r="H57" s="745"/>
      <c r="I57" s="745"/>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38"/>
      <c r="E58" s="639"/>
      <c r="F58" s="639"/>
      <c r="G58" s="639"/>
      <c r="H58" s="639"/>
      <c r="I58" s="639"/>
      <c r="J58" s="639"/>
      <c r="K58" s="639"/>
      <c r="L58" s="639"/>
      <c r="M58" s="639"/>
      <c r="N58" s="639"/>
      <c r="O58" s="639"/>
      <c r="P58" s="640"/>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104</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V13" sqref="V13"/>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56</v>
      </c>
      <c r="E2" s="700" t="str">
        <f>R.1MediaAndLongName</f>
        <v>AQ LMP Grants Pass</v>
      </c>
      <c r="F2" s="700"/>
      <c r="G2" s="700"/>
      <c r="H2" s="700"/>
      <c r="I2" s="700"/>
      <c r="J2" s="700"/>
      <c r="K2" s="700"/>
      <c r="L2" s="700"/>
      <c r="M2" s="700"/>
      <c r="N2" s="700"/>
      <c r="O2" s="700"/>
      <c r="P2" s="700"/>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01" t="s">
        <v>54</v>
      </c>
      <c r="N3" s="701"/>
      <c r="O3" s="701"/>
      <c r="P3" s="701"/>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52</v>
      </c>
      <c r="E4" s="80">
        <f>S4</f>
        <v>0</v>
      </c>
      <c r="F4" s="702" t="s">
        <v>51</v>
      </c>
      <c r="G4" s="702"/>
      <c r="H4" s="702"/>
      <c r="I4" s="702"/>
      <c r="J4" s="702"/>
      <c r="K4" s="702"/>
      <c r="L4" s="702"/>
      <c r="M4" s="703" t="str">
        <f>S5</f>
        <v>0</v>
      </c>
      <c r="N4" s="703"/>
      <c r="O4" s="703"/>
      <c r="P4" s="703"/>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65</v>
      </c>
      <c r="E5" s="97">
        <f>R.AvgHrDEQCost</f>
        <v>58</v>
      </c>
      <c r="F5" s="702" t="s">
        <v>55</v>
      </c>
      <c r="G5" s="702"/>
      <c r="H5" s="702"/>
      <c r="I5" s="702"/>
      <c r="J5" s="702"/>
      <c r="K5" s="702"/>
      <c r="L5" s="702"/>
      <c r="M5" s="704" t="str">
        <f>S6</f>
        <v>$0</v>
      </c>
      <c r="N5" s="704"/>
      <c r="O5" s="704"/>
      <c r="P5" s="704"/>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46" t="s">
        <v>165</v>
      </c>
      <c r="E6" s="746"/>
      <c r="F6" s="746"/>
      <c r="G6" s="746"/>
      <c r="H6" s="746"/>
      <c r="I6" s="746"/>
      <c r="J6" s="746"/>
      <c r="K6" s="746"/>
      <c r="L6" s="746"/>
      <c r="M6" s="746"/>
      <c r="N6" s="746"/>
      <c r="O6" s="746"/>
      <c r="P6" s="746"/>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32" t="s">
        <v>233</v>
      </c>
      <c r="E7" s="733"/>
      <c r="F7" s="733"/>
      <c r="G7" s="733"/>
      <c r="H7" s="733"/>
      <c r="I7" s="733"/>
      <c r="J7" s="733"/>
      <c r="K7" s="733"/>
      <c r="L7" s="733"/>
      <c r="M7" s="733"/>
      <c r="N7" s="733"/>
      <c r="O7" s="733"/>
      <c r="P7" s="734"/>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50" t="s">
        <v>167</v>
      </c>
      <c r="E8" s="750"/>
      <c r="F8" s="750"/>
      <c r="G8" s="750"/>
      <c r="H8" s="750"/>
      <c r="I8" s="750"/>
      <c r="J8" s="750"/>
      <c r="K8" s="750"/>
      <c r="L8" s="750"/>
      <c r="M8" s="750"/>
      <c r="N8" s="750"/>
      <c r="O8" s="750"/>
      <c r="P8" s="750"/>
      <c r="Q8" s="155"/>
      <c r="R8" s="333"/>
      <c r="T8" s="492"/>
      <c r="U8" s="492"/>
      <c r="V8" s="119"/>
      <c r="W8" s="435"/>
      <c r="X8" s="435"/>
      <c r="Y8" s="435"/>
      <c r="Z8" s="435"/>
      <c r="AA8" s="435"/>
      <c r="AB8" s="435"/>
      <c r="AC8" s="435"/>
      <c r="AD8" s="65"/>
      <c r="AE8" s="65"/>
      <c r="AF8" s="65"/>
    </row>
    <row r="9" spans="1:33" s="27" customFormat="1" ht="15.75" customHeight="1">
      <c r="A9" s="344"/>
      <c r="B9" s="439"/>
      <c r="C9" s="137"/>
      <c r="D9" s="747" t="s">
        <v>457</v>
      </c>
      <c r="E9" s="748"/>
      <c r="F9" s="748"/>
      <c r="G9" s="748"/>
      <c r="H9" s="748"/>
      <c r="I9" s="748"/>
      <c r="J9" s="748"/>
      <c r="K9" s="748"/>
      <c r="L9" s="748"/>
      <c r="M9" s="748"/>
      <c r="N9" s="748"/>
      <c r="O9" s="748"/>
      <c r="P9" s="749"/>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14"/>
      <c r="T10" s="714"/>
      <c r="U10" s="714"/>
      <c r="V10" s="125"/>
      <c r="W10" s="125"/>
      <c r="X10" s="125"/>
      <c r="Y10" s="125"/>
      <c r="Z10" s="125"/>
      <c r="AA10" s="125"/>
      <c r="AB10" s="125"/>
      <c r="AC10" s="125"/>
      <c r="AD10" s="124"/>
      <c r="AE10" s="124"/>
      <c r="AF10" s="124"/>
    </row>
    <row r="11" spans="1:33" s="32" customFormat="1" ht="30" customHeight="1">
      <c r="A11" s="349" t="s">
        <v>103</v>
      </c>
      <c r="B11" s="333"/>
      <c r="C11" s="479" t="s">
        <v>0</v>
      </c>
      <c r="D11" s="303" t="s">
        <v>142</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21" t="s">
        <v>166</v>
      </c>
      <c r="E13" s="722"/>
      <c r="F13" s="722"/>
      <c r="G13" s="722"/>
      <c r="H13" s="722"/>
      <c r="I13" s="722"/>
      <c r="J13" s="722"/>
      <c r="K13" s="722"/>
      <c r="L13" s="722"/>
      <c r="M13" s="722"/>
      <c r="N13" s="722"/>
      <c r="O13" s="722"/>
      <c r="P13" s="723"/>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57</v>
      </c>
      <c r="E14" s="392" t="s">
        <v>15</v>
      </c>
      <c r="F14" s="735" t="s">
        <v>16</v>
      </c>
      <c r="G14" s="735"/>
      <c r="H14" s="735"/>
      <c r="I14" s="735"/>
      <c r="J14" s="735"/>
      <c r="K14" s="735"/>
      <c r="L14" s="735"/>
      <c r="M14" s="735"/>
      <c r="N14" s="735"/>
      <c r="O14" s="735"/>
      <c r="P14" s="392" t="s">
        <v>17</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606</v>
      </c>
      <c r="E15" s="29" t="s">
        <v>217</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20.25" hidden="1" customHeight="1" outlineLevel="1">
      <c r="A16" s="316"/>
      <c r="B16" s="333"/>
      <c r="C16" s="137"/>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36"/>
      <c r="E20" s="737"/>
      <c r="F20" s="737"/>
      <c r="G20" s="737"/>
      <c r="H20" s="737"/>
      <c r="I20" s="737"/>
      <c r="J20" s="737"/>
      <c r="K20" s="737"/>
      <c r="L20" s="737"/>
      <c r="M20" s="737"/>
      <c r="N20" s="737"/>
      <c r="O20" s="737"/>
      <c r="P20" s="738"/>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41"/>
      <c r="F26" s="741"/>
      <c r="G26" s="741"/>
      <c r="H26" s="741"/>
      <c r="I26" s="741"/>
      <c r="J26" s="741"/>
      <c r="K26" s="741"/>
      <c r="L26" s="741"/>
      <c r="M26" s="741"/>
      <c r="N26" s="741"/>
      <c r="O26" s="741"/>
      <c r="P26" s="741"/>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3" t="s">
        <v>140</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21" t="s">
        <v>0</v>
      </c>
      <c r="E29" s="722"/>
      <c r="F29" s="722"/>
      <c r="G29" s="722"/>
      <c r="H29" s="722"/>
      <c r="I29" s="722"/>
      <c r="J29" s="722"/>
      <c r="K29" s="722"/>
      <c r="L29" s="722"/>
      <c r="M29" s="722"/>
      <c r="N29" s="722"/>
      <c r="O29" s="722"/>
      <c r="P29" s="723"/>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57</v>
      </c>
      <c r="E30" s="291" t="s">
        <v>15</v>
      </c>
      <c r="F30" s="291" t="s">
        <v>16</v>
      </c>
      <c r="G30" s="291"/>
      <c r="H30" s="291"/>
      <c r="I30" s="291"/>
      <c r="J30" s="291"/>
      <c r="K30" s="291"/>
      <c r="L30" s="291"/>
      <c r="M30" s="291"/>
      <c r="N30" s="291"/>
      <c r="O30" s="291"/>
      <c r="P30" s="291" t="s">
        <v>17</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26"/>
      <c r="E36" s="727"/>
      <c r="F36" s="727"/>
      <c r="G36" s="727"/>
      <c r="H36" s="727"/>
      <c r="I36" s="727"/>
      <c r="J36" s="727"/>
      <c r="K36" s="727"/>
      <c r="L36" s="727"/>
      <c r="M36" s="727"/>
      <c r="N36" s="727"/>
      <c r="O36" s="727"/>
      <c r="P36" s="728"/>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57</v>
      </c>
      <c r="E37" s="291" t="s">
        <v>15</v>
      </c>
      <c r="F37" s="291" t="s">
        <v>16</v>
      </c>
      <c r="G37" s="291"/>
      <c r="H37" s="291"/>
      <c r="I37" s="291"/>
      <c r="J37" s="291"/>
      <c r="K37" s="291"/>
      <c r="L37" s="291"/>
      <c r="M37" s="291"/>
      <c r="N37" s="291"/>
      <c r="O37" s="291"/>
      <c r="P37" s="291" t="s">
        <v>17</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41"/>
      <c r="F42" s="741"/>
      <c r="G42" s="741"/>
      <c r="H42" s="741"/>
      <c r="I42" s="741"/>
      <c r="J42" s="741"/>
      <c r="K42" s="741"/>
      <c r="L42" s="741"/>
      <c r="M42" s="741"/>
      <c r="N42" s="741"/>
      <c r="O42" s="741"/>
      <c r="P42" s="741"/>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303" t="s">
        <v>141</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50</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21"/>
      <c r="E45" s="722"/>
      <c r="F45" s="722"/>
      <c r="G45" s="722"/>
      <c r="H45" s="722"/>
      <c r="I45" s="722"/>
      <c r="J45" s="722"/>
      <c r="K45" s="722"/>
      <c r="L45" s="722"/>
      <c r="M45" s="722"/>
      <c r="N45" s="722"/>
      <c r="O45" s="722"/>
      <c r="P45" s="723"/>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57</v>
      </c>
      <c r="E46" s="392" t="s">
        <v>15</v>
      </c>
      <c r="F46" s="735" t="s">
        <v>16</v>
      </c>
      <c r="G46" s="735"/>
      <c r="H46" s="735"/>
      <c r="I46" s="735"/>
      <c r="J46" s="735"/>
      <c r="K46" s="735"/>
      <c r="L46" s="735"/>
      <c r="M46" s="735"/>
      <c r="N46" s="735"/>
      <c r="O46" s="735"/>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20.25" hidden="1" customHeight="1" outlineLevel="1">
      <c r="A48" s="3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36"/>
      <c r="E52" s="737"/>
      <c r="F52" s="737"/>
      <c r="G52" s="737"/>
      <c r="H52" s="737"/>
      <c r="I52" s="737"/>
      <c r="J52" s="737"/>
      <c r="K52" s="737"/>
      <c r="L52" s="737"/>
      <c r="M52" s="737"/>
      <c r="N52" s="737"/>
      <c r="O52" s="737"/>
      <c r="P52" s="738"/>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20.25" hidden="1" customHeight="1" outlineLevel="1">
      <c r="A55" s="316"/>
      <c r="B55" s="333"/>
      <c r="C55" s="137"/>
      <c r="D55" s="35"/>
      <c r="E55" s="29" t="s">
        <v>217</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41"/>
      <c r="F58" s="741"/>
      <c r="G58" s="741"/>
      <c r="H58" s="741"/>
      <c r="I58" s="741"/>
      <c r="J58" s="741"/>
      <c r="K58" s="741"/>
      <c r="L58" s="741"/>
      <c r="M58" s="741"/>
      <c r="N58" s="741"/>
      <c r="O58" s="741"/>
      <c r="P58" s="741"/>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41" t="str">
        <f>"Please suggest process improvements to the "&amp;D2&amp;" worksheet."</f>
        <v>Please suggest process improvements to the Financial Services worksheet.</v>
      </c>
      <c r="E59" s="641"/>
      <c r="F59" s="641"/>
      <c r="G59" s="641"/>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38"/>
      <c r="E60" s="639"/>
      <c r="F60" s="639"/>
      <c r="G60" s="639"/>
      <c r="H60" s="639"/>
      <c r="I60" s="639"/>
      <c r="J60" s="639"/>
      <c r="K60" s="639"/>
      <c r="L60" s="639"/>
      <c r="M60" s="639"/>
      <c r="N60" s="639"/>
      <c r="O60" s="639"/>
      <c r="P60" s="640"/>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29" zoomScaleNormal="100" workbookViewId="0">
      <selection activeCell="P54" sqref="P54"/>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331">
        <v>9</v>
      </c>
      <c r="D2" s="330" t="s">
        <v>74</v>
      </c>
      <c r="E2" s="715" t="str">
        <f>R.1MediaAndLongName</f>
        <v>AQ LMP Grants Pass</v>
      </c>
      <c r="F2" s="715"/>
      <c r="G2" s="715"/>
      <c r="H2" s="715"/>
      <c r="I2" s="715"/>
      <c r="J2" s="715"/>
      <c r="K2" s="715"/>
      <c r="L2" s="715"/>
      <c r="M2" s="715"/>
      <c r="N2" s="715"/>
      <c r="O2" s="715"/>
      <c r="P2" s="715"/>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01" t="s">
        <v>54</v>
      </c>
      <c r="N3" s="701"/>
      <c r="O3" s="701"/>
      <c r="P3" s="701"/>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52</v>
      </c>
      <c r="E4" s="80">
        <f>R.9StaffCount</f>
        <v>3</v>
      </c>
      <c r="F4" s="702" t="s">
        <v>51</v>
      </c>
      <c r="G4" s="702"/>
      <c r="H4" s="702"/>
      <c r="I4" s="702"/>
      <c r="J4" s="702"/>
      <c r="K4" s="702"/>
      <c r="L4" s="702"/>
      <c r="M4" s="703" t="str">
        <f>S5</f>
        <v>3-24</v>
      </c>
      <c r="N4" s="703"/>
      <c r="O4" s="703"/>
      <c r="P4" s="703"/>
      <c r="Q4" s="155"/>
      <c r="R4" s="333"/>
      <c r="S4" s="353">
        <f>COUNTIFS(S15:S57,"&gt;0")</f>
        <v>3</v>
      </c>
      <c r="T4" s="354">
        <f>SUM(T15:T57)</f>
        <v>3</v>
      </c>
      <c r="U4" s="354">
        <f>SUM(U15:U57)</f>
        <v>24</v>
      </c>
      <c r="V4" s="119"/>
      <c r="W4" s="63"/>
      <c r="X4" s="63"/>
      <c r="Y4" s="63"/>
      <c r="Z4" s="63"/>
      <c r="AA4" s="63"/>
      <c r="AB4" s="63"/>
      <c r="AC4" s="63"/>
      <c r="AD4" s="65"/>
      <c r="AE4" s="65"/>
      <c r="AF4" s="65"/>
    </row>
    <row r="5" spans="1:33" s="6" customFormat="1" ht="20.25" customHeight="1">
      <c r="A5" s="318"/>
      <c r="B5" s="333"/>
      <c r="C5" s="154"/>
      <c r="D5" s="493" t="s">
        <v>65</v>
      </c>
      <c r="E5" s="97">
        <f>R.AvgHrDEQCost</f>
        <v>58</v>
      </c>
      <c r="F5" s="702" t="s">
        <v>55</v>
      </c>
      <c r="G5" s="702"/>
      <c r="H5" s="702"/>
      <c r="I5" s="702"/>
      <c r="J5" s="702"/>
      <c r="K5" s="702"/>
      <c r="L5" s="702"/>
      <c r="M5" s="704" t="str">
        <f>S6</f>
        <v>$174-1,392</v>
      </c>
      <c r="N5" s="704"/>
      <c r="O5" s="704"/>
      <c r="P5" s="704"/>
      <c r="Q5" s="155"/>
      <c r="R5" s="333"/>
      <c r="S5" s="121" t="str">
        <f>IF(R.9StaffCount=0,"0",IF(R.9LowHrs=0,"0-"&amp;TEXT(R.9HighHrs,"#,###"),TEXT(R.9LowHrs,"#,###")&amp;"-"&amp;TEXT(R.9HighHrs,"#,###")))</f>
        <v>3-24</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$174-1,392</v>
      </c>
      <c r="T6" s="354">
        <f>T4*E5</f>
        <v>174</v>
      </c>
      <c r="U6" s="354">
        <f>U4*E5</f>
        <v>1392</v>
      </c>
      <c r="V6" s="119"/>
      <c r="W6" s="63"/>
      <c r="X6" s="63"/>
      <c r="Y6" s="63"/>
      <c r="Z6" s="63"/>
      <c r="AA6" s="63"/>
      <c r="AB6" s="63"/>
      <c r="AC6" s="63"/>
      <c r="AD6" s="65"/>
      <c r="AE6" s="65"/>
      <c r="AF6" s="65"/>
    </row>
    <row r="7" spans="1:33" s="6" customFormat="1" ht="105" customHeight="1">
      <c r="A7" s="315"/>
      <c r="B7" s="333"/>
      <c r="C7" s="154"/>
      <c r="D7" s="732" t="s">
        <v>234</v>
      </c>
      <c r="E7" s="733"/>
      <c r="F7" s="733"/>
      <c r="G7" s="733"/>
      <c r="H7" s="733"/>
      <c r="I7" s="733"/>
      <c r="J7" s="733"/>
      <c r="K7" s="733"/>
      <c r="L7" s="733"/>
      <c r="M7" s="733"/>
      <c r="N7" s="733"/>
      <c r="O7" s="733"/>
      <c r="P7" s="734"/>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50" t="s">
        <v>513</v>
      </c>
      <c r="E8" s="750"/>
      <c r="F8" s="750"/>
      <c r="G8" s="750"/>
      <c r="H8" s="750"/>
      <c r="I8" s="750"/>
      <c r="J8" s="750"/>
      <c r="K8" s="750"/>
      <c r="L8" s="750"/>
      <c r="M8" s="750"/>
      <c r="N8" s="750"/>
      <c r="O8" s="750"/>
      <c r="P8" s="750"/>
      <c r="Q8" s="155"/>
      <c r="R8" s="333"/>
      <c r="T8" s="492"/>
      <c r="U8" s="492"/>
      <c r="V8" s="119"/>
      <c r="W8" s="435"/>
      <c r="X8" s="435"/>
      <c r="Y8" s="435"/>
      <c r="Z8" s="435"/>
      <c r="AA8" s="435"/>
      <c r="AB8" s="435"/>
      <c r="AC8" s="435"/>
      <c r="AD8" s="65"/>
      <c r="AE8" s="65"/>
      <c r="AF8" s="65"/>
    </row>
    <row r="9" spans="1:33" s="27" customFormat="1" ht="15.75" customHeight="1">
      <c r="A9" s="344"/>
      <c r="B9" s="439"/>
      <c r="C9" s="137"/>
      <c r="D9" s="747" t="s">
        <v>457</v>
      </c>
      <c r="E9" s="748"/>
      <c r="F9" s="748"/>
      <c r="G9" s="748"/>
      <c r="H9" s="748"/>
      <c r="I9" s="748"/>
      <c r="J9" s="748"/>
      <c r="K9" s="748"/>
      <c r="L9" s="748"/>
      <c r="M9" s="748"/>
      <c r="N9" s="748"/>
      <c r="O9" s="748"/>
      <c r="P9" s="749"/>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14" t="s">
        <v>0</v>
      </c>
      <c r="T10" s="714"/>
      <c r="U10" s="714"/>
      <c r="V10" s="299"/>
      <c r="W10" s="125"/>
      <c r="X10" s="125"/>
      <c r="Y10" s="125"/>
      <c r="Z10" s="125"/>
      <c r="AA10" s="125"/>
      <c r="AB10" s="125"/>
      <c r="AC10" s="125"/>
      <c r="AD10" s="124"/>
      <c r="AE10" s="124"/>
      <c r="AF10" s="124"/>
    </row>
    <row r="11" spans="1:33" s="32" customFormat="1" ht="30" customHeight="1">
      <c r="A11" s="350" t="s">
        <v>103</v>
      </c>
      <c r="B11" s="333"/>
      <c r="C11" s="479" t="s">
        <v>0</v>
      </c>
      <c r="D11" s="483" t="s">
        <v>139</v>
      </c>
      <c r="E11" s="93"/>
      <c r="F11" s="93"/>
      <c r="G11" s="93"/>
      <c r="H11" s="93"/>
      <c r="I11" s="93"/>
      <c r="J11" s="93"/>
      <c r="K11" s="93"/>
      <c r="L11" s="93"/>
      <c r="M11" s="93"/>
      <c r="N11" s="93"/>
      <c r="O11" s="93"/>
      <c r="P11" s="93"/>
      <c r="Q11" s="136"/>
      <c r="R11" s="333"/>
      <c r="S11" s="127"/>
      <c r="T11" s="126"/>
      <c r="U11" s="126"/>
      <c r="V11" s="299" t="s">
        <v>99</v>
      </c>
      <c r="W11" s="128"/>
      <c r="X11" s="128"/>
      <c r="Y11" s="128"/>
      <c r="Z11" s="128"/>
      <c r="AA11" s="128"/>
      <c r="AB11" s="128"/>
      <c r="AC11" s="128"/>
      <c r="AD11" s="126"/>
      <c r="AE11" s="126"/>
      <c r="AF11" s="126"/>
    </row>
    <row r="12" spans="1:33" s="32" customFormat="1" ht="14.25" customHeight="1">
      <c r="A12" s="310"/>
      <c r="B12" s="333"/>
      <c r="C12" s="231"/>
      <c r="D12" s="442" t="s">
        <v>50</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26" t="s">
        <v>150</v>
      </c>
      <c r="E13" s="727"/>
      <c r="F13" s="727"/>
      <c r="G13" s="727"/>
      <c r="H13" s="727"/>
      <c r="I13" s="727"/>
      <c r="J13" s="727"/>
      <c r="K13" s="727"/>
      <c r="L13" s="727"/>
      <c r="M13" s="727"/>
      <c r="N13" s="727"/>
      <c r="O13" s="727"/>
      <c r="P13" s="728"/>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57</v>
      </c>
      <c r="E14" s="392" t="s">
        <v>15</v>
      </c>
      <c r="F14" s="735" t="s">
        <v>16</v>
      </c>
      <c r="G14" s="735"/>
      <c r="H14" s="735"/>
      <c r="I14" s="735"/>
      <c r="J14" s="735"/>
      <c r="K14" s="735"/>
      <c r="L14" s="735"/>
      <c r="M14" s="735"/>
      <c r="N14" s="735"/>
      <c r="O14" s="735"/>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603" t="s">
        <v>607</v>
      </c>
      <c r="E15" s="29" t="s">
        <v>219</v>
      </c>
      <c r="F15" s="70">
        <v>1</v>
      </c>
      <c r="G15" s="71">
        <v>2</v>
      </c>
      <c r="H15" s="72">
        <v>3</v>
      </c>
      <c r="I15" s="73">
        <v>4</v>
      </c>
      <c r="J15" s="74">
        <v>5</v>
      </c>
      <c r="K15" s="75">
        <v>6</v>
      </c>
      <c r="L15" s="76">
        <v>7</v>
      </c>
      <c r="M15" s="77">
        <v>8</v>
      </c>
      <c r="N15" s="78">
        <v>9</v>
      </c>
      <c r="O15" s="79">
        <v>10</v>
      </c>
      <c r="P15" s="31" t="s">
        <v>12</v>
      </c>
      <c r="Q15" s="138"/>
      <c r="R15" s="333"/>
      <c r="S15" s="132">
        <f>VLOOKUP($E15,R.VL_DEQResourcesInvolved,2,FALSE)</f>
        <v>1</v>
      </c>
      <c r="T15" s="120">
        <f>VLOOKUP($E15,R.VL_DEQResourcesInvolved,3,FALSE)</f>
        <v>1</v>
      </c>
      <c r="U15" s="120">
        <f>IF(S15=10,T15,VLOOKUP($E15,R.VL_DEQResourcesInvolved,4,FALSE))</f>
        <v>8</v>
      </c>
      <c r="V15" s="574" t="s">
        <v>542</v>
      </c>
      <c r="W15" s="63"/>
      <c r="X15" s="63"/>
      <c r="Y15" s="63"/>
      <c r="Z15" s="63"/>
      <c r="AA15" s="63"/>
      <c r="AB15" s="63"/>
      <c r="AC15" s="63"/>
      <c r="AD15" s="129"/>
      <c r="AE15" s="129"/>
      <c r="AF15" s="129"/>
    </row>
    <row r="16" spans="1:33" s="27" customFormat="1" ht="15.75" customHeight="1">
      <c r="A16" s="319"/>
      <c r="B16" s="333"/>
      <c r="C16" s="137"/>
      <c r="D16" s="463"/>
      <c r="E16" s="29" t="s">
        <v>217</v>
      </c>
      <c r="F16" s="70">
        <v>1</v>
      </c>
      <c r="G16" s="71">
        <v>2</v>
      </c>
      <c r="H16" s="72">
        <v>3</v>
      </c>
      <c r="I16" s="73">
        <v>4</v>
      </c>
      <c r="J16" s="74">
        <v>5</v>
      </c>
      <c r="K16" s="75">
        <v>6</v>
      </c>
      <c r="L16" s="76">
        <v>7</v>
      </c>
      <c r="M16" s="77">
        <v>8</v>
      </c>
      <c r="N16" s="78">
        <v>9</v>
      </c>
      <c r="O16" s="79">
        <v>10</v>
      </c>
      <c r="P16" s="31" t="s">
        <v>13</v>
      </c>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20.25" hidden="1" customHeight="1" outlineLevel="1">
      <c r="A17" s="319"/>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36"/>
      <c r="E20" s="737"/>
      <c r="F20" s="737"/>
      <c r="G20" s="737"/>
      <c r="H20" s="737"/>
      <c r="I20" s="737"/>
      <c r="J20" s="737"/>
      <c r="K20" s="737"/>
      <c r="L20" s="737"/>
      <c r="M20" s="737"/>
      <c r="N20" s="737"/>
      <c r="O20" s="737"/>
      <c r="P20" s="738"/>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9"/>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217</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41"/>
      <c r="F26" s="741"/>
      <c r="G26" s="741"/>
      <c r="H26" s="741"/>
      <c r="I26" s="741"/>
      <c r="J26" s="741"/>
      <c r="K26" s="741"/>
      <c r="L26" s="741"/>
      <c r="M26" s="741"/>
      <c r="N26" s="741"/>
      <c r="O26" s="741"/>
      <c r="P26" s="741"/>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7" t="s">
        <v>101</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21"/>
      <c r="E29" s="722"/>
      <c r="F29" s="722"/>
      <c r="G29" s="722"/>
      <c r="H29" s="722"/>
      <c r="I29" s="722"/>
      <c r="J29" s="722"/>
      <c r="K29" s="722"/>
      <c r="L29" s="722"/>
      <c r="M29" s="722"/>
      <c r="N29" s="722"/>
      <c r="O29" s="722"/>
      <c r="P29" s="723"/>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57</v>
      </c>
      <c r="E30" s="158" t="s">
        <v>15</v>
      </c>
      <c r="F30" s="158" t="s">
        <v>16</v>
      </c>
      <c r="G30" s="158"/>
      <c r="H30" s="158"/>
      <c r="I30" s="158"/>
      <c r="J30" s="158"/>
      <c r="K30" s="158"/>
      <c r="L30" s="158"/>
      <c r="M30" s="158"/>
      <c r="N30" s="158"/>
      <c r="O30" s="158"/>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9"/>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49</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26"/>
      <c r="E36" s="727"/>
      <c r="F36" s="727"/>
      <c r="G36" s="727"/>
      <c r="H36" s="727"/>
      <c r="I36" s="727"/>
      <c r="J36" s="727"/>
      <c r="K36" s="727"/>
      <c r="L36" s="727"/>
      <c r="M36" s="727"/>
      <c r="N36" s="727"/>
      <c r="O36" s="727"/>
      <c r="P36" s="728"/>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c r="E38" s="29" t="s">
        <v>217</v>
      </c>
      <c r="F38" s="70">
        <v>1</v>
      </c>
      <c r="G38" s="71">
        <v>2</v>
      </c>
      <c r="H38" s="72">
        <v>3</v>
      </c>
      <c r="I38" s="73">
        <v>4</v>
      </c>
      <c r="J38" s="74">
        <v>5</v>
      </c>
      <c r="K38" s="75">
        <v>6</v>
      </c>
      <c r="L38" s="76">
        <v>7</v>
      </c>
      <c r="M38" s="77">
        <v>8</v>
      </c>
      <c r="N38" s="78">
        <v>9</v>
      </c>
      <c r="O38" s="79">
        <v>10</v>
      </c>
      <c r="P38" s="31" t="s">
        <v>12</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9"/>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41"/>
      <c r="F42" s="741"/>
      <c r="G42" s="741"/>
      <c r="H42" s="741"/>
      <c r="I42" s="741"/>
      <c r="J42" s="741"/>
      <c r="K42" s="741"/>
      <c r="L42" s="741"/>
      <c r="M42" s="741"/>
      <c r="N42" s="741"/>
      <c r="O42" s="741"/>
      <c r="P42" s="741"/>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483" t="s">
        <v>102</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26" t="s">
        <v>151</v>
      </c>
      <c r="E45" s="727"/>
      <c r="F45" s="727"/>
      <c r="G45" s="727"/>
      <c r="H45" s="727"/>
      <c r="I45" s="727"/>
      <c r="J45" s="727"/>
      <c r="K45" s="727"/>
      <c r="L45" s="727"/>
      <c r="M45" s="727"/>
      <c r="N45" s="727"/>
      <c r="O45" s="727"/>
      <c r="P45" s="728"/>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57</v>
      </c>
      <c r="E46" s="392" t="s">
        <v>15</v>
      </c>
      <c r="F46" s="735" t="s">
        <v>16</v>
      </c>
      <c r="G46" s="735"/>
      <c r="H46" s="735"/>
      <c r="I46" s="735"/>
      <c r="J46" s="735"/>
      <c r="K46" s="735"/>
      <c r="L46" s="735"/>
      <c r="M46" s="735"/>
      <c r="N46" s="735"/>
      <c r="O46" s="735"/>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608</v>
      </c>
      <c r="E47" s="29" t="s">
        <v>219</v>
      </c>
      <c r="F47" s="70">
        <v>1</v>
      </c>
      <c r="G47" s="71">
        <v>2</v>
      </c>
      <c r="H47" s="72">
        <v>3</v>
      </c>
      <c r="I47" s="73">
        <v>4</v>
      </c>
      <c r="J47" s="74">
        <v>5</v>
      </c>
      <c r="K47" s="75">
        <v>6</v>
      </c>
      <c r="L47" s="76">
        <v>7</v>
      </c>
      <c r="M47" s="77">
        <v>8</v>
      </c>
      <c r="N47" s="78">
        <v>9</v>
      </c>
      <c r="O47" s="79">
        <v>10</v>
      </c>
      <c r="P47" s="31" t="s">
        <v>12</v>
      </c>
      <c r="Q47" s="138"/>
      <c r="R47" s="333"/>
      <c r="S47" s="132">
        <f>VLOOKUP($E47,R.VL_DEQResourcesInvolved,2,FALSE)</f>
        <v>1</v>
      </c>
      <c r="T47" s="120">
        <f>VLOOKUP($E47,R.VL_DEQResourcesInvolved,3,FALSE)</f>
        <v>1</v>
      </c>
      <c r="U47" s="120">
        <f>IF(S47=10,T47,VLOOKUP($E47,R.VL_DEQResourcesInvolved,4,FALSE))</f>
        <v>8</v>
      </c>
      <c r="V47" s="574" t="s">
        <v>542</v>
      </c>
      <c r="W47" s="63"/>
      <c r="X47" s="63"/>
      <c r="Y47" s="63"/>
      <c r="Z47" s="63"/>
      <c r="AA47" s="63"/>
      <c r="AB47" s="63"/>
      <c r="AC47" s="63"/>
      <c r="AD47" s="129"/>
      <c r="AE47" s="129"/>
      <c r="AF47" s="129"/>
    </row>
    <row r="48" spans="1:32" s="27" customFormat="1" ht="20.25" hidden="1" customHeight="1" outlineLevel="1">
      <c r="A48" s="319"/>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36" t="s">
        <v>152</v>
      </c>
      <c r="E52" s="737"/>
      <c r="F52" s="737"/>
      <c r="G52" s="737"/>
      <c r="H52" s="737"/>
      <c r="I52" s="737"/>
      <c r="J52" s="737"/>
      <c r="K52" s="737"/>
      <c r="L52" s="737"/>
      <c r="M52" s="737"/>
      <c r="N52" s="737"/>
      <c r="O52" s="737"/>
      <c r="P52" s="738"/>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608</v>
      </c>
      <c r="E54" s="29" t="s">
        <v>219</v>
      </c>
      <c r="F54" s="70">
        <v>1</v>
      </c>
      <c r="G54" s="71">
        <v>2</v>
      </c>
      <c r="H54" s="72">
        <v>3</v>
      </c>
      <c r="I54" s="73">
        <v>4</v>
      </c>
      <c r="J54" s="74">
        <v>5</v>
      </c>
      <c r="K54" s="75">
        <v>6</v>
      </c>
      <c r="L54" s="76">
        <v>7</v>
      </c>
      <c r="M54" s="77">
        <v>8</v>
      </c>
      <c r="N54" s="78">
        <v>9</v>
      </c>
      <c r="O54" s="79">
        <v>10</v>
      </c>
      <c r="P54" s="31" t="s">
        <v>12</v>
      </c>
      <c r="Q54" s="138"/>
      <c r="R54" s="333"/>
      <c r="S54" s="132">
        <f>VLOOKUP($E54,R.VL_DEQResourcesInvolved,2,FALSE)</f>
        <v>1</v>
      </c>
      <c r="T54" s="120">
        <f>VLOOKUP($E54,R.VL_DEQResourcesInvolved,3,FALSE)</f>
        <v>1</v>
      </c>
      <c r="U54" s="120">
        <f>IF(S54=10,T54,VLOOKUP($E54,R.VL_DEQResourcesInvolved,4,FALSE))</f>
        <v>8</v>
      </c>
      <c r="V54" s="574" t="s">
        <v>542</v>
      </c>
      <c r="W54" s="63"/>
      <c r="X54" s="63"/>
      <c r="Y54" s="63"/>
      <c r="Z54" s="63"/>
      <c r="AA54" s="63"/>
      <c r="AB54" s="63"/>
      <c r="AC54" s="63"/>
      <c r="AD54" s="129"/>
      <c r="AE54" s="129"/>
      <c r="AF54" s="129"/>
    </row>
    <row r="55" spans="1:32" s="27" customFormat="1" ht="20.25" hidden="1" customHeight="1" outlineLevel="1">
      <c r="A55" s="319"/>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41"/>
      <c r="F58" s="741"/>
      <c r="G58" s="741"/>
      <c r="H58" s="741"/>
      <c r="I58" s="741"/>
      <c r="J58" s="741"/>
      <c r="K58" s="741"/>
      <c r="L58" s="741"/>
      <c r="M58" s="741"/>
      <c r="N58" s="741"/>
      <c r="O58" s="741"/>
      <c r="P58" s="741"/>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41" t="str">
        <f>"Please suggest process improvements to the "&amp;D2&amp;" worksheet."</f>
        <v>Please suggest process improvements to the Communications and Outreach worksheet.</v>
      </c>
      <c r="E59" s="641"/>
      <c r="F59" s="641"/>
      <c r="G59" s="641"/>
      <c r="H59" s="641"/>
      <c r="I59" s="641"/>
      <c r="J59" s="641"/>
      <c r="K59" s="641"/>
      <c r="L59" s="641"/>
      <c r="M59" s="641"/>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38"/>
      <c r="E60" s="639"/>
      <c r="F60" s="639"/>
      <c r="G60" s="639"/>
      <c r="H60" s="639"/>
      <c r="I60" s="639"/>
      <c r="J60" s="639"/>
      <c r="K60" s="639"/>
      <c r="L60" s="639"/>
      <c r="M60" s="639"/>
      <c r="N60" s="639"/>
      <c r="O60" s="639"/>
      <c r="P60" s="640"/>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51"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100</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77</v>
      </c>
      <c r="E2" s="715" t="str">
        <f>R.1MediaAndLongName</f>
        <v>AQ LMP Grants Pass</v>
      </c>
      <c r="F2" s="715"/>
      <c r="G2" s="715"/>
      <c r="H2" s="715"/>
      <c r="I2" s="715"/>
      <c r="J2" s="715"/>
      <c r="K2" s="715"/>
      <c r="L2" s="715"/>
      <c r="M2" s="715"/>
      <c r="N2" s="715"/>
      <c r="O2" s="715"/>
      <c r="P2" s="715"/>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01" t="s">
        <v>54</v>
      </c>
      <c r="N3" s="701"/>
      <c r="O3" s="701"/>
      <c r="P3" s="701"/>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52</v>
      </c>
      <c r="E4" s="80">
        <f>S3</f>
        <v>0</v>
      </c>
      <c r="F4" s="702" t="s">
        <v>51</v>
      </c>
      <c r="G4" s="702"/>
      <c r="H4" s="702"/>
      <c r="I4" s="702"/>
      <c r="J4" s="702"/>
      <c r="K4" s="702"/>
      <c r="L4" s="702"/>
      <c r="M4" s="703" t="str">
        <f>S4</f>
        <v>0</v>
      </c>
      <c r="N4" s="703"/>
      <c r="O4" s="703"/>
      <c r="P4" s="703"/>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64</v>
      </c>
      <c r="E5" s="97">
        <f>R.AvgHrDEQCost</f>
        <v>58</v>
      </c>
      <c r="F5" s="702" t="s">
        <v>55</v>
      </c>
      <c r="G5" s="702"/>
      <c r="H5" s="702"/>
      <c r="I5" s="702"/>
      <c r="J5" s="702"/>
      <c r="K5" s="702"/>
      <c r="L5" s="702"/>
      <c r="M5" s="704" t="str">
        <f>S5</f>
        <v>$0</v>
      </c>
      <c r="N5" s="704"/>
      <c r="O5" s="704"/>
      <c r="P5" s="704"/>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32" t="s">
        <v>235</v>
      </c>
      <c r="E7" s="733"/>
      <c r="F7" s="733"/>
      <c r="G7" s="733"/>
      <c r="H7" s="733"/>
      <c r="I7" s="733"/>
      <c r="J7" s="733"/>
      <c r="K7" s="733"/>
      <c r="L7" s="733"/>
      <c r="M7" s="733"/>
      <c r="N7" s="733"/>
      <c r="O7" s="733"/>
      <c r="P7" s="734"/>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0" t="s">
        <v>511</v>
      </c>
      <c r="E8" s="750"/>
      <c r="F8" s="750"/>
      <c r="G8" s="750"/>
      <c r="H8" s="750"/>
      <c r="I8" s="750"/>
      <c r="J8" s="750"/>
      <c r="K8" s="750"/>
      <c r="L8" s="750"/>
      <c r="M8" s="750"/>
      <c r="N8" s="750"/>
      <c r="O8" s="750"/>
      <c r="P8" s="750"/>
      <c r="Q8" s="155"/>
      <c r="R8" s="333"/>
      <c r="T8" s="492"/>
      <c r="U8" s="492"/>
      <c r="V8" s="119"/>
      <c r="W8" s="435"/>
      <c r="X8" s="435"/>
      <c r="Y8" s="435"/>
      <c r="Z8" s="435"/>
      <c r="AA8" s="435"/>
      <c r="AB8" s="435"/>
      <c r="AC8" s="435"/>
      <c r="AD8" s="65"/>
      <c r="AE8" s="65"/>
      <c r="AF8" s="65"/>
    </row>
    <row r="9" spans="1:33" s="27" customFormat="1" ht="15.75" customHeight="1">
      <c r="A9" s="344"/>
      <c r="B9" s="439"/>
      <c r="C9" s="137"/>
      <c r="D9" s="747" t="s">
        <v>457</v>
      </c>
      <c r="E9" s="748"/>
      <c r="F9" s="748"/>
      <c r="G9" s="748"/>
      <c r="H9" s="748"/>
      <c r="I9" s="748"/>
      <c r="J9" s="748"/>
      <c r="K9" s="748"/>
      <c r="L9" s="748"/>
      <c r="M9" s="748"/>
      <c r="N9" s="748"/>
      <c r="O9" s="748"/>
      <c r="P9" s="749"/>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103</v>
      </c>
      <c r="B11" s="333"/>
      <c r="C11" s="482" t="s">
        <v>0</v>
      </c>
      <c r="D11" s="380" t="s">
        <v>138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21"/>
      <c r="E13" s="722"/>
      <c r="F13" s="722"/>
      <c r="G13" s="722"/>
      <c r="H13" s="722"/>
      <c r="I13" s="722"/>
      <c r="J13" s="722"/>
      <c r="K13" s="722"/>
      <c r="L13" s="722"/>
      <c r="M13" s="722"/>
      <c r="N13" s="722"/>
      <c r="O13" s="722"/>
      <c r="P13" s="723"/>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57</v>
      </c>
      <c r="E14" s="466" t="s">
        <v>15</v>
      </c>
      <c r="F14" s="735" t="s">
        <v>16</v>
      </c>
      <c r="G14" s="735"/>
      <c r="H14" s="735"/>
      <c r="I14" s="735"/>
      <c r="J14" s="735"/>
      <c r="K14" s="735"/>
      <c r="L14" s="735"/>
      <c r="M14" s="735"/>
      <c r="N14" s="735"/>
      <c r="O14" s="735"/>
      <c r="P14" s="466" t="s">
        <v>17</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49</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36"/>
      <c r="E20" s="737"/>
      <c r="F20" s="737"/>
      <c r="G20" s="737"/>
      <c r="H20" s="737"/>
      <c r="I20" s="737"/>
      <c r="J20" s="737"/>
      <c r="K20" s="737"/>
      <c r="L20" s="737"/>
      <c r="M20" s="737"/>
      <c r="N20" s="737"/>
      <c r="O20" s="737"/>
      <c r="P20" s="738"/>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41"/>
      <c r="F26" s="741"/>
      <c r="G26" s="741"/>
      <c r="H26" s="741"/>
      <c r="I26" s="741"/>
      <c r="J26" s="741"/>
      <c r="K26" s="741"/>
      <c r="L26" s="741"/>
      <c r="M26" s="741"/>
      <c r="N26" s="741"/>
      <c r="O26" s="741"/>
      <c r="P26" s="741"/>
      <c r="Q26" s="378"/>
      <c r="R26" s="333"/>
      <c r="S26" s="498"/>
      <c r="T26" s="130"/>
      <c r="U26" s="130"/>
      <c r="V26" s="63"/>
      <c r="W26" s="63"/>
      <c r="X26" s="63"/>
      <c r="Y26" s="63"/>
      <c r="Z26" s="63"/>
      <c r="AA26" s="63"/>
      <c r="AB26" s="63"/>
      <c r="AC26" s="63"/>
      <c r="AD26" s="129"/>
      <c r="AE26" s="129"/>
      <c r="AF26" s="129"/>
      <c r="AG26" s="129"/>
    </row>
    <row r="27" spans="1:33" s="32" customFormat="1" ht="30" customHeight="1">
      <c r="A27" s="349" t="s">
        <v>103</v>
      </c>
      <c r="B27" s="333"/>
      <c r="C27" s="135"/>
      <c r="D27" s="303" t="s">
        <v>137</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108</v>
      </c>
      <c r="B28" s="333"/>
      <c r="C28" s="135"/>
      <c r="D28" s="442" t="s">
        <v>50</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21"/>
      <c r="E29" s="722"/>
      <c r="F29" s="722"/>
      <c r="G29" s="722"/>
      <c r="H29" s="722"/>
      <c r="I29" s="722"/>
      <c r="J29" s="722"/>
      <c r="K29" s="722"/>
      <c r="L29" s="722"/>
      <c r="M29" s="722"/>
      <c r="N29" s="722"/>
      <c r="O29" s="722"/>
      <c r="P29" s="723"/>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57</v>
      </c>
      <c r="E30" s="104" t="s">
        <v>15</v>
      </c>
      <c r="F30" s="104" t="s">
        <v>16</v>
      </c>
      <c r="G30" s="104"/>
      <c r="H30" s="104"/>
      <c r="I30" s="104"/>
      <c r="J30" s="104"/>
      <c r="K30" s="104"/>
      <c r="L30" s="104"/>
      <c r="M30" s="104"/>
      <c r="N30" s="104"/>
      <c r="O30" s="104"/>
      <c r="P30" s="104" t="s">
        <v>17</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49</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26"/>
      <c r="E36" s="727"/>
      <c r="F36" s="727"/>
      <c r="G36" s="727"/>
      <c r="H36" s="727"/>
      <c r="I36" s="727"/>
      <c r="J36" s="727"/>
      <c r="K36" s="727"/>
      <c r="L36" s="727"/>
      <c r="M36" s="727"/>
      <c r="N36" s="727"/>
      <c r="O36" s="727"/>
      <c r="P36" s="728"/>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41"/>
      <c r="F42" s="741"/>
      <c r="G42" s="741"/>
      <c r="H42" s="741"/>
      <c r="I42" s="741"/>
      <c r="J42" s="741"/>
      <c r="K42" s="741"/>
      <c r="L42" s="741"/>
      <c r="M42" s="741"/>
      <c r="N42" s="741"/>
      <c r="O42" s="741"/>
      <c r="P42" s="741"/>
      <c r="Q42" s="378"/>
      <c r="R42" s="333"/>
      <c r="S42" s="498"/>
      <c r="T42" s="130"/>
      <c r="U42" s="130"/>
      <c r="V42" s="63"/>
      <c r="W42" s="63"/>
      <c r="X42" s="63"/>
      <c r="Y42" s="63"/>
      <c r="Z42" s="63"/>
      <c r="AA42" s="63"/>
      <c r="AB42" s="63"/>
      <c r="AC42" s="63"/>
      <c r="AD42" s="129"/>
      <c r="AE42" s="129"/>
      <c r="AF42" s="129"/>
      <c r="AG42" s="129"/>
    </row>
    <row r="43" spans="1:33" s="32" customFormat="1" ht="30" customHeight="1">
      <c r="A43" s="349" t="s">
        <v>103</v>
      </c>
      <c r="B43" s="333"/>
      <c r="C43" s="482" t="s">
        <v>0</v>
      </c>
      <c r="D43" s="380" t="s">
        <v>136</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50</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21"/>
      <c r="E45" s="722"/>
      <c r="F45" s="722"/>
      <c r="G45" s="722"/>
      <c r="H45" s="722"/>
      <c r="I45" s="722"/>
      <c r="J45" s="722"/>
      <c r="K45" s="722"/>
      <c r="L45" s="722"/>
      <c r="M45" s="722"/>
      <c r="N45" s="722"/>
      <c r="O45" s="722"/>
      <c r="P45" s="723"/>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57</v>
      </c>
      <c r="E46" s="392" t="s">
        <v>15</v>
      </c>
      <c r="F46" s="735" t="s">
        <v>16</v>
      </c>
      <c r="G46" s="735"/>
      <c r="H46" s="735"/>
      <c r="I46" s="735"/>
      <c r="J46" s="735"/>
      <c r="K46" s="735"/>
      <c r="L46" s="735"/>
      <c r="M46" s="735"/>
      <c r="N46" s="735"/>
      <c r="O46" s="735"/>
      <c r="P46" s="392" t="s">
        <v>17</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49</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36"/>
      <c r="E52" s="737"/>
      <c r="F52" s="737"/>
      <c r="G52" s="737"/>
      <c r="H52" s="737"/>
      <c r="I52" s="737"/>
      <c r="J52" s="737"/>
      <c r="K52" s="737"/>
      <c r="L52" s="737"/>
      <c r="M52" s="737"/>
      <c r="N52" s="737"/>
      <c r="O52" s="737"/>
      <c r="P52" s="738"/>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217</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41"/>
      <c r="F58" s="741"/>
      <c r="G58" s="741"/>
      <c r="H58" s="741"/>
      <c r="I58" s="741"/>
      <c r="J58" s="741"/>
      <c r="K58" s="741"/>
      <c r="L58" s="741"/>
      <c r="M58" s="741"/>
      <c r="N58" s="741"/>
      <c r="O58" s="741"/>
      <c r="P58" s="741"/>
      <c r="Q58" s="378"/>
      <c r="R58" s="333"/>
      <c r="S58" s="498"/>
      <c r="T58" s="130"/>
      <c r="U58" s="130"/>
      <c r="V58" s="63"/>
      <c r="W58" s="63"/>
      <c r="X58" s="63"/>
      <c r="Y58" s="63"/>
      <c r="Z58" s="63"/>
      <c r="AA58" s="63"/>
      <c r="AB58" s="63"/>
      <c r="AC58" s="63"/>
      <c r="AD58" s="129"/>
      <c r="AE58" s="129"/>
      <c r="AF58" s="129"/>
      <c r="AG58" s="129"/>
    </row>
    <row r="59" spans="1:33" s="32" customFormat="1" ht="30" customHeight="1">
      <c r="A59" s="349" t="s">
        <v>103</v>
      </c>
      <c r="B59" s="333"/>
      <c r="C59" s="135"/>
      <c r="D59" s="303" t="s">
        <v>135</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50</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21"/>
      <c r="E61" s="722"/>
      <c r="F61" s="722"/>
      <c r="G61" s="722"/>
      <c r="H61" s="722"/>
      <c r="I61" s="722"/>
      <c r="J61" s="722"/>
      <c r="K61" s="722"/>
      <c r="L61" s="722"/>
      <c r="M61" s="722"/>
      <c r="N61" s="722"/>
      <c r="O61" s="722"/>
      <c r="P61" s="723"/>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57</v>
      </c>
      <c r="E62" s="104" t="s">
        <v>15</v>
      </c>
      <c r="F62" s="751" t="s">
        <v>16</v>
      </c>
      <c r="G62" s="751"/>
      <c r="H62" s="751"/>
      <c r="I62" s="751"/>
      <c r="J62" s="751"/>
      <c r="K62" s="751"/>
      <c r="L62" s="751"/>
      <c r="M62" s="751"/>
      <c r="N62" s="751"/>
      <c r="O62" s="751"/>
      <c r="P62" s="104" t="s">
        <v>17</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217</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217</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49</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26" t="s">
        <v>0</v>
      </c>
      <c r="E68" s="727"/>
      <c r="F68" s="727"/>
      <c r="G68" s="727"/>
      <c r="H68" s="727"/>
      <c r="I68" s="727"/>
      <c r="J68" s="727"/>
      <c r="K68" s="727"/>
      <c r="L68" s="727"/>
      <c r="M68" s="727"/>
      <c r="N68" s="727"/>
      <c r="O68" s="727"/>
      <c r="P68" s="728"/>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57</v>
      </c>
      <c r="E69" s="104" t="s">
        <v>15</v>
      </c>
      <c r="F69" s="751" t="s">
        <v>16</v>
      </c>
      <c r="G69" s="751"/>
      <c r="H69" s="751"/>
      <c r="I69" s="751"/>
      <c r="J69" s="751"/>
      <c r="K69" s="751"/>
      <c r="L69" s="751"/>
      <c r="M69" s="751"/>
      <c r="N69" s="751"/>
      <c r="O69" s="751"/>
      <c r="P69" s="104" t="s">
        <v>17</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40"/>
      <c r="F74" s="740"/>
      <c r="G74" s="740"/>
      <c r="H74" s="740"/>
      <c r="I74" s="740"/>
      <c r="J74" s="740"/>
      <c r="K74" s="740"/>
      <c r="L74" s="740"/>
      <c r="M74" s="740"/>
      <c r="N74" s="740"/>
      <c r="O74" s="740"/>
      <c r="P74" s="740"/>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41" t="str">
        <f>"Please suggest process improvements to the "&amp;D2&amp;" worksheet."</f>
        <v>Please suggest process improvements to the Organizational Services worksheet.</v>
      </c>
      <c r="E75" s="641"/>
      <c r="F75" s="641"/>
      <c r="G75" s="641"/>
      <c r="H75" s="641"/>
      <c r="I75" s="641"/>
      <c r="J75" s="641"/>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38"/>
      <c r="E76" s="639"/>
      <c r="F76" s="639"/>
      <c r="G76" s="639"/>
      <c r="H76" s="639"/>
      <c r="I76" s="639"/>
      <c r="J76" s="639"/>
      <c r="K76" s="639"/>
      <c r="L76" s="639"/>
      <c r="M76" s="639"/>
      <c r="N76" s="639"/>
      <c r="O76" s="639"/>
      <c r="P76" s="640"/>
      <c r="Q76" s="147"/>
      <c r="R76" s="333"/>
      <c r="S76"/>
      <c r="T76" s="130"/>
      <c r="U76" s="130"/>
      <c r="V76" s="63"/>
      <c r="W76" s="63"/>
      <c r="X76" s="63"/>
      <c r="Y76" s="63"/>
      <c r="Z76" s="63"/>
      <c r="AA76" s="63"/>
      <c r="AB76" s="63"/>
      <c r="AC76" s="63"/>
      <c r="AD76" s="65"/>
      <c r="AE76" s="65"/>
      <c r="AF76" s="65"/>
      <c r="AG76" s="65"/>
    </row>
    <row r="77" spans="1:33" ht="18" customHeight="1">
      <c r="A77" s="349" t="s">
        <v>104</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B1"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11</v>
      </c>
      <c r="D2" s="152" t="s">
        <v>79</v>
      </c>
      <c r="E2" s="715" t="str">
        <f>R.1MediaAndLongName</f>
        <v>AQ LMP Grants Pass</v>
      </c>
      <c r="F2" s="715"/>
      <c r="G2" s="715"/>
      <c r="H2" s="715"/>
      <c r="I2" s="715"/>
      <c r="J2" s="715"/>
      <c r="K2" s="715"/>
      <c r="L2" s="715"/>
      <c r="M2" s="715"/>
      <c r="N2" s="715"/>
      <c r="O2" s="715"/>
      <c r="P2" s="715"/>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01" t="s">
        <v>54</v>
      </c>
      <c r="N3" s="701"/>
      <c r="O3" s="701"/>
      <c r="P3" s="701"/>
      <c r="Q3" s="155"/>
      <c r="R3" s="333"/>
      <c r="S3" s="120">
        <f>COUNTIFS(S15:S57,"&gt;0")</f>
        <v>0</v>
      </c>
      <c r="T3" s="123">
        <f>SUM(T15:T57)</f>
        <v>0</v>
      </c>
      <c r="U3" s="123">
        <f>SUM(U15:U57)</f>
        <v>0</v>
      </c>
      <c r="V3" s="119"/>
      <c r="W3" s="63"/>
      <c r="X3" s="63"/>
      <c r="Y3" s="63"/>
      <c r="Z3" s="63"/>
      <c r="AA3" s="63"/>
      <c r="AB3" s="63"/>
      <c r="AC3" s="63"/>
      <c r="AD3" s="65"/>
      <c r="AE3" s="65"/>
      <c r="AF3" s="65"/>
    </row>
    <row r="4" spans="1:33" s="6" customFormat="1" ht="20.25" customHeight="1">
      <c r="A4" s="113"/>
      <c r="B4" s="333"/>
      <c r="C4" s="154"/>
      <c r="D4" s="493" t="s">
        <v>52</v>
      </c>
      <c r="E4" s="80">
        <f>S3</f>
        <v>0</v>
      </c>
      <c r="F4" s="702" t="s">
        <v>51</v>
      </c>
      <c r="G4" s="702"/>
      <c r="H4" s="702"/>
      <c r="I4" s="702"/>
      <c r="J4" s="702"/>
      <c r="K4" s="702"/>
      <c r="L4" s="702"/>
      <c r="M4" s="703" t="str">
        <f>S4</f>
        <v>0</v>
      </c>
      <c r="N4" s="703"/>
      <c r="O4" s="703"/>
      <c r="P4" s="703"/>
      <c r="Q4" s="155"/>
      <c r="R4" s="333"/>
      <c r="S4" s="121" t="str">
        <f>IF(R.11StaffCount=0,"0",IF(R.11LowHrs=0,"0-"&amp;TEXT(R.11HighHrs,"#,###"),TEXT(R.11LowHrs,"#,###")&amp;"-"&amp;TEXT(R.11HighHrs,"#,###")))</f>
        <v>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65</v>
      </c>
      <c r="E5" s="97">
        <f>R.AvgHrDEQCost</f>
        <v>58</v>
      </c>
      <c r="F5" s="702" t="s">
        <v>55</v>
      </c>
      <c r="G5" s="702"/>
      <c r="H5" s="702"/>
      <c r="I5" s="702"/>
      <c r="J5" s="702"/>
      <c r="K5" s="702"/>
      <c r="L5" s="702"/>
      <c r="M5" s="704" t="str">
        <f>S5</f>
        <v>$0</v>
      </c>
      <c r="N5" s="704"/>
      <c r="O5" s="704"/>
      <c r="P5" s="704"/>
      <c r="Q5" s="155"/>
      <c r="R5" s="333"/>
      <c r="S5" s="121" t="str">
        <f>IF(R.11StaffCount=0,"$0",IF(R.11LowDollars=0,"$0-"&amp;TEXT(R.11HighDollars,"#,###"),TEXT(R.11LowDollars,"$#,###")&amp;"-"&amp;TEXT(R.11HighDollars,"#,###")))</f>
        <v>$0</v>
      </c>
      <c r="T5" s="123">
        <f>T3*E5</f>
        <v>0</v>
      </c>
      <c r="U5" s="123">
        <f>U3*E5</f>
        <v>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32" t="s">
        <v>236</v>
      </c>
      <c r="E7" s="733"/>
      <c r="F7" s="733"/>
      <c r="G7" s="733"/>
      <c r="H7" s="733"/>
      <c r="I7" s="733"/>
      <c r="J7" s="733"/>
      <c r="K7" s="733"/>
      <c r="L7" s="733"/>
      <c r="M7" s="733"/>
      <c r="N7" s="733"/>
      <c r="O7" s="733"/>
      <c r="P7" s="734"/>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0" t="s">
        <v>505</v>
      </c>
      <c r="E8" s="750"/>
      <c r="F8" s="750"/>
      <c r="G8" s="750"/>
      <c r="H8" s="750"/>
      <c r="I8" s="750"/>
      <c r="J8" s="750"/>
      <c r="K8" s="750"/>
      <c r="L8" s="750"/>
      <c r="M8" s="750"/>
      <c r="N8" s="750"/>
      <c r="O8" s="750"/>
      <c r="P8" s="750"/>
      <c r="Q8" s="155"/>
      <c r="R8" s="333"/>
      <c r="T8" s="492"/>
      <c r="U8" s="492"/>
      <c r="V8" s="119"/>
      <c r="W8" s="435"/>
      <c r="X8" s="435"/>
      <c r="Y8" s="435"/>
      <c r="Z8" s="435"/>
      <c r="AA8" s="435"/>
      <c r="AB8" s="435"/>
      <c r="AC8" s="435"/>
      <c r="AD8" s="65"/>
      <c r="AE8" s="65"/>
      <c r="AF8" s="65"/>
    </row>
    <row r="9" spans="1:33" s="27" customFormat="1" ht="15.75" customHeight="1">
      <c r="A9" s="344"/>
      <c r="B9" s="439"/>
      <c r="C9" s="137"/>
      <c r="D9" s="747" t="s">
        <v>457</v>
      </c>
      <c r="E9" s="748"/>
      <c r="F9" s="748"/>
      <c r="G9" s="748"/>
      <c r="H9" s="748"/>
      <c r="I9" s="748"/>
      <c r="J9" s="748"/>
      <c r="K9" s="748"/>
      <c r="L9" s="748"/>
      <c r="M9" s="748"/>
      <c r="N9" s="748"/>
      <c r="O9" s="748"/>
      <c r="P9" s="749"/>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132</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1" t="s">
        <v>0</v>
      </c>
      <c r="E13" s="722"/>
      <c r="F13" s="722"/>
      <c r="G13" s="722"/>
      <c r="H13" s="722"/>
      <c r="I13" s="722"/>
      <c r="J13" s="722"/>
      <c r="K13" s="722"/>
      <c r="L13" s="722"/>
      <c r="M13" s="722"/>
      <c r="N13" s="722"/>
      <c r="O13" s="722"/>
      <c r="P13" s="723"/>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57</v>
      </c>
      <c r="E14" s="392" t="s">
        <v>15</v>
      </c>
      <c r="F14" s="735" t="s">
        <v>16</v>
      </c>
      <c r="G14" s="735"/>
      <c r="H14" s="735"/>
      <c r="I14" s="735"/>
      <c r="J14" s="735"/>
      <c r="K14" s="735"/>
      <c r="L14" s="735"/>
      <c r="M14" s="735"/>
      <c r="N14" s="735"/>
      <c r="O14" s="735"/>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0</v>
      </c>
      <c r="E15" s="29" t="s">
        <v>217</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36"/>
      <c r="E20" s="737"/>
      <c r="F20" s="737"/>
      <c r="G20" s="737"/>
      <c r="H20" s="737"/>
      <c r="I20" s="737"/>
      <c r="J20" s="737"/>
      <c r="K20" s="737"/>
      <c r="L20" s="737"/>
      <c r="M20" s="737"/>
      <c r="N20" s="737"/>
      <c r="O20" s="737"/>
      <c r="P20" s="738"/>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57</v>
      </c>
      <c r="E21" s="291" t="s">
        <v>15</v>
      </c>
      <c r="F21" s="751" t="s">
        <v>16</v>
      </c>
      <c r="G21" s="751"/>
      <c r="H21" s="751"/>
      <c r="I21" s="751"/>
      <c r="J21" s="751"/>
      <c r="K21" s="751"/>
      <c r="L21" s="751"/>
      <c r="M21" s="751"/>
      <c r="N21" s="751"/>
      <c r="O21" s="751"/>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40"/>
      <c r="F26" s="740"/>
      <c r="G26" s="740"/>
      <c r="H26" s="740"/>
      <c r="I26" s="740"/>
      <c r="J26" s="740"/>
      <c r="K26" s="740"/>
      <c r="L26" s="740"/>
      <c r="M26" s="740"/>
      <c r="N26" s="740"/>
      <c r="O26" s="740"/>
      <c r="P26" s="740"/>
      <c r="Q26" s="144"/>
      <c r="R26" s="333"/>
      <c r="S26" s="131"/>
      <c r="T26" s="130"/>
      <c r="U26" s="130"/>
      <c r="V26" s="574"/>
      <c r="W26" s="63"/>
      <c r="X26" s="63"/>
      <c r="Y26" s="63"/>
      <c r="Z26" s="63"/>
      <c r="AA26" s="63"/>
      <c r="AB26" s="63"/>
      <c r="AC26" s="63"/>
      <c r="AD26" s="129"/>
      <c r="AE26" s="129"/>
      <c r="AF26" s="129"/>
    </row>
    <row r="27" spans="1:32" s="32" customFormat="1" ht="30" customHeight="1">
      <c r="A27" s="349" t="s">
        <v>103</v>
      </c>
      <c r="B27" s="333"/>
      <c r="C27" s="135"/>
      <c r="D27" s="305" t="s">
        <v>133</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21" t="s">
        <v>0</v>
      </c>
      <c r="E29" s="722"/>
      <c r="F29" s="722"/>
      <c r="G29" s="722"/>
      <c r="H29" s="722"/>
      <c r="I29" s="722"/>
      <c r="J29" s="722"/>
      <c r="K29" s="722"/>
      <c r="L29" s="722"/>
      <c r="M29" s="722"/>
      <c r="N29" s="722"/>
      <c r="O29" s="722"/>
      <c r="P29" s="723"/>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57</v>
      </c>
      <c r="E30" s="158" t="s">
        <v>15</v>
      </c>
      <c r="F30" s="751" t="s">
        <v>16</v>
      </c>
      <c r="G30" s="751"/>
      <c r="H30" s="751"/>
      <c r="I30" s="751"/>
      <c r="J30" s="751"/>
      <c r="K30" s="751"/>
      <c r="L30" s="751"/>
      <c r="M30" s="751"/>
      <c r="N30" s="751"/>
      <c r="O30" s="751"/>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217</v>
      </c>
      <c r="F31" s="70">
        <v>1</v>
      </c>
      <c r="G31" s="71">
        <v>2</v>
      </c>
      <c r="H31" s="72">
        <v>3</v>
      </c>
      <c r="I31" s="73">
        <v>4</v>
      </c>
      <c r="J31" s="74">
        <v>5</v>
      </c>
      <c r="K31" s="75">
        <v>6</v>
      </c>
      <c r="L31" s="76">
        <v>7</v>
      </c>
      <c r="M31" s="77">
        <v>8</v>
      </c>
      <c r="N31" s="78">
        <v>9</v>
      </c>
      <c r="O31" s="79">
        <v>10</v>
      </c>
      <c r="P31" s="31" t="s">
        <v>12</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217</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26"/>
      <c r="E36" s="727"/>
      <c r="F36" s="727"/>
      <c r="G36" s="727"/>
      <c r="H36" s="727"/>
      <c r="I36" s="727"/>
      <c r="J36" s="727"/>
      <c r="K36" s="727"/>
      <c r="L36" s="727"/>
      <c r="M36" s="727"/>
      <c r="N36" s="727"/>
      <c r="O36" s="727"/>
      <c r="P36" s="728"/>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57</v>
      </c>
      <c r="E37" s="158" t="s">
        <v>15</v>
      </c>
      <c r="F37" s="751" t="s">
        <v>16</v>
      </c>
      <c r="G37" s="751"/>
      <c r="H37" s="751"/>
      <c r="I37" s="751"/>
      <c r="J37" s="751"/>
      <c r="K37" s="751"/>
      <c r="L37" s="751"/>
      <c r="M37" s="751"/>
      <c r="N37" s="751"/>
      <c r="O37" s="751"/>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41"/>
      <c r="F42" s="741"/>
      <c r="G42" s="741"/>
      <c r="H42" s="741"/>
      <c r="I42" s="741"/>
      <c r="J42" s="741"/>
      <c r="K42" s="741"/>
      <c r="L42" s="741"/>
      <c r="M42" s="741"/>
      <c r="N42" s="741"/>
      <c r="O42" s="741"/>
      <c r="P42" s="741"/>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82" t="s">
        <v>0</v>
      </c>
      <c r="D43" s="380" t="s">
        <v>134</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21"/>
      <c r="E45" s="722"/>
      <c r="F45" s="722"/>
      <c r="G45" s="722"/>
      <c r="H45" s="722"/>
      <c r="I45" s="722"/>
      <c r="J45" s="722"/>
      <c r="K45" s="722"/>
      <c r="L45" s="722"/>
      <c r="M45" s="722"/>
      <c r="N45" s="722"/>
      <c r="O45" s="722"/>
      <c r="P45" s="723"/>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57</v>
      </c>
      <c r="E46" s="392" t="s">
        <v>15</v>
      </c>
      <c r="F46" s="735" t="s">
        <v>16</v>
      </c>
      <c r="G46" s="735"/>
      <c r="H46" s="735"/>
      <c r="I46" s="735"/>
      <c r="J46" s="735"/>
      <c r="K46" s="735"/>
      <c r="L46" s="735"/>
      <c r="M46" s="735"/>
      <c r="N46" s="735"/>
      <c r="O46" s="735"/>
      <c r="P46" s="392" t="s">
        <v>17</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36"/>
      <c r="E52" s="737"/>
      <c r="F52" s="737"/>
      <c r="G52" s="737"/>
      <c r="H52" s="737"/>
      <c r="I52" s="737"/>
      <c r="J52" s="737"/>
      <c r="K52" s="737"/>
      <c r="L52" s="737"/>
      <c r="M52" s="737"/>
      <c r="N52" s="737"/>
      <c r="O52" s="737"/>
      <c r="P52" s="738"/>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57</v>
      </c>
      <c r="E53" s="291" t="s">
        <v>15</v>
      </c>
      <c r="F53" s="751" t="s">
        <v>16</v>
      </c>
      <c r="G53" s="751"/>
      <c r="H53" s="751"/>
      <c r="I53" s="751"/>
      <c r="J53" s="751"/>
      <c r="K53" s="751"/>
      <c r="L53" s="751"/>
      <c r="M53" s="751"/>
      <c r="N53" s="751"/>
      <c r="O53" s="751"/>
      <c r="P53" s="291" t="s">
        <v>17</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41"/>
      <c r="F58" s="741"/>
      <c r="G58" s="741"/>
      <c r="H58" s="741"/>
      <c r="I58" s="741"/>
      <c r="J58" s="741"/>
      <c r="K58" s="741"/>
      <c r="L58" s="741"/>
      <c r="M58" s="741"/>
      <c r="N58" s="741"/>
      <c r="O58" s="741"/>
      <c r="P58" s="741"/>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41" t="str">
        <f>"Please suggest process improvements to the "&amp;D2&amp;" worksheet."</f>
        <v>Please suggest process improvements to the Technical Services worksheet.</v>
      </c>
      <c r="E59" s="641"/>
      <c r="F59" s="641"/>
      <c r="G59" s="641"/>
      <c r="H59" s="641"/>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38"/>
      <c r="E60" s="639"/>
      <c r="F60" s="639"/>
      <c r="G60" s="639"/>
      <c r="H60" s="639"/>
      <c r="I60" s="639"/>
      <c r="J60" s="639"/>
      <c r="K60" s="639"/>
      <c r="L60" s="639"/>
      <c r="M60" s="639"/>
      <c r="N60" s="639"/>
      <c r="O60" s="639"/>
      <c r="P60" s="640"/>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12</v>
      </c>
      <c r="D2" s="152" t="s">
        <v>146</v>
      </c>
      <c r="E2" s="715" t="str">
        <f>R.1MediaAndLongName</f>
        <v>AQ LMP Grants Pass</v>
      </c>
      <c r="F2" s="715"/>
      <c r="G2" s="715"/>
      <c r="H2" s="715"/>
      <c r="I2" s="715"/>
      <c r="J2" s="715"/>
      <c r="K2" s="715"/>
      <c r="L2" s="715"/>
      <c r="M2" s="715"/>
      <c r="N2" s="715"/>
      <c r="O2" s="715"/>
      <c r="P2" s="715"/>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01" t="s">
        <v>54</v>
      </c>
      <c r="N3" s="701"/>
      <c r="O3" s="701"/>
      <c r="P3" s="701"/>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52</v>
      </c>
      <c r="E4" s="80">
        <f>S4</f>
        <v>0</v>
      </c>
      <c r="F4" s="702" t="s">
        <v>51</v>
      </c>
      <c r="G4" s="702"/>
      <c r="H4" s="702"/>
      <c r="I4" s="702"/>
      <c r="J4" s="702"/>
      <c r="K4" s="702"/>
      <c r="L4" s="702"/>
      <c r="M4" s="703" t="str">
        <f>S5</f>
        <v>0</v>
      </c>
      <c r="N4" s="703"/>
      <c r="O4" s="703"/>
      <c r="P4" s="703"/>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65</v>
      </c>
      <c r="E5" s="97">
        <f>R.AvgHrDEQCost</f>
        <v>58</v>
      </c>
      <c r="F5" s="702" t="s">
        <v>55</v>
      </c>
      <c r="G5" s="702"/>
      <c r="H5" s="702"/>
      <c r="I5" s="702"/>
      <c r="J5" s="702"/>
      <c r="K5" s="702"/>
      <c r="L5" s="702"/>
      <c r="M5" s="704" t="str">
        <f>S6</f>
        <v>$0</v>
      </c>
      <c r="N5" s="704"/>
      <c r="O5" s="704"/>
      <c r="P5" s="704"/>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32" t="s">
        <v>237</v>
      </c>
      <c r="E7" s="733"/>
      <c r="F7" s="733"/>
      <c r="G7" s="733"/>
      <c r="H7" s="733"/>
      <c r="I7" s="733"/>
      <c r="J7" s="733"/>
      <c r="K7" s="733"/>
      <c r="L7" s="733"/>
      <c r="M7" s="733"/>
      <c r="N7" s="733"/>
      <c r="O7" s="733"/>
      <c r="P7" s="734"/>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0" t="s">
        <v>502</v>
      </c>
      <c r="E8" s="750"/>
      <c r="F8" s="750"/>
      <c r="G8" s="750"/>
      <c r="H8" s="750"/>
      <c r="I8" s="750"/>
      <c r="J8" s="750"/>
      <c r="K8" s="750"/>
      <c r="L8" s="750"/>
      <c r="M8" s="750"/>
      <c r="N8" s="750"/>
      <c r="O8" s="750"/>
      <c r="P8" s="750"/>
      <c r="Q8" s="155"/>
      <c r="R8" s="333"/>
      <c r="T8" s="492"/>
      <c r="U8" s="492"/>
      <c r="V8" s="119"/>
      <c r="W8" s="435"/>
      <c r="X8" s="435"/>
      <c r="Y8" s="435"/>
      <c r="Z8" s="435"/>
      <c r="AA8" s="435"/>
      <c r="AB8" s="435"/>
      <c r="AC8" s="435"/>
      <c r="AD8" s="65"/>
      <c r="AE8" s="65"/>
      <c r="AF8" s="65"/>
    </row>
    <row r="9" spans="1:33" s="27" customFormat="1" ht="15.75" customHeight="1">
      <c r="A9" s="344"/>
      <c r="B9" s="439"/>
      <c r="C9" s="137"/>
      <c r="D9" s="747" t="s">
        <v>457</v>
      </c>
      <c r="E9" s="748"/>
      <c r="F9" s="748"/>
      <c r="G9" s="748"/>
      <c r="H9" s="748"/>
      <c r="I9" s="748"/>
      <c r="J9" s="748"/>
      <c r="K9" s="748"/>
      <c r="L9" s="748"/>
      <c r="M9" s="748"/>
      <c r="N9" s="748"/>
      <c r="O9" s="748"/>
      <c r="P9" s="749"/>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1"/>
      <c r="E13" s="722"/>
      <c r="F13" s="722"/>
      <c r="G13" s="722"/>
      <c r="H13" s="722"/>
      <c r="I13" s="722"/>
      <c r="J13" s="722"/>
      <c r="K13" s="722"/>
      <c r="L13" s="722"/>
      <c r="M13" s="722"/>
      <c r="N13" s="722"/>
      <c r="O13" s="722"/>
      <c r="P13" s="723"/>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57</v>
      </c>
      <c r="E14" s="291" t="s">
        <v>15</v>
      </c>
      <c r="F14" s="724" t="s">
        <v>16</v>
      </c>
      <c r="G14" s="724"/>
      <c r="H14" s="724"/>
      <c r="I14" s="724"/>
      <c r="J14" s="724"/>
      <c r="K14" s="724"/>
      <c r="L14" s="724"/>
      <c r="M14" s="724"/>
      <c r="N14" s="724"/>
      <c r="O14" s="724"/>
      <c r="P14" s="291"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21"/>
      <c r="E20" s="722"/>
      <c r="F20" s="722"/>
      <c r="G20" s="722"/>
      <c r="H20" s="722"/>
      <c r="I20" s="722"/>
      <c r="J20" s="722"/>
      <c r="K20" s="722"/>
      <c r="L20" s="722"/>
      <c r="M20" s="722"/>
      <c r="N20" s="722"/>
      <c r="O20" s="722"/>
      <c r="P20" s="723"/>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41"/>
      <c r="F26" s="741"/>
      <c r="G26" s="741"/>
      <c r="H26" s="741"/>
      <c r="I26" s="741"/>
      <c r="J26" s="741"/>
      <c r="K26" s="741"/>
      <c r="L26" s="741"/>
      <c r="M26" s="741"/>
      <c r="N26" s="741"/>
      <c r="O26" s="741"/>
      <c r="P26" s="741"/>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41" t="str">
        <f>"Please suggest process improvements to the "&amp;D2&amp;" worksheet."</f>
        <v>Please suggest process improvements to the Compliance &amp; Enforcement worksheet.</v>
      </c>
      <c r="E27" s="641"/>
      <c r="F27" s="641"/>
      <c r="G27" s="641"/>
      <c r="H27" s="641"/>
      <c r="I27" s="641"/>
      <c r="J27" s="641"/>
      <c r="K27" s="641"/>
      <c r="L27" s="641"/>
      <c r="M27" s="641"/>
      <c r="N27" s="641"/>
      <c r="O27" s="641"/>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38"/>
      <c r="E28" s="639"/>
      <c r="F28" s="639"/>
      <c r="G28" s="639"/>
      <c r="H28" s="639"/>
      <c r="I28" s="639"/>
      <c r="J28" s="639"/>
      <c r="K28" s="639"/>
      <c r="L28" s="639"/>
      <c r="M28" s="639"/>
      <c r="N28" s="639"/>
      <c r="O28" s="639"/>
      <c r="P28" s="640"/>
      <c r="Q28" s="147"/>
      <c r="R28" s="333"/>
      <c r="S28" s="131"/>
      <c r="T28" s="130"/>
      <c r="U28" s="130"/>
      <c r="V28" s="63"/>
      <c r="W28" s="63"/>
      <c r="X28" s="63"/>
      <c r="Y28" s="63"/>
      <c r="Z28" s="63"/>
      <c r="AA28" s="63"/>
      <c r="AB28" s="63"/>
      <c r="AC28" s="63"/>
      <c r="AD28" s="65"/>
      <c r="AE28" s="65"/>
      <c r="AF28" s="65"/>
    </row>
    <row r="29" spans="1:32" ht="18" customHeight="1">
      <c r="A29" s="349" t="s">
        <v>104</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13</v>
      </c>
      <c r="D2" s="152" t="s">
        <v>73</v>
      </c>
      <c r="E2" s="715" t="str">
        <f>R.1MediaAndLongName</f>
        <v>AQ LMP Grants Pass</v>
      </c>
      <c r="F2" s="715"/>
      <c r="G2" s="715"/>
      <c r="H2" s="715"/>
      <c r="I2" s="715"/>
      <c r="J2" s="715"/>
      <c r="K2" s="715"/>
      <c r="L2" s="715"/>
      <c r="M2" s="715"/>
      <c r="N2" s="715"/>
      <c r="O2" s="715"/>
      <c r="P2" s="715"/>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52" t="s">
        <v>80</v>
      </c>
      <c r="E3" s="752"/>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01" t="s">
        <v>54</v>
      </c>
      <c r="N4" s="701"/>
      <c r="O4" s="701"/>
      <c r="P4" s="701"/>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52</v>
      </c>
      <c r="E5" s="80">
        <f>S4</f>
        <v>0</v>
      </c>
      <c r="F5" s="702" t="s">
        <v>51</v>
      </c>
      <c r="G5" s="702"/>
      <c r="H5" s="702"/>
      <c r="I5" s="702"/>
      <c r="J5" s="702"/>
      <c r="K5" s="702"/>
      <c r="L5" s="702"/>
      <c r="M5" s="703" t="str">
        <f>S5</f>
        <v>0</v>
      </c>
      <c r="N5" s="703"/>
      <c r="O5" s="703"/>
      <c r="P5" s="703"/>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65</v>
      </c>
      <c r="E6" s="97">
        <f>R.AvgHrDEQCost</f>
        <v>58</v>
      </c>
      <c r="F6" s="702" t="s">
        <v>55</v>
      </c>
      <c r="G6" s="702"/>
      <c r="H6" s="702"/>
      <c r="I6" s="702"/>
      <c r="J6" s="702"/>
      <c r="K6" s="702"/>
      <c r="L6" s="702"/>
      <c r="M6" s="704" t="str">
        <f>S6</f>
        <v>$0</v>
      </c>
      <c r="N6" s="704"/>
      <c r="O6" s="704"/>
      <c r="P6" s="704"/>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32" t="s">
        <v>238</v>
      </c>
      <c r="E8" s="733"/>
      <c r="F8" s="733"/>
      <c r="G8" s="733"/>
      <c r="H8" s="733"/>
      <c r="I8" s="733"/>
      <c r="J8" s="733"/>
      <c r="K8" s="733"/>
      <c r="L8" s="733"/>
      <c r="M8" s="733"/>
      <c r="N8" s="733"/>
      <c r="O8" s="733"/>
      <c r="P8" s="734"/>
      <c r="Q8" s="155"/>
      <c r="R8" s="333"/>
      <c r="S8"/>
      <c r="T8" s="492"/>
      <c r="U8" s="492"/>
      <c r="V8" s="119"/>
      <c r="W8" s="435"/>
      <c r="X8" s="435"/>
      <c r="Y8" s="435"/>
      <c r="Z8" s="435"/>
      <c r="AA8" s="435"/>
      <c r="AB8" s="435"/>
      <c r="AC8" s="435"/>
      <c r="AD8" s="65"/>
      <c r="AE8" s="65"/>
      <c r="AF8" s="65"/>
    </row>
    <row r="9" spans="1:33" s="6" customFormat="1" ht="20.25" customHeight="1">
      <c r="A9" s="315"/>
      <c r="B9" s="333"/>
      <c r="C9" s="154"/>
      <c r="D9" s="750" t="s">
        <v>494</v>
      </c>
      <c r="E9" s="750"/>
      <c r="F9" s="750"/>
      <c r="G9" s="750"/>
      <c r="H9" s="750"/>
      <c r="I9" s="750"/>
      <c r="J9" s="750"/>
      <c r="K9" s="750"/>
      <c r="L9" s="750"/>
      <c r="M9" s="750"/>
      <c r="N9" s="750"/>
      <c r="O9" s="750"/>
      <c r="P9" s="750"/>
      <c r="Q9" s="155"/>
      <c r="R9" s="333"/>
      <c r="T9" s="492"/>
      <c r="U9" s="492"/>
      <c r="V9" s="119"/>
      <c r="W9" s="435"/>
      <c r="X9" s="435"/>
      <c r="Y9" s="435"/>
      <c r="Z9" s="435"/>
      <c r="AA9" s="435"/>
      <c r="AB9" s="435"/>
      <c r="AC9" s="435"/>
      <c r="AD9" s="65"/>
      <c r="AE9" s="65"/>
      <c r="AF9" s="65"/>
    </row>
    <row r="10" spans="1:33" s="27" customFormat="1" ht="15.75" customHeight="1">
      <c r="A10" s="344"/>
      <c r="B10" s="439"/>
      <c r="C10" s="137"/>
      <c r="D10" s="747" t="s">
        <v>457</v>
      </c>
      <c r="E10" s="748"/>
      <c r="F10" s="748"/>
      <c r="G10" s="748"/>
      <c r="H10" s="748"/>
      <c r="I10" s="748"/>
      <c r="J10" s="748"/>
      <c r="K10" s="748"/>
      <c r="L10" s="748"/>
      <c r="M10" s="748"/>
      <c r="N10" s="748"/>
      <c r="O10" s="748"/>
      <c r="P10" s="749"/>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103</v>
      </c>
      <c r="B12" s="333"/>
      <c r="C12" s="479" t="s">
        <v>0</v>
      </c>
      <c r="D12" s="303" t="s">
        <v>124</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50</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21"/>
      <c r="E14" s="722"/>
      <c r="F14" s="722"/>
      <c r="G14" s="722"/>
      <c r="H14" s="722"/>
      <c r="I14" s="722"/>
      <c r="J14" s="722"/>
      <c r="K14" s="722"/>
      <c r="L14" s="722"/>
      <c r="M14" s="722"/>
      <c r="N14" s="722"/>
      <c r="O14" s="722"/>
      <c r="P14" s="723"/>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57</v>
      </c>
      <c r="E15" s="392" t="s">
        <v>15</v>
      </c>
      <c r="F15" s="735" t="s">
        <v>16</v>
      </c>
      <c r="G15" s="735"/>
      <c r="H15" s="735"/>
      <c r="I15" s="735"/>
      <c r="J15" s="735"/>
      <c r="K15" s="735"/>
      <c r="L15" s="735"/>
      <c r="M15" s="735"/>
      <c r="N15" s="735"/>
      <c r="O15" s="735"/>
      <c r="P15" s="392" t="s">
        <v>17</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15.75" hidden="1" customHeight="1" outlineLevel="1">
      <c r="A17" s="116"/>
      <c r="B17" s="333"/>
      <c r="C17" s="137"/>
      <c r="D17" s="541"/>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217</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49</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36"/>
      <c r="E21" s="737"/>
      <c r="F21" s="737"/>
      <c r="G21" s="737"/>
      <c r="H21" s="737"/>
      <c r="I21" s="737"/>
      <c r="J21" s="737"/>
      <c r="K21" s="737"/>
      <c r="L21" s="737"/>
      <c r="M21" s="737"/>
      <c r="N21" s="737"/>
      <c r="O21" s="737"/>
      <c r="P21" s="738"/>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57</v>
      </c>
      <c r="E22" s="291" t="s">
        <v>15</v>
      </c>
      <c r="F22" s="751" t="s">
        <v>16</v>
      </c>
      <c r="G22" s="751"/>
      <c r="H22" s="751"/>
      <c r="I22" s="751"/>
      <c r="J22" s="751"/>
      <c r="K22" s="751"/>
      <c r="L22" s="751"/>
      <c r="M22" s="751"/>
      <c r="N22" s="751"/>
      <c r="O22" s="751"/>
      <c r="P22" s="291" t="s">
        <v>17</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4" t="s">
        <v>542</v>
      </c>
      <c r="W23" s="63"/>
      <c r="X23" s="63"/>
      <c r="Y23" s="63"/>
      <c r="Z23" s="63"/>
      <c r="AA23" s="63"/>
      <c r="AB23" s="63"/>
      <c r="AC23" s="63"/>
      <c r="AD23" s="129"/>
      <c r="AE23" s="129"/>
      <c r="AF23" s="129"/>
    </row>
    <row r="24" spans="1:32" s="27" customFormat="1" ht="15.75" hidden="1" customHeight="1" outlineLevel="1">
      <c r="A24" s="116"/>
      <c r="B24" s="333"/>
      <c r="C24" s="137"/>
      <c r="D24" s="541"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217</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41"/>
      <c r="F27" s="741"/>
      <c r="G27" s="741"/>
      <c r="H27" s="741"/>
      <c r="I27" s="741"/>
      <c r="J27" s="741"/>
      <c r="K27" s="741"/>
      <c r="L27" s="741"/>
      <c r="M27" s="741"/>
      <c r="N27" s="741"/>
      <c r="O27" s="741"/>
      <c r="P27" s="741"/>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125</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50</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21"/>
      <c r="E30" s="722"/>
      <c r="F30" s="722"/>
      <c r="G30" s="722"/>
      <c r="H30" s="722"/>
      <c r="I30" s="722"/>
      <c r="J30" s="722"/>
      <c r="K30" s="722"/>
      <c r="L30" s="722"/>
      <c r="M30" s="722"/>
      <c r="N30" s="722"/>
      <c r="O30" s="722"/>
      <c r="P30" s="723"/>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57</v>
      </c>
      <c r="E31" s="158" t="s">
        <v>15</v>
      </c>
      <c r="F31" s="751" t="s">
        <v>16</v>
      </c>
      <c r="G31" s="751"/>
      <c r="H31" s="751"/>
      <c r="I31" s="751"/>
      <c r="J31" s="751"/>
      <c r="K31" s="751"/>
      <c r="L31" s="751"/>
      <c r="M31" s="751"/>
      <c r="N31" s="751"/>
      <c r="O31" s="751"/>
      <c r="P31" s="158" t="s">
        <v>17</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4" t="s">
        <v>542</v>
      </c>
      <c r="W32" s="63"/>
      <c r="X32" s="63"/>
      <c r="Y32" s="63"/>
      <c r="Z32" s="63"/>
      <c r="AA32" s="63"/>
      <c r="AB32" s="63"/>
      <c r="AC32" s="63"/>
      <c r="AD32" s="129"/>
      <c r="AE32" s="129"/>
      <c r="AF32" s="129"/>
    </row>
    <row r="33" spans="1:32" s="27" customFormat="1" ht="15.75" hidden="1" customHeight="1" outlineLevel="1">
      <c r="A33" s="116"/>
      <c r="B33" s="333"/>
      <c r="C33" s="137"/>
      <c r="D33" s="541"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217</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49</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26"/>
      <c r="E37" s="727"/>
      <c r="F37" s="727"/>
      <c r="G37" s="727"/>
      <c r="H37" s="727"/>
      <c r="I37" s="727"/>
      <c r="J37" s="727"/>
      <c r="K37" s="727"/>
      <c r="L37" s="727"/>
      <c r="M37" s="727"/>
      <c r="N37" s="727"/>
      <c r="O37" s="727"/>
      <c r="P37" s="728"/>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57</v>
      </c>
      <c r="E38" s="158" t="s">
        <v>15</v>
      </c>
      <c r="F38" s="751" t="s">
        <v>16</v>
      </c>
      <c r="G38" s="751"/>
      <c r="H38" s="751"/>
      <c r="I38" s="751"/>
      <c r="J38" s="751"/>
      <c r="K38" s="751"/>
      <c r="L38" s="751"/>
      <c r="M38" s="751"/>
      <c r="N38" s="751"/>
      <c r="O38" s="751"/>
      <c r="P38" s="158" t="s">
        <v>17</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4" t="s">
        <v>542</v>
      </c>
      <c r="W39" s="63"/>
      <c r="X39" s="63"/>
      <c r="Y39" s="63"/>
      <c r="Z39" s="63"/>
      <c r="AA39" s="63"/>
      <c r="AB39" s="63"/>
      <c r="AC39" s="63"/>
      <c r="AD39" s="129"/>
      <c r="AE39" s="129"/>
      <c r="AF39" s="129"/>
    </row>
    <row r="40" spans="1:32" s="27" customFormat="1" ht="15.75" hidden="1" customHeight="1" outlineLevel="1">
      <c r="A40" s="116"/>
      <c r="B40" s="333"/>
      <c r="C40" s="137"/>
      <c r="D40" s="541"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217</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41"/>
      <c r="F43" s="741"/>
      <c r="G43" s="741"/>
      <c r="H43" s="741"/>
      <c r="I43" s="741"/>
      <c r="J43" s="741"/>
      <c r="K43" s="741"/>
      <c r="L43" s="741"/>
      <c r="M43" s="741"/>
      <c r="N43" s="741"/>
      <c r="O43" s="741"/>
      <c r="P43" s="741"/>
      <c r="Q43" s="378"/>
      <c r="R43" s="333"/>
      <c r="S43" s="131"/>
      <c r="T43" s="130"/>
      <c r="U43" s="130"/>
      <c r="V43" s="63"/>
      <c r="W43" s="63"/>
      <c r="X43" s="63"/>
      <c r="Y43" s="63"/>
      <c r="Z43" s="63"/>
      <c r="AA43" s="63"/>
      <c r="AB43" s="63"/>
      <c r="AC43" s="63"/>
      <c r="AD43" s="129"/>
      <c r="AE43" s="129"/>
      <c r="AF43" s="129"/>
    </row>
    <row r="44" spans="1:32" s="32" customFormat="1" ht="30" customHeight="1">
      <c r="A44" s="349" t="s">
        <v>103</v>
      </c>
      <c r="B44" s="333"/>
      <c r="C44" s="482" t="s">
        <v>0</v>
      </c>
      <c r="D44" s="380" t="s">
        <v>131</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50</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21"/>
      <c r="E46" s="722"/>
      <c r="F46" s="722"/>
      <c r="G46" s="722"/>
      <c r="H46" s="722"/>
      <c r="I46" s="722"/>
      <c r="J46" s="722"/>
      <c r="K46" s="722"/>
      <c r="L46" s="722"/>
      <c r="M46" s="722"/>
      <c r="N46" s="722"/>
      <c r="O46" s="722"/>
      <c r="P46" s="723"/>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57</v>
      </c>
      <c r="E47" s="392" t="s">
        <v>15</v>
      </c>
      <c r="F47" s="735" t="s">
        <v>16</v>
      </c>
      <c r="G47" s="735"/>
      <c r="H47" s="735"/>
      <c r="I47" s="735"/>
      <c r="J47" s="735"/>
      <c r="K47" s="735"/>
      <c r="L47" s="735"/>
      <c r="M47" s="735"/>
      <c r="N47" s="735"/>
      <c r="O47" s="735"/>
      <c r="P47" s="392" t="s">
        <v>17</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217</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4" t="s">
        <v>542</v>
      </c>
      <c r="W48" s="63"/>
      <c r="X48" s="63"/>
      <c r="Y48" s="63"/>
      <c r="Z48" s="63"/>
      <c r="AA48" s="63"/>
      <c r="AB48" s="63"/>
      <c r="AC48" s="63"/>
      <c r="AD48" s="129"/>
      <c r="AE48" s="129"/>
      <c r="AF48" s="129"/>
    </row>
    <row r="49" spans="1:32" s="27" customFormat="1" ht="15.75" hidden="1" customHeight="1" outlineLevel="1">
      <c r="A49" s="116"/>
      <c r="B49" s="333"/>
      <c r="C49" s="137"/>
      <c r="D49" s="540"/>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217</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49</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36"/>
      <c r="E53" s="737"/>
      <c r="F53" s="737"/>
      <c r="G53" s="737"/>
      <c r="H53" s="737"/>
      <c r="I53" s="737"/>
      <c r="J53" s="737"/>
      <c r="K53" s="737"/>
      <c r="L53" s="737"/>
      <c r="M53" s="737"/>
      <c r="N53" s="737"/>
      <c r="O53" s="737"/>
      <c r="P53" s="738"/>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57</v>
      </c>
      <c r="E54" s="291" t="s">
        <v>15</v>
      </c>
      <c r="F54" s="751" t="s">
        <v>16</v>
      </c>
      <c r="G54" s="751"/>
      <c r="H54" s="751"/>
      <c r="I54" s="751"/>
      <c r="J54" s="751"/>
      <c r="K54" s="751"/>
      <c r="L54" s="751"/>
      <c r="M54" s="751"/>
      <c r="N54" s="751"/>
      <c r="O54" s="751"/>
      <c r="P54" s="291" t="s">
        <v>17</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4" t="s">
        <v>542</v>
      </c>
      <c r="W55" s="63"/>
      <c r="X55" s="63"/>
      <c r="Y55" s="63"/>
      <c r="Z55" s="63"/>
      <c r="AA55" s="63"/>
      <c r="AB55" s="63"/>
      <c r="AC55" s="63"/>
      <c r="AD55" s="129"/>
      <c r="AE55" s="129"/>
      <c r="AF55" s="129"/>
    </row>
    <row r="56" spans="1:32" s="27" customFormat="1" ht="15.75" hidden="1" customHeight="1" outlineLevel="1">
      <c r="A56" s="116"/>
      <c r="B56" s="333"/>
      <c r="C56" s="137"/>
      <c r="D56" s="540"/>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217</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41"/>
      <c r="F59" s="741"/>
      <c r="G59" s="741"/>
      <c r="H59" s="741"/>
      <c r="I59" s="741"/>
      <c r="J59" s="741"/>
      <c r="K59" s="741"/>
      <c r="L59" s="741"/>
      <c r="M59" s="741"/>
      <c r="N59" s="741"/>
      <c r="O59" s="741"/>
      <c r="P59" s="741"/>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41" t="str">
        <f>"Please suggest process improvements to the "&amp;D2&amp;" worksheet."</f>
        <v>Please suggest process improvements to the LEAD worksheet.</v>
      </c>
      <c r="E60" s="641"/>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38"/>
      <c r="E61" s="639"/>
      <c r="F61" s="639"/>
      <c r="G61" s="639"/>
      <c r="H61" s="639"/>
      <c r="I61" s="639"/>
      <c r="J61" s="639"/>
      <c r="K61" s="639"/>
      <c r="L61" s="639"/>
      <c r="M61" s="639"/>
      <c r="N61" s="639"/>
      <c r="O61" s="639"/>
      <c r="P61" s="640"/>
      <c r="Q61" s="147"/>
      <c r="R61" s="333"/>
      <c r="S61" s="131"/>
      <c r="T61" s="130"/>
      <c r="U61" s="130"/>
      <c r="V61" s="63"/>
      <c r="W61" s="63"/>
      <c r="X61" s="63"/>
      <c r="Y61" s="63"/>
      <c r="Z61" s="63"/>
      <c r="AA61" s="63"/>
      <c r="AB61" s="63"/>
      <c r="AC61" s="63"/>
      <c r="AD61" s="65"/>
      <c r="AE61" s="65"/>
      <c r="AF61" s="65"/>
    </row>
    <row r="62" spans="1:32" ht="18" customHeight="1">
      <c r="A62" s="349" t="s">
        <v>104</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5" zoomScaleNormal="100" workbookViewId="0">
      <selection activeCell="D42" sqref="D4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82</v>
      </c>
      <c r="E2" s="715" t="str">
        <f>R.1MediaAndLongName</f>
        <v>AQ LMP Grants Pass</v>
      </c>
      <c r="F2" s="715"/>
      <c r="G2" s="715"/>
      <c r="H2" s="715"/>
      <c r="I2" s="715"/>
      <c r="J2" s="715"/>
      <c r="K2" s="715"/>
      <c r="L2" s="715"/>
      <c r="M2" s="715"/>
      <c r="N2" s="715"/>
      <c r="O2" s="715"/>
      <c r="P2" s="715"/>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01" t="s">
        <v>54</v>
      </c>
      <c r="N3" s="701"/>
      <c r="O3" s="701"/>
      <c r="P3" s="701"/>
      <c r="Q3" s="155"/>
      <c r="R3" s="333"/>
      <c r="S3" s="120">
        <f>COUNTIFS(S15:S105,"&gt;0")</f>
        <v>2</v>
      </c>
      <c r="T3" s="123">
        <f>SUM(T15:T105)</f>
        <v>160</v>
      </c>
      <c r="U3" s="123">
        <f>SUM(U15:U105)</f>
        <v>340</v>
      </c>
      <c r="V3" s="119"/>
      <c r="W3" s="63"/>
      <c r="X3" s="63"/>
      <c r="Y3" s="63"/>
      <c r="Z3" s="63"/>
      <c r="AA3" s="63"/>
      <c r="AB3" s="63"/>
      <c r="AC3" s="63"/>
      <c r="AD3" s="65"/>
      <c r="AE3" s="65"/>
      <c r="AF3" s="65"/>
      <c r="AG3" s="65"/>
    </row>
    <row r="4" spans="1:33" s="6" customFormat="1" ht="20.25" customHeight="1">
      <c r="A4" s="113"/>
      <c r="B4" s="333"/>
      <c r="C4" s="154"/>
      <c r="D4" s="493" t="s">
        <v>52</v>
      </c>
      <c r="E4" s="80">
        <f>S3</f>
        <v>2</v>
      </c>
      <c r="F4" s="702" t="s">
        <v>51</v>
      </c>
      <c r="G4" s="702"/>
      <c r="H4" s="702"/>
      <c r="I4" s="702"/>
      <c r="J4" s="702"/>
      <c r="K4" s="702"/>
      <c r="L4" s="702"/>
      <c r="M4" s="703" t="str">
        <f>S4</f>
        <v>160-340</v>
      </c>
      <c r="N4" s="703"/>
      <c r="O4" s="703"/>
      <c r="P4" s="703"/>
      <c r="Q4" s="155"/>
      <c r="R4" s="333"/>
      <c r="S4" s="121" t="str">
        <f>IF(R.14StaffCount=0,"0",IF(R.14LowHrs=0,"0-"&amp;TEXT(R.14HighHrs,"#,###"),TEXT(R.14LowHrs,"#,###")&amp;"-"&amp;TEXT(R.14HighHrs,"#,###")))</f>
        <v>160-340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64</v>
      </c>
      <c r="E5" s="97">
        <f>R.AvgHrDEQCost</f>
        <v>58</v>
      </c>
      <c r="F5" s="702" t="s">
        <v>55</v>
      </c>
      <c r="G5" s="702"/>
      <c r="H5" s="702"/>
      <c r="I5" s="702"/>
      <c r="J5" s="702"/>
      <c r="K5" s="702"/>
      <c r="L5" s="702"/>
      <c r="M5" s="704" t="str">
        <f>S5</f>
        <v>$9,280-19,720</v>
      </c>
      <c r="N5" s="704"/>
      <c r="O5" s="704"/>
      <c r="P5" s="704"/>
      <c r="Q5" s="155"/>
      <c r="R5" s="333"/>
      <c r="S5" s="121" t="str">
        <f>IF(R.14StaffCount=0,"$0",IF(R.14LowDollars=0,"$0-"&amp;TEXT(R.14HighDollars,"#,###"),TEXT(R.14LowDollars,"$#,###")&amp;"-"&amp;TEXT(R.14HighDollars,"#,###")))</f>
        <v>$9,280-19,720</v>
      </c>
      <c r="T5" s="123">
        <f>T3*E5</f>
        <v>9280</v>
      </c>
      <c r="U5" s="123">
        <f>U3*E5</f>
        <v>19720</v>
      </c>
      <c r="V5" s="119"/>
      <c r="W5" s="63"/>
      <c r="X5" s="63"/>
      <c r="Y5" s="63"/>
      <c r="Z5" s="63"/>
      <c r="AA5" s="63"/>
      <c r="AB5" s="63"/>
      <c r="AC5" s="63"/>
      <c r="AD5" s="65"/>
      <c r="AE5" s="65"/>
      <c r="AF5" s="65"/>
      <c r="AG5" s="65"/>
    </row>
    <row r="6" spans="1:33" s="6" customFormat="1" ht="24.75" customHeight="1">
      <c r="A6" s="113"/>
      <c r="B6" s="333"/>
      <c r="C6" s="154"/>
      <c r="D6" s="442" t="s">
        <v>26</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32" t="s">
        <v>580</v>
      </c>
      <c r="E7" s="733"/>
      <c r="F7" s="733"/>
      <c r="G7" s="733"/>
      <c r="H7" s="733"/>
      <c r="I7" s="733"/>
      <c r="J7" s="733"/>
      <c r="K7" s="733"/>
      <c r="L7" s="733"/>
      <c r="M7" s="733"/>
      <c r="N7" s="733"/>
      <c r="O7" s="733"/>
      <c r="P7" s="734"/>
      <c r="Q7" s="155"/>
      <c r="R7" s="333"/>
      <c r="S7" s="495">
        <f>AVERAGEIF(S14:S56,"&gt;0")</f>
        <v>4</v>
      </c>
      <c r="T7" s="492"/>
      <c r="U7" s="492"/>
      <c r="V7" s="119"/>
      <c r="W7" s="435"/>
      <c r="X7" s="435"/>
      <c r="Y7" s="435"/>
      <c r="Z7" s="435"/>
      <c r="AA7" s="435"/>
      <c r="AB7" s="435"/>
      <c r="AC7" s="435"/>
      <c r="AD7" s="65"/>
      <c r="AE7" s="65"/>
      <c r="AF7" s="65"/>
    </row>
    <row r="8" spans="1:33" s="6" customFormat="1" ht="20.25" customHeight="1">
      <c r="A8" s="315"/>
      <c r="B8" s="333"/>
      <c r="C8" s="154"/>
      <c r="D8" s="750" t="s">
        <v>489</v>
      </c>
      <c r="E8" s="750"/>
      <c r="F8" s="750"/>
      <c r="G8" s="750"/>
      <c r="H8" s="750"/>
      <c r="I8" s="750"/>
      <c r="J8" s="750"/>
      <c r="K8" s="750"/>
      <c r="L8" s="750"/>
      <c r="M8" s="750"/>
      <c r="N8" s="750"/>
      <c r="O8" s="750"/>
      <c r="P8" s="750"/>
      <c r="Q8" s="155"/>
      <c r="R8" s="333"/>
      <c r="T8" s="492"/>
      <c r="U8" s="492"/>
      <c r="V8" s="119"/>
      <c r="W8" s="435"/>
      <c r="X8" s="435"/>
      <c r="Y8" s="435"/>
      <c r="Z8" s="435"/>
      <c r="AA8" s="435"/>
      <c r="AB8" s="435"/>
      <c r="AC8" s="435"/>
      <c r="AD8" s="65"/>
      <c r="AE8" s="65"/>
      <c r="AF8" s="65"/>
    </row>
    <row r="9" spans="1:33" s="27" customFormat="1" ht="15.75" customHeight="1">
      <c r="A9" s="344"/>
      <c r="B9" s="439"/>
      <c r="C9" s="137"/>
      <c r="D9" s="747" t="s">
        <v>0</v>
      </c>
      <c r="E9" s="748"/>
      <c r="F9" s="748"/>
      <c r="G9" s="748"/>
      <c r="H9" s="748"/>
      <c r="I9" s="748"/>
      <c r="J9" s="748"/>
      <c r="K9" s="748"/>
      <c r="L9" s="748"/>
      <c r="M9" s="748"/>
      <c r="N9" s="748"/>
      <c r="O9" s="748"/>
      <c r="P9" s="749"/>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109</v>
      </c>
      <c r="B11" s="333"/>
      <c r="C11" s="484" t="s">
        <v>0</v>
      </c>
      <c r="D11" s="303" t="s">
        <v>126</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21" t="s">
        <v>0</v>
      </c>
      <c r="E13" s="722"/>
      <c r="F13" s="722"/>
      <c r="G13" s="722"/>
      <c r="H13" s="722"/>
      <c r="I13" s="722"/>
      <c r="J13" s="722"/>
      <c r="K13" s="722"/>
      <c r="L13" s="722"/>
      <c r="M13" s="722"/>
      <c r="N13" s="722"/>
      <c r="O13" s="722"/>
      <c r="P13" s="723"/>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57</v>
      </c>
      <c r="E14" s="392" t="s">
        <v>15</v>
      </c>
      <c r="F14" s="735" t="s">
        <v>16</v>
      </c>
      <c r="G14" s="735"/>
      <c r="H14" s="735"/>
      <c r="I14" s="735"/>
      <c r="J14" s="735"/>
      <c r="K14" s="735"/>
      <c r="L14" s="735"/>
      <c r="M14" s="735"/>
      <c r="N14" s="735"/>
      <c r="O14" s="735"/>
      <c r="P14" s="392" t="s">
        <v>17</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4" t="s">
        <v>542</v>
      </c>
      <c r="W15" s="63"/>
      <c r="Y15" s="63"/>
      <c r="Z15" s="63"/>
      <c r="AA15" s="63"/>
      <c r="AB15" s="63"/>
      <c r="AC15" s="63"/>
      <c r="AD15" s="129"/>
      <c r="AE15" s="129"/>
      <c r="AF15" s="129"/>
      <c r="AG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36"/>
      <c r="E20" s="737"/>
      <c r="F20" s="737"/>
      <c r="G20" s="737"/>
      <c r="H20" s="737"/>
      <c r="I20" s="737"/>
      <c r="J20" s="737"/>
      <c r="K20" s="737"/>
      <c r="L20" s="737"/>
      <c r="M20" s="737"/>
      <c r="N20" s="737"/>
      <c r="O20" s="737"/>
      <c r="P20" s="738"/>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57</v>
      </c>
      <c r="E21" s="291" t="s">
        <v>15</v>
      </c>
      <c r="F21" s="751" t="s">
        <v>16</v>
      </c>
      <c r="G21" s="751"/>
      <c r="H21" s="751"/>
      <c r="I21" s="751"/>
      <c r="J21" s="751"/>
      <c r="K21" s="751"/>
      <c r="L21" s="751"/>
      <c r="M21" s="751"/>
      <c r="N21" s="751"/>
      <c r="O21" s="751"/>
      <c r="P21" s="291" t="s">
        <v>17</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40"/>
      <c r="F26" s="740"/>
      <c r="G26" s="740"/>
      <c r="H26" s="740"/>
      <c r="I26" s="740"/>
      <c r="J26" s="740"/>
      <c r="K26" s="740"/>
      <c r="L26" s="740"/>
      <c r="M26" s="740"/>
      <c r="N26" s="740"/>
      <c r="O26" s="740"/>
      <c r="P26" s="740"/>
      <c r="Q26" s="144"/>
      <c r="R26" s="333"/>
      <c r="S26" s="131"/>
      <c r="T26" s="130"/>
      <c r="U26" s="130"/>
      <c r="V26" s="63"/>
      <c r="W26" s="63"/>
      <c r="X26" s="63"/>
      <c r="Y26" s="63"/>
      <c r="Z26" s="63"/>
      <c r="AA26" s="63"/>
      <c r="AB26" s="63"/>
      <c r="AC26" s="63"/>
      <c r="AD26" s="129"/>
      <c r="AE26" s="129"/>
      <c r="AF26" s="129"/>
      <c r="AG26" s="129"/>
    </row>
    <row r="27" spans="1:33" s="32" customFormat="1" ht="30" customHeight="1">
      <c r="A27" s="349" t="s">
        <v>110</v>
      </c>
      <c r="B27" s="333"/>
      <c r="C27" s="135"/>
      <c r="D27" s="305" t="s">
        <v>127</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21" t="s">
        <v>612</v>
      </c>
      <c r="E29" s="722"/>
      <c r="F29" s="722"/>
      <c r="G29" s="722"/>
      <c r="H29" s="722"/>
      <c r="I29" s="722"/>
      <c r="J29" s="722"/>
      <c r="K29" s="722"/>
      <c r="L29" s="722"/>
      <c r="M29" s="722"/>
      <c r="N29" s="722"/>
      <c r="O29" s="722"/>
      <c r="P29" s="723"/>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57</v>
      </c>
      <c r="E30" s="291" t="s">
        <v>15</v>
      </c>
      <c r="F30" s="751" t="s">
        <v>16</v>
      </c>
      <c r="G30" s="751"/>
      <c r="H30" s="751"/>
      <c r="I30" s="751"/>
      <c r="J30" s="751"/>
      <c r="K30" s="751"/>
      <c r="L30" s="751"/>
      <c r="M30" s="751"/>
      <c r="N30" s="751"/>
      <c r="O30" s="751"/>
      <c r="P30" s="291" t="s">
        <v>17</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609</v>
      </c>
      <c r="E31" s="29" t="s">
        <v>222</v>
      </c>
      <c r="F31" s="70">
        <v>1</v>
      </c>
      <c r="G31" s="71">
        <v>2</v>
      </c>
      <c r="H31" s="72">
        <v>3</v>
      </c>
      <c r="I31" s="73">
        <v>4</v>
      </c>
      <c r="J31" s="74">
        <v>5</v>
      </c>
      <c r="K31" s="75">
        <v>6</v>
      </c>
      <c r="L31" s="76">
        <v>7</v>
      </c>
      <c r="M31" s="77">
        <v>8</v>
      </c>
      <c r="N31" s="78">
        <v>9</v>
      </c>
      <c r="O31" s="79">
        <v>10</v>
      </c>
      <c r="P31" s="31" t="s">
        <v>0</v>
      </c>
      <c r="Q31" s="138"/>
      <c r="R31" s="333"/>
      <c r="S31" s="132">
        <f>VLOOKUP($E31,R.VL_DEQResourcesInvolved,2,FALSE)</f>
        <v>4</v>
      </c>
      <c r="T31" s="120">
        <f>VLOOKUP($E31,R.VL_DEQResourcesInvolved,3,FALSE)</f>
        <v>80</v>
      </c>
      <c r="U31" s="120">
        <f>IF(S31=10,T31,VLOOKUP($E31,R.VL_DEQResourcesInvolved,4,FALSE))</f>
        <v>170</v>
      </c>
      <c r="V31" s="574" t="s">
        <v>542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26"/>
      <c r="E36" s="727"/>
      <c r="F36" s="727"/>
      <c r="G36" s="727"/>
      <c r="H36" s="727"/>
      <c r="I36" s="727"/>
      <c r="J36" s="727"/>
      <c r="K36" s="727"/>
      <c r="L36" s="727"/>
      <c r="M36" s="727"/>
      <c r="N36" s="727"/>
      <c r="O36" s="727"/>
      <c r="P36" s="728"/>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15</v>
      </c>
      <c r="F37" s="751" t="s">
        <v>16</v>
      </c>
      <c r="G37" s="751"/>
      <c r="H37" s="751"/>
      <c r="I37" s="751"/>
      <c r="J37" s="751"/>
      <c r="K37" s="751"/>
      <c r="L37" s="751"/>
      <c r="M37" s="751"/>
      <c r="N37" s="751"/>
      <c r="O37" s="751"/>
      <c r="P37" s="291" t="s">
        <v>17</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41"/>
      <c r="F42" s="741"/>
      <c r="G42" s="741"/>
      <c r="H42" s="741"/>
      <c r="I42" s="741"/>
      <c r="J42" s="741"/>
      <c r="K42" s="741"/>
      <c r="L42" s="741"/>
      <c r="M42" s="741"/>
      <c r="N42" s="741"/>
      <c r="O42" s="741"/>
      <c r="P42" s="741"/>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128</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50</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21" t="s">
        <v>610</v>
      </c>
      <c r="E45" s="722"/>
      <c r="F45" s="722"/>
      <c r="G45" s="722"/>
      <c r="H45" s="722"/>
      <c r="I45" s="722"/>
      <c r="J45" s="722"/>
      <c r="K45" s="722"/>
      <c r="L45" s="722"/>
      <c r="M45" s="722"/>
      <c r="N45" s="722"/>
      <c r="O45" s="722"/>
      <c r="P45" s="723"/>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57</v>
      </c>
      <c r="E46" s="392" t="s">
        <v>15</v>
      </c>
      <c r="F46" s="735" t="s">
        <v>16</v>
      </c>
      <c r="G46" s="735"/>
      <c r="H46" s="735"/>
      <c r="I46" s="735"/>
      <c r="J46" s="735"/>
      <c r="K46" s="735"/>
      <c r="L46" s="735"/>
      <c r="M46" s="735"/>
      <c r="N46" s="735"/>
      <c r="O46" s="735"/>
      <c r="P46" s="392" t="s">
        <v>17</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611</v>
      </c>
      <c r="E47" s="29" t="s">
        <v>222</v>
      </c>
      <c r="F47" s="70">
        <v>1</v>
      </c>
      <c r="G47" s="71">
        <v>2</v>
      </c>
      <c r="H47" s="72">
        <v>3</v>
      </c>
      <c r="I47" s="73">
        <v>4</v>
      </c>
      <c r="J47" s="74">
        <v>5</v>
      </c>
      <c r="K47" s="75">
        <v>6</v>
      </c>
      <c r="L47" s="76">
        <v>7</v>
      </c>
      <c r="M47" s="77">
        <v>8</v>
      </c>
      <c r="N47" s="78">
        <v>9</v>
      </c>
      <c r="O47" s="79">
        <v>10</v>
      </c>
      <c r="P47" s="31" t="s">
        <v>0</v>
      </c>
      <c r="Q47" s="138"/>
      <c r="R47" s="333"/>
      <c r="S47" s="132">
        <f>VLOOKUP($E47,R.VL_DEQResourcesInvolved,2,FALSE)</f>
        <v>4</v>
      </c>
      <c r="T47" s="120">
        <f>VLOOKUP($E47,R.VL_DEQResourcesInvolved,3,FALSE)</f>
        <v>80</v>
      </c>
      <c r="U47" s="120">
        <f>IF(S47=10,T47,VLOOKUP($E47,R.VL_DEQResourcesInvolved,4,FALSE))</f>
        <v>170</v>
      </c>
      <c r="V47" s="574" t="s">
        <v>542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36"/>
      <c r="E52" s="737"/>
      <c r="F52" s="737"/>
      <c r="G52" s="737"/>
      <c r="H52" s="737"/>
      <c r="I52" s="737"/>
      <c r="J52" s="737"/>
      <c r="K52" s="737"/>
      <c r="L52" s="737"/>
      <c r="M52" s="737"/>
      <c r="N52" s="737"/>
      <c r="O52" s="737"/>
      <c r="P52" s="738"/>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57</v>
      </c>
      <c r="E53" s="291" t="s">
        <v>15</v>
      </c>
      <c r="F53" s="751" t="s">
        <v>16</v>
      </c>
      <c r="G53" s="751"/>
      <c r="H53" s="751"/>
      <c r="I53" s="751"/>
      <c r="J53" s="751"/>
      <c r="K53" s="751"/>
      <c r="L53" s="751"/>
      <c r="M53" s="751"/>
      <c r="N53" s="751"/>
      <c r="O53" s="751"/>
      <c r="P53" s="291" t="s">
        <v>17</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41"/>
      <c r="F58" s="741"/>
      <c r="G58" s="741"/>
      <c r="H58" s="741"/>
      <c r="I58" s="741"/>
      <c r="J58" s="741"/>
      <c r="K58" s="741"/>
      <c r="L58" s="741"/>
      <c r="M58" s="741"/>
      <c r="N58" s="741"/>
      <c r="O58" s="741"/>
      <c r="P58" s="741"/>
      <c r="Q58" s="378"/>
      <c r="R58" s="333"/>
      <c r="S58" s="131"/>
      <c r="T58" s="130"/>
      <c r="U58" s="130"/>
      <c r="V58" s="63"/>
      <c r="W58" s="63"/>
      <c r="X58" s="63"/>
      <c r="Y58" s="63"/>
      <c r="Z58" s="63"/>
      <c r="AA58" s="63"/>
      <c r="AB58" s="63"/>
      <c r="AC58" s="63"/>
      <c r="AD58" s="129"/>
      <c r="AE58" s="129"/>
      <c r="AF58" s="129"/>
      <c r="AG58" s="129"/>
    </row>
    <row r="59" spans="1:33" s="32" customFormat="1" ht="30" customHeight="1">
      <c r="A59" s="349" t="s">
        <v>111</v>
      </c>
      <c r="B59" s="333"/>
      <c r="C59" s="135"/>
      <c r="D59" s="303" t="s">
        <v>129</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50</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53"/>
      <c r="E61" s="754"/>
      <c r="F61" s="754"/>
      <c r="G61" s="754"/>
      <c r="H61" s="754"/>
      <c r="I61" s="754"/>
      <c r="J61" s="754"/>
      <c r="K61" s="754"/>
      <c r="L61" s="754"/>
      <c r="M61" s="754"/>
      <c r="N61" s="754"/>
      <c r="O61" s="754"/>
      <c r="P61" s="755"/>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57</v>
      </c>
      <c r="E62" s="291" t="s">
        <v>15</v>
      </c>
      <c r="F62" s="751" t="s">
        <v>16</v>
      </c>
      <c r="G62" s="751"/>
      <c r="H62" s="751"/>
      <c r="I62" s="751"/>
      <c r="J62" s="751"/>
      <c r="K62" s="751"/>
      <c r="L62" s="751"/>
      <c r="M62" s="751"/>
      <c r="N62" s="751"/>
      <c r="O62" s="751"/>
      <c r="P62" s="291" t="s">
        <v>17</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217</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49</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26"/>
      <c r="E68" s="727"/>
      <c r="F68" s="727"/>
      <c r="G68" s="727"/>
      <c r="H68" s="727"/>
      <c r="I68" s="727"/>
      <c r="J68" s="727"/>
      <c r="K68" s="727"/>
      <c r="L68" s="727"/>
      <c r="M68" s="727"/>
      <c r="N68" s="727"/>
      <c r="O68" s="727"/>
      <c r="P68" s="728"/>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57</v>
      </c>
      <c r="E69" s="291" t="s">
        <v>15</v>
      </c>
      <c r="F69" s="751" t="s">
        <v>16</v>
      </c>
      <c r="G69" s="751"/>
      <c r="H69" s="751"/>
      <c r="I69" s="751"/>
      <c r="J69" s="751"/>
      <c r="K69" s="751"/>
      <c r="L69" s="751"/>
      <c r="M69" s="751"/>
      <c r="N69" s="751"/>
      <c r="O69" s="751"/>
      <c r="P69" s="291" t="s">
        <v>17</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217</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41"/>
      <c r="F74" s="741"/>
      <c r="G74" s="741"/>
      <c r="H74" s="741"/>
      <c r="I74" s="741"/>
      <c r="J74" s="741"/>
      <c r="K74" s="741"/>
      <c r="L74" s="741"/>
      <c r="M74" s="741"/>
      <c r="N74" s="741"/>
      <c r="O74" s="741"/>
      <c r="P74" s="741"/>
      <c r="Q74" s="378"/>
      <c r="R74" s="333"/>
      <c r="S74" s="131"/>
      <c r="T74" s="130"/>
      <c r="U74" s="130"/>
      <c r="V74" s="63"/>
      <c r="W74" s="63"/>
      <c r="X74" s="63"/>
      <c r="Y74" s="63"/>
      <c r="Z74" s="63"/>
      <c r="AA74" s="63"/>
      <c r="AB74" s="63"/>
      <c r="AC74" s="63"/>
      <c r="AD74" s="129"/>
      <c r="AE74" s="129"/>
      <c r="AF74" s="129"/>
      <c r="AG74" s="129"/>
    </row>
    <row r="75" spans="1:33" s="32" customFormat="1" ht="30" customHeight="1">
      <c r="A75" s="349" t="s">
        <v>112</v>
      </c>
      <c r="B75" s="333"/>
      <c r="C75" s="391" t="s">
        <v>0</v>
      </c>
      <c r="D75" s="380" t="s">
        <v>130</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50</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21"/>
      <c r="E77" s="722"/>
      <c r="F77" s="722"/>
      <c r="G77" s="722"/>
      <c r="H77" s="722"/>
      <c r="I77" s="722"/>
      <c r="J77" s="722"/>
      <c r="K77" s="722"/>
      <c r="L77" s="722"/>
      <c r="M77" s="722"/>
      <c r="N77" s="722"/>
      <c r="O77" s="722"/>
      <c r="P77" s="723"/>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57</v>
      </c>
      <c r="E78" s="392" t="s">
        <v>15</v>
      </c>
      <c r="F78" s="735" t="s">
        <v>16</v>
      </c>
      <c r="G78" s="735"/>
      <c r="H78" s="735"/>
      <c r="I78" s="735"/>
      <c r="J78" s="735"/>
      <c r="K78" s="735"/>
      <c r="L78" s="735"/>
      <c r="M78" s="735"/>
      <c r="N78" s="735"/>
      <c r="O78" s="735"/>
      <c r="P78" s="392" t="s">
        <v>17</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217</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4" t="s">
        <v>542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217</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217</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217</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49</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36"/>
      <c r="E84" s="737"/>
      <c r="F84" s="737"/>
      <c r="G84" s="737"/>
      <c r="H84" s="737"/>
      <c r="I84" s="737"/>
      <c r="J84" s="737"/>
      <c r="K84" s="737"/>
      <c r="L84" s="737"/>
      <c r="M84" s="737"/>
      <c r="N84" s="737"/>
      <c r="O84" s="737"/>
      <c r="P84" s="738"/>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57</v>
      </c>
      <c r="E85" s="291" t="s">
        <v>15</v>
      </c>
      <c r="F85" s="751" t="s">
        <v>16</v>
      </c>
      <c r="G85" s="751"/>
      <c r="H85" s="751"/>
      <c r="I85" s="751"/>
      <c r="J85" s="751"/>
      <c r="K85" s="751"/>
      <c r="L85" s="751"/>
      <c r="M85" s="751"/>
      <c r="N85" s="751"/>
      <c r="O85" s="751"/>
      <c r="P85" s="291" t="s">
        <v>17</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217</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4" t="s">
        <v>542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217</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217</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217</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41"/>
      <c r="F90" s="741"/>
      <c r="G90" s="741"/>
      <c r="H90" s="741"/>
      <c r="I90" s="741"/>
      <c r="J90" s="741"/>
      <c r="K90" s="741"/>
      <c r="L90" s="741"/>
      <c r="M90" s="741"/>
      <c r="N90" s="741"/>
      <c r="O90" s="741"/>
      <c r="P90" s="741"/>
      <c r="Q90" s="378"/>
      <c r="R90" s="333"/>
      <c r="S90" s="131"/>
      <c r="T90" s="130"/>
      <c r="U90" s="130"/>
      <c r="V90" s="63"/>
      <c r="W90" s="63"/>
      <c r="X90" s="63"/>
      <c r="Y90" s="63"/>
      <c r="Z90" s="63"/>
      <c r="AA90" s="63"/>
      <c r="AB90" s="63"/>
      <c r="AC90" s="63"/>
      <c r="AD90" s="129"/>
      <c r="AE90" s="129"/>
      <c r="AF90" s="129"/>
      <c r="AG90" s="129"/>
    </row>
    <row r="91" spans="1:33" s="32" customFormat="1" ht="30" customHeight="1">
      <c r="A91" s="349" t="s">
        <v>103</v>
      </c>
      <c r="B91" s="333"/>
      <c r="C91" s="135"/>
      <c r="D91" s="303" t="s">
        <v>149</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50</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21"/>
      <c r="E93" s="722"/>
      <c r="F93" s="722"/>
      <c r="G93" s="722"/>
      <c r="H93" s="722"/>
      <c r="I93" s="722"/>
      <c r="J93" s="722"/>
      <c r="K93" s="722"/>
      <c r="L93" s="722"/>
      <c r="M93" s="722"/>
      <c r="N93" s="722"/>
      <c r="O93" s="722"/>
      <c r="P93" s="723"/>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57</v>
      </c>
      <c r="E94" s="291" t="s">
        <v>15</v>
      </c>
      <c r="F94" s="751" t="s">
        <v>16</v>
      </c>
      <c r="G94" s="751"/>
      <c r="H94" s="751"/>
      <c r="I94" s="751"/>
      <c r="J94" s="751"/>
      <c r="K94" s="751"/>
      <c r="L94" s="751"/>
      <c r="M94" s="751"/>
      <c r="N94" s="751"/>
      <c r="O94" s="751"/>
      <c r="P94" s="291" t="s">
        <v>17</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581</v>
      </c>
      <c r="E95" s="29" t="s">
        <v>217</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4" t="s">
        <v>542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217</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217</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217</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49</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26"/>
      <c r="E100" s="727"/>
      <c r="F100" s="727"/>
      <c r="G100" s="727"/>
      <c r="H100" s="727"/>
      <c r="I100" s="727"/>
      <c r="J100" s="727"/>
      <c r="K100" s="727"/>
      <c r="L100" s="727"/>
      <c r="M100" s="727"/>
      <c r="N100" s="727"/>
      <c r="O100" s="727"/>
      <c r="P100" s="728"/>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57</v>
      </c>
      <c r="E101" s="291" t="s">
        <v>15</v>
      </c>
      <c r="F101" s="751" t="s">
        <v>16</v>
      </c>
      <c r="G101" s="751"/>
      <c r="H101" s="751"/>
      <c r="I101" s="751"/>
      <c r="J101" s="751"/>
      <c r="K101" s="751"/>
      <c r="L101" s="751"/>
      <c r="M101" s="751"/>
      <c r="N101" s="751"/>
      <c r="O101" s="751"/>
      <c r="P101" s="291" t="s">
        <v>17</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217</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4" t="s">
        <v>542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217</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217</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217</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41"/>
      <c r="F106" s="741"/>
      <c r="G106" s="741"/>
      <c r="H106" s="741"/>
      <c r="I106" s="741"/>
      <c r="J106" s="741"/>
      <c r="K106" s="741"/>
      <c r="L106" s="741"/>
      <c r="M106" s="741"/>
      <c r="N106" s="741"/>
      <c r="O106" s="741"/>
      <c r="P106" s="741"/>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41" t="str">
        <f>"Please suggest process improvements to the "&amp;D2&amp;" worksheet."</f>
        <v>Please suggest process improvements to the Intergovernmental worksheet.</v>
      </c>
      <c r="E107" s="641"/>
      <c r="F107" s="641"/>
      <c r="G107" s="641"/>
      <c r="H107" s="641"/>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38"/>
      <c r="E108" s="639"/>
      <c r="F108" s="639"/>
      <c r="G108" s="639"/>
      <c r="H108" s="639"/>
      <c r="I108" s="639"/>
      <c r="J108" s="639"/>
      <c r="K108" s="639"/>
      <c r="L108" s="639"/>
      <c r="M108" s="639"/>
      <c r="N108" s="639"/>
      <c r="O108" s="639"/>
      <c r="P108" s="640"/>
      <c r="Q108" s="147"/>
      <c r="R108" s="333"/>
      <c r="S108" s="131"/>
      <c r="T108" s="130"/>
      <c r="U108" s="130"/>
      <c r="V108" s="63"/>
      <c r="W108" s="63"/>
      <c r="X108" s="63"/>
      <c r="Y108" s="63"/>
      <c r="Z108" s="63"/>
      <c r="AA108" s="63"/>
      <c r="AB108" s="63"/>
      <c r="AC108" s="63"/>
      <c r="AD108" s="65"/>
      <c r="AE108" s="65"/>
      <c r="AF108" s="65"/>
      <c r="AG108" s="65"/>
    </row>
    <row r="109" spans="1:33" ht="18" customHeight="1">
      <c r="A109" s="349" t="s">
        <v>104</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100</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113</v>
      </c>
      <c r="B2" s="333"/>
      <c r="C2" s="151">
        <v>15</v>
      </c>
      <c r="D2" s="245" t="s">
        <v>83</v>
      </c>
      <c r="E2" s="715" t="str">
        <f>R.1MediaAndLongName</f>
        <v>AQ LMP Grants Pass</v>
      </c>
      <c r="F2" s="715"/>
      <c r="G2" s="715"/>
      <c r="H2" s="715"/>
      <c r="I2" s="715"/>
      <c r="J2" s="715"/>
      <c r="K2" s="715"/>
      <c r="L2" s="715"/>
      <c r="M2" s="715"/>
      <c r="N2" s="715"/>
      <c r="O2" s="715"/>
      <c r="P2" s="715"/>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01" t="s">
        <v>54</v>
      </c>
      <c r="N3" s="701"/>
      <c r="O3" s="701"/>
      <c r="P3" s="701"/>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52</v>
      </c>
      <c r="E4" s="80">
        <f>T3</f>
        <v>0</v>
      </c>
      <c r="F4" s="702" t="s">
        <v>51</v>
      </c>
      <c r="G4" s="702"/>
      <c r="H4" s="702"/>
      <c r="I4" s="702"/>
      <c r="J4" s="702"/>
      <c r="K4" s="702"/>
      <c r="L4" s="702"/>
      <c r="M4" s="703" t="str">
        <f>T4</f>
        <v>0</v>
      </c>
      <c r="N4" s="703"/>
      <c r="O4" s="703"/>
      <c r="P4" s="703"/>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64</v>
      </c>
      <c r="E5" s="97">
        <f>R.AvgHrDEQCost</f>
        <v>58</v>
      </c>
      <c r="F5" s="702" t="s">
        <v>55</v>
      </c>
      <c r="G5" s="702"/>
      <c r="H5" s="702"/>
      <c r="I5" s="702"/>
      <c r="J5" s="702"/>
      <c r="K5" s="702"/>
      <c r="L5" s="702"/>
      <c r="M5" s="704" t="str">
        <f>T5</f>
        <v>$0</v>
      </c>
      <c r="N5" s="704"/>
      <c r="O5" s="704"/>
      <c r="P5" s="704"/>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26</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96"/>
      <c r="E7" s="697"/>
      <c r="F7" s="697"/>
      <c r="G7" s="697"/>
      <c r="H7" s="697"/>
      <c r="I7" s="697"/>
      <c r="J7" s="697"/>
      <c r="K7" s="697"/>
      <c r="L7" s="697"/>
      <c r="M7" s="697"/>
      <c r="N7" s="697"/>
      <c r="O7" s="697"/>
      <c r="P7" s="698"/>
      <c r="Q7" s="157"/>
      <c r="R7" s="333"/>
      <c r="S7" s="124"/>
      <c r="T7" s="714" t="s">
        <v>0</v>
      </c>
      <c r="U7" s="714"/>
      <c r="V7" s="714"/>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229</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50</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21"/>
      <c r="E11" s="722"/>
      <c r="F11" s="722"/>
      <c r="G11" s="722"/>
      <c r="H11" s="722"/>
      <c r="I11" s="722"/>
      <c r="J11" s="722"/>
      <c r="K11" s="722"/>
      <c r="L11" s="722"/>
      <c r="M11" s="722"/>
      <c r="N11" s="722"/>
      <c r="O11" s="722"/>
      <c r="P11" s="723"/>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57</v>
      </c>
      <c r="E12" s="392" t="s">
        <v>15</v>
      </c>
      <c r="F12" s="735" t="s">
        <v>16</v>
      </c>
      <c r="G12" s="735"/>
      <c r="H12" s="735"/>
      <c r="I12" s="735"/>
      <c r="J12" s="735"/>
      <c r="K12" s="735"/>
      <c r="L12" s="735"/>
      <c r="M12" s="735"/>
      <c r="N12" s="735"/>
      <c r="O12" s="735"/>
      <c r="P12" s="392" t="s">
        <v>17</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217</v>
      </c>
      <c r="F13" s="70">
        <v>1</v>
      </c>
      <c r="G13" s="71">
        <v>2</v>
      </c>
      <c r="H13" s="72">
        <v>3</v>
      </c>
      <c r="I13" s="73">
        <v>4</v>
      </c>
      <c r="J13" s="74">
        <v>5</v>
      </c>
      <c r="K13" s="75">
        <v>6</v>
      </c>
      <c r="L13" s="76">
        <v>7</v>
      </c>
      <c r="M13" s="77">
        <v>8</v>
      </c>
      <c r="N13" s="78">
        <v>9</v>
      </c>
      <c r="O13" s="79">
        <v>10</v>
      </c>
      <c r="P13" s="31"/>
      <c r="Q13" s="138"/>
      <c r="R13" s="333"/>
      <c r="S13" s="574" t="s">
        <v>542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217</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217</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49</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36"/>
      <c r="E18" s="737"/>
      <c r="F18" s="737"/>
      <c r="G18" s="737"/>
      <c r="H18" s="737"/>
      <c r="I18" s="737"/>
      <c r="J18" s="737"/>
      <c r="K18" s="737"/>
      <c r="L18" s="737"/>
      <c r="M18" s="737"/>
      <c r="N18" s="737"/>
      <c r="O18" s="737"/>
      <c r="P18" s="738"/>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57</v>
      </c>
      <c r="E19" s="291" t="s">
        <v>15</v>
      </c>
      <c r="F19" s="751" t="s">
        <v>16</v>
      </c>
      <c r="G19" s="751"/>
      <c r="H19" s="751"/>
      <c r="I19" s="751"/>
      <c r="J19" s="751"/>
      <c r="K19" s="751"/>
      <c r="L19" s="751"/>
      <c r="M19" s="751"/>
      <c r="N19" s="751"/>
      <c r="O19" s="751"/>
      <c r="P19" s="291" t="s">
        <v>17</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217</v>
      </c>
      <c r="F20" s="70">
        <v>1</v>
      </c>
      <c r="G20" s="71">
        <v>2</v>
      </c>
      <c r="H20" s="72">
        <v>3</v>
      </c>
      <c r="I20" s="73">
        <v>4</v>
      </c>
      <c r="J20" s="74">
        <v>5</v>
      </c>
      <c r="K20" s="75">
        <v>6</v>
      </c>
      <c r="L20" s="76">
        <v>7</v>
      </c>
      <c r="M20" s="77">
        <v>8</v>
      </c>
      <c r="N20" s="78">
        <v>9</v>
      </c>
      <c r="O20" s="79">
        <v>10</v>
      </c>
      <c r="P20" s="31" t="s">
        <v>0</v>
      </c>
      <c r="Q20" s="138"/>
      <c r="R20" s="333"/>
      <c r="S20" s="574" t="s">
        <v>542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217</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41"/>
      <c r="F24" s="741"/>
      <c r="G24" s="741"/>
      <c r="H24" s="741"/>
      <c r="I24" s="741"/>
      <c r="J24" s="741"/>
      <c r="K24" s="741"/>
      <c r="L24" s="741"/>
      <c r="M24" s="741"/>
      <c r="N24" s="741"/>
      <c r="O24" s="741"/>
      <c r="P24" s="741"/>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230</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50</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21"/>
      <c r="E27" s="722"/>
      <c r="F27" s="722"/>
      <c r="G27" s="722"/>
      <c r="H27" s="722"/>
      <c r="I27" s="722"/>
      <c r="J27" s="722"/>
      <c r="K27" s="722"/>
      <c r="L27" s="722"/>
      <c r="M27" s="722"/>
      <c r="N27" s="722"/>
      <c r="O27" s="722"/>
      <c r="P27" s="723"/>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57</v>
      </c>
      <c r="E28" s="158" t="s">
        <v>15</v>
      </c>
      <c r="F28" s="751" t="s">
        <v>16</v>
      </c>
      <c r="G28" s="751"/>
      <c r="H28" s="751"/>
      <c r="I28" s="751"/>
      <c r="J28" s="751"/>
      <c r="K28" s="751"/>
      <c r="L28" s="751"/>
      <c r="M28" s="751"/>
      <c r="N28" s="751"/>
      <c r="O28" s="751"/>
      <c r="P28" s="158" t="s">
        <v>17</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217</v>
      </c>
      <c r="F29" s="70">
        <v>1</v>
      </c>
      <c r="G29" s="71">
        <v>2</v>
      </c>
      <c r="H29" s="72">
        <v>3</v>
      </c>
      <c r="I29" s="73">
        <v>4</v>
      </c>
      <c r="J29" s="74">
        <v>5</v>
      </c>
      <c r="K29" s="75">
        <v>6</v>
      </c>
      <c r="L29" s="76">
        <v>7</v>
      </c>
      <c r="M29" s="77">
        <v>8</v>
      </c>
      <c r="N29" s="78">
        <v>9</v>
      </c>
      <c r="O29" s="79">
        <v>10</v>
      </c>
      <c r="P29" s="31"/>
      <c r="Q29" s="138"/>
      <c r="R29" s="333"/>
      <c r="S29" s="574" t="s">
        <v>542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217</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49</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26"/>
      <c r="E34" s="727"/>
      <c r="F34" s="727"/>
      <c r="G34" s="727"/>
      <c r="H34" s="727"/>
      <c r="I34" s="727"/>
      <c r="J34" s="727"/>
      <c r="K34" s="727"/>
      <c r="L34" s="727"/>
      <c r="M34" s="727"/>
      <c r="N34" s="727"/>
      <c r="O34" s="727"/>
      <c r="P34" s="728"/>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57</v>
      </c>
      <c r="E35" s="158" t="s">
        <v>15</v>
      </c>
      <c r="F35" s="751" t="s">
        <v>16</v>
      </c>
      <c r="G35" s="751"/>
      <c r="H35" s="751"/>
      <c r="I35" s="751"/>
      <c r="J35" s="751"/>
      <c r="K35" s="751"/>
      <c r="L35" s="751"/>
      <c r="M35" s="751"/>
      <c r="N35" s="751"/>
      <c r="O35" s="751"/>
      <c r="P35" s="158" t="s">
        <v>17</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217</v>
      </c>
      <c r="F36" s="70">
        <v>1</v>
      </c>
      <c r="G36" s="71">
        <v>2</v>
      </c>
      <c r="H36" s="72">
        <v>3</v>
      </c>
      <c r="I36" s="73">
        <v>4</v>
      </c>
      <c r="J36" s="74">
        <v>5</v>
      </c>
      <c r="K36" s="75">
        <v>6</v>
      </c>
      <c r="L36" s="76">
        <v>7</v>
      </c>
      <c r="M36" s="77">
        <v>8</v>
      </c>
      <c r="N36" s="78">
        <v>9</v>
      </c>
      <c r="O36" s="79">
        <v>10</v>
      </c>
      <c r="P36" s="31"/>
      <c r="Q36" s="138"/>
      <c r="R36" s="333"/>
      <c r="S36" s="574" t="s">
        <v>542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41"/>
      <c r="F40" s="741"/>
      <c r="G40" s="741"/>
      <c r="H40" s="741"/>
      <c r="I40" s="741"/>
      <c r="J40" s="741"/>
      <c r="K40" s="741"/>
      <c r="L40" s="741"/>
      <c r="M40" s="741"/>
      <c r="N40" s="741"/>
      <c r="O40" s="741"/>
      <c r="P40" s="741"/>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231</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50</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21"/>
      <c r="E43" s="722"/>
      <c r="F43" s="722"/>
      <c r="G43" s="722"/>
      <c r="H43" s="722"/>
      <c r="I43" s="722"/>
      <c r="J43" s="722"/>
      <c r="K43" s="722"/>
      <c r="L43" s="722"/>
      <c r="M43" s="722"/>
      <c r="N43" s="722"/>
      <c r="O43" s="722"/>
      <c r="P43" s="723"/>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57</v>
      </c>
      <c r="E44" s="392" t="s">
        <v>15</v>
      </c>
      <c r="F44" s="735" t="s">
        <v>16</v>
      </c>
      <c r="G44" s="735"/>
      <c r="H44" s="735"/>
      <c r="I44" s="735"/>
      <c r="J44" s="735"/>
      <c r="K44" s="735"/>
      <c r="L44" s="735"/>
      <c r="M44" s="735"/>
      <c r="N44" s="735"/>
      <c r="O44" s="735"/>
      <c r="P44" s="392" t="s">
        <v>17</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574" t="s">
        <v>542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49</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36"/>
      <c r="E50" s="737"/>
      <c r="F50" s="737"/>
      <c r="G50" s="737"/>
      <c r="H50" s="737"/>
      <c r="I50" s="737"/>
      <c r="J50" s="737"/>
      <c r="K50" s="737"/>
      <c r="L50" s="737"/>
      <c r="M50" s="737"/>
      <c r="N50" s="737"/>
      <c r="O50" s="737"/>
      <c r="P50" s="738"/>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57</v>
      </c>
      <c r="E51" s="291" t="s">
        <v>15</v>
      </c>
      <c r="F51" s="751" t="s">
        <v>16</v>
      </c>
      <c r="G51" s="751"/>
      <c r="H51" s="751"/>
      <c r="I51" s="751"/>
      <c r="J51" s="751"/>
      <c r="K51" s="751"/>
      <c r="L51" s="751"/>
      <c r="M51" s="751"/>
      <c r="N51" s="751"/>
      <c r="O51" s="751"/>
      <c r="P51" s="291" t="s">
        <v>17</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574" t="s">
        <v>542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41"/>
      <c r="F56" s="741"/>
      <c r="G56" s="741"/>
      <c r="H56" s="741"/>
      <c r="I56" s="741"/>
      <c r="J56" s="741"/>
      <c r="K56" s="741"/>
      <c r="L56" s="741"/>
      <c r="M56" s="741"/>
      <c r="N56" s="741"/>
      <c r="O56" s="741"/>
      <c r="P56" s="741"/>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232</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50</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21"/>
      <c r="E59" s="722"/>
      <c r="F59" s="722"/>
      <c r="G59" s="722"/>
      <c r="H59" s="722"/>
      <c r="I59" s="722"/>
      <c r="J59" s="722"/>
      <c r="K59" s="722"/>
      <c r="L59" s="722"/>
      <c r="M59" s="722"/>
      <c r="N59" s="722"/>
      <c r="O59" s="722"/>
      <c r="P59" s="723"/>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57</v>
      </c>
      <c r="E60" s="291" t="s">
        <v>15</v>
      </c>
      <c r="F60" s="751" t="s">
        <v>16</v>
      </c>
      <c r="G60" s="751"/>
      <c r="H60" s="751"/>
      <c r="I60" s="751"/>
      <c r="J60" s="751"/>
      <c r="K60" s="751"/>
      <c r="L60" s="751"/>
      <c r="M60" s="751"/>
      <c r="N60" s="751"/>
      <c r="O60" s="751"/>
      <c r="P60" s="291" t="s">
        <v>17</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217</v>
      </c>
      <c r="F61" s="70">
        <v>1</v>
      </c>
      <c r="G61" s="71">
        <v>2</v>
      </c>
      <c r="H61" s="72">
        <v>3</v>
      </c>
      <c r="I61" s="73">
        <v>4</v>
      </c>
      <c r="J61" s="74">
        <v>5</v>
      </c>
      <c r="K61" s="75">
        <v>6</v>
      </c>
      <c r="L61" s="76">
        <v>7</v>
      </c>
      <c r="M61" s="77">
        <v>8</v>
      </c>
      <c r="N61" s="78">
        <v>9</v>
      </c>
      <c r="O61" s="79">
        <v>10</v>
      </c>
      <c r="P61" s="31"/>
      <c r="Q61" s="138"/>
      <c r="R61" s="333"/>
      <c r="S61" s="574" t="s">
        <v>542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217</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217</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49</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26"/>
      <c r="E66" s="727"/>
      <c r="F66" s="727"/>
      <c r="G66" s="727"/>
      <c r="H66" s="727"/>
      <c r="I66" s="727"/>
      <c r="J66" s="727"/>
      <c r="K66" s="727"/>
      <c r="L66" s="727"/>
      <c r="M66" s="727"/>
      <c r="N66" s="727"/>
      <c r="O66" s="727"/>
      <c r="P66" s="728"/>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57</v>
      </c>
      <c r="E67" s="291" t="s">
        <v>15</v>
      </c>
      <c r="F67" s="751" t="s">
        <v>16</v>
      </c>
      <c r="G67" s="751"/>
      <c r="H67" s="751"/>
      <c r="I67" s="751"/>
      <c r="J67" s="751"/>
      <c r="K67" s="751"/>
      <c r="L67" s="751"/>
      <c r="M67" s="751"/>
      <c r="N67" s="751"/>
      <c r="O67" s="751"/>
      <c r="P67" s="291" t="s">
        <v>17</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217</v>
      </c>
      <c r="F68" s="70">
        <v>1</v>
      </c>
      <c r="G68" s="71">
        <v>2</v>
      </c>
      <c r="H68" s="72">
        <v>3</v>
      </c>
      <c r="I68" s="73">
        <v>4</v>
      </c>
      <c r="J68" s="74">
        <v>5</v>
      </c>
      <c r="K68" s="75">
        <v>6</v>
      </c>
      <c r="L68" s="76">
        <v>7</v>
      </c>
      <c r="M68" s="77">
        <v>8</v>
      </c>
      <c r="N68" s="78">
        <v>9</v>
      </c>
      <c r="O68" s="79">
        <v>10</v>
      </c>
      <c r="P68" s="31" t="s">
        <v>0</v>
      </c>
      <c r="Q68" s="138"/>
      <c r="R68" s="333"/>
      <c r="S68" s="574" t="s">
        <v>542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217</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41"/>
      <c r="F72" s="741"/>
      <c r="G72" s="741"/>
      <c r="H72" s="741"/>
      <c r="I72" s="741"/>
      <c r="J72" s="741"/>
      <c r="K72" s="741"/>
      <c r="L72" s="741"/>
      <c r="M72" s="741"/>
      <c r="N72" s="741"/>
      <c r="O72" s="741"/>
      <c r="P72" s="741"/>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41" t="str">
        <f>"Please suggest process improvements to the "&amp;D2&amp;" worksheet."</f>
        <v>Please suggest process improvements to the Custom Participants worksheet.</v>
      </c>
      <c r="E73" s="641"/>
      <c r="F73" s="641"/>
      <c r="G73" s="641"/>
      <c r="H73" s="641"/>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38"/>
      <c r="E74" s="639"/>
      <c r="F74" s="639"/>
      <c r="G74" s="639"/>
      <c r="H74" s="639"/>
      <c r="I74" s="639"/>
      <c r="J74" s="639"/>
      <c r="K74" s="639"/>
      <c r="L74" s="639"/>
      <c r="M74" s="639"/>
      <c r="N74" s="639"/>
      <c r="O74" s="639"/>
      <c r="P74" s="640"/>
      <c r="Q74" s="147"/>
      <c r="R74" s="333"/>
      <c r="S74" s="65"/>
      <c r="T74" s="131"/>
      <c r="U74" s="130"/>
      <c r="V74" s="130"/>
      <c r="W74" s="63"/>
      <c r="X74" s="63"/>
      <c r="Y74" s="63"/>
      <c r="Z74" s="63"/>
      <c r="AA74" s="63"/>
      <c r="AB74" s="63"/>
      <c r="AC74" s="63"/>
      <c r="AD74" s="63"/>
      <c r="AE74" s="65"/>
      <c r="AF74" s="65"/>
      <c r="AG74" s="65"/>
      <c r="AH74" s="65"/>
    </row>
    <row r="75" spans="1:34" ht="18" customHeight="1">
      <c r="A75" s="349" t="s">
        <v>104</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8" customWidth="1"/>
    <col min="2" max="2" width="9.375" style="36"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04" t="s">
        <v>312</v>
      </c>
      <c r="B1" s="604"/>
      <c r="C1" s="604"/>
      <c r="D1" s="604"/>
      <c r="E1" s="604"/>
      <c r="F1" s="604"/>
      <c r="G1" s="604"/>
      <c r="H1" s="563"/>
      <c r="I1" s="563"/>
      <c r="J1" s="605" t="s">
        <v>313</v>
      </c>
      <c r="K1" s="605"/>
      <c r="L1" s="605"/>
      <c r="M1" s="605"/>
      <c r="N1" s="605"/>
      <c r="O1" s="605"/>
      <c r="P1" s="605"/>
      <c r="Q1" s="605"/>
      <c r="R1" s="605"/>
      <c r="S1" s="605"/>
      <c r="T1" s="605"/>
      <c r="U1" s="605"/>
      <c r="V1" s="605"/>
      <c r="W1" s="605"/>
      <c r="X1" s="605"/>
      <c r="Y1" s="605"/>
      <c r="Z1" s="605"/>
      <c r="AA1" s="605"/>
      <c r="AB1" s="605"/>
      <c r="AC1" s="605"/>
      <c r="AD1" s="605"/>
      <c r="AE1" s="605"/>
      <c r="AF1" s="564"/>
      <c r="AG1" s="564"/>
      <c r="AH1" s="564"/>
      <c r="AI1" s="564"/>
    </row>
    <row r="2" spans="1:35">
      <c r="A2" s="565" t="s">
        <v>314</v>
      </c>
      <c r="B2" s="542" t="s">
        <v>315</v>
      </c>
      <c r="C2" s="566" t="s">
        <v>316</v>
      </c>
      <c r="D2" s="443" t="s">
        <v>201</v>
      </c>
      <c r="E2" s="443" t="s">
        <v>242</v>
      </c>
      <c r="F2" s="542" t="s">
        <v>317</v>
      </c>
      <c r="G2" s="567" t="s">
        <v>318</v>
      </c>
      <c r="H2" s="567" t="s">
        <v>319</v>
      </c>
      <c r="I2" s="567" t="s">
        <v>454</v>
      </c>
      <c r="J2" s="566" t="s">
        <v>320</v>
      </c>
      <c r="K2" s="443" t="s">
        <v>321</v>
      </c>
      <c r="L2" s="443" t="s">
        <v>322</v>
      </c>
      <c r="M2" s="542" t="s">
        <v>323</v>
      </c>
      <c r="N2" s="542" t="s">
        <v>324</v>
      </c>
      <c r="O2" s="542" t="s">
        <v>325</v>
      </c>
      <c r="P2" s="542" t="s">
        <v>326</v>
      </c>
      <c r="Q2" s="542" t="s">
        <v>327</v>
      </c>
      <c r="R2" s="542" t="s">
        <v>328</v>
      </c>
      <c r="S2" s="542" t="s">
        <v>329</v>
      </c>
      <c r="T2" s="542" t="s">
        <v>330</v>
      </c>
      <c r="U2" s="542" t="s">
        <v>331</v>
      </c>
      <c r="V2" s="542" t="s">
        <v>332</v>
      </c>
      <c r="W2" s="542" t="s">
        <v>333</v>
      </c>
      <c r="X2" s="542" t="s">
        <v>334</v>
      </c>
      <c r="Y2" s="542" t="s">
        <v>335</v>
      </c>
      <c r="Z2" s="542" t="s">
        <v>336</v>
      </c>
      <c r="AA2" s="542" t="s">
        <v>337</v>
      </c>
      <c r="AB2" s="542" t="s">
        <v>338</v>
      </c>
      <c r="AC2" s="542" t="s">
        <v>339</v>
      </c>
      <c r="AD2" s="542" t="s">
        <v>340</v>
      </c>
      <c r="AE2" s="542" t="s">
        <v>341</v>
      </c>
      <c r="AF2" s="542" t="s">
        <v>342</v>
      </c>
      <c r="AG2" s="542" t="s">
        <v>343</v>
      </c>
      <c r="AH2" s="542" t="s">
        <v>344</v>
      </c>
      <c r="AI2" s="542" t="s">
        <v>345</v>
      </c>
    </row>
    <row r="3" spans="1:35" ht="28.5" hidden="1">
      <c r="A3" s="568">
        <v>1</v>
      </c>
      <c r="B3" s="36">
        <v>1</v>
      </c>
      <c r="C3" s="569">
        <v>41144</v>
      </c>
      <c r="D3" s="559" t="s">
        <v>346</v>
      </c>
      <c r="E3" s="577" t="s">
        <v>352</v>
      </c>
      <c r="F3" s="498" t="s">
        <v>347</v>
      </c>
      <c r="G3" s="570" t="s">
        <v>348</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8">
        <v>1</v>
      </c>
      <c r="B4" s="36">
        <v>2</v>
      </c>
      <c r="C4" s="569">
        <v>41144</v>
      </c>
      <c r="D4" s="559" t="s">
        <v>346</v>
      </c>
      <c r="E4" s="559" t="s">
        <v>352</v>
      </c>
      <c r="F4" s="498" t="s">
        <v>349</v>
      </c>
      <c r="G4" s="570" t="s">
        <v>350</v>
      </c>
      <c r="H4" s="570" t="s">
        <v>351</v>
      </c>
      <c r="I4" s="570" t="str">
        <f>Table1[[#This Row],[Staff]]</f>
        <v>Nicole</v>
      </c>
      <c r="J4" s="569">
        <f>Table1[[#This Row],[Date]]</f>
        <v>41144</v>
      </c>
      <c r="K4" s="525"/>
      <c r="L4" s="525"/>
    </row>
    <row r="5" spans="1:35" hidden="1">
      <c r="A5" s="568">
        <v>1</v>
      </c>
      <c r="B5" s="36">
        <v>3</v>
      </c>
      <c r="C5" s="569">
        <v>41144</v>
      </c>
      <c r="D5" s="559" t="s">
        <v>346</v>
      </c>
      <c r="E5" s="559" t="s">
        <v>353</v>
      </c>
      <c r="F5" s="498" t="s">
        <v>354</v>
      </c>
      <c r="G5" s="570" t="s">
        <v>355</v>
      </c>
      <c r="H5" s="570" t="s">
        <v>356</v>
      </c>
      <c r="I5" s="570" t="str">
        <f>Table1[[#This Row],[Staff]]</f>
        <v>Nicole</v>
      </c>
      <c r="J5" s="569">
        <f>Table1[[#This Row],[Date]]</f>
        <v>41144</v>
      </c>
      <c r="K5" s="525"/>
      <c r="L5" s="525"/>
    </row>
    <row r="6" spans="1:35" ht="28.5" hidden="1">
      <c r="A6" s="568">
        <v>1</v>
      </c>
      <c r="B6" s="36">
        <v>4</v>
      </c>
      <c r="C6" s="569">
        <v>41144</v>
      </c>
      <c r="D6" s="559" t="s">
        <v>346</v>
      </c>
      <c r="E6" s="559" t="s">
        <v>353</v>
      </c>
      <c r="F6" s="498" t="s">
        <v>357</v>
      </c>
      <c r="G6" s="570" t="s">
        <v>358</v>
      </c>
      <c r="H6" s="570" t="s">
        <v>359</v>
      </c>
      <c r="I6" s="570" t="str">
        <f>Table1[[#This Row],[Staff]]</f>
        <v>Nicole</v>
      </c>
      <c r="J6" s="569">
        <f>Table1[[#This Row],[Date]]</f>
        <v>41144</v>
      </c>
      <c r="K6" s="525"/>
      <c r="L6" s="525"/>
    </row>
    <row r="7" spans="1:35" hidden="1">
      <c r="A7" s="568">
        <v>1</v>
      </c>
      <c r="B7" s="36">
        <v>5</v>
      </c>
      <c r="C7" s="569">
        <v>41144</v>
      </c>
      <c r="D7" s="559" t="s">
        <v>346</v>
      </c>
      <c r="E7" s="559" t="s">
        <v>153</v>
      </c>
      <c r="F7" s="498" t="s">
        <v>354</v>
      </c>
      <c r="G7" s="570" t="s">
        <v>355</v>
      </c>
      <c r="H7" s="570" t="s">
        <v>368</v>
      </c>
      <c r="I7" s="570" t="str">
        <f>Table1[[#This Row],[Staff]]</f>
        <v>Nicole</v>
      </c>
      <c r="J7" s="569">
        <f>Table1[[#This Row],[Date]]</f>
        <v>41144</v>
      </c>
      <c r="K7" s="525"/>
      <c r="L7" s="525"/>
    </row>
    <row r="8" spans="1:35" hidden="1">
      <c r="A8" s="568">
        <v>1</v>
      </c>
      <c r="B8" s="36">
        <v>6</v>
      </c>
      <c r="C8" s="569">
        <v>41144</v>
      </c>
      <c r="D8" s="559" t="s">
        <v>346</v>
      </c>
      <c r="E8" s="559" t="s">
        <v>153</v>
      </c>
      <c r="F8" s="498" t="s">
        <v>360</v>
      </c>
      <c r="G8" s="570" t="s">
        <v>364</v>
      </c>
      <c r="H8" s="570" t="s">
        <v>361</v>
      </c>
      <c r="I8" s="570" t="str">
        <f>Table1[[#This Row],[Staff]]</f>
        <v>Nicole</v>
      </c>
      <c r="J8" s="569">
        <f>Table1[[#This Row],[Date]]</f>
        <v>41144</v>
      </c>
      <c r="K8" s="525"/>
      <c r="L8" s="525"/>
    </row>
    <row r="9" spans="1:35" hidden="1">
      <c r="A9" s="568">
        <v>1</v>
      </c>
      <c r="B9" s="36">
        <v>7</v>
      </c>
      <c r="C9" s="569">
        <v>41144</v>
      </c>
      <c r="D9" s="559" t="s">
        <v>346</v>
      </c>
      <c r="E9" s="559" t="s">
        <v>362</v>
      </c>
      <c r="F9" s="498" t="s">
        <v>354</v>
      </c>
      <c r="G9" s="570" t="s">
        <v>355</v>
      </c>
      <c r="H9" s="570" t="s">
        <v>368</v>
      </c>
      <c r="I9" s="570" t="str">
        <f>Table1[[#This Row],[Staff]]</f>
        <v>Nicole</v>
      </c>
      <c r="J9" s="569">
        <f>Table1[[#This Row],[Date]]</f>
        <v>41144</v>
      </c>
      <c r="K9" s="525"/>
      <c r="L9" s="525"/>
    </row>
    <row r="10" spans="1:35" hidden="1">
      <c r="A10" s="568">
        <v>1</v>
      </c>
      <c r="B10" s="36">
        <v>8</v>
      </c>
      <c r="C10" s="569">
        <v>41144</v>
      </c>
      <c r="D10" s="559" t="s">
        <v>346</v>
      </c>
      <c r="E10" s="559" t="s">
        <v>6</v>
      </c>
      <c r="F10" s="498" t="s">
        <v>354</v>
      </c>
      <c r="G10" s="570" t="s">
        <v>355</v>
      </c>
      <c r="H10" s="570" t="s">
        <v>368</v>
      </c>
      <c r="I10" s="570" t="str">
        <f>Table1[[#This Row],[Staff]]</f>
        <v>Nicole</v>
      </c>
      <c r="J10" s="569">
        <f>Table1[[#This Row],[Date]]</f>
        <v>41144</v>
      </c>
      <c r="K10" s="525"/>
      <c r="L10" s="525"/>
    </row>
    <row r="11" spans="1:35" hidden="1">
      <c r="A11" s="568">
        <v>1</v>
      </c>
      <c r="B11" s="36">
        <v>9</v>
      </c>
      <c r="C11" s="569">
        <v>41144</v>
      </c>
      <c r="D11" s="559" t="s">
        <v>346</v>
      </c>
      <c r="E11" s="559" t="s">
        <v>6</v>
      </c>
      <c r="F11" s="498" t="s">
        <v>366</v>
      </c>
      <c r="G11" s="570" t="s">
        <v>364</v>
      </c>
      <c r="H11" s="570" t="s">
        <v>367</v>
      </c>
      <c r="I11" s="570" t="str">
        <f>Table1[[#This Row],[Staff]]</f>
        <v>Nicole</v>
      </c>
      <c r="J11" s="569">
        <f>Table1[[#This Row],[Date]]</f>
        <v>41144</v>
      </c>
      <c r="K11" s="525"/>
      <c r="L11" s="525"/>
    </row>
    <row r="12" spans="1:35" hidden="1">
      <c r="A12" s="568">
        <v>1</v>
      </c>
      <c r="B12" s="36">
        <v>10</v>
      </c>
      <c r="C12" s="569">
        <v>41144</v>
      </c>
      <c r="D12" s="559" t="s">
        <v>346</v>
      </c>
      <c r="E12" s="559" t="s">
        <v>362</v>
      </c>
      <c r="F12" s="498" t="s">
        <v>363</v>
      </c>
      <c r="G12" s="570" t="s">
        <v>364</v>
      </c>
      <c r="H12" s="570" t="s">
        <v>365</v>
      </c>
      <c r="I12" s="570" t="str">
        <f>Table1[[#This Row],[Staff]]</f>
        <v>Nicole</v>
      </c>
      <c r="J12" s="569">
        <f>Table1[[#This Row],[Date]]</f>
        <v>41144</v>
      </c>
      <c r="K12" s="525"/>
      <c r="L12" s="525"/>
    </row>
    <row r="13" spans="1:35" hidden="1">
      <c r="A13" s="568">
        <v>1</v>
      </c>
      <c r="B13" s="36">
        <v>11</v>
      </c>
      <c r="C13" s="569">
        <v>41144</v>
      </c>
      <c r="D13" s="559" t="s">
        <v>346</v>
      </c>
      <c r="E13" s="559" t="s">
        <v>369</v>
      </c>
      <c r="F13" s="498" t="s">
        <v>354</v>
      </c>
      <c r="G13" s="570" t="s">
        <v>355</v>
      </c>
      <c r="H13" s="570" t="s">
        <v>368</v>
      </c>
      <c r="I13" s="570" t="str">
        <f>Table1[[#This Row],[Staff]]</f>
        <v>Nicole</v>
      </c>
      <c r="J13" s="569">
        <f>Table1[[#This Row],[Date]]</f>
        <v>41144</v>
      </c>
      <c r="K13" s="525"/>
      <c r="L13" s="525"/>
    </row>
    <row r="14" spans="1:35" hidden="1">
      <c r="A14" s="568">
        <v>1</v>
      </c>
      <c r="B14" s="36">
        <v>12</v>
      </c>
      <c r="C14" s="569">
        <v>41144</v>
      </c>
      <c r="D14" s="559" t="s">
        <v>346</v>
      </c>
      <c r="E14" s="559" t="s">
        <v>369</v>
      </c>
      <c r="F14" s="498" t="s">
        <v>370</v>
      </c>
      <c r="G14" s="570" t="s">
        <v>364</v>
      </c>
      <c r="H14" s="570" t="s">
        <v>371</v>
      </c>
      <c r="I14" s="570" t="str">
        <f>Table1[[#This Row],[Staff]]</f>
        <v>Nicole</v>
      </c>
      <c r="J14" s="569">
        <f>Table1[[#This Row],[Date]]</f>
        <v>41144</v>
      </c>
      <c r="K14" s="525"/>
      <c r="L14" s="525"/>
    </row>
    <row r="15" spans="1:35" hidden="1">
      <c r="A15" s="568">
        <v>1</v>
      </c>
      <c r="B15" s="36">
        <v>13</v>
      </c>
      <c r="C15" s="569">
        <v>41144</v>
      </c>
      <c r="D15" s="559" t="s">
        <v>346</v>
      </c>
      <c r="E15" s="559" t="s">
        <v>372</v>
      </c>
      <c r="F15" s="498" t="s">
        <v>354</v>
      </c>
      <c r="G15" s="570" t="s">
        <v>355</v>
      </c>
      <c r="H15" s="570" t="s">
        <v>368</v>
      </c>
      <c r="I15" s="570" t="str">
        <f>Table1[[#This Row],[Staff]]</f>
        <v>Nicole</v>
      </c>
      <c r="J15" s="569">
        <f>Table1[[#This Row],[Date]]</f>
        <v>41144</v>
      </c>
      <c r="K15" s="525"/>
      <c r="L15" s="525"/>
    </row>
    <row r="16" spans="1:35" hidden="1">
      <c r="A16" s="568">
        <v>1</v>
      </c>
      <c r="B16" s="36">
        <v>14</v>
      </c>
      <c r="C16" s="569">
        <v>41144</v>
      </c>
      <c r="D16" s="559" t="s">
        <v>346</v>
      </c>
      <c r="E16" s="559" t="s">
        <v>372</v>
      </c>
      <c r="F16" s="498" t="s">
        <v>373</v>
      </c>
      <c r="G16" s="570" t="s">
        <v>364</v>
      </c>
      <c r="H16" s="570" t="s">
        <v>374</v>
      </c>
      <c r="I16" s="570" t="str">
        <f>Table1[[#This Row],[Staff]]</f>
        <v>Nicole</v>
      </c>
      <c r="J16" s="569">
        <f>Table1[[#This Row],[Date]]</f>
        <v>41144</v>
      </c>
      <c r="K16" s="525"/>
      <c r="L16" s="525"/>
    </row>
    <row r="17" spans="1:12" hidden="1">
      <c r="A17" s="568">
        <v>1</v>
      </c>
      <c r="B17" s="36">
        <v>15</v>
      </c>
      <c r="C17" s="569">
        <v>41144</v>
      </c>
      <c r="D17" s="559" t="s">
        <v>346</v>
      </c>
      <c r="E17" s="559" t="s">
        <v>58</v>
      </c>
      <c r="F17" s="498" t="s">
        <v>354</v>
      </c>
      <c r="G17" s="570" t="s">
        <v>355</v>
      </c>
      <c r="H17" s="570" t="s">
        <v>368</v>
      </c>
      <c r="I17" s="570" t="str">
        <f>Table1[[#This Row],[Staff]]</f>
        <v>Nicole</v>
      </c>
      <c r="J17" s="569">
        <f>Table1[[#This Row],[Date]]</f>
        <v>41144</v>
      </c>
      <c r="K17" s="525"/>
      <c r="L17" s="525"/>
    </row>
    <row r="18" spans="1:12" hidden="1">
      <c r="A18" s="568">
        <v>1</v>
      </c>
      <c r="B18" s="36">
        <v>16</v>
      </c>
      <c r="C18" s="569">
        <v>41144</v>
      </c>
      <c r="D18" s="559" t="s">
        <v>346</v>
      </c>
      <c r="E18" s="559" t="s">
        <v>58</v>
      </c>
      <c r="F18" s="498" t="s">
        <v>375</v>
      </c>
      <c r="G18" s="570" t="s">
        <v>364</v>
      </c>
      <c r="H18" s="570" t="s">
        <v>376</v>
      </c>
      <c r="I18" s="570" t="str">
        <f>Table1[[#This Row],[Staff]]</f>
        <v>Nicole</v>
      </c>
      <c r="J18" s="569">
        <f>Table1[[#This Row],[Date]]</f>
        <v>41144</v>
      </c>
      <c r="K18" s="525"/>
      <c r="L18" s="525"/>
    </row>
    <row r="19" spans="1:12" hidden="1">
      <c r="A19" s="568">
        <v>1</v>
      </c>
      <c r="B19" s="36">
        <v>17</v>
      </c>
      <c r="C19" s="569">
        <v>41144</v>
      </c>
      <c r="D19" s="559" t="s">
        <v>346</v>
      </c>
      <c r="E19" s="559" t="s">
        <v>377</v>
      </c>
      <c r="F19" s="498" t="s">
        <v>354</v>
      </c>
      <c r="G19" s="570" t="s">
        <v>355</v>
      </c>
      <c r="H19" s="570" t="s">
        <v>368</v>
      </c>
      <c r="I19" s="570" t="str">
        <f>Table1[[#This Row],[Staff]]</f>
        <v>Nicole</v>
      </c>
      <c r="J19" s="569">
        <f>Table1[[#This Row],[Date]]</f>
        <v>41144</v>
      </c>
      <c r="K19" s="525"/>
      <c r="L19" s="525"/>
    </row>
    <row r="20" spans="1:12" hidden="1">
      <c r="A20" s="568">
        <v>1</v>
      </c>
      <c r="B20" s="36">
        <v>18</v>
      </c>
      <c r="C20" s="569">
        <v>41144</v>
      </c>
      <c r="D20" s="559" t="s">
        <v>346</v>
      </c>
      <c r="E20" s="559" t="s">
        <v>377</v>
      </c>
      <c r="F20" s="498" t="s">
        <v>378</v>
      </c>
      <c r="I20" s="570" t="str">
        <f>Table1[[#This Row],[Staff]]</f>
        <v>Nicole</v>
      </c>
      <c r="J20" s="569">
        <f>Table1[[#This Row],[Date]]</f>
        <v>41144</v>
      </c>
      <c r="K20" s="525"/>
      <c r="L20" s="525"/>
    </row>
    <row r="21" spans="1:12" ht="28.5" hidden="1">
      <c r="A21" s="568">
        <v>1</v>
      </c>
      <c r="B21" s="36">
        <v>19</v>
      </c>
      <c r="C21" s="569">
        <v>41144</v>
      </c>
      <c r="D21" s="559" t="s">
        <v>346</v>
      </c>
      <c r="E21" s="559" t="s">
        <v>379</v>
      </c>
      <c r="F21" s="498" t="s">
        <v>380</v>
      </c>
      <c r="G21" s="570" t="s">
        <v>381</v>
      </c>
      <c r="H21" s="570" t="s">
        <v>382</v>
      </c>
      <c r="I21" s="570" t="str">
        <f>Table1[[#This Row],[Staff]]</f>
        <v>Nicole</v>
      </c>
      <c r="J21" s="569">
        <f>Table1[[#This Row],[Date]]</f>
        <v>41144</v>
      </c>
      <c r="K21" s="525"/>
      <c r="L21" s="525"/>
    </row>
    <row r="22" spans="1:12" hidden="1">
      <c r="A22" s="568">
        <v>1</v>
      </c>
      <c r="B22" s="36">
        <v>20</v>
      </c>
      <c r="C22" s="569">
        <v>41144</v>
      </c>
      <c r="D22" s="559" t="s">
        <v>346</v>
      </c>
      <c r="E22" s="559" t="s">
        <v>379</v>
      </c>
      <c r="F22" s="498" t="s">
        <v>354</v>
      </c>
      <c r="G22" s="570" t="s">
        <v>355</v>
      </c>
      <c r="H22" s="570" t="s">
        <v>368</v>
      </c>
      <c r="I22" s="570" t="str">
        <f>Table1[[#This Row],[Staff]]</f>
        <v>Nicole</v>
      </c>
      <c r="J22" s="569">
        <f>Table1[[#This Row],[Date]]</f>
        <v>41144</v>
      </c>
      <c r="K22" s="525"/>
      <c r="L22" s="525"/>
    </row>
    <row r="23" spans="1:12" hidden="1">
      <c r="A23" s="568">
        <v>1</v>
      </c>
      <c r="B23" s="36">
        <v>21</v>
      </c>
      <c r="C23" s="569">
        <v>41144</v>
      </c>
      <c r="D23" s="559" t="s">
        <v>346</v>
      </c>
      <c r="E23" s="559" t="s">
        <v>379</v>
      </c>
      <c r="F23" s="498" t="s">
        <v>378</v>
      </c>
      <c r="G23" s="570" t="s">
        <v>364</v>
      </c>
      <c r="H23" s="570" t="s">
        <v>383</v>
      </c>
      <c r="I23" s="570" t="str">
        <f>Table1[[#This Row],[Staff]]</f>
        <v>Nicole</v>
      </c>
      <c r="J23" s="569">
        <f>Table1[[#This Row],[Date]]</f>
        <v>41144</v>
      </c>
      <c r="K23" s="525"/>
      <c r="L23" s="525"/>
    </row>
    <row r="24" spans="1:12" ht="28.5" hidden="1">
      <c r="A24" s="568">
        <v>1</v>
      </c>
      <c r="B24" s="36">
        <v>22</v>
      </c>
      <c r="C24" s="569">
        <v>41144</v>
      </c>
      <c r="D24" s="559" t="s">
        <v>346</v>
      </c>
      <c r="E24" s="559" t="s">
        <v>385</v>
      </c>
      <c r="F24" s="498" t="s">
        <v>384</v>
      </c>
      <c r="G24" s="570" t="s">
        <v>386</v>
      </c>
      <c r="H24" s="570" t="s">
        <v>387</v>
      </c>
      <c r="I24" s="570" t="str">
        <f>Table1[[#This Row],[Staff]]</f>
        <v>Nicole</v>
      </c>
      <c r="J24" s="569">
        <f>Table1[[#This Row],[Date]]</f>
        <v>41144</v>
      </c>
      <c r="K24" s="525"/>
      <c r="L24" s="525"/>
    </row>
    <row r="25" spans="1:12" hidden="1">
      <c r="A25" s="568">
        <v>1</v>
      </c>
      <c r="B25" s="36">
        <v>23</v>
      </c>
      <c r="C25" s="569">
        <v>41144</v>
      </c>
      <c r="D25" s="559" t="s">
        <v>346</v>
      </c>
      <c r="E25" s="559" t="s">
        <v>385</v>
      </c>
      <c r="F25" s="498" t="s">
        <v>354</v>
      </c>
      <c r="G25" s="570" t="s">
        <v>355</v>
      </c>
      <c r="H25" s="570" t="s">
        <v>368</v>
      </c>
      <c r="I25" s="570" t="str">
        <f>Table1[[#This Row],[Staff]]</f>
        <v>Nicole</v>
      </c>
      <c r="J25" s="569">
        <f>Table1[[#This Row],[Date]]</f>
        <v>41144</v>
      </c>
      <c r="K25" s="525"/>
      <c r="L25" s="525"/>
    </row>
    <row r="26" spans="1:12" ht="28.5" hidden="1">
      <c r="A26" s="568">
        <v>1</v>
      </c>
      <c r="B26" s="36">
        <v>24</v>
      </c>
      <c r="C26" s="569">
        <v>41144</v>
      </c>
      <c r="D26" s="559" t="s">
        <v>346</v>
      </c>
      <c r="E26" s="559" t="s">
        <v>385</v>
      </c>
      <c r="F26" s="498" t="s">
        <v>389</v>
      </c>
      <c r="G26" s="570" t="s">
        <v>364</v>
      </c>
      <c r="H26" s="570" t="s">
        <v>388</v>
      </c>
      <c r="I26" s="570" t="str">
        <f>Table1[[#This Row],[Staff]]</f>
        <v>Nicole</v>
      </c>
      <c r="J26" s="569">
        <f>Table1[[#This Row],[Date]]</f>
        <v>41144</v>
      </c>
      <c r="K26" s="525"/>
      <c r="L26" s="525"/>
    </row>
    <row r="27" spans="1:12" hidden="1">
      <c r="A27" s="568">
        <v>1</v>
      </c>
      <c r="B27" s="36">
        <v>25</v>
      </c>
      <c r="C27" s="569">
        <v>41144</v>
      </c>
      <c r="D27" s="559" t="s">
        <v>346</v>
      </c>
      <c r="E27" s="559" t="s">
        <v>390</v>
      </c>
      <c r="F27" s="498" t="s">
        <v>354</v>
      </c>
      <c r="G27" s="570" t="s">
        <v>355</v>
      </c>
      <c r="H27" s="570" t="s">
        <v>368</v>
      </c>
      <c r="I27" s="570" t="str">
        <f>Table1[[#This Row],[Staff]]</f>
        <v>Nicole</v>
      </c>
      <c r="J27" s="569">
        <f>Table1[[#This Row],[Date]]</f>
        <v>41144</v>
      </c>
      <c r="K27" s="525"/>
      <c r="L27" s="525"/>
    </row>
    <row r="28" spans="1:12" ht="28.5" hidden="1">
      <c r="A28" s="568">
        <v>1</v>
      </c>
      <c r="B28" s="36">
        <v>26</v>
      </c>
      <c r="C28" s="569">
        <v>41144</v>
      </c>
      <c r="D28" s="559" t="s">
        <v>346</v>
      </c>
      <c r="E28" s="559" t="s">
        <v>390</v>
      </c>
      <c r="F28" s="498" t="s">
        <v>378</v>
      </c>
      <c r="G28" s="570" t="s">
        <v>364</v>
      </c>
      <c r="H28" s="570" t="s">
        <v>391</v>
      </c>
      <c r="I28" s="570" t="str">
        <f>Table1[[#This Row],[Staff]]</f>
        <v>Nicole</v>
      </c>
      <c r="J28" s="569">
        <f>Table1[[#This Row],[Date]]</f>
        <v>41144</v>
      </c>
      <c r="K28" s="525"/>
      <c r="L28" s="525"/>
    </row>
    <row r="29" spans="1:12" hidden="1">
      <c r="A29" s="568">
        <v>1</v>
      </c>
      <c r="B29" s="36">
        <v>27</v>
      </c>
      <c r="C29" s="569">
        <v>41144</v>
      </c>
      <c r="D29" s="559" t="s">
        <v>346</v>
      </c>
      <c r="E29" s="559" t="s">
        <v>393</v>
      </c>
      <c r="F29" s="498" t="s">
        <v>354</v>
      </c>
      <c r="G29" s="570" t="s">
        <v>355</v>
      </c>
      <c r="H29" s="570" t="s">
        <v>368</v>
      </c>
      <c r="I29" s="570" t="str">
        <f>Table1[[#This Row],[Staff]]</f>
        <v>Nicole</v>
      </c>
      <c r="J29" s="569">
        <f>Table1[[#This Row],[Date]]</f>
        <v>41144</v>
      </c>
      <c r="K29" s="525"/>
      <c r="L29" s="525"/>
    </row>
    <row r="30" spans="1:12" ht="28.5" hidden="1">
      <c r="A30" s="568">
        <v>1</v>
      </c>
      <c r="B30" s="36">
        <v>28</v>
      </c>
      <c r="C30" s="569">
        <v>41144</v>
      </c>
      <c r="D30" s="559" t="s">
        <v>346</v>
      </c>
      <c r="E30" s="559" t="s">
        <v>393</v>
      </c>
      <c r="F30" s="498" t="s">
        <v>392</v>
      </c>
      <c r="G30" s="570" t="s">
        <v>364</v>
      </c>
      <c r="H30" s="570" t="s">
        <v>394</v>
      </c>
      <c r="I30" s="570" t="str">
        <f>Table1[[#This Row],[Staff]]</f>
        <v>Nicole</v>
      </c>
      <c r="J30" s="569">
        <f>Table1[[#This Row],[Date]]</f>
        <v>41144</v>
      </c>
      <c r="K30" s="525"/>
      <c r="L30" s="525"/>
    </row>
    <row r="31" spans="1:12" hidden="1">
      <c r="A31" s="568">
        <v>1</v>
      </c>
      <c r="B31" s="36">
        <v>29</v>
      </c>
      <c r="C31" s="569">
        <v>41144</v>
      </c>
      <c r="D31" s="559" t="s">
        <v>346</v>
      </c>
      <c r="E31" s="559" t="s">
        <v>73</v>
      </c>
      <c r="F31" s="498" t="s">
        <v>354</v>
      </c>
      <c r="G31" s="570" t="s">
        <v>355</v>
      </c>
      <c r="H31" s="570" t="s">
        <v>368</v>
      </c>
      <c r="I31" s="570" t="str">
        <f>Table1[[#This Row],[Staff]]</f>
        <v>Nicole</v>
      </c>
      <c r="J31" s="569">
        <f>Table1[[#This Row],[Date]]</f>
        <v>41144</v>
      </c>
      <c r="K31" s="525"/>
      <c r="L31" s="525"/>
    </row>
    <row r="32" spans="1:12" ht="28.5" hidden="1">
      <c r="A32" s="568">
        <v>1</v>
      </c>
      <c r="B32" s="36">
        <v>30</v>
      </c>
      <c r="C32" s="569">
        <v>41144</v>
      </c>
      <c r="D32" s="559" t="s">
        <v>346</v>
      </c>
      <c r="E32" s="559" t="s">
        <v>73</v>
      </c>
      <c r="F32" s="498" t="s">
        <v>395</v>
      </c>
      <c r="G32" s="570" t="s">
        <v>364</v>
      </c>
      <c r="H32" s="570" t="s">
        <v>396</v>
      </c>
      <c r="I32" s="570" t="str">
        <f>Table1[[#This Row],[Staff]]</f>
        <v>Nicole</v>
      </c>
      <c r="J32" s="569">
        <f>Table1[[#This Row],[Date]]</f>
        <v>41144</v>
      </c>
      <c r="K32" s="525"/>
      <c r="L32" s="525"/>
    </row>
    <row r="33" spans="1:12" hidden="1">
      <c r="A33" s="568">
        <v>1</v>
      </c>
      <c r="B33" s="36">
        <v>31</v>
      </c>
      <c r="C33" s="569">
        <v>41144</v>
      </c>
      <c r="D33" s="559" t="s">
        <v>346</v>
      </c>
      <c r="E33" s="559" t="s">
        <v>82</v>
      </c>
      <c r="F33" s="498" t="s">
        <v>354</v>
      </c>
      <c r="G33" s="570" t="s">
        <v>355</v>
      </c>
      <c r="H33" s="570" t="s">
        <v>368</v>
      </c>
      <c r="I33" s="570" t="str">
        <f>Table1[[#This Row],[Staff]]</f>
        <v>Nicole</v>
      </c>
      <c r="J33" s="569">
        <f>Table1[[#This Row],[Date]]</f>
        <v>41144</v>
      </c>
      <c r="K33" s="525"/>
      <c r="L33" s="525"/>
    </row>
    <row r="34" spans="1:12" ht="28.5" hidden="1">
      <c r="A34" s="568">
        <v>1</v>
      </c>
      <c r="B34" s="36">
        <v>32</v>
      </c>
      <c r="C34" s="569">
        <v>41144</v>
      </c>
      <c r="D34" s="559" t="s">
        <v>346</v>
      </c>
      <c r="E34" s="559" t="s">
        <v>82</v>
      </c>
      <c r="F34" s="498" t="s">
        <v>401</v>
      </c>
      <c r="G34" s="570" t="s">
        <v>364</v>
      </c>
      <c r="H34" s="570" t="s">
        <v>398</v>
      </c>
      <c r="I34" s="570" t="str">
        <f>Table1[[#This Row],[Staff]]</f>
        <v>Nicole</v>
      </c>
      <c r="J34" s="569">
        <f>Table1[[#This Row],[Date]]</f>
        <v>41144</v>
      </c>
      <c r="K34" s="525"/>
      <c r="L34" s="525"/>
    </row>
    <row r="35" spans="1:12" hidden="1">
      <c r="A35" s="568">
        <v>1</v>
      </c>
      <c r="B35" s="36">
        <v>33</v>
      </c>
      <c r="C35" s="569">
        <v>41144</v>
      </c>
      <c r="D35" s="559" t="s">
        <v>346</v>
      </c>
      <c r="E35" s="559" t="s">
        <v>397</v>
      </c>
      <c r="F35" s="498" t="s">
        <v>354</v>
      </c>
      <c r="G35" s="570" t="s">
        <v>355</v>
      </c>
      <c r="H35" s="570" t="s">
        <v>368</v>
      </c>
      <c r="I35" s="570" t="str">
        <f>Table1[[#This Row],[Staff]]</f>
        <v>Nicole</v>
      </c>
      <c r="J35" s="569">
        <f>Table1[[#This Row],[Date]]</f>
        <v>41144</v>
      </c>
      <c r="K35" s="525"/>
      <c r="L35" s="525"/>
    </row>
    <row r="36" spans="1:12" ht="28.5" hidden="1">
      <c r="A36" s="568">
        <v>1</v>
      </c>
      <c r="B36" s="36">
        <v>34</v>
      </c>
      <c r="C36" s="569">
        <v>41144</v>
      </c>
      <c r="D36" s="559" t="s">
        <v>346</v>
      </c>
      <c r="E36" s="559" t="s">
        <v>397</v>
      </c>
      <c r="F36" s="498" t="s">
        <v>400</v>
      </c>
      <c r="G36" s="570" t="s">
        <v>364</v>
      </c>
      <c r="H36" s="570" t="s">
        <v>399</v>
      </c>
      <c r="I36" s="570" t="str">
        <f>Table1[[#This Row],[Staff]]</f>
        <v>Nicole</v>
      </c>
      <c r="J36" s="569">
        <f>Table1[[#This Row],[Date]]</f>
        <v>41144</v>
      </c>
      <c r="K36" s="525"/>
      <c r="L36" s="525"/>
    </row>
    <row r="37" spans="1:12" ht="28.5" hidden="1">
      <c r="A37" s="568">
        <v>1</v>
      </c>
      <c r="B37" s="36">
        <v>35</v>
      </c>
      <c r="C37" s="569">
        <v>41145</v>
      </c>
      <c r="D37" s="560" t="s">
        <v>346</v>
      </c>
      <c r="E37" s="560" t="s">
        <v>353</v>
      </c>
      <c r="F37" s="498" t="s">
        <v>402</v>
      </c>
      <c r="G37" s="570" t="s">
        <v>403</v>
      </c>
      <c r="H37" s="570" t="s">
        <v>404</v>
      </c>
      <c r="I37" s="570" t="str">
        <f>Table1[[#This Row],[Staff]]</f>
        <v>Nicole</v>
      </c>
      <c r="J37" s="569">
        <f>Table1[[#This Row],[Date]]</f>
        <v>41145</v>
      </c>
      <c r="K37" s="525"/>
      <c r="L37" s="525"/>
    </row>
    <row r="38" spans="1:12" ht="28.5" hidden="1">
      <c r="A38" s="568">
        <v>1</v>
      </c>
      <c r="B38" s="36">
        <v>36</v>
      </c>
      <c r="C38" s="569">
        <v>41145</v>
      </c>
      <c r="D38" s="560" t="s">
        <v>346</v>
      </c>
      <c r="E38" s="560" t="s">
        <v>353</v>
      </c>
      <c r="F38" s="498" t="s">
        <v>405</v>
      </c>
      <c r="G38" s="570" t="s">
        <v>406</v>
      </c>
      <c r="H38" s="576" t="s">
        <v>456</v>
      </c>
      <c r="I38" s="576" t="s">
        <v>455</v>
      </c>
      <c r="J38" s="569">
        <v>41148</v>
      </c>
      <c r="K38" s="525"/>
      <c r="L38" s="525"/>
    </row>
    <row r="39" spans="1:12" ht="42.75" hidden="1">
      <c r="A39" s="568">
        <v>1</v>
      </c>
      <c r="B39" s="36">
        <v>37</v>
      </c>
      <c r="C39" s="569">
        <v>41145</v>
      </c>
      <c r="D39" s="560" t="s">
        <v>346</v>
      </c>
      <c r="E39" s="560" t="s">
        <v>353</v>
      </c>
      <c r="F39" s="498" t="s">
        <v>407</v>
      </c>
      <c r="G39" s="570" t="s">
        <v>408</v>
      </c>
      <c r="H39" s="570" t="s">
        <v>416</v>
      </c>
      <c r="I39" s="570" t="str">
        <f>Table1[[#This Row],[Staff]]</f>
        <v>Nicole</v>
      </c>
      <c r="J39" s="569">
        <f>Table1[[#This Row],[Date]]</f>
        <v>41145</v>
      </c>
      <c r="K39" s="525"/>
      <c r="L39" s="525"/>
    </row>
    <row r="40" spans="1:12" hidden="1">
      <c r="A40" s="568">
        <v>1</v>
      </c>
      <c r="B40" s="36">
        <v>38</v>
      </c>
      <c r="C40" s="569">
        <v>41145</v>
      </c>
      <c r="D40" s="560" t="s">
        <v>346</v>
      </c>
      <c r="E40" s="560" t="s">
        <v>362</v>
      </c>
      <c r="F40" s="498" t="s">
        <v>409</v>
      </c>
      <c r="G40" s="570" t="s">
        <v>408</v>
      </c>
      <c r="H40" s="570" t="s">
        <v>415</v>
      </c>
      <c r="I40" s="570" t="str">
        <f>Table1[[#This Row],[Staff]]</f>
        <v>Nicole</v>
      </c>
      <c r="J40" s="569">
        <f>Table1[[#This Row],[Date]]</f>
        <v>41145</v>
      </c>
      <c r="K40" s="525"/>
      <c r="L40" s="525"/>
    </row>
    <row r="41" spans="1:12" hidden="1">
      <c r="A41" s="568">
        <v>1</v>
      </c>
      <c r="B41" s="36">
        <v>39</v>
      </c>
      <c r="C41" s="569">
        <v>41145</v>
      </c>
      <c r="D41" s="560" t="s">
        <v>346</v>
      </c>
      <c r="E41" s="560" t="s">
        <v>362</v>
      </c>
      <c r="F41" s="498" t="s">
        <v>410</v>
      </c>
      <c r="G41" s="570" t="s">
        <v>408</v>
      </c>
      <c r="H41" s="570" t="s">
        <v>415</v>
      </c>
      <c r="I41" s="570" t="str">
        <f>Table1[[#This Row],[Staff]]</f>
        <v>Nicole</v>
      </c>
      <c r="J41" s="569">
        <f>Table1[[#This Row],[Date]]</f>
        <v>41145</v>
      </c>
      <c r="K41" s="525"/>
      <c r="L41" s="525"/>
    </row>
    <row r="42" spans="1:12" hidden="1">
      <c r="A42" s="568">
        <v>1</v>
      </c>
      <c r="B42" s="36">
        <v>40</v>
      </c>
      <c r="C42" s="569">
        <v>41145</v>
      </c>
      <c r="D42" s="560" t="s">
        <v>346</v>
      </c>
      <c r="E42" s="560" t="s">
        <v>362</v>
      </c>
      <c r="F42" s="498" t="s">
        <v>411</v>
      </c>
      <c r="G42" s="570" t="s">
        <v>408</v>
      </c>
      <c r="H42" s="570" t="s">
        <v>415</v>
      </c>
      <c r="I42" s="570" t="str">
        <f>Table1[[#This Row],[Staff]]</f>
        <v>Nicole</v>
      </c>
      <c r="J42" s="569">
        <f>Table1[[#This Row],[Date]]</f>
        <v>41145</v>
      </c>
      <c r="K42" s="525"/>
      <c r="L42" s="525"/>
    </row>
    <row r="43" spans="1:12" hidden="1">
      <c r="A43" s="568">
        <v>1</v>
      </c>
      <c r="B43" s="36">
        <v>41</v>
      </c>
      <c r="C43" s="569">
        <v>41145</v>
      </c>
      <c r="D43" s="560" t="s">
        <v>346</v>
      </c>
      <c r="E43" s="560" t="s">
        <v>362</v>
      </c>
      <c r="F43" s="498" t="s">
        <v>412</v>
      </c>
      <c r="G43" s="570" t="s">
        <v>408</v>
      </c>
      <c r="H43" s="570" t="s">
        <v>415</v>
      </c>
      <c r="I43" s="570" t="str">
        <f>Table1[[#This Row],[Staff]]</f>
        <v>Nicole</v>
      </c>
      <c r="J43" s="569">
        <f>Table1[[#This Row],[Date]]</f>
        <v>41145</v>
      </c>
      <c r="K43" s="525"/>
      <c r="L43" s="525"/>
    </row>
    <row r="44" spans="1:12" hidden="1">
      <c r="A44" s="568">
        <v>1</v>
      </c>
      <c r="B44" s="36">
        <v>42</v>
      </c>
      <c r="C44" s="569">
        <v>41145</v>
      </c>
      <c r="D44" s="560" t="s">
        <v>346</v>
      </c>
      <c r="E44" s="560" t="s">
        <v>362</v>
      </c>
      <c r="F44" s="498" t="s">
        <v>413</v>
      </c>
      <c r="G44" s="570" t="s">
        <v>408</v>
      </c>
      <c r="H44" s="570" t="s">
        <v>415</v>
      </c>
      <c r="I44" s="570" t="str">
        <f>Table1[[#This Row],[Staff]]</f>
        <v>Nicole</v>
      </c>
      <c r="J44" s="569">
        <f>Table1[[#This Row],[Date]]</f>
        <v>41145</v>
      </c>
      <c r="K44" s="525"/>
      <c r="L44" s="525"/>
    </row>
    <row r="45" spans="1:12" hidden="1">
      <c r="A45" s="568">
        <v>1</v>
      </c>
      <c r="B45" s="36">
        <v>43</v>
      </c>
      <c r="C45" s="569">
        <v>41145</v>
      </c>
      <c r="D45" s="560" t="s">
        <v>346</v>
      </c>
      <c r="E45" s="560" t="s">
        <v>362</v>
      </c>
      <c r="F45" s="498" t="s">
        <v>414</v>
      </c>
      <c r="G45" s="570" t="s">
        <v>408</v>
      </c>
      <c r="H45" s="570" t="s">
        <v>415</v>
      </c>
      <c r="I45" s="570" t="str">
        <f>Table1[[#This Row],[Staff]]</f>
        <v>Nicole</v>
      </c>
      <c r="J45" s="569">
        <f>Table1[[#This Row],[Date]]</f>
        <v>41145</v>
      </c>
      <c r="K45" s="525"/>
      <c r="L45" s="525"/>
    </row>
    <row r="46" spans="1:12" hidden="1">
      <c r="A46" s="568">
        <v>1</v>
      </c>
      <c r="B46" s="36">
        <v>44</v>
      </c>
      <c r="C46" s="569">
        <v>41145</v>
      </c>
      <c r="D46" s="560" t="s">
        <v>346</v>
      </c>
      <c r="E46" s="560" t="s">
        <v>6</v>
      </c>
      <c r="F46" s="498" t="s">
        <v>417</v>
      </c>
      <c r="G46" s="570" t="s">
        <v>408</v>
      </c>
      <c r="H46" s="570" t="s">
        <v>415</v>
      </c>
      <c r="I46" s="570" t="str">
        <f>Table1[[#This Row],[Staff]]</f>
        <v>Nicole</v>
      </c>
      <c r="J46" s="569">
        <f>Table1[[#This Row],[Date]]</f>
        <v>41145</v>
      </c>
      <c r="K46" s="525"/>
      <c r="L46" s="525"/>
    </row>
    <row r="47" spans="1:12" hidden="1">
      <c r="A47" s="568">
        <v>1</v>
      </c>
      <c r="B47" s="36">
        <v>45</v>
      </c>
      <c r="C47" s="569">
        <v>41145</v>
      </c>
      <c r="D47" s="560" t="s">
        <v>346</v>
      </c>
      <c r="E47" s="560" t="s">
        <v>6</v>
      </c>
      <c r="F47" s="498" t="s">
        <v>410</v>
      </c>
      <c r="G47" s="570" t="s">
        <v>408</v>
      </c>
      <c r="H47" s="570" t="s">
        <v>415</v>
      </c>
      <c r="I47" s="570" t="str">
        <f>Table1[[#This Row],[Staff]]</f>
        <v>Nicole</v>
      </c>
      <c r="J47" s="569">
        <f>Table1[[#This Row],[Date]]</f>
        <v>41145</v>
      </c>
      <c r="K47" s="525"/>
      <c r="L47" s="525"/>
    </row>
    <row r="48" spans="1:12" hidden="1">
      <c r="A48" s="568">
        <v>1</v>
      </c>
      <c r="B48" s="36">
        <v>46</v>
      </c>
      <c r="C48" s="569">
        <v>41145</v>
      </c>
      <c r="D48" s="560" t="s">
        <v>346</v>
      </c>
      <c r="E48" s="560" t="s">
        <v>6</v>
      </c>
      <c r="F48" s="498" t="s">
        <v>411</v>
      </c>
      <c r="G48" s="570" t="s">
        <v>408</v>
      </c>
      <c r="H48" s="570" t="s">
        <v>415</v>
      </c>
      <c r="I48" s="570" t="str">
        <f>Table1[[#This Row],[Staff]]</f>
        <v>Nicole</v>
      </c>
      <c r="J48" s="569">
        <f>Table1[[#This Row],[Date]]</f>
        <v>41145</v>
      </c>
      <c r="K48" s="525"/>
      <c r="L48" s="525"/>
    </row>
    <row r="49" spans="1:12" hidden="1">
      <c r="A49" s="568">
        <v>1</v>
      </c>
      <c r="B49" s="36">
        <v>47</v>
      </c>
      <c r="C49" s="569">
        <v>41145</v>
      </c>
      <c r="D49" s="560" t="s">
        <v>346</v>
      </c>
      <c r="E49" s="560" t="s">
        <v>6</v>
      </c>
      <c r="F49" s="498" t="s">
        <v>412</v>
      </c>
      <c r="G49" s="570" t="s">
        <v>408</v>
      </c>
      <c r="H49" s="570" t="s">
        <v>415</v>
      </c>
      <c r="I49" s="570" t="str">
        <f>Table1[[#This Row],[Staff]]</f>
        <v>Nicole</v>
      </c>
      <c r="J49" s="569">
        <f>Table1[[#This Row],[Date]]</f>
        <v>41145</v>
      </c>
      <c r="K49" s="525"/>
      <c r="L49" s="525"/>
    </row>
    <row r="50" spans="1:12" hidden="1">
      <c r="A50" s="568">
        <v>1</v>
      </c>
      <c r="B50" s="36">
        <v>48</v>
      </c>
      <c r="C50" s="569">
        <v>41145</v>
      </c>
      <c r="D50" s="560" t="s">
        <v>346</v>
      </c>
      <c r="E50" s="560" t="s">
        <v>6</v>
      </c>
      <c r="F50" s="498" t="s">
        <v>409</v>
      </c>
      <c r="G50" s="570" t="s">
        <v>408</v>
      </c>
      <c r="H50" s="570" t="s">
        <v>415</v>
      </c>
      <c r="I50" s="570" t="str">
        <f>Table1[[#This Row],[Staff]]</f>
        <v>Nicole</v>
      </c>
      <c r="J50" s="569">
        <f>Table1[[#This Row],[Date]]</f>
        <v>41145</v>
      </c>
      <c r="K50" s="525"/>
      <c r="L50" s="525"/>
    </row>
    <row r="51" spans="1:12" ht="28.5" hidden="1">
      <c r="A51" s="568">
        <v>1</v>
      </c>
      <c r="B51" s="36">
        <v>49</v>
      </c>
      <c r="C51" s="569">
        <v>41145</v>
      </c>
      <c r="D51" s="560" t="s">
        <v>346</v>
      </c>
      <c r="E51" s="560" t="s">
        <v>6</v>
      </c>
      <c r="F51" s="498" t="s">
        <v>419</v>
      </c>
      <c r="G51" s="570" t="s">
        <v>421</v>
      </c>
      <c r="H51" s="570" t="s">
        <v>422</v>
      </c>
      <c r="I51" s="570" t="str">
        <f>Table1[[#This Row],[Staff]]</f>
        <v>Nicole</v>
      </c>
      <c r="J51" s="569">
        <f>Table1[[#This Row],[Date]]</f>
        <v>41145</v>
      </c>
      <c r="K51" s="525"/>
      <c r="L51" s="525"/>
    </row>
    <row r="52" spans="1:12" ht="28.5" hidden="1">
      <c r="A52" s="568">
        <v>1</v>
      </c>
      <c r="B52" s="36">
        <v>50</v>
      </c>
      <c r="C52" s="569">
        <v>41145</v>
      </c>
      <c r="D52" s="560" t="s">
        <v>346</v>
      </c>
      <c r="E52" s="560" t="s">
        <v>6</v>
      </c>
      <c r="F52" s="498" t="s">
        <v>420</v>
      </c>
      <c r="G52" s="570" t="s">
        <v>421</v>
      </c>
      <c r="H52" s="570" t="s">
        <v>423</v>
      </c>
      <c r="I52" s="570" t="str">
        <f>Table1[[#This Row],[Staff]]</f>
        <v>Nicole</v>
      </c>
      <c r="J52" s="569">
        <f>Table1[[#This Row],[Date]]</f>
        <v>41145</v>
      </c>
      <c r="K52" s="525"/>
      <c r="L52" s="525"/>
    </row>
    <row r="53" spans="1:12" hidden="1">
      <c r="A53" s="568">
        <v>1</v>
      </c>
      <c r="B53" s="36">
        <v>51</v>
      </c>
      <c r="C53" s="569">
        <v>41145</v>
      </c>
      <c r="D53" s="560" t="s">
        <v>346</v>
      </c>
      <c r="E53" s="560" t="s">
        <v>369</v>
      </c>
      <c r="F53" s="498" t="s">
        <v>424</v>
      </c>
      <c r="G53" s="570" t="s">
        <v>408</v>
      </c>
      <c r="H53" s="570" t="s">
        <v>415</v>
      </c>
      <c r="I53" s="570" t="str">
        <f>Table1[[#This Row],[Staff]]</f>
        <v>Nicole</v>
      </c>
      <c r="J53" s="569">
        <f>Table1[[#This Row],[Date]]</f>
        <v>41145</v>
      </c>
      <c r="K53" s="525"/>
      <c r="L53" s="525"/>
    </row>
    <row r="54" spans="1:12" hidden="1">
      <c r="A54" s="568">
        <v>1</v>
      </c>
      <c r="B54" s="36">
        <v>52</v>
      </c>
      <c r="C54" s="569">
        <v>41145</v>
      </c>
      <c r="D54" s="560" t="s">
        <v>346</v>
      </c>
      <c r="E54" s="560" t="s">
        <v>369</v>
      </c>
      <c r="F54" s="498" t="s">
        <v>425</v>
      </c>
      <c r="G54" s="570" t="s">
        <v>408</v>
      </c>
      <c r="H54" s="570" t="s">
        <v>415</v>
      </c>
      <c r="I54" s="570" t="str">
        <f>Table1[[#This Row],[Staff]]</f>
        <v>Nicole</v>
      </c>
      <c r="J54" s="569">
        <f>Table1[[#This Row],[Date]]</f>
        <v>41145</v>
      </c>
      <c r="K54" s="525"/>
      <c r="L54" s="525"/>
    </row>
    <row r="55" spans="1:12" hidden="1">
      <c r="A55" s="568">
        <v>1</v>
      </c>
      <c r="B55" s="36">
        <v>53</v>
      </c>
      <c r="C55" s="569">
        <v>41145</v>
      </c>
      <c r="D55" s="560" t="s">
        <v>346</v>
      </c>
      <c r="E55" s="560" t="s">
        <v>369</v>
      </c>
      <c r="F55" s="498" t="s">
        <v>426</v>
      </c>
      <c r="G55" s="570" t="s">
        <v>408</v>
      </c>
      <c r="H55" s="570" t="s">
        <v>415</v>
      </c>
      <c r="I55" s="570" t="str">
        <f>Table1[[#This Row],[Staff]]</f>
        <v>Nicole</v>
      </c>
      <c r="J55" s="569">
        <f>Table1[[#This Row],[Date]]</f>
        <v>41145</v>
      </c>
      <c r="K55" s="525"/>
      <c r="L55" s="525"/>
    </row>
    <row r="56" spans="1:12" hidden="1">
      <c r="A56" s="568">
        <v>1</v>
      </c>
      <c r="B56" s="36">
        <v>54</v>
      </c>
      <c r="C56" s="569">
        <v>41145</v>
      </c>
      <c r="D56" s="560" t="s">
        <v>346</v>
      </c>
      <c r="E56" s="560" t="s">
        <v>369</v>
      </c>
      <c r="F56" s="498" t="s">
        <v>427</v>
      </c>
      <c r="G56" s="570" t="s">
        <v>408</v>
      </c>
      <c r="H56" s="570" t="s">
        <v>415</v>
      </c>
      <c r="I56" s="570" t="str">
        <f>Table1[[#This Row],[Staff]]</f>
        <v>Nicole</v>
      </c>
      <c r="J56" s="569">
        <f>Table1[[#This Row],[Date]]</f>
        <v>41145</v>
      </c>
      <c r="K56" s="525"/>
      <c r="L56" s="525"/>
    </row>
    <row r="57" spans="1:12" hidden="1">
      <c r="A57" s="568">
        <v>1</v>
      </c>
      <c r="B57" s="36">
        <v>55</v>
      </c>
      <c r="C57" s="569">
        <v>41145</v>
      </c>
      <c r="D57" s="560" t="s">
        <v>346</v>
      </c>
      <c r="E57" s="560" t="s">
        <v>369</v>
      </c>
      <c r="F57" s="498" t="s">
        <v>428</v>
      </c>
      <c r="G57" s="570" t="s">
        <v>408</v>
      </c>
      <c r="H57" s="570" t="s">
        <v>415</v>
      </c>
      <c r="I57" s="570" t="str">
        <f>Table1[[#This Row],[Staff]]</f>
        <v>Nicole</v>
      </c>
      <c r="J57" s="569">
        <f>Table1[[#This Row],[Date]]</f>
        <v>41145</v>
      </c>
      <c r="K57" s="525"/>
      <c r="L57" s="525"/>
    </row>
    <row r="58" spans="1:12" hidden="1">
      <c r="A58" s="568">
        <v>1</v>
      </c>
      <c r="B58" s="36">
        <v>56</v>
      </c>
      <c r="C58" s="569">
        <v>41145</v>
      </c>
      <c r="D58" s="560" t="s">
        <v>346</v>
      </c>
      <c r="E58" s="560" t="s">
        <v>369</v>
      </c>
      <c r="F58" s="498" t="s">
        <v>429</v>
      </c>
      <c r="G58" s="570" t="s">
        <v>408</v>
      </c>
      <c r="H58" s="570" t="s">
        <v>415</v>
      </c>
      <c r="I58" s="570" t="str">
        <f>Table1[[#This Row],[Staff]]</f>
        <v>Nicole</v>
      </c>
      <c r="J58" s="569">
        <f>Table1[[#This Row],[Date]]</f>
        <v>41145</v>
      </c>
      <c r="K58" s="525"/>
      <c r="L58" s="525"/>
    </row>
    <row r="59" spans="1:12" hidden="1">
      <c r="A59" s="568">
        <v>1</v>
      </c>
      <c r="B59" s="36">
        <v>57</v>
      </c>
      <c r="C59" s="569">
        <v>41145</v>
      </c>
      <c r="D59" s="560" t="s">
        <v>346</v>
      </c>
      <c r="E59" s="560" t="s">
        <v>369</v>
      </c>
      <c r="F59" s="498" t="s">
        <v>430</v>
      </c>
      <c r="G59" s="570" t="s">
        <v>408</v>
      </c>
      <c r="H59" s="570" t="s">
        <v>415</v>
      </c>
      <c r="I59" s="570" t="str">
        <f>Table1[[#This Row],[Staff]]</f>
        <v>Nicole</v>
      </c>
      <c r="J59" s="569">
        <f>Table1[[#This Row],[Date]]</f>
        <v>41145</v>
      </c>
      <c r="K59" s="525"/>
      <c r="L59" s="525"/>
    </row>
    <row r="60" spans="1:12" hidden="1">
      <c r="A60" s="568">
        <v>1</v>
      </c>
      <c r="B60" s="36">
        <v>58</v>
      </c>
      <c r="C60" s="569">
        <v>41145</v>
      </c>
      <c r="D60" s="560" t="s">
        <v>346</v>
      </c>
      <c r="E60" s="560" t="s">
        <v>369</v>
      </c>
      <c r="F60" s="498" t="s">
        <v>431</v>
      </c>
      <c r="G60" s="570" t="s">
        <v>408</v>
      </c>
      <c r="H60" s="570" t="s">
        <v>415</v>
      </c>
      <c r="I60" s="570" t="str">
        <f>Table1[[#This Row],[Staff]]</f>
        <v>Nicole</v>
      </c>
      <c r="J60" s="569">
        <f>Table1[[#This Row],[Date]]</f>
        <v>41145</v>
      </c>
      <c r="K60" s="525"/>
      <c r="L60" s="525"/>
    </row>
    <row r="61" spans="1:12" hidden="1">
      <c r="A61" s="568">
        <v>1</v>
      </c>
      <c r="B61" s="36">
        <v>59</v>
      </c>
      <c r="C61" s="569">
        <v>41145</v>
      </c>
      <c r="D61" s="560" t="s">
        <v>346</v>
      </c>
      <c r="E61" s="560" t="s">
        <v>369</v>
      </c>
      <c r="F61" s="498" t="s">
        <v>432</v>
      </c>
      <c r="G61" s="570" t="s">
        <v>408</v>
      </c>
      <c r="H61" s="570" t="s">
        <v>415</v>
      </c>
      <c r="I61" s="570" t="str">
        <f>Table1[[#This Row],[Staff]]</f>
        <v>Nicole</v>
      </c>
      <c r="J61" s="569">
        <f>Table1[[#This Row],[Date]]</f>
        <v>41145</v>
      </c>
      <c r="K61" s="525"/>
      <c r="L61" s="525"/>
    </row>
    <row r="62" spans="1:12" hidden="1">
      <c r="A62" s="568">
        <v>1</v>
      </c>
      <c r="B62" s="36">
        <v>60</v>
      </c>
      <c r="C62" s="569">
        <v>41145</v>
      </c>
      <c r="D62" s="560" t="s">
        <v>346</v>
      </c>
      <c r="E62" s="560" t="s">
        <v>369</v>
      </c>
      <c r="F62" s="498" t="s">
        <v>433</v>
      </c>
      <c r="G62" s="570" t="s">
        <v>408</v>
      </c>
      <c r="H62" s="570" t="s">
        <v>415</v>
      </c>
      <c r="I62" s="570" t="str">
        <f>Table1[[#This Row],[Staff]]</f>
        <v>Nicole</v>
      </c>
      <c r="J62" s="569">
        <f>Table1[[#This Row],[Date]]</f>
        <v>41145</v>
      </c>
      <c r="K62" s="525"/>
      <c r="L62" s="525"/>
    </row>
    <row r="63" spans="1:12" hidden="1">
      <c r="A63" s="568">
        <v>1</v>
      </c>
      <c r="B63" s="36">
        <v>61</v>
      </c>
      <c r="C63" s="569">
        <v>41145</v>
      </c>
      <c r="D63" s="560" t="s">
        <v>346</v>
      </c>
      <c r="E63" s="560" t="s">
        <v>372</v>
      </c>
      <c r="F63" s="498" t="s">
        <v>424</v>
      </c>
      <c r="G63" s="570" t="s">
        <v>408</v>
      </c>
      <c r="H63" s="570" t="s">
        <v>415</v>
      </c>
      <c r="I63" s="570" t="str">
        <f>Table1[[#This Row],[Staff]]</f>
        <v>Nicole</v>
      </c>
      <c r="J63" s="569">
        <f>Table1[[#This Row],[Date]]</f>
        <v>41145</v>
      </c>
      <c r="K63" s="525"/>
      <c r="L63" s="525"/>
    </row>
    <row r="64" spans="1:12" hidden="1">
      <c r="A64" s="568">
        <v>1</v>
      </c>
      <c r="B64" s="36">
        <v>62</v>
      </c>
      <c r="C64" s="569">
        <v>41145</v>
      </c>
      <c r="D64" s="560" t="s">
        <v>346</v>
      </c>
      <c r="E64" s="560" t="s">
        <v>372</v>
      </c>
      <c r="F64" s="498" t="s">
        <v>434</v>
      </c>
      <c r="G64" s="570" t="s">
        <v>408</v>
      </c>
      <c r="H64" s="570" t="s">
        <v>415</v>
      </c>
      <c r="I64" s="570" t="str">
        <f>Table1[[#This Row],[Staff]]</f>
        <v>Nicole</v>
      </c>
      <c r="J64" s="569">
        <f>Table1[[#This Row],[Date]]</f>
        <v>41145</v>
      </c>
      <c r="K64" s="525"/>
      <c r="L64" s="525"/>
    </row>
    <row r="65" spans="1:12" hidden="1">
      <c r="A65" s="568">
        <v>1</v>
      </c>
      <c r="B65" s="36">
        <v>63</v>
      </c>
      <c r="C65" s="569">
        <v>41145</v>
      </c>
      <c r="D65" s="560" t="s">
        <v>346</v>
      </c>
      <c r="E65" s="560" t="s">
        <v>372</v>
      </c>
      <c r="F65" s="498" t="s">
        <v>435</v>
      </c>
      <c r="G65" s="570" t="s">
        <v>408</v>
      </c>
      <c r="H65" s="570" t="s">
        <v>415</v>
      </c>
      <c r="I65" s="570" t="str">
        <f>Table1[[#This Row],[Staff]]</f>
        <v>Nicole</v>
      </c>
      <c r="J65" s="569">
        <f>Table1[[#This Row],[Date]]</f>
        <v>41145</v>
      </c>
      <c r="K65" s="525"/>
      <c r="L65" s="525"/>
    </row>
    <row r="66" spans="1:12" hidden="1">
      <c r="A66" s="568">
        <v>1</v>
      </c>
      <c r="B66" s="36">
        <v>64</v>
      </c>
      <c r="C66" s="569">
        <v>41145</v>
      </c>
      <c r="D66" s="560" t="s">
        <v>346</v>
      </c>
      <c r="E66" s="560" t="s">
        <v>372</v>
      </c>
      <c r="F66" s="498" t="s">
        <v>436</v>
      </c>
      <c r="G66" s="570" t="s">
        <v>408</v>
      </c>
      <c r="H66" s="570" t="s">
        <v>415</v>
      </c>
      <c r="I66" s="570" t="str">
        <f>Table1[[#This Row],[Staff]]</f>
        <v>Nicole</v>
      </c>
      <c r="J66" s="569">
        <f>Table1[[#This Row],[Date]]</f>
        <v>41145</v>
      </c>
      <c r="K66" s="525"/>
      <c r="L66" s="525"/>
    </row>
    <row r="67" spans="1:12" hidden="1">
      <c r="A67" s="568">
        <v>1</v>
      </c>
      <c r="B67" s="36">
        <v>65</v>
      </c>
      <c r="C67" s="569">
        <v>41145</v>
      </c>
      <c r="D67" s="560" t="s">
        <v>346</v>
      </c>
      <c r="E67" s="560" t="s">
        <v>372</v>
      </c>
      <c r="F67" s="498" t="s">
        <v>437</v>
      </c>
      <c r="G67" s="570" t="s">
        <v>408</v>
      </c>
      <c r="H67" s="570" t="s">
        <v>415</v>
      </c>
      <c r="I67" s="570" t="str">
        <f>Table1[[#This Row],[Staff]]</f>
        <v>Nicole</v>
      </c>
      <c r="J67" s="569">
        <f>Table1[[#This Row],[Date]]</f>
        <v>41145</v>
      </c>
      <c r="K67" s="525"/>
      <c r="L67" s="525"/>
    </row>
    <row r="68" spans="1:12" hidden="1">
      <c r="A68" s="568">
        <v>1</v>
      </c>
      <c r="B68" s="36">
        <v>66</v>
      </c>
      <c r="C68" s="569">
        <v>41145</v>
      </c>
      <c r="D68" s="560" t="s">
        <v>346</v>
      </c>
      <c r="E68" s="560" t="s">
        <v>372</v>
      </c>
      <c r="F68" s="498" t="s">
        <v>438</v>
      </c>
      <c r="G68" s="570" t="s">
        <v>408</v>
      </c>
      <c r="H68" s="570" t="s">
        <v>415</v>
      </c>
      <c r="I68" s="570" t="str">
        <f>Table1[[#This Row],[Staff]]</f>
        <v>Nicole</v>
      </c>
      <c r="J68" s="569">
        <f>Table1[[#This Row],[Date]]</f>
        <v>41145</v>
      </c>
      <c r="K68" s="525"/>
      <c r="L68" s="525"/>
    </row>
    <row r="69" spans="1:12" hidden="1">
      <c r="A69" s="568">
        <v>1</v>
      </c>
      <c r="B69" s="36">
        <v>67</v>
      </c>
      <c r="C69" s="569">
        <v>41145</v>
      </c>
      <c r="D69" s="560" t="s">
        <v>346</v>
      </c>
      <c r="E69" s="560" t="s">
        <v>372</v>
      </c>
      <c r="F69" s="498" t="s">
        <v>439</v>
      </c>
      <c r="G69" s="570" t="s">
        <v>408</v>
      </c>
      <c r="H69" s="570" t="s">
        <v>415</v>
      </c>
      <c r="I69" s="570" t="str">
        <f>Table1[[#This Row],[Staff]]</f>
        <v>Nicole</v>
      </c>
      <c r="J69" s="569">
        <f>Table1[[#This Row],[Date]]</f>
        <v>41145</v>
      </c>
      <c r="K69" s="525"/>
      <c r="L69" s="525"/>
    </row>
    <row r="70" spans="1:12" hidden="1">
      <c r="A70" s="568">
        <v>1</v>
      </c>
      <c r="B70" s="36">
        <v>68</v>
      </c>
      <c r="C70" s="569">
        <v>41145</v>
      </c>
      <c r="D70" s="560" t="s">
        <v>346</v>
      </c>
      <c r="E70" s="560" t="s">
        <v>372</v>
      </c>
      <c r="F70" s="498" t="s">
        <v>440</v>
      </c>
      <c r="G70" s="570" t="s">
        <v>408</v>
      </c>
      <c r="H70" s="570" t="s">
        <v>415</v>
      </c>
      <c r="I70" s="570" t="str">
        <f>Table1[[#This Row],[Staff]]</f>
        <v>Nicole</v>
      </c>
      <c r="J70" s="569">
        <f>Table1[[#This Row],[Date]]</f>
        <v>41145</v>
      </c>
      <c r="K70" s="525"/>
      <c r="L70" s="525"/>
    </row>
    <row r="71" spans="1:12" hidden="1">
      <c r="A71" s="568">
        <v>1</v>
      </c>
      <c r="B71" s="36">
        <v>69</v>
      </c>
      <c r="C71" s="569">
        <v>41145</v>
      </c>
      <c r="D71" s="560" t="s">
        <v>346</v>
      </c>
      <c r="E71" s="560" t="s">
        <v>369</v>
      </c>
      <c r="F71" s="498" t="s">
        <v>441</v>
      </c>
      <c r="G71" s="570" t="s">
        <v>442</v>
      </c>
      <c r="H71" s="570" t="s">
        <v>443</v>
      </c>
      <c r="I71" s="570" t="str">
        <f>Table1[[#This Row],[Staff]]</f>
        <v>Nicole</v>
      </c>
      <c r="J71" s="569">
        <f>Table1[[#This Row],[Date]]</f>
        <v>41145</v>
      </c>
      <c r="K71" s="525"/>
      <c r="L71" s="525"/>
    </row>
    <row r="72" spans="1:12" hidden="1">
      <c r="A72" s="568">
        <v>1</v>
      </c>
      <c r="B72" s="36">
        <v>70</v>
      </c>
      <c r="C72" s="569">
        <v>41145</v>
      </c>
      <c r="D72" s="560" t="s">
        <v>346</v>
      </c>
      <c r="E72" s="560" t="s">
        <v>58</v>
      </c>
      <c r="F72" s="498" t="s">
        <v>409</v>
      </c>
      <c r="G72" s="570" t="s">
        <v>408</v>
      </c>
      <c r="H72" s="570" t="s">
        <v>415</v>
      </c>
      <c r="I72" s="570" t="str">
        <f>Table1[[#This Row],[Staff]]</f>
        <v>Nicole</v>
      </c>
      <c r="J72" s="569">
        <f>Table1[[#This Row],[Date]]</f>
        <v>41145</v>
      </c>
      <c r="K72" s="525"/>
      <c r="L72" s="525"/>
    </row>
    <row r="73" spans="1:12" hidden="1">
      <c r="A73" s="568">
        <v>1</v>
      </c>
      <c r="B73" s="36">
        <v>71</v>
      </c>
      <c r="C73" s="569">
        <v>41145</v>
      </c>
      <c r="D73" s="560" t="s">
        <v>346</v>
      </c>
      <c r="E73" s="560" t="s">
        <v>58</v>
      </c>
      <c r="F73" s="498" t="s">
        <v>444</v>
      </c>
      <c r="G73" s="570" t="s">
        <v>408</v>
      </c>
      <c r="H73" s="570" t="s">
        <v>415</v>
      </c>
      <c r="I73" s="570" t="str">
        <f>Table1[[#This Row],[Staff]]</f>
        <v>Nicole</v>
      </c>
      <c r="J73" s="569">
        <f>Table1[[#This Row],[Date]]</f>
        <v>41145</v>
      </c>
      <c r="K73" s="525"/>
      <c r="L73" s="525"/>
    </row>
    <row r="74" spans="1:12" hidden="1">
      <c r="A74" s="568">
        <v>1</v>
      </c>
      <c r="B74" s="36">
        <v>72</v>
      </c>
      <c r="C74" s="569">
        <v>41145</v>
      </c>
      <c r="D74" s="560" t="s">
        <v>346</v>
      </c>
      <c r="E74" s="560" t="s">
        <v>58</v>
      </c>
      <c r="F74" s="498" t="s">
        <v>445</v>
      </c>
      <c r="G74" s="570" t="s">
        <v>408</v>
      </c>
      <c r="H74" s="570" t="s">
        <v>415</v>
      </c>
      <c r="I74" s="570" t="str">
        <f>Table1[[#This Row],[Staff]]</f>
        <v>Nicole</v>
      </c>
      <c r="J74" s="569">
        <f>Table1[[#This Row],[Date]]</f>
        <v>41145</v>
      </c>
      <c r="K74" s="525"/>
      <c r="L74" s="525"/>
    </row>
    <row r="75" spans="1:12" hidden="1">
      <c r="A75" s="568">
        <v>1</v>
      </c>
      <c r="B75" s="36">
        <v>73</v>
      </c>
      <c r="C75" s="569">
        <v>41145</v>
      </c>
      <c r="D75" s="560" t="s">
        <v>346</v>
      </c>
      <c r="E75" s="560" t="s">
        <v>58</v>
      </c>
      <c r="F75" s="498" t="s">
        <v>446</v>
      </c>
      <c r="G75" s="570" t="s">
        <v>408</v>
      </c>
      <c r="H75" s="570" t="s">
        <v>415</v>
      </c>
      <c r="I75" s="570" t="str">
        <f>Table1[[#This Row],[Staff]]</f>
        <v>Nicole</v>
      </c>
      <c r="J75" s="569">
        <f>Table1[[#This Row],[Date]]</f>
        <v>41145</v>
      </c>
      <c r="K75" s="525"/>
      <c r="L75" s="525"/>
    </row>
    <row r="76" spans="1:12" hidden="1">
      <c r="A76" s="568">
        <v>1</v>
      </c>
      <c r="B76" s="36">
        <v>74</v>
      </c>
      <c r="C76" s="569">
        <v>41145</v>
      </c>
      <c r="D76" s="560" t="s">
        <v>346</v>
      </c>
      <c r="E76" s="560" t="s">
        <v>58</v>
      </c>
      <c r="F76" s="498" t="s">
        <v>447</v>
      </c>
      <c r="G76" s="570" t="s">
        <v>408</v>
      </c>
      <c r="H76" s="570" t="s">
        <v>415</v>
      </c>
      <c r="I76" s="570" t="str">
        <f>Table1[[#This Row],[Staff]]</f>
        <v>Nicole</v>
      </c>
      <c r="J76" s="569">
        <f>Table1[[#This Row],[Date]]</f>
        <v>41145</v>
      </c>
      <c r="K76" s="525"/>
      <c r="L76" s="525"/>
    </row>
    <row r="77" spans="1:12" hidden="1">
      <c r="A77" s="568">
        <v>1</v>
      </c>
      <c r="B77" s="36">
        <v>75</v>
      </c>
      <c r="C77" s="569">
        <v>41145</v>
      </c>
      <c r="D77" s="560" t="s">
        <v>346</v>
      </c>
      <c r="E77" s="560" t="s">
        <v>58</v>
      </c>
      <c r="F77" s="498" t="s">
        <v>448</v>
      </c>
      <c r="G77" s="570" t="s">
        <v>408</v>
      </c>
      <c r="H77" s="570" t="s">
        <v>415</v>
      </c>
      <c r="I77" s="570" t="str">
        <f>Table1[[#This Row],[Staff]]</f>
        <v>Nicole</v>
      </c>
      <c r="J77" s="569">
        <f>Table1[[#This Row],[Date]]</f>
        <v>41145</v>
      </c>
      <c r="K77" s="525"/>
      <c r="L77" s="525"/>
    </row>
    <row r="78" spans="1:12" hidden="1">
      <c r="A78" s="568">
        <v>1</v>
      </c>
      <c r="B78" s="36">
        <v>76</v>
      </c>
      <c r="C78" s="569">
        <v>41145</v>
      </c>
      <c r="D78" s="573" t="s">
        <v>346</v>
      </c>
      <c r="E78" s="560" t="s">
        <v>377</v>
      </c>
      <c r="F78" s="498" t="s">
        <v>449</v>
      </c>
      <c r="G78" s="570" t="s">
        <v>408</v>
      </c>
      <c r="H78" s="570" t="s">
        <v>415</v>
      </c>
      <c r="I78" s="570" t="str">
        <f>Table1[[#This Row],[Staff]]</f>
        <v>Nicole</v>
      </c>
      <c r="J78" s="569">
        <f>Table1[[#This Row],[Date]]</f>
        <v>41145</v>
      </c>
      <c r="K78" s="525"/>
      <c r="L78" s="525"/>
    </row>
    <row r="79" spans="1:12" hidden="1">
      <c r="A79" s="568">
        <v>1</v>
      </c>
      <c r="B79" s="36">
        <v>77</v>
      </c>
      <c r="C79" s="569">
        <v>41145</v>
      </c>
      <c r="D79" s="573" t="s">
        <v>346</v>
      </c>
      <c r="E79" s="560" t="s">
        <v>377</v>
      </c>
      <c r="F79" s="498" t="s">
        <v>450</v>
      </c>
      <c r="G79" s="570" t="s">
        <v>408</v>
      </c>
      <c r="H79" s="570" t="s">
        <v>415</v>
      </c>
      <c r="I79" s="570" t="str">
        <f>Table1[[#This Row],[Staff]]</f>
        <v>Nicole</v>
      </c>
      <c r="J79" s="569">
        <f>Table1[[#This Row],[Date]]</f>
        <v>41145</v>
      </c>
      <c r="K79" s="525"/>
      <c r="L79" s="525"/>
    </row>
    <row r="80" spans="1:12" hidden="1">
      <c r="A80" s="568">
        <v>1</v>
      </c>
      <c r="B80" s="36">
        <v>78</v>
      </c>
      <c r="C80" s="569">
        <v>41145</v>
      </c>
      <c r="D80" s="573" t="s">
        <v>346</v>
      </c>
      <c r="E80" s="560" t="s">
        <v>377</v>
      </c>
      <c r="F80" s="498" t="s">
        <v>411</v>
      </c>
      <c r="G80" s="570" t="s">
        <v>408</v>
      </c>
      <c r="H80" s="570" t="s">
        <v>415</v>
      </c>
      <c r="I80" s="570" t="str">
        <f>Table1[[#This Row],[Staff]]</f>
        <v>Nicole</v>
      </c>
      <c r="J80" s="569">
        <f>Table1[[#This Row],[Date]]</f>
        <v>41145</v>
      </c>
      <c r="K80" s="525"/>
      <c r="L80" s="525"/>
    </row>
    <row r="81" spans="1:35" hidden="1">
      <c r="A81" s="568">
        <v>1</v>
      </c>
      <c r="B81" s="36">
        <v>79</v>
      </c>
      <c r="C81" s="569">
        <v>41145</v>
      </c>
      <c r="D81" s="573" t="s">
        <v>346</v>
      </c>
      <c r="E81" s="560" t="s">
        <v>377</v>
      </c>
      <c r="F81" s="498" t="s">
        <v>451</v>
      </c>
      <c r="G81" s="570" t="s">
        <v>408</v>
      </c>
      <c r="H81" s="570" t="s">
        <v>415</v>
      </c>
      <c r="I81" s="570" t="str">
        <f>Table1[[#This Row],[Staff]]</f>
        <v>Nicole</v>
      </c>
      <c r="J81" s="569">
        <f>Table1[[#This Row],[Date]]</f>
        <v>41145</v>
      </c>
      <c r="K81" s="525"/>
      <c r="L81" s="525"/>
    </row>
    <row r="82" spans="1:35" hidden="1">
      <c r="A82" s="568">
        <v>1</v>
      </c>
      <c r="B82" s="36">
        <v>80</v>
      </c>
      <c r="C82" s="569">
        <v>41145</v>
      </c>
      <c r="D82" s="573" t="s">
        <v>346</v>
      </c>
      <c r="E82" s="560" t="s">
        <v>377</v>
      </c>
      <c r="F82" s="498" t="s">
        <v>452</v>
      </c>
      <c r="G82" s="570" t="s">
        <v>408</v>
      </c>
      <c r="H82" s="570" t="s">
        <v>415</v>
      </c>
      <c r="I82" s="570" t="str">
        <f>Table1[[#This Row],[Staff]]</f>
        <v>Nicole</v>
      </c>
      <c r="J82" s="569">
        <f>Table1[[#This Row],[Date]]</f>
        <v>41145</v>
      </c>
      <c r="K82" s="525"/>
      <c r="L82" s="525"/>
    </row>
    <row r="83" spans="1:35" hidden="1">
      <c r="A83" s="568">
        <v>1</v>
      </c>
      <c r="B83" s="36">
        <v>81</v>
      </c>
      <c r="C83" s="569">
        <v>41145</v>
      </c>
      <c r="D83" s="573" t="s">
        <v>346</v>
      </c>
      <c r="E83" s="560" t="s">
        <v>377</v>
      </c>
      <c r="F83" s="498" t="s">
        <v>453</v>
      </c>
      <c r="G83" s="570" t="s">
        <v>408</v>
      </c>
      <c r="H83" s="570" t="s">
        <v>415</v>
      </c>
      <c r="I83" s="570" t="str">
        <f>Table1[[#This Row],[Staff]]</f>
        <v>Nicole</v>
      </c>
      <c r="J83" s="569">
        <f>Table1[[#This Row],[Date]]</f>
        <v>41145</v>
      </c>
      <c r="K83" s="525"/>
      <c r="L83" s="525"/>
    </row>
    <row r="84" spans="1:35" hidden="1">
      <c r="A84" s="568">
        <v>1</v>
      </c>
      <c r="B84" s="36">
        <v>82</v>
      </c>
      <c r="C84" s="569">
        <v>41148</v>
      </c>
      <c r="D84" s="575" t="s">
        <v>346</v>
      </c>
      <c r="E84" s="575" t="s">
        <v>379</v>
      </c>
      <c r="F84" s="498" t="s">
        <v>449</v>
      </c>
      <c r="G84" s="570" t="s">
        <v>408</v>
      </c>
      <c r="H84" s="570" t="s">
        <v>415</v>
      </c>
      <c r="I84" s="570" t="str">
        <f>Table1[[#This Row],[Staff]]</f>
        <v>Nicole</v>
      </c>
      <c r="J84" s="569">
        <f>Table1[[#This Row],[Date]]</f>
        <v>41148</v>
      </c>
      <c r="K84" s="525"/>
      <c r="L84" s="525"/>
    </row>
    <row r="85" spans="1:35" s="573" customFormat="1" hidden="1">
      <c r="A85" s="568">
        <v>1</v>
      </c>
      <c r="B85" s="36">
        <v>83</v>
      </c>
      <c r="C85" s="569">
        <v>41148</v>
      </c>
      <c r="D85" s="575" t="s">
        <v>346</v>
      </c>
      <c r="E85" s="575" t="s">
        <v>379</v>
      </c>
      <c r="F85" s="498" t="s">
        <v>458</v>
      </c>
      <c r="G85" s="570" t="s">
        <v>408</v>
      </c>
      <c r="H85" s="570" t="s">
        <v>415</v>
      </c>
      <c r="I85" s="570" t="str">
        <f>Table1[[#This Row],[Staff]]</f>
        <v>Nicole</v>
      </c>
      <c r="J85" s="569">
        <f>Table1[[#This Row],[Date]]</f>
        <v>41148</v>
      </c>
      <c r="K85" s="525"/>
      <c r="L85" s="525"/>
      <c r="AF85" s="498"/>
      <c r="AG85" s="498"/>
      <c r="AH85" s="498"/>
      <c r="AI85" s="498"/>
    </row>
    <row r="86" spans="1:35" s="573" customFormat="1" hidden="1">
      <c r="A86" s="568">
        <v>1</v>
      </c>
      <c r="B86" s="36">
        <v>84</v>
      </c>
      <c r="C86" s="569">
        <v>41148</v>
      </c>
      <c r="D86" s="575" t="s">
        <v>346</v>
      </c>
      <c r="E86" s="575" t="s">
        <v>379</v>
      </c>
      <c r="F86" s="498" t="s">
        <v>450</v>
      </c>
      <c r="G86" s="570" t="s">
        <v>408</v>
      </c>
      <c r="H86" s="570" t="s">
        <v>415</v>
      </c>
      <c r="I86" s="570" t="str">
        <f>Table1[[#This Row],[Staff]]</f>
        <v>Nicole</v>
      </c>
      <c r="J86" s="569">
        <f>Table1[[#This Row],[Date]]</f>
        <v>41148</v>
      </c>
      <c r="K86" s="525"/>
      <c r="L86" s="525"/>
      <c r="AF86" s="498"/>
      <c r="AG86" s="498"/>
      <c r="AH86" s="498"/>
      <c r="AI86" s="498"/>
    </row>
    <row r="87" spans="1:35" s="573" customFormat="1" hidden="1">
      <c r="A87" s="568">
        <v>1</v>
      </c>
      <c r="B87" s="36">
        <v>85</v>
      </c>
      <c r="C87" s="569">
        <v>41148</v>
      </c>
      <c r="D87" s="575" t="s">
        <v>346</v>
      </c>
      <c r="E87" s="575" t="s">
        <v>379</v>
      </c>
      <c r="F87" s="498" t="s">
        <v>411</v>
      </c>
      <c r="G87" s="570" t="s">
        <v>408</v>
      </c>
      <c r="H87" s="570" t="s">
        <v>415</v>
      </c>
      <c r="I87" s="570" t="str">
        <f>Table1[[#This Row],[Staff]]</f>
        <v>Nicole</v>
      </c>
      <c r="J87" s="569">
        <f>Table1[[#This Row],[Date]]</f>
        <v>41148</v>
      </c>
      <c r="K87" s="525"/>
      <c r="L87" s="525"/>
      <c r="AF87" s="498"/>
      <c r="AG87" s="498"/>
      <c r="AH87" s="498"/>
      <c r="AI87" s="498"/>
    </row>
    <row r="88" spans="1:35" s="573" customFormat="1" hidden="1">
      <c r="A88" s="568">
        <v>1</v>
      </c>
      <c r="B88" s="36">
        <v>86</v>
      </c>
      <c r="C88" s="569">
        <v>41148</v>
      </c>
      <c r="D88" s="575" t="s">
        <v>346</v>
      </c>
      <c r="E88" s="575" t="s">
        <v>379</v>
      </c>
      <c r="F88" s="498" t="s">
        <v>451</v>
      </c>
      <c r="G88" s="570" t="s">
        <v>408</v>
      </c>
      <c r="H88" s="570" t="s">
        <v>415</v>
      </c>
      <c r="I88" s="570" t="str">
        <f>Table1[[#This Row],[Staff]]</f>
        <v>Nicole</v>
      </c>
      <c r="J88" s="569">
        <f>Table1[[#This Row],[Date]]</f>
        <v>41148</v>
      </c>
      <c r="K88" s="525"/>
      <c r="L88" s="525"/>
      <c r="AF88" s="498"/>
      <c r="AG88" s="498"/>
      <c r="AH88" s="498"/>
      <c r="AI88" s="498"/>
    </row>
    <row r="89" spans="1:35" s="573" customFormat="1" hidden="1">
      <c r="A89" s="568">
        <v>1</v>
      </c>
      <c r="B89" s="36">
        <v>87</v>
      </c>
      <c r="C89" s="569">
        <v>41148</v>
      </c>
      <c r="D89" s="575" t="s">
        <v>346</v>
      </c>
      <c r="E89" s="575" t="s">
        <v>379</v>
      </c>
      <c r="F89" s="498" t="s">
        <v>452</v>
      </c>
      <c r="G89" s="570" t="s">
        <v>408</v>
      </c>
      <c r="H89" s="570" t="s">
        <v>415</v>
      </c>
      <c r="I89" s="570" t="str">
        <f>Table1[[#This Row],[Staff]]</f>
        <v>Nicole</v>
      </c>
      <c r="J89" s="569">
        <f>Table1[[#This Row],[Date]]</f>
        <v>41148</v>
      </c>
      <c r="K89" s="525"/>
      <c r="L89" s="525"/>
      <c r="AF89" s="498"/>
      <c r="AG89" s="498"/>
      <c r="AH89" s="498"/>
      <c r="AI89" s="498"/>
    </row>
    <row r="90" spans="1:35" s="573" customFormat="1" hidden="1">
      <c r="A90" s="568">
        <v>1</v>
      </c>
      <c r="B90" s="36">
        <v>88</v>
      </c>
      <c r="C90" s="569">
        <v>41148</v>
      </c>
      <c r="D90" s="575" t="s">
        <v>346</v>
      </c>
      <c r="E90" s="575" t="s">
        <v>379</v>
      </c>
      <c r="F90" s="498" t="s">
        <v>453</v>
      </c>
      <c r="G90" s="570" t="s">
        <v>408</v>
      </c>
      <c r="H90" s="570" t="s">
        <v>415</v>
      </c>
      <c r="I90" s="570" t="str">
        <f>Table1[[#This Row],[Staff]]</f>
        <v>Nicole</v>
      </c>
      <c r="J90" s="569">
        <f>Table1[[#This Row],[Date]]</f>
        <v>41148</v>
      </c>
      <c r="K90" s="525"/>
      <c r="L90" s="525"/>
      <c r="AF90" s="498"/>
      <c r="AG90" s="498"/>
      <c r="AH90" s="498"/>
      <c r="AI90" s="498"/>
    </row>
    <row r="91" spans="1:35" s="573" customFormat="1" hidden="1">
      <c r="A91" s="568">
        <v>1</v>
      </c>
      <c r="B91" s="36">
        <v>89</v>
      </c>
      <c r="C91" s="569">
        <v>41148</v>
      </c>
      <c r="D91" s="575" t="s">
        <v>346</v>
      </c>
      <c r="E91" s="575" t="s">
        <v>385</v>
      </c>
      <c r="F91" s="498" t="s">
        <v>449</v>
      </c>
      <c r="G91" s="570" t="s">
        <v>408</v>
      </c>
      <c r="H91" s="570" t="s">
        <v>415</v>
      </c>
      <c r="I91" s="570" t="str">
        <f>Table1[[#This Row],[Staff]]</f>
        <v>Nicole</v>
      </c>
      <c r="J91" s="569">
        <f>Table1[[#This Row],[Date]]</f>
        <v>41148</v>
      </c>
      <c r="K91" s="525"/>
      <c r="L91" s="525"/>
      <c r="AF91" s="498"/>
      <c r="AG91" s="498"/>
      <c r="AH91" s="498"/>
      <c r="AI91" s="498"/>
    </row>
    <row r="92" spans="1:35" s="573" customFormat="1" hidden="1">
      <c r="A92" s="568">
        <v>1</v>
      </c>
      <c r="B92" s="36">
        <v>90</v>
      </c>
      <c r="C92" s="569">
        <v>41148</v>
      </c>
      <c r="D92" s="575" t="s">
        <v>346</v>
      </c>
      <c r="E92" s="575" t="s">
        <v>385</v>
      </c>
      <c r="F92" s="498" t="s">
        <v>450</v>
      </c>
      <c r="G92" s="570" t="s">
        <v>408</v>
      </c>
      <c r="H92" s="570" t="s">
        <v>415</v>
      </c>
      <c r="I92" s="570" t="str">
        <f>Table1[[#This Row],[Staff]]</f>
        <v>Nicole</v>
      </c>
      <c r="J92" s="569">
        <f>Table1[[#This Row],[Date]]</f>
        <v>41148</v>
      </c>
      <c r="K92" s="525"/>
      <c r="L92" s="525"/>
      <c r="AF92" s="498"/>
      <c r="AG92" s="498"/>
      <c r="AH92" s="498"/>
      <c r="AI92" s="498"/>
    </row>
    <row r="93" spans="1:35" s="573" customFormat="1" hidden="1">
      <c r="A93" s="568">
        <v>1</v>
      </c>
      <c r="B93" s="36">
        <v>91</v>
      </c>
      <c r="C93" s="569">
        <v>41148</v>
      </c>
      <c r="D93" s="575" t="s">
        <v>346</v>
      </c>
      <c r="E93" s="575" t="s">
        <v>385</v>
      </c>
      <c r="F93" s="498" t="s">
        <v>411</v>
      </c>
      <c r="G93" s="570" t="s">
        <v>408</v>
      </c>
      <c r="H93" s="570" t="s">
        <v>415</v>
      </c>
      <c r="I93" s="570" t="str">
        <f>Table1[[#This Row],[Staff]]</f>
        <v>Nicole</v>
      </c>
      <c r="J93" s="569">
        <f>Table1[[#This Row],[Date]]</f>
        <v>41148</v>
      </c>
      <c r="K93" s="525"/>
      <c r="L93" s="525"/>
      <c r="AF93" s="498"/>
      <c r="AG93" s="498"/>
      <c r="AH93" s="498"/>
      <c r="AI93" s="498"/>
    </row>
    <row r="94" spans="1:35" s="573" customFormat="1" hidden="1">
      <c r="A94" s="568">
        <v>1</v>
      </c>
      <c r="B94" s="36">
        <v>92</v>
      </c>
      <c r="C94" s="569">
        <v>41148</v>
      </c>
      <c r="D94" s="575" t="s">
        <v>346</v>
      </c>
      <c r="E94" s="575" t="s">
        <v>385</v>
      </c>
      <c r="F94" s="498" t="s">
        <v>451</v>
      </c>
      <c r="G94" s="570" t="s">
        <v>408</v>
      </c>
      <c r="H94" s="570" t="s">
        <v>415</v>
      </c>
      <c r="I94" s="570" t="str">
        <f>Table1[[#This Row],[Staff]]</f>
        <v>Nicole</v>
      </c>
      <c r="J94" s="569">
        <f>Table1[[#This Row],[Date]]</f>
        <v>41148</v>
      </c>
      <c r="K94" s="525"/>
      <c r="L94" s="525"/>
      <c r="AF94" s="498"/>
      <c r="AG94" s="498"/>
      <c r="AH94" s="498"/>
      <c r="AI94" s="498"/>
    </row>
    <row r="95" spans="1:35" s="573" customFormat="1" hidden="1">
      <c r="A95" s="568">
        <v>1</v>
      </c>
      <c r="B95" s="36">
        <v>93</v>
      </c>
      <c r="C95" s="569">
        <v>41148</v>
      </c>
      <c r="D95" s="575" t="s">
        <v>346</v>
      </c>
      <c r="E95" s="575" t="s">
        <v>385</v>
      </c>
      <c r="F95" s="498" t="s">
        <v>452</v>
      </c>
      <c r="G95" s="570" t="s">
        <v>408</v>
      </c>
      <c r="H95" s="570" t="s">
        <v>415</v>
      </c>
      <c r="I95" s="570" t="str">
        <f>Table1[[#This Row],[Staff]]</f>
        <v>Nicole</v>
      </c>
      <c r="J95" s="569">
        <f>Table1[[#This Row],[Date]]</f>
        <v>41148</v>
      </c>
      <c r="K95" s="525"/>
      <c r="L95" s="525"/>
      <c r="AF95" s="498"/>
      <c r="AG95" s="498"/>
      <c r="AH95" s="498"/>
      <c r="AI95" s="498"/>
    </row>
    <row r="96" spans="1:35" s="573" customFormat="1" hidden="1">
      <c r="A96" s="568">
        <v>1</v>
      </c>
      <c r="B96" s="36">
        <v>94</v>
      </c>
      <c r="C96" s="569">
        <v>41148</v>
      </c>
      <c r="D96" s="575" t="s">
        <v>346</v>
      </c>
      <c r="E96" s="575" t="s">
        <v>385</v>
      </c>
      <c r="F96" s="498" t="s">
        <v>453</v>
      </c>
      <c r="G96" s="570" t="s">
        <v>408</v>
      </c>
      <c r="H96" s="570" t="s">
        <v>415</v>
      </c>
      <c r="I96" s="570" t="str">
        <f>Table1[[#This Row],[Staff]]</f>
        <v>Nicole</v>
      </c>
      <c r="J96" s="569">
        <f>Table1[[#This Row],[Date]]</f>
        <v>41148</v>
      </c>
      <c r="K96" s="525"/>
      <c r="L96" s="525"/>
      <c r="AF96" s="498"/>
      <c r="AG96" s="498"/>
      <c r="AH96" s="498"/>
      <c r="AI96" s="498"/>
    </row>
    <row r="97" spans="1:35" s="573" customFormat="1" hidden="1">
      <c r="A97" s="568">
        <v>1</v>
      </c>
      <c r="B97" s="36">
        <v>95</v>
      </c>
      <c r="C97" s="569">
        <v>41148</v>
      </c>
      <c r="D97" s="575" t="s">
        <v>346</v>
      </c>
      <c r="E97" s="575" t="s">
        <v>385</v>
      </c>
      <c r="F97" s="498" t="s">
        <v>459</v>
      </c>
      <c r="G97" s="570" t="s">
        <v>408</v>
      </c>
      <c r="H97" s="570" t="s">
        <v>415</v>
      </c>
      <c r="I97" s="570" t="str">
        <f>Table1[[#This Row],[Staff]]</f>
        <v>Nicole</v>
      </c>
      <c r="J97" s="569">
        <f>Table1[[#This Row],[Date]]</f>
        <v>41148</v>
      </c>
      <c r="K97" s="525"/>
      <c r="L97" s="525"/>
      <c r="AF97" s="498"/>
      <c r="AG97" s="498"/>
      <c r="AH97" s="498"/>
      <c r="AI97" s="498"/>
    </row>
    <row r="98" spans="1:35" s="573" customFormat="1" hidden="1">
      <c r="A98" s="568">
        <v>1</v>
      </c>
      <c r="B98" s="36">
        <v>96</v>
      </c>
      <c r="C98" s="569">
        <v>41148</v>
      </c>
      <c r="D98" s="575" t="s">
        <v>346</v>
      </c>
      <c r="E98" s="575" t="s">
        <v>385</v>
      </c>
      <c r="F98" s="498" t="s">
        <v>460</v>
      </c>
      <c r="G98" s="570" t="s">
        <v>408</v>
      </c>
      <c r="H98" s="570" t="s">
        <v>415</v>
      </c>
      <c r="I98" s="570" t="str">
        <f>Table1[[#This Row],[Staff]]</f>
        <v>Nicole</v>
      </c>
      <c r="J98" s="569">
        <f>Table1[[#This Row],[Date]]</f>
        <v>41148</v>
      </c>
      <c r="K98" s="525"/>
      <c r="L98" s="525"/>
      <c r="AF98" s="498"/>
      <c r="AG98" s="498"/>
      <c r="AH98" s="498"/>
      <c r="AI98" s="498"/>
    </row>
    <row r="99" spans="1:35" s="573" customFormat="1" hidden="1">
      <c r="A99" s="568">
        <v>1</v>
      </c>
      <c r="B99" s="36">
        <v>97</v>
      </c>
      <c r="C99" s="569">
        <v>41148</v>
      </c>
      <c r="D99" s="575" t="s">
        <v>346</v>
      </c>
      <c r="E99" s="578" t="s">
        <v>390</v>
      </c>
      <c r="F99" s="498" t="s">
        <v>449</v>
      </c>
      <c r="G99" s="570" t="s">
        <v>408</v>
      </c>
      <c r="H99" s="570" t="s">
        <v>415</v>
      </c>
      <c r="I99" s="570" t="str">
        <f>Table1[[#This Row],[Staff]]</f>
        <v>Nicole</v>
      </c>
      <c r="J99" s="569">
        <f>Table1[[#This Row],[Date]]</f>
        <v>41148</v>
      </c>
      <c r="K99" s="525"/>
      <c r="L99" s="525"/>
      <c r="AF99" s="498"/>
      <c r="AG99" s="498"/>
      <c r="AH99" s="498"/>
      <c r="AI99" s="498"/>
    </row>
    <row r="100" spans="1:35" s="573" customFormat="1" hidden="1">
      <c r="A100" s="568">
        <v>1</v>
      </c>
      <c r="B100" s="36">
        <v>98</v>
      </c>
      <c r="C100" s="569">
        <v>41148</v>
      </c>
      <c r="D100" s="575" t="s">
        <v>346</v>
      </c>
      <c r="E100" s="578" t="s">
        <v>390</v>
      </c>
      <c r="F100" s="498" t="s">
        <v>450</v>
      </c>
      <c r="G100" s="570" t="s">
        <v>408</v>
      </c>
      <c r="H100" s="570" t="s">
        <v>415</v>
      </c>
      <c r="I100" s="570" t="str">
        <f>Table1[[#This Row],[Staff]]</f>
        <v>Nicole</v>
      </c>
      <c r="J100" s="569">
        <f>Table1[[#This Row],[Date]]</f>
        <v>41148</v>
      </c>
      <c r="K100" s="525"/>
      <c r="L100" s="525"/>
      <c r="AF100" s="498"/>
      <c r="AG100" s="498"/>
      <c r="AH100" s="498"/>
      <c r="AI100" s="498"/>
    </row>
    <row r="101" spans="1:35" s="573" customFormat="1" hidden="1">
      <c r="A101" s="568">
        <v>1</v>
      </c>
      <c r="B101" s="36">
        <v>99</v>
      </c>
      <c r="C101" s="569">
        <v>41148</v>
      </c>
      <c r="D101" s="578" t="s">
        <v>346</v>
      </c>
      <c r="E101" s="578" t="s">
        <v>390</v>
      </c>
      <c r="F101" s="498" t="s">
        <v>411</v>
      </c>
      <c r="G101" s="570" t="s">
        <v>408</v>
      </c>
      <c r="H101" s="570" t="s">
        <v>415</v>
      </c>
      <c r="I101" s="570" t="str">
        <f>Table1[[#This Row],[Staff]]</f>
        <v>Nicole</v>
      </c>
      <c r="J101" s="569">
        <f>Table1[[#This Row],[Date]]</f>
        <v>41148</v>
      </c>
      <c r="K101" s="525"/>
      <c r="L101" s="525"/>
      <c r="AF101" s="498"/>
      <c r="AG101" s="498"/>
      <c r="AH101" s="498"/>
      <c r="AI101" s="498"/>
    </row>
    <row r="102" spans="1:35" s="573" customFormat="1" hidden="1">
      <c r="A102" s="568">
        <v>1</v>
      </c>
      <c r="B102" s="36">
        <v>100</v>
      </c>
      <c r="C102" s="569">
        <v>41148</v>
      </c>
      <c r="D102" s="578" t="s">
        <v>346</v>
      </c>
      <c r="E102" s="578" t="s">
        <v>390</v>
      </c>
      <c r="F102" s="498" t="s">
        <v>451</v>
      </c>
      <c r="G102" s="570" t="s">
        <v>408</v>
      </c>
      <c r="H102" s="570" t="s">
        <v>415</v>
      </c>
      <c r="I102" s="570" t="str">
        <f>Table1[[#This Row],[Staff]]</f>
        <v>Nicole</v>
      </c>
      <c r="J102" s="569">
        <f>Table1[[#This Row],[Date]]</f>
        <v>41148</v>
      </c>
      <c r="K102" s="525"/>
      <c r="L102" s="525"/>
      <c r="AF102" s="498"/>
      <c r="AG102" s="498"/>
      <c r="AH102" s="498"/>
      <c r="AI102" s="498"/>
    </row>
    <row r="103" spans="1:35" s="573" customFormat="1" hidden="1">
      <c r="A103" s="568">
        <v>1</v>
      </c>
      <c r="B103" s="36">
        <v>101</v>
      </c>
      <c r="C103" s="569">
        <v>41148</v>
      </c>
      <c r="D103" s="578" t="s">
        <v>346</v>
      </c>
      <c r="E103" s="578" t="s">
        <v>390</v>
      </c>
      <c r="F103" s="498" t="s">
        <v>452</v>
      </c>
      <c r="G103" s="570" t="s">
        <v>408</v>
      </c>
      <c r="H103" s="570" t="s">
        <v>415</v>
      </c>
      <c r="I103" s="570" t="str">
        <f>Table1[[#This Row],[Staff]]</f>
        <v>Nicole</v>
      </c>
      <c r="J103" s="569">
        <f>Table1[[#This Row],[Date]]</f>
        <v>41148</v>
      </c>
      <c r="K103" s="525"/>
      <c r="L103" s="525"/>
      <c r="AF103" s="498"/>
      <c r="AG103" s="498"/>
      <c r="AH103" s="498"/>
      <c r="AI103" s="498"/>
    </row>
    <row r="104" spans="1:35" s="573" customFormat="1" hidden="1">
      <c r="A104" s="568">
        <v>1</v>
      </c>
      <c r="B104" s="36">
        <v>102</v>
      </c>
      <c r="C104" s="569">
        <v>41148</v>
      </c>
      <c r="D104" s="578" t="s">
        <v>346</v>
      </c>
      <c r="E104" s="578" t="s">
        <v>390</v>
      </c>
      <c r="F104" s="498" t="s">
        <v>453</v>
      </c>
      <c r="G104" s="570" t="s">
        <v>408</v>
      </c>
      <c r="H104" s="570" t="s">
        <v>415</v>
      </c>
      <c r="I104" s="570" t="str">
        <f>Table1[[#This Row],[Staff]]</f>
        <v>Nicole</v>
      </c>
      <c r="J104" s="569">
        <f>Table1[[#This Row],[Date]]</f>
        <v>41148</v>
      </c>
      <c r="K104" s="525"/>
      <c r="L104" s="525"/>
      <c r="AF104" s="498"/>
      <c r="AG104" s="498"/>
      <c r="AH104" s="498"/>
      <c r="AI104" s="498"/>
    </row>
    <row r="105" spans="1:35" s="573" customFormat="1" hidden="1">
      <c r="A105" s="568">
        <v>1</v>
      </c>
      <c r="B105" s="36">
        <v>103</v>
      </c>
      <c r="C105" s="569">
        <v>41148</v>
      </c>
      <c r="D105" s="578" t="s">
        <v>346</v>
      </c>
      <c r="E105" s="578" t="s">
        <v>393</v>
      </c>
      <c r="F105" s="498" t="s">
        <v>449</v>
      </c>
      <c r="G105" s="570" t="s">
        <v>408</v>
      </c>
      <c r="H105" s="570" t="s">
        <v>415</v>
      </c>
      <c r="I105" s="570" t="str">
        <f>Table1[[#This Row],[Staff]]</f>
        <v>Nicole</v>
      </c>
      <c r="J105" s="569">
        <f>Table1[[#This Row],[Date]]</f>
        <v>41148</v>
      </c>
      <c r="K105" s="525"/>
      <c r="L105" s="525"/>
      <c r="AF105" s="498"/>
      <c r="AG105" s="498"/>
      <c r="AH105" s="498"/>
      <c r="AI105" s="498"/>
    </row>
    <row r="106" spans="1:35" s="573" customFormat="1" hidden="1">
      <c r="A106" s="568">
        <v>1</v>
      </c>
      <c r="B106" s="36">
        <v>104</v>
      </c>
      <c r="C106" s="569">
        <v>41148</v>
      </c>
      <c r="D106" s="578" t="s">
        <v>346</v>
      </c>
      <c r="E106" s="578" t="s">
        <v>393</v>
      </c>
      <c r="F106" s="498" t="s">
        <v>450</v>
      </c>
      <c r="G106" s="570" t="s">
        <v>408</v>
      </c>
      <c r="H106" s="570" t="s">
        <v>415</v>
      </c>
      <c r="I106" s="570" t="str">
        <f>Table1[[#This Row],[Staff]]</f>
        <v>Nicole</v>
      </c>
      <c r="J106" s="569">
        <f>Table1[[#This Row],[Date]]</f>
        <v>41148</v>
      </c>
      <c r="K106" s="525"/>
      <c r="L106" s="525"/>
      <c r="AF106" s="498"/>
      <c r="AG106" s="498"/>
      <c r="AH106" s="498"/>
      <c r="AI106" s="498"/>
    </row>
    <row r="107" spans="1:35" s="573" customFormat="1" hidden="1">
      <c r="A107" s="568">
        <v>1</v>
      </c>
      <c r="B107" s="36">
        <v>105</v>
      </c>
      <c r="C107" s="569">
        <v>41148</v>
      </c>
      <c r="D107" s="578" t="s">
        <v>346</v>
      </c>
      <c r="E107" s="578" t="s">
        <v>73</v>
      </c>
      <c r="F107" s="498" t="s">
        <v>458</v>
      </c>
      <c r="G107" s="570" t="s">
        <v>408</v>
      </c>
      <c r="H107" s="570" t="s">
        <v>415</v>
      </c>
      <c r="I107" s="570" t="str">
        <f>Table1[[#This Row],[Staff]]</f>
        <v>Nicole</v>
      </c>
      <c r="J107" s="569">
        <f>Table1[[#This Row],[Date]]</f>
        <v>41148</v>
      </c>
      <c r="K107" s="525"/>
      <c r="L107" s="525"/>
      <c r="AF107" s="498"/>
      <c r="AG107" s="498"/>
      <c r="AH107" s="498"/>
      <c r="AI107" s="498"/>
    </row>
    <row r="108" spans="1:35" s="573" customFormat="1" hidden="1">
      <c r="A108" s="568">
        <v>1</v>
      </c>
      <c r="B108" s="36">
        <v>106</v>
      </c>
      <c r="C108" s="569">
        <v>41148</v>
      </c>
      <c r="D108" s="578" t="s">
        <v>346</v>
      </c>
      <c r="E108" s="578" t="s">
        <v>73</v>
      </c>
      <c r="F108" s="498" t="s">
        <v>461</v>
      </c>
      <c r="G108" s="570" t="s">
        <v>408</v>
      </c>
      <c r="H108" s="570" t="s">
        <v>415</v>
      </c>
      <c r="I108" s="570" t="str">
        <f>Table1[[#This Row],[Staff]]</f>
        <v>Nicole</v>
      </c>
      <c r="J108" s="569">
        <f>Table1[[#This Row],[Date]]</f>
        <v>41148</v>
      </c>
      <c r="K108" s="525"/>
      <c r="L108" s="525"/>
      <c r="AF108" s="498"/>
      <c r="AG108" s="498"/>
      <c r="AH108" s="498"/>
      <c r="AI108" s="498"/>
    </row>
    <row r="109" spans="1:35" s="573" customFormat="1" hidden="1">
      <c r="A109" s="568">
        <v>1</v>
      </c>
      <c r="B109" s="36">
        <v>107</v>
      </c>
      <c r="C109" s="569">
        <v>41148</v>
      </c>
      <c r="D109" s="578" t="s">
        <v>346</v>
      </c>
      <c r="E109" s="578" t="s">
        <v>73</v>
      </c>
      <c r="F109" s="498" t="s">
        <v>462</v>
      </c>
      <c r="G109" s="570" t="s">
        <v>408</v>
      </c>
      <c r="H109" s="570" t="s">
        <v>415</v>
      </c>
      <c r="I109" s="570" t="str">
        <f>Table1[[#This Row],[Staff]]</f>
        <v>Nicole</v>
      </c>
      <c r="J109" s="569">
        <f>Table1[[#This Row],[Date]]</f>
        <v>41148</v>
      </c>
      <c r="K109" s="525"/>
      <c r="L109" s="525"/>
      <c r="AF109" s="498"/>
      <c r="AG109" s="498"/>
      <c r="AH109" s="498"/>
      <c r="AI109" s="498"/>
    </row>
    <row r="110" spans="1:35" s="573" customFormat="1" hidden="1">
      <c r="A110" s="568">
        <v>1</v>
      </c>
      <c r="B110" s="36">
        <v>108</v>
      </c>
      <c r="C110" s="569">
        <v>41148</v>
      </c>
      <c r="D110" s="578" t="s">
        <v>346</v>
      </c>
      <c r="E110" s="578" t="s">
        <v>73</v>
      </c>
      <c r="F110" s="498" t="s">
        <v>463</v>
      </c>
      <c r="G110" s="570" t="s">
        <v>408</v>
      </c>
      <c r="H110" s="570" t="s">
        <v>415</v>
      </c>
      <c r="I110" s="570" t="str">
        <f>Table1[[#This Row],[Staff]]</f>
        <v>Nicole</v>
      </c>
      <c r="J110" s="569">
        <f>Table1[[#This Row],[Date]]</f>
        <v>41148</v>
      </c>
      <c r="K110" s="525"/>
      <c r="L110" s="525"/>
      <c r="AF110" s="498"/>
      <c r="AG110" s="498"/>
      <c r="AH110" s="498"/>
      <c r="AI110" s="498"/>
    </row>
    <row r="111" spans="1:35" hidden="1">
      <c r="A111" s="568">
        <v>1</v>
      </c>
      <c r="B111" s="36">
        <v>109</v>
      </c>
      <c r="C111" s="569">
        <v>41148</v>
      </c>
      <c r="D111" s="578" t="s">
        <v>346</v>
      </c>
      <c r="E111" s="578" t="s">
        <v>73</v>
      </c>
      <c r="F111" s="498" t="s">
        <v>464</v>
      </c>
      <c r="G111" s="570" t="s">
        <v>408</v>
      </c>
      <c r="H111" s="570" t="s">
        <v>415</v>
      </c>
      <c r="I111" s="570" t="str">
        <f>Table1[[#This Row],[Staff]]</f>
        <v>Nicole</v>
      </c>
      <c r="J111" s="569">
        <f>Table1[[#This Row],[Date]]</f>
        <v>41148</v>
      </c>
      <c r="K111" s="525"/>
      <c r="L111" s="525"/>
    </row>
    <row r="112" spans="1:35" hidden="1">
      <c r="A112" s="568">
        <v>1</v>
      </c>
      <c r="B112" s="36">
        <v>110</v>
      </c>
      <c r="C112" s="569">
        <v>41148</v>
      </c>
      <c r="D112" s="578" t="s">
        <v>346</v>
      </c>
      <c r="E112" s="578" t="s">
        <v>73</v>
      </c>
      <c r="F112" s="498" t="s">
        <v>465</v>
      </c>
      <c r="G112" s="570" t="s">
        <v>408</v>
      </c>
      <c r="H112" s="570" t="s">
        <v>415</v>
      </c>
      <c r="I112" s="570" t="str">
        <f>Table1[[#This Row],[Staff]]</f>
        <v>Nicole</v>
      </c>
      <c r="J112" s="569">
        <f>Table1[[#This Row],[Date]]</f>
        <v>41148</v>
      </c>
      <c r="K112" s="525"/>
      <c r="L112" s="525"/>
    </row>
    <row r="113" spans="1:35" s="573" customFormat="1" hidden="1">
      <c r="A113" s="568">
        <v>1</v>
      </c>
      <c r="B113" s="36">
        <v>111</v>
      </c>
      <c r="C113" s="569">
        <v>41148</v>
      </c>
      <c r="D113" s="578" t="s">
        <v>346</v>
      </c>
      <c r="E113" s="578" t="s">
        <v>82</v>
      </c>
      <c r="F113" s="498" t="s">
        <v>449</v>
      </c>
      <c r="G113" s="570" t="s">
        <v>408</v>
      </c>
      <c r="H113" s="570" t="s">
        <v>415</v>
      </c>
      <c r="I113" s="570" t="str">
        <f>Table1[[#This Row],[Staff]]</f>
        <v>Nicole</v>
      </c>
      <c r="J113" s="569">
        <f>Table1[[#This Row],[Date]]</f>
        <v>41148</v>
      </c>
      <c r="K113" s="525"/>
      <c r="L113" s="525"/>
      <c r="AF113" s="498"/>
      <c r="AG113" s="498"/>
      <c r="AH113" s="498"/>
      <c r="AI113" s="498"/>
    </row>
    <row r="114" spans="1:35" s="573" customFormat="1" hidden="1">
      <c r="A114" s="568">
        <v>1</v>
      </c>
      <c r="B114" s="36">
        <v>112</v>
      </c>
      <c r="C114" s="569">
        <v>41148</v>
      </c>
      <c r="D114" s="578" t="s">
        <v>346</v>
      </c>
      <c r="E114" s="578" t="s">
        <v>82</v>
      </c>
      <c r="F114" s="498" t="s">
        <v>450</v>
      </c>
      <c r="G114" s="570" t="s">
        <v>408</v>
      </c>
      <c r="H114" s="570" t="s">
        <v>415</v>
      </c>
      <c r="I114" s="570" t="str">
        <f>Table1[[#This Row],[Staff]]</f>
        <v>Nicole</v>
      </c>
      <c r="J114" s="569">
        <f>Table1[[#This Row],[Date]]</f>
        <v>41148</v>
      </c>
      <c r="K114" s="525"/>
      <c r="L114" s="525"/>
      <c r="AF114" s="498"/>
      <c r="AG114" s="498"/>
      <c r="AH114" s="498"/>
      <c r="AI114" s="498"/>
    </row>
    <row r="115" spans="1:35" s="573" customFormat="1" hidden="1">
      <c r="A115" s="568">
        <v>1</v>
      </c>
      <c r="B115" s="36">
        <v>113</v>
      </c>
      <c r="C115" s="569">
        <v>41148</v>
      </c>
      <c r="D115" s="578" t="s">
        <v>346</v>
      </c>
      <c r="E115" s="578" t="s">
        <v>82</v>
      </c>
      <c r="F115" s="498" t="s">
        <v>411</v>
      </c>
      <c r="G115" s="570" t="s">
        <v>408</v>
      </c>
      <c r="H115" s="570" t="s">
        <v>415</v>
      </c>
      <c r="I115" s="570" t="str">
        <f>Table1[[#This Row],[Staff]]</f>
        <v>Nicole</v>
      </c>
      <c r="J115" s="569">
        <f>Table1[[#This Row],[Date]]</f>
        <v>41148</v>
      </c>
      <c r="K115" s="525"/>
      <c r="L115" s="525"/>
      <c r="AF115" s="498"/>
      <c r="AG115" s="498"/>
      <c r="AH115" s="498"/>
      <c r="AI115" s="498"/>
    </row>
    <row r="116" spans="1:35" s="573" customFormat="1" hidden="1">
      <c r="A116" s="568">
        <v>1</v>
      </c>
      <c r="B116" s="36">
        <v>114</v>
      </c>
      <c r="C116" s="569">
        <v>41148</v>
      </c>
      <c r="D116" s="578" t="s">
        <v>346</v>
      </c>
      <c r="E116" s="578" t="s">
        <v>82</v>
      </c>
      <c r="F116" s="498" t="s">
        <v>451</v>
      </c>
      <c r="G116" s="570" t="s">
        <v>408</v>
      </c>
      <c r="H116" s="570" t="s">
        <v>415</v>
      </c>
      <c r="I116" s="570" t="str">
        <f>Table1[[#This Row],[Staff]]</f>
        <v>Nicole</v>
      </c>
      <c r="J116" s="569">
        <f>Table1[[#This Row],[Date]]</f>
        <v>41148</v>
      </c>
      <c r="K116" s="525"/>
      <c r="L116" s="525"/>
      <c r="AF116" s="498"/>
      <c r="AG116" s="498"/>
      <c r="AH116" s="498"/>
      <c r="AI116" s="498"/>
    </row>
    <row r="117" spans="1:35" s="573" customFormat="1" hidden="1">
      <c r="A117" s="568">
        <v>1</v>
      </c>
      <c r="B117" s="36">
        <v>115</v>
      </c>
      <c r="C117" s="569">
        <v>41148</v>
      </c>
      <c r="D117" s="578" t="s">
        <v>346</v>
      </c>
      <c r="E117" s="578" t="s">
        <v>82</v>
      </c>
      <c r="F117" s="498" t="s">
        <v>452</v>
      </c>
      <c r="G117" s="570" t="s">
        <v>408</v>
      </c>
      <c r="H117" s="570" t="s">
        <v>415</v>
      </c>
      <c r="I117" s="570" t="str">
        <f>Table1[[#This Row],[Staff]]</f>
        <v>Nicole</v>
      </c>
      <c r="J117" s="569">
        <f>Table1[[#This Row],[Date]]</f>
        <v>41148</v>
      </c>
      <c r="K117" s="525"/>
      <c r="L117" s="525"/>
      <c r="AF117" s="498"/>
      <c r="AG117" s="498"/>
      <c r="AH117" s="498"/>
      <c r="AI117" s="498"/>
    </row>
    <row r="118" spans="1:35" s="573" customFormat="1" hidden="1">
      <c r="A118" s="568">
        <v>1</v>
      </c>
      <c r="B118" s="36">
        <v>116</v>
      </c>
      <c r="C118" s="569">
        <v>41148</v>
      </c>
      <c r="D118" s="578" t="s">
        <v>346</v>
      </c>
      <c r="E118" s="578" t="s">
        <v>82</v>
      </c>
      <c r="F118" s="498" t="s">
        <v>453</v>
      </c>
      <c r="G118" s="570" t="s">
        <v>408</v>
      </c>
      <c r="H118" s="570" t="s">
        <v>415</v>
      </c>
      <c r="I118" s="570" t="str">
        <f>Table1[[#This Row],[Staff]]</f>
        <v>Nicole</v>
      </c>
      <c r="J118" s="569">
        <f>Table1[[#This Row],[Date]]</f>
        <v>41148</v>
      </c>
      <c r="K118" s="525"/>
      <c r="L118" s="525"/>
      <c r="AF118" s="498"/>
      <c r="AG118" s="498"/>
      <c r="AH118" s="498"/>
      <c r="AI118" s="498"/>
    </row>
    <row r="119" spans="1:35" s="573" customFormat="1" hidden="1">
      <c r="A119" s="568">
        <v>1</v>
      </c>
      <c r="B119" s="36">
        <v>117</v>
      </c>
      <c r="C119" s="569">
        <v>41148</v>
      </c>
      <c r="D119" s="578" t="s">
        <v>346</v>
      </c>
      <c r="E119" s="578" t="s">
        <v>82</v>
      </c>
      <c r="F119" s="498" t="s">
        <v>459</v>
      </c>
      <c r="G119" s="570" t="s">
        <v>408</v>
      </c>
      <c r="H119" s="570" t="s">
        <v>415</v>
      </c>
      <c r="I119" s="570" t="str">
        <f>Table1[[#This Row],[Staff]]</f>
        <v>Nicole</v>
      </c>
      <c r="J119" s="569">
        <f>Table1[[#This Row],[Date]]</f>
        <v>41148</v>
      </c>
      <c r="K119" s="525"/>
      <c r="L119" s="525"/>
      <c r="AF119" s="498"/>
      <c r="AG119" s="498"/>
      <c r="AH119" s="498"/>
      <c r="AI119" s="498"/>
    </row>
    <row r="120" spans="1:35" s="573" customFormat="1" hidden="1">
      <c r="A120" s="568">
        <v>1</v>
      </c>
      <c r="B120" s="36">
        <v>118</v>
      </c>
      <c r="C120" s="569">
        <v>41148</v>
      </c>
      <c r="D120" s="578" t="s">
        <v>346</v>
      </c>
      <c r="E120" s="578" t="s">
        <v>82</v>
      </c>
      <c r="F120" s="498" t="s">
        <v>460</v>
      </c>
      <c r="G120" s="570" t="s">
        <v>408</v>
      </c>
      <c r="H120" s="570" t="s">
        <v>415</v>
      </c>
      <c r="I120" s="570" t="str">
        <f>Table1[[#This Row],[Staff]]</f>
        <v>Nicole</v>
      </c>
      <c r="J120" s="569">
        <f>Table1[[#This Row],[Date]]</f>
        <v>41148</v>
      </c>
      <c r="K120" s="525"/>
      <c r="L120" s="525"/>
      <c r="AF120" s="498"/>
      <c r="AG120" s="498"/>
      <c r="AH120" s="498"/>
      <c r="AI120" s="498"/>
    </row>
    <row r="121" spans="1:35" s="573" customFormat="1" hidden="1">
      <c r="A121" s="568">
        <v>1</v>
      </c>
      <c r="B121" s="36">
        <v>119</v>
      </c>
      <c r="C121" s="569">
        <v>41148</v>
      </c>
      <c r="D121" s="578" t="s">
        <v>346</v>
      </c>
      <c r="E121" s="578" t="s">
        <v>82</v>
      </c>
      <c r="F121" s="498" t="s">
        <v>466</v>
      </c>
      <c r="G121" s="570" t="s">
        <v>408</v>
      </c>
      <c r="H121" s="570" t="s">
        <v>415</v>
      </c>
      <c r="I121" s="570" t="str">
        <f>Table1[[#This Row],[Staff]]</f>
        <v>Nicole</v>
      </c>
      <c r="J121" s="569">
        <f>Table1[[#This Row],[Date]]</f>
        <v>41148</v>
      </c>
      <c r="K121" s="525"/>
      <c r="L121" s="525"/>
      <c r="AF121" s="498"/>
      <c r="AG121" s="498"/>
      <c r="AH121" s="498"/>
      <c r="AI121" s="498"/>
    </row>
    <row r="122" spans="1:35" s="573" customFormat="1" hidden="1">
      <c r="A122" s="568">
        <v>1</v>
      </c>
      <c r="B122" s="36">
        <v>120</v>
      </c>
      <c r="C122" s="569">
        <v>41148</v>
      </c>
      <c r="D122" s="578" t="s">
        <v>346</v>
      </c>
      <c r="E122" s="578" t="s">
        <v>82</v>
      </c>
      <c r="F122" s="498" t="s">
        <v>467</v>
      </c>
      <c r="G122" s="570" t="s">
        <v>408</v>
      </c>
      <c r="H122" s="570" t="s">
        <v>415</v>
      </c>
      <c r="I122" s="570" t="str">
        <f>Table1[[#This Row],[Staff]]</f>
        <v>Nicole</v>
      </c>
      <c r="J122" s="569">
        <f>Table1[[#This Row],[Date]]</f>
        <v>41148</v>
      </c>
      <c r="K122" s="525"/>
      <c r="L122" s="525"/>
      <c r="AF122" s="498"/>
      <c r="AG122" s="498"/>
      <c r="AH122" s="498"/>
      <c r="AI122" s="498"/>
    </row>
    <row r="123" spans="1:35" s="573" customFormat="1" hidden="1">
      <c r="A123" s="568">
        <v>1</v>
      </c>
      <c r="B123" s="36">
        <v>121</v>
      </c>
      <c r="C123" s="569">
        <v>41148</v>
      </c>
      <c r="D123" s="578" t="s">
        <v>346</v>
      </c>
      <c r="E123" s="578" t="s">
        <v>82</v>
      </c>
      <c r="F123" s="498" t="s">
        <v>468</v>
      </c>
      <c r="G123" s="570" t="s">
        <v>408</v>
      </c>
      <c r="H123" s="570" t="s">
        <v>415</v>
      </c>
      <c r="I123" s="570" t="str">
        <f>Table1[[#This Row],[Staff]]</f>
        <v>Nicole</v>
      </c>
      <c r="J123" s="569">
        <f>Table1[[#This Row],[Date]]</f>
        <v>41148</v>
      </c>
      <c r="K123" s="525"/>
      <c r="L123" s="525"/>
      <c r="AF123" s="498"/>
      <c r="AG123" s="498"/>
      <c r="AH123" s="498"/>
      <c r="AI123" s="498"/>
    </row>
    <row r="124" spans="1:35" s="573" customFormat="1" hidden="1">
      <c r="A124" s="568">
        <v>1</v>
      </c>
      <c r="B124" s="36">
        <v>122</v>
      </c>
      <c r="C124" s="569">
        <v>41148</v>
      </c>
      <c r="D124" s="578" t="s">
        <v>346</v>
      </c>
      <c r="E124" s="578" t="s">
        <v>82</v>
      </c>
      <c r="F124" s="498" t="s">
        <v>469</v>
      </c>
      <c r="G124" s="570" t="s">
        <v>408</v>
      </c>
      <c r="H124" s="570" t="s">
        <v>415</v>
      </c>
      <c r="I124" s="570" t="str">
        <f>Table1[[#This Row],[Staff]]</f>
        <v>Nicole</v>
      </c>
      <c r="J124" s="569">
        <f>Table1[[#This Row],[Date]]</f>
        <v>41148</v>
      </c>
      <c r="K124" s="525"/>
      <c r="L124" s="525"/>
      <c r="AF124" s="498"/>
      <c r="AG124" s="498"/>
      <c r="AH124" s="498"/>
      <c r="AI124" s="498"/>
    </row>
    <row r="125" spans="1:35" s="573" customFormat="1" hidden="1">
      <c r="A125" s="568">
        <v>1</v>
      </c>
      <c r="B125" s="36">
        <v>123</v>
      </c>
      <c r="C125" s="569">
        <v>41148</v>
      </c>
      <c r="D125" s="578" t="s">
        <v>346</v>
      </c>
      <c r="E125" s="578" t="s">
        <v>397</v>
      </c>
      <c r="F125" s="498" t="s">
        <v>470</v>
      </c>
      <c r="G125" s="570" t="s">
        <v>408</v>
      </c>
      <c r="H125" s="570" t="s">
        <v>415</v>
      </c>
      <c r="I125" s="570" t="str">
        <f>Table1[[#This Row],[Staff]]</f>
        <v>Nicole</v>
      </c>
      <c r="J125" s="569">
        <f>Table1[[#This Row],[Date]]</f>
        <v>41148</v>
      </c>
      <c r="K125" s="525"/>
      <c r="L125" s="525"/>
      <c r="AF125" s="498"/>
      <c r="AG125" s="498"/>
      <c r="AH125" s="498"/>
      <c r="AI125" s="498"/>
    </row>
    <row r="126" spans="1:35" s="573" customFormat="1" hidden="1">
      <c r="A126" s="568">
        <v>1</v>
      </c>
      <c r="B126" s="36">
        <v>124</v>
      </c>
      <c r="C126" s="569">
        <v>41148</v>
      </c>
      <c r="D126" s="578" t="s">
        <v>346</v>
      </c>
      <c r="E126" s="578" t="s">
        <v>397</v>
      </c>
      <c r="F126" s="498" t="s">
        <v>471</v>
      </c>
      <c r="G126" s="570" t="s">
        <v>408</v>
      </c>
      <c r="H126" s="570" t="s">
        <v>415</v>
      </c>
      <c r="I126" s="570" t="str">
        <f>Table1[[#This Row],[Staff]]</f>
        <v>Nicole</v>
      </c>
      <c r="J126" s="569">
        <f>Table1[[#This Row],[Date]]</f>
        <v>41148</v>
      </c>
      <c r="K126" s="525"/>
      <c r="L126" s="525"/>
      <c r="AF126" s="498"/>
      <c r="AG126" s="498"/>
      <c r="AH126" s="498"/>
      <c r="AI126" s="498"/>
    </row>
    <row r="127" spans="1:35" s="573" customFormat="1" hidden="1">
      <c r="A127" s="568">
        <v>1</v>
      </c>
      <c r="B127" s="36">
        <v>125</v>
      </c>
      <c r="C127" s="569">
        <v>41148</v>
      </c>
      <c r="D127" s="578" t="s">
        <v>346</v>
      </c>
      <c r="E127" s="578" t="s">
        <v>397</v>
      </c>
      <c r="F127" s="498" t="s">
        <v>472</v>
      </c>
      <c r="G127" s="570" t="s">
        <v>408</v>
      </c>
      <c r="H127" s="570" t="s">
        <v>415</v>
      </c>
      <c r="I127" s="570" t="str">
        <f>Table1[[#This Row],[Staff]]</f>
        <v>Nicole</v>
      </c>
      <c r="J127" s="569">
        <f>Table1[[#This Row],[Date]]</f>
        <v>41148</v>
      </c>
      <c r="K127" s="525"/>
      <c r="L127" s="525"/>
      <c r="AF127" s="498"/>
      <c r="AG127" s="498"/>
      <c r="AH127" s="498"/>
      <c r="AI127" s="498"/>
    </row>
    <row r="128" spans="1:35" s="573" customFormat="1" hidden="1">
      <c r="A128" s="568">
        <v>1</v>
      </c>
      <c r="B128" s="36">
        <v>126</v>
      </c>
      <c r="C128" s="569">
        <v>41148</v>
      </c>
      <c r="D128" s="578" t="s">
        <v>346</v>
      </c>
      <c r="E128" s="578" t="s">
        <v>397</v>
      </c>
      <c r="F128" s="498" t="s">
        <v>473</v>
      </c>
      <c r="G128" s="570" t="s">
        <v>408</v>
      </c>
      <c r="H128" s="570" t="s">
        <v>415</v>
      </c>
      <c r="I128" s="570" t="str">
        <f>Table1[[#This Row],[Staff]]</f>
        <v>Nicole</v>
      </c>
      <c r="J128" s="569">
        <f>Table1[[#This Row],[Date]]</f>
        <v>41148</v>
      </c>
      <c r="K128" s="525"/>
      <c r="L128" s="525"/>
      <c r="AF128" s="498"/>
      <c r="AG128" s="498"/>
      <c r="AH128" s="498"/>
      <c r="AI128" s="498"/>
    </row>
    <row r="129" spans="1:35" s="573" customFormat="1" hidden="1">
      <c r="A129" s="568">
        <v>1</v>
      </c>
      <c r="B129" s="36">
        <v>127</v>
      </c>
      <c r="C129" s="569">
        <v>41148</v>
      </c>
      <c r="D129" s="578" t="s">
        <v>346</v>
      </c>
      <c r="E129" s="578" t="s">
        <v>397</v>
      </c>
      <c r="F129" s="498" t="s">
        <v>474</v>
      </c>
      <c r="G129" s="570" t="s">
        <v>408</v>
      </c>
      <c r="H129" s="570" t="s">
        <v>415</v>
      </c>
      <c r="I129" s="570" t="str">
        <f>Table1[[#This Row],[Staff]]</f>
        <v>Nicole</v>
      </c>
      <c r="J129" s="569">
        <f>Table1[[#This Row],[Date]]</f>
        <v>41148</v>
      </c>
      <c r="K129" s="525"/>
      <c r="L129" s="525"/>
      <c r="AF129" s="498"/>
      <c r="AG129" s="498"/>
      <c r="AH129" s="498"/>
      <c r="AI129" s="498"/>
    </row>
    <row r="130" spans="1:35" s="573" customFormat="1" hidden="1">
      <c r="A130" s="568">
        <v>1</v>
      </c>
      <c r="B130" s="36">
        <v>128</v>
      </c>
      <c r="C130" s="569">
        <v>41148</v>
      </c>
      <c r="D130" s="578" t="s">
        <v>346</v>
      </c>
      <c r="E130" s="578" t="s">
        <v>397</v>
      </c>
      <c r="F130" s="498" t="s">
        <v>475</v>
      </c>
      <c r="G130" s="570" t="s">
        <v>408</v>
      </c>
      <c r="H130" s="570" t="s">
        <v>415</v>
      </c>
      <c r="I130" s="570" t="str">
        <f>Table1[[#This Row],[Staff]]</f>
        <v>Nicole</v>
      </c>
      <c r="J130" s="569">
        <f>Table1[[#This Row],[Date]]</f>
        <v>41148</v>
      </c>
      <c r="K130" s="525"/>
      <c r="L130" s="525"/>
      <c r="AF130" s="498"/>
      <c r="AG130" s="498"/>
      <c r="AH130" s="498"/>
      <c r="AI130" s="498"/>
    </row>
    <row r="131" spans="1:35" s="573" customFormat="1" hidden="1">
      <c r="A131" s="568">
        <v>1</v>
      </c>
      <c r="B131" s="36">
        <v>129</v>
      </c>
      <c r="C131" s="569">
        <v>41148</v>
      </c>
      <c r="D131" s="578" t="s">
        <v>346</v>
      </c>
      <c r="E131" s="578" t="s">
        <v>397</v>
      </c>
      <c r="F131" s="498" t="s">
        <v>476</v>
      </c>
      <c r="G131" s="570" t="s">
        <v>408</v>
      </c>
      <c r="H131" s="570" t="s">
        <v>415</v>
      </c>
      <c r="I131" s="570" t="str">
        <f>Table1[[#This Row],[Staff]]</f>
        <v>Nicole</v>
      </c>
      <c r="J131" s="569">
        <f>Table1[[#This Row],[Date]]</f>
        <v>41148</v>
      </c>
      <c r="K131" s="525"/>
      <c r="L131" s="525"/>
      <c r="AF131" s="498"/>
      <c r="AG131" s="498"/>
      <c r="AH131" s="498"/>
      <c r="AI131" s="498"/>
    </row>
    <row r="132" spans="1:35" s="573" customFormat="1" hidden="1">
      <c r="A132" s="568">
        <v>1</v>
      </c>
      <c r="B132" s="36">
        <v>130</v>
      </c>
      <c r="C132" s="569">
        <v>41148</v>
      </c>
      <c r="D132" s="578" t="s">
        <v>346</v>
      </c>
      <c r="E132" s="578" t="s">
        <v>397</v>
      </c>
      <c r="F132" s="498" t="s">
        <v>477</v>
      </c>
      <c r="G132" s="570" t="s">
        <v>408</v>
      </c>
      <c r="H132" s="570" t="s">
        <v>415</v>
      </c>
      <c r="I132" s="570" t="str">
        <f>Table1[[#This Row],[Staff]]</f>
        <v>Nicole</v>
      </c>
      <c r="J132" s="569">
        <f>Table1[[#This Row],[Date]]</f>
        <v>41148</v>
      </c>
      <c r="K132" s="525"/>
      <c r="L132" s="525"/>
      <c r="AF132" s="498"/>
      <c r="AG132" s="498"/>
      <c r="AH132" s="498"/>
      <c r="AI132" s="498"/>
    </row>
    <row r="133" spans="1:35" s="573" customFormat="1" hidden="1">
      <c r="A133" s="568">
        <v>1</v>
      </c>
      <c r="B133" s="36">
        <v>131</v>
      </c>
      <c r="C133" s="569">
        <v>41148</v>
      </c>
      <c r="D133" s="578" t="s">
        <v>346</v>
      </c>
      <c r="E133" s="578" t="s">
        <v>397</v>
      </c>
      <c r="F133" s="498" t="s">
        <v>478</v>
      </c>
      <c r="G133" s="570" t="s">
        <v>479</v>
      </c>
      <c r="H133" s="570" t="s">
        <v>480</v>
      </c>
      <c r="I133" s="570" t="str">
        <f>Table1[[#This Row],[Staff]]</f>
        <v>Nicole</v>
      </c>
      <c r="J133" s="569">
        <f>Table1[[#This Row],[Date]]</f>
        <v>41148</v>
      </c>
      <c r="K133" s="525"/>
      <c r="L133" s="525"/>
      <c r="AF133" s="498"/>
      <c r="AG133" s="498"/>
      <c r="AH133" s="498"/>
      <c r="AI133" s="498"/>
    </row>
    <row r="134" spans="1:35" s="573" customFormat="1" ht="28.5" hidden="1">
      <c r="A134" s="568">
        <v>1</v>
      </c>
      <c r="B134" s="36">
        <v>132</v>
      </c>
      <c r="C134" s="569">
        <v>41148</v>
      </c>
      <c r="D134" s="578" t="s">
        <v>346</v>
      </c>
      <c r="E134" s="578" t="s">
        <v>82</v>
      </c>
      <c r="F134" s="498" t="s">
        <v>481</v>
      </c>
      <c r="G134" s="570" t="s">
        <v>483</v>
      </c>
      <c r="H134" s="570" t="s">
        <v>482</v>
      </c>
      <c r="I134" s="570" t="str">
        <f>Table1[[#This Row],[Staff]]</f>
        <v>Nicole</v>
      </c>
      <c r="J134" s="569">
        <f>Table1[[#This Row],[Date]]</f>
        <v>41148</v>
      </c>
      <c r="K134" s="525"/>
      <c r="L134" s="525"/>
      <c r="AF134" s="498"/>
      <c r="AG134" s="498"/>
      <c r="AH134" s="498"/>
      <c r="AI134" s="498"/>
    </row>
    <row r="135" spans="1:35" s="573" customFormat="1" ht="28.5" hidden="1">
      <c r="A135" s="568">
        <v>1</v>
      </c>
      <c r="B135" s="36">
        <v>133</v>
      </c>
      <c r="C135" s="569">
        <v>41148</v>
      </c>
      <c r="D135" s="578" t="s">
        <v>346</v>
      </c>
      <c r="E135" s="578" t="s">
        <v>82</v>
      </c>
      <c r="F135" s="498" t="s">
        <v>484</v>
      </c>
      <c r="G135" s="570" t="s">
        <v>485</v>
      </c>
      <c r="H135" s="570" t="s">
        <v>486</v>
      </c>
      <c r="I135" s="570" t="str">
        <f>Table1[[#This Row],[Staff]]</f>
        <v>Nicole</v>
      </c>
      <c r="J135" s="569">
        <f>Table1[[#This Row],[Date]]</f>
        <v>41148</v>
      </c>
      <c r="K135" s="525"/>
      <c r="L135" s="525"/>
      <c r="AF135" s="498"/>
      <c r="AG135" s="498"/>
      <c r="AH135" s="498"/>
      <c r="AI135" s="498"/>
    </row>
    <row r="136" spans="1:35" s="573" customFormat="1" hidden="1">
      <c r="A136" s="568">
        <v>1</v>
      </c>
      <c r="B136" s="36">
        <v>134</v>
      </c>
      <c r="C136" s="569">
        <v>41148</v>
      </c>
      <c r="D136" s="578" t="s">
        <v>346</v>
      </c>
      <c r="E136" s="578" t="s">
        <v>82</v>
      </c>
      <c r="F136" s="498" t="s">
        <v>487</v>
      </c>
      <c r="G136" s="570" t="s">
        <v>479</v>
      </c>
      <c r="H136" s="570" t="s">
        <v>488</v>
      </c>
      <c r="I136" s="570" t="str">
        <f>Table1[[#This Row],[Staff]]</f>
        <v>Nicole</v>
      </c>
      <c r="J136" s="569">
        <f>Table1[[#This Row],[Date]]</f>
        <v>41148</v>
      </c>
      <c r="K136" s="525"/>
      <c r="L136" s="525"/>
      <c r="AF136" s="498"/>
      <c r="AG136" s="498"/>
      <c r="AH136" s="498"/>
      <c r="AI136" s="498"/>
    </row>
    <row r="137" spans="1:35" s="573" customFormat="1" ht="28.5" hidden="1">
      <c r="A137" s="568">
        <v>1</v>
      </c>
      <c r="B137" s="36">
        <v>135</v>
      </c>
      <c r="C137" s="569">
        <v>41148</v>
      </c>
      <c r="D137" s="578" t="s">
        <v>346</v>
      </c>
      <c r="E137" s="578" t="s">
        <v>82</v>
      </c>
      <c r="F137" s="498" t="s">
        <v>490</v>
      </c>
      <c r="G137" s="570" t="s">
        <v>491</v>
      </c>
      <c r="H137" s="570" t="s">
        <v>492</v>
      </c>
      <c r="I137" s="570" t="str">
        <f>Table1[[#This Row],[Staff]]</f>
        <v>Nicole</v>
      </c>
      <c r="J137" s="569">
        <f>Table1[[#This Row],[Date]]</f>
        <v>41148</v>
      </c>
      <c r="K137" s="525"/>
      <c r="L137" s="525"/>
      <c r="AF137" s="498"/>
      <c r="AG137" s="498"/>
      <c r="AH137" s="498"/>
      <c r="AI137" s="498"/>
    </row>
    <row r="138" spans="1:35" s="573" customFormat="1" ht="28.5" hidden="1">
      <c r="A138" s="568">
        <v>1</v>
      </c>
      <c r="B138" s="36">
        <v>136</v>
      </c>
      <c r="C138" s="569">
        <v>41148</v>
      </c>
      <c r="D138" s="578" t="s">
        <v>346</v>
      </c>
      <c r="E138" s="578" t="s">
        <v>73</v>
      </c>
      <c r="F138" s="498" t="s">
        <v>493</v>
      </c>
      <c r="G138" s="570" t="s">
        <v>483</v>
      </c>
      <c r="H138" s="570" t="s">
        <v>482</v>
      </c>
      <c r="I138" s="570" t="str">
        <f>Table1[[#This Row],[Staff]]</f>
        <v>Nicole</v>
      </c>
      <c r="J138" s="569">
        <f>Table1[[#This Row],[Date]]</f>
        <v>41148</v>
      </c>
      <c r="K138" s="525"/>
      <c r="L138" s="525"/>
      <c r="AF138" s="498"/>
      <c r="AG138" s="498"/>
      <c r="AH138" s="498"/>
      <c r="AI138" s="498"/>
    </row>
    <row r="139" spans="1:35" s="573" customFormat="1" ht="28.5" hidden="1">
      <c r="A139" s="568">
        <v>1</v>
      </c>
      <c r="B139" s="36">
        <v>137</v>
      </c>
      <c r="C139" s="569">
        <v>41148</v>
      </c>
      <c r="D139" s="578" t="s">
        <v>346</v>
      </c>
      <c r="E139" s="578" t="s">
        <v>73</v>
      </c>
      <c r="F139" s="498" t="s">
        <v>495</v>
      </c>
      <c r="G139" s="570" t="s">
        <v>497</v>
      </c>
      <c r="H139" s="570" t="s">
        <v>496</v>
      </c>
      <c r="I139" s="570" t="str">
        <f>Table1[[#This Row],[Staff]]</f>
        <v>Nicole</v>
      </c>
      <c r="J139" s="569">
        <f>Table1[[#This Row],[Date]]</f>
        <v>41148</v>
      </c>
      <c r="K139" s="525"/>
      <c r="L139" s="525"/>
      <c r="AF139" s="498"/>
      <c r="AG139" s="498"/>
      <c r="AH139" s="498"/>
      <c r="AI139" s="498"/>
    </row>
    <row r="140" spans="1:35" s="573" customFormat="1" ht="28.5" hidden="1">
      <c r="A140" s="568">
        <v>1</v>
      </c>
      <c r="B140" s="36">
        <v>138</v>
      </c>
      <c r="C140" s="569">
        <v>41148</v>
      </c>
      <c r="D140" s="578" t="s">
        <v>346</v>
      </c>
      <c r="E140" s="578" t="s">
        <v>73</v>
      </c>
      <c r="F140" s="498" t="s">
        <v>498</v>
      </c>
      <c r="G140" s="570" t="s">
        <v>497</v>
      </c>
      <c r="H140" s="570" t="s">
        <v>496</v>
      </c>
      <c r="I140" s="570" t="str">
        <f>Table1[[#This Row],[Staff]]</f>
        <v>Nicole</v>
      </c>
      <c r="J140" s="569">
        <f>Table1[[#This Row],[Date]]</f>
        <v>41148</v>
      </c>
      <c r="K140" s="525"/>
      <c r="L140" s="525"/>
      <c r="AF140" s="498"/>
      <c r="AG140" s="498"/>
      <c r="AH140" s="498"/>
      <c r="AI140" s="498"/>
    </row>
    <row r="141" spans="1:35" s="573" customFormat="1" ht="42.75" hidden="1">
      <c r="A141" s="568">
        <v>1</v>
      </c>
      <c r="B141" s="36">
        <v>139</v>
      </c>
      <c r="C141" s="569">
        <v>41148</v>
      </c>
      <c r="D141" s="578" t="s">
        <v>346</v>
      </c>
      <c r="E141" s="578" t="s">
        <v>73</v>
      </c>
      <c r="F141" s="498" t="s">
        <v>499</v>
      </c>
      <c r="G141" s="570" t="s">
        <v>500</v>
      </c>
      <c r="H141" s="570" t="s">
        <v>501</v>
      </c>
      <c r="I141" s="570" t="str">
        <f>Table1[[#This Row],[Staff]]</f>
        <v>Nicole</v>
      </c>
      <c r="J141" s="569">
        <f>Table1[[#This Row],[Date]]</f>
        <v>41148</v>
      </c>
      <c r="K141" s="525"/>
      <c r="L141" s="525"/>
      <c r="AF141" s="498"/>
      <c r="AG141" s="498"/>
      <c r="AH141" s="498"/>
      <c r="AI141" s="498"/>
    </row>
    <row r="142" spans="1:35" s="573" customFormat="1" ht="28.5" hidden="1">
      <c r="A142" s="568">
        <v>1</v>
      </c>
      <c r="B142" s="36">
        <v>140</v>
      </c>
      <c r="C142" s="569">
        <v>41148</v>
      </c>
      <c r="D142" s="578" t="s">
        <v>346</v>
      </c>
      <c r="E142" s="578" t="s">
        <v>393</v>
      </c>
      <c r="F142" s="498" t="s">
        <v>490</v>
      </c>
      <c r="G142" s="570" t="s">
        <v>491</v>
      </c>
      <c r="H142" s="570" t="s">
        <v>503</v>
      </c>
      <c r="I142" s="570" t="str">
        <f>Table1[[#This Row],[Staff]]</f>
        <v>Nicole</v>
      </c>
      <c r="J142" s="569">
        <f>Table1[[#This Row],[Date]]</f>
        <v>41148</v>
      </c>
      <c r="K142" s="525"/>
      <c r="L142" s="525"/>
      <c r="AF142" s="498"/>
      <c r="AG142" s="498"/>
      <c r="AH142" s="498"/>
      <c r="AI142" s="498"/>
    </row>
    <row r="143" spans="1:35" s="573" customFormat="1" ht="28.5" hidden="1">
      <c r="A143" s="568">
        <v>1</v>
      </c>
      <c r="B143" s="36">
        <v>141</v>
      </c>
      <c r="C143" s="569">
        <v>41148</v>
      </c>
      <c r="D143" s="578" t="s">
        <v>346</v>
      </c>
      <c r="E143" s="578" t="s">
        <v>393</v>
      </c>
      <c r="F143" s="498" t="s">
        <v>481</v>
      </c>
      <c r="G143" s="570" t="s">
        <v>483</v>
      </c>
      <c r="H143" s="570" t="s">
        <v>482</v>
      </c>
      <c r="I143" s="570" t="str">
        <f>Table1[[#This Row],[Staff]]</f>
        <v>Nicole</v>
      </c>
      <c r="J143" s="569">
        <f>Table1[[#This Row],[Date]]</f>
        <v>41148</v>
      </c>
      <c r="K143" s="525"/>
      <c r="L143" s="525"/>
      <c r="AF143" s="498"/>
      <c r="AG143" s="498"/>
      <c r="AH143" s="498"/>
      <c r="AI143" s="498"/>
    </row>
    <row r="144" spans="1:35" s="573" customFormat="1" ht="28.5" hidden="1">
      <c r="A144" s="568">
        <v>1</v>
      </c>
      <c r="B144" s="36">
        <v>142</v>
      </c>
      <c r="C144" s="569">
        <v>41148</v>
      </c>
      <c r="D144" s="578" t="s">
        <v>346</v>
      </c>
      <c r="E144" s="578" t="s">
        <v>82</v>
      </c>
      <c r="F144" s="498" t="s">
        <v>490</v>
      </c>
      <c r="G144" s="570" t="s">
        <v>485</v>
      </c>
      <c r="H144" s="570" t="s">
        <v>486</v>
      </c>
      <c r="I144" s="570" t="str">
        <f>Table1[[#This Row],[Staff]]</f>
        <v>Nicole</v>
      </c>
      <c r="J144" s="569">
        <f>Table1[[#This Row],[Date]]</f>
        <v>41148</v>
      </c>
      <c r="K144" s="525"/>
      <c r="L144" s="525"/>
      <c r="AF144" s="498"/>
      <c r="AG144" s="498"/>
      <c r="AH144" s="498"/>
      <c r="AI144" s="498"/>
    </row>
    <row r="145" spans="1:35" s="573" customFormat="1" ht="28.5" hidden="1">
      <c r="A145" s="568">
        <v>1</v>
      </c>
      <c r="B145" s="36">
        <v>143</v>
      </c>
      <c r="C145" s="569">
        <v>41148</v>
      </c>
      <c r="D145" s="578" t="s">
        <v>346</v>
      </c>
      <c r="E145" s="578" t="s">
        <v>73</v>
      </c>
      <c r="F145" s="498" t="s">
        <v>490</v>
      </c>
      <c r="G145" s="570" t="s">
        <v>485</v>
      </c>
      <c r="H145" s="570" t="s">
        <v>486</v>
      </c>
      <c r="I145" s="570" t="str">
        <f>Table1[[#This Row],[Staff]]</f>
        <v>Nicole</v>
      </c>
      <c r="J145" s="569">
        <f>Table1[[#This Row],[Date]]</f>
        <v>41148</v>
      </c>
      <c r="K145" s="525"/>
      <c r="L145" s="525"/>
      <c r="AF145" s="498"/>
      <c r="AG145" s="498"/>
      <c r="AH145" s="498"/>
      <c r="AI145" s="498"/>
    </row>
    <row r="146" spans="1:35" s="573" customFormat="1" ht="28.5" hidden="1">
      <c r="A146" s="568">
        <v>1</v>
      </c>
      <c r="B146" s="36">
        <v>144</v>
      </c>
      <c r="C146" s="569">
        <v>41148</v>
      </c>
      <c r="D146" s="578" t="s">
        <v>346</v>
      </c>
      <c r="E146" s="578" t="s">
        <v>73</v>
      </c>
      <c r="F146" s="498" t="s">
        <v>481</v>
      </c>
      <c r="G146" s="570" t="s">
        <v>504</v>
      </c>
      <c r="H146" s="570" t="s">
        <v>486</v>
      </c>
      <c r="I146" s="570" t="str">
        <f>Table1[[#This Row],[Staff]]</f>
        <v>Nicole</v>
      </c>
      <c r="J146" s="569">
        <f>Table1[[#This Row],[Date]]</f>
        <v>41148</v>
      </c>
      <c r="K146" s="525"/>
      <c r="L146" s="525"/>
      <c r="AF146" s="498"/>
      <c r="AG146" s="498"/>
      <c r="AH146" s="498"/>
      <c r="AI146" s="498"/>
    </row>
    <row r="147" spans="1:35" s="573" customFormat="1" ht="28.5" hidden="1">
      <c r="A147" s="568">
        <v>1</v>
      </c>
      <c r="B147" s="36">
        <v>145</v>
      </c>
      <c r="C147" s="569">
        <v>41148</v>
      </c>
      <c r="D147" s="578" t="s">
        <v>346</v>
      </c>
      <c r="E147" s="578" t="s">
        <v>393</v>
      </c>
      <c r="F147" s="498" t="s">
        <v>490</v>
      </c>
      <c r="G147" s="570" t="s">
        <v>485</v>
      </c>
      <c r="H147" s="570" t="s">
        <v>486</v>
      </c>
      <c r="I147" s="570" t="str">
        <f>Table1[[#This Row],[Staff]]</f>
        <v>Nicole</v>
      </c>
      <c r="J147" s="569">
        <f>Table1[[#This Row],[Date]]</f>
        <v>41148</v>
      </c>
      <c r="K147" s="525"/>
      <c r="L147" s="525"/>
      <c r="AF147" s="498"/>
      <c r="AG147" s="498"/>
      <c r="AH147" s="498"/>
      <c r="AI147" s="498"/>
    </row>
    <row r="148" spans="1:35" s="573" customFormat="1" ht="28.5" hidden="1">
      <c r="A148" s="568">
        <v>1</v>
      </c>
      <c r="B148" s="36">
        <v>146</v>
      </c>
      <c r="C148" s="569">
        <v>41148</v>
      </c>
      <c r="D148" s="578" t="s">
        <v>346</v>
      </c>
      <c r="E148" s="578" t="s">
        <v>393</v>
      </c>
      <c r="F148" s="498" t="s">
        <v>481</v>
      </c>
      <c r="G148" s="570" t="s">
        <v>483</v>
      </c>
      <c r="H148" s="570" t="s">
        <v>482</v>
      </c>
      <c r="I148" s="570" t="str">
        <f>Table1[[#This Row],[Staff]]</f>
        <v>Nicole</v>
      </c>
      <c r="J148" s="569">
        <f>Table1[[#This Row],[Date]]</f>
        <v>41148</v>
      </c>
      <c r="K148" s="525"/>
      <c r="L148" s="525"/>
      <c r="AF148" s="498"/>
      <c r="AG148" s="498"/>
      <c r="AH148" s="498"/>
      <c r="AI148" s="498"/>
    </row>
    <row r="149" spans="1:35" s="573" customFormat="1" ht="28.5" hidden="1">
      <c r="A149" s="568">
        <v>1</v>
      </c>
      <c r="B149" s="36">
        <v>147</v>
      </c>
      <c r="C149" s="569">
        <v>41148</v>
      </c>
      <c r="D149" s="578" t="s">
        <v>346</v>
      </c>
      <c r="E149" s="578" t="s">
        <v>390</v>
      </c>
      <c r="F149" s="498" t="s">
        <v>484</v>
      </c>
      <c r="G149" s="570" t="s">
        <v>485</v>
      </c>
      <c r="H149" s="570" t="s">
        <v>486</v>
      </c>
      <c r="I149" s="570" t="str">
        <f>Table1[[#This Row],[Staff]]</f>
        <v>Nicole</v>
      </c>
      <c r="J149" s="569">
        <f>Table1[[#This Row],[Date]]</f>
        <v>41148</v>
      </c>
      <c r="K149" s="525"/>
      <c r="L149" s="525"/>
      <c r="AF149" s="498"/>
      <c r="AG149" s="498"/>
      <c r="AH149" s="498"/>
      <c r="AI149" s="498"/>
    </row>
    <row r="150" spans="1:35" s="573" customFormat="1" ht="28.5" hidden="1">
      <c r="A150" s="568">
        <v>1</v>
      </c>
      <c r="B150" s="36">
        <v>148</v>
      </c>
      <c r="C150" s="569">
        <v>41148</v>
      </c>
      <c r="D150" s="578" t="s">
        <v>346</v>
      </c>
      <c r="E150" s="578" t="s">
        <v>390</v>
      </c>
      <c r="F150" s="498" t="s">
        <v>490</v>
      </c>
      <c r="G150" s="570" t="s">
        <v>504</v>
      </c>
      <c r="H150" s="570" t="s">
        <v>486</v>
      </c>
      <c r="I150" s="570" t="str">
        <f>Table1[[#This Row],[Staff]]</f>
        <v>Nicole</v>
      </c>
      <c r="J150" s="569">
        <f>Table1[[#This Row],[Date]]</f>
        <v>41148</v>
      </c>
      <c r="K150" s="525"/>
      <c r="L150" s="525"/>
      <c r="AF150" s="498"/>
      <c r="AG150" s="498"/>
      <c r="AH150" s="498"/>
      <c r="AI150" s="498"/>
    </row>
    <row r="151" spans="1:35" s="573" customFormat="1" ht="28.5" hidden="1">
      <c r="A151" s="568">
        <v>1</v>
      </c>
      <c r="B151" s="36">
        <v>149</v>
      </c>
      <c r="C151" s="569">
        <v>41148</v>
      </c>
      <c r="D151" s="578" t="s">
        <v>346</v>
      </c>
      <c r="E151" s="578" t="s">
        <v>390</v>
      </c>
      <c r="F151" s="498" t="s">
        <v>490</v>
      </c>
      <c r="G151" s="570" t="s">
        <v>491</v>
      </c>
      <c r="H151" s="570" t="s">
        <v>506</v>
      </c>
      <c r="I151" s="570" t="str">
        <f>Table1[[#This Row],[Staff]]</f>
        <v>Nicole</v>
      </c>
      <c r="J151" s="569">
        <f>Table1[[#This Row],[Date]]</f>
        <v>41148</v>
      </c>
      <c r="K151" s="525"/>
      <c r="L151" s="525"/>
      <c r="AF151" s="498"/>
      <c r="AG151" s="498"/>
      <c r="AH151" s="498"/>
      <c r="AI151" s="498"/>
    </row>
    <row r="152" spans="1:35" s="573" customFormat="1" ht="28.5" hidden="1">
      <c r="A152" s="568">
        <v>1</v>
      </c>
      <c r="B152" s="36">
        <v>150</v>
      </c>
      <c r="C152" s="569">
        <v>41148</v>
      </c>
      <c r="D152" s="578" t="s">
        <v>346</v>
      </c>
      <c r="E152" s="578" t="s">
        <v>390</v>
      </c>
      <c r="F152" s="498" t="s">
        <v>481</v>
      </c>
      <c r="G152" s="570" t="s">
        <v>483</v>
      </c>
      <c r="H152" s="570" t="s">
        <v>482</v>
      </c>
      <c r="I152" s="570" t="str">
        <f>Table1[[#This Row],[Staff]]</f>
        <v>Nicole</v>
      </c>
      <c r="J152" s="569">
        <f>Table1[[#This Row],[Date]]</f>
        <v>41148</v>
      </c>
      <c r="K152" s="525"/>
      <c r="L152" s="525"/>
      <c r="AF152" s="498"/>
      <c r="AG152" s="498"/>
      <c r="AH152" s="498"/>
      <c r="AI152" s="498"/>
    </row>
    <row r="153" spans="1:35" s="573" customFormat="1" ht="28.5" hidden="1">
      <c r="A153" s="568">
        <v>1</v>
      </c>
      <c r="B153" s="36">
        <v>151</v>
      </c>
      <c r="C153" s="569">
        <v>41148</v>
      </c>
      <c r="D153" s="578" t="s">
        <v>346</v>
      </c>
      <c r="E153" s="578" t="s">
        <v>390</v>
      </c>
      <c r="F153" s="498" t="s">
        <v>507</v>
      </c>
      <c r="G153" s="570" t="s">
        <v>510</v>
      </c>
      <c r="H153" s="570" t="s">
        <v>508</v>
      </c>
      <c r="I153" s="570" t="str">
        <f>Table1[[#This Row],[Staff]]</f>
        <v>Nicole</v>
      </c>
      <c r="J153" s="569">
        <f>Table1[[#This Row],[Date]]</f>
        <v>41148</v>
      </c>
      <c r="K153" s="525"/>
      <c r="L153" s="525"/>
      <c r="AF153" s="498"/>
      <c r="AG153" s="498"/>
      <c r="AH153" s="498"/>
      <c r="AI153" s="498"/>
    </row>
    <row r="154" spans="1:35" s="573" customFormat="1" ht="28.5" hidden="1">
      <c r="A154" s="568">
        <v>1</v>
      </c>
      <c r="B154" s="36">
        <v>152</v>
      </c>
      <c r="C154" s="569">
        <v>41148</v>
      </c>
      <c r="D154" s="578" t="s">
        <v>346</v>
      </c>
      <c r="E154" s="578" t="s">
        <v>390</v>
      </c>
      <c r="F154" s="498" t="s">
        <v>509</v>
      </c>
      <c r="G154" s="570" t="s">
        <v>510</v>
      </c>
      <c r="H154" s="570" t="s">
        <v>508</v>
      </c>
      <c r="I154" s="570" t="str">
        <f>Table1[[#This Row],[Staff]]</f>
        <v>Nicole</v>
      </c>
      <c r="J154" s="569">
        <f>Table1[[#This Row],[Date]]</f>
        <v>41148</v>
      </c>
      <c r="K154" s="525"/>
      <c r="L154" s="525"/>
      <c r="AF154" s="498"/>
      <c r="AG154" s="498"/>
      <c r="AH154" s="498"/>
      <c r="AI154" s="498"/>
    </row>
    <row r="155" spans="1:35" s="573" customFormat="1" ht="28.5" hidden="1">
      <c r="A155" s="568">
        <v>1</v>
      </c>
      <c r="B155" s="36">
        <v>153</v>
      </c>
      <c r="C155" s="569">
        <v>41148</v>
      </c>
      <c r="D155" s="578" t="s">
        <v>346</v>
      </c>
      <c r="E155" s="578" t="s">
        <v>385</v>
      </c>
      <c r="F155" s="498" t="s">
        <v>490</v>
      </c>
      <c r="G155" s="570" t="s">
        <v>491</v>
      </c>
      <c r="H155" s="570" t="s">
        <v>512</v>
      </c>
      <c r="I155" s="570" t="str">
        <f>Table1[[#This Row],[Staff]]</f>
        <v>Nicole</v>
      </c>
      <c r="J155" s="569">
        <f>Table1[[#This Row],[Date]]</f>
        <v>41148</v>
      </c>
      <c r="K155" s="525"/>
      <c r="L155" s="525"/>
      <c r="AF155" s="498"/>
      <c r="AG155" s="498"/>
      <c r="AH155" s="498"/>
      <c r="AI155" s="498"/>
    </row>
    <row r="156" spans="1:35" s="573" customFormat="1" ht="28.5" hidden="1">
      <c r="A156" s="568">
        <v>1</v>
      </c>
      <c r="B156" s="36">
        <v>154</v>
      </c>
      <c r="C156" s="569">
        <v>41148</v>
      </c>
      <c r="D156" s="578" t="s">
        <v>346</v>
      </c>
      <c r="E156" s="578" t="s">
        <v>385</v>
      </c>
      <c r="F156" s="498" t="s">
        <v>481</v>
      </c>
      <c r="G156" s="570" t="s">
        <v>483</v>
      </c>
      <c r="H156" s="570" t="s">
        <v>482</v>
      </c>
      <c r="I156" s="570" t="str">
        <f>Table1[[#This Row],[Staff]]</f>
        <v>Nicole</v>
      </c>
      <c r="J156" s="569">
        <f>Table1[[#This Row],[Date]]</f>
        <v>41148</v>
      </c>
      <c r="K156" s="525"/>
      <c r="L156" s="525"/>
      <c r="AF156" s="498"/>
      <c r="AG156" s="498"/>
      <c r="AH156" s="498"/>
      <c r="AI156" s="498"/>
    </row>
    <row r="157" spans="1:35" s="573" customFormat="1" ht="28.5" hidden="1">
      <c r="A157" s="568">
        <v>1</v>
      </c>
      <c r="B157" s="36">
        <v>155</v>
      </c>
      <c r="C157" s="569">
        <v>41148</v>
      </c>
      <c r="D157" s="578" t="s">
        <v>346</v>
      </c>
      <c r="E157" s="578" t="s">
        <v>385</v>
      </c>
      <c r="F157" s="498" t="s">
        <v>484</v>
      </c>
      <c r="G157" s="570" t="s">
        <v>504</v>
      </c>
      <c r="H157" s="570" t="s">
        <v>486</v>
      </c>
      <c r="I157" s="570" t="str">
        <f>Table1[[#This Row],[Staff]]</f>
        <v>Nicole</v>
      </c>
      <c r="J157" s="569">
        <f>Table1[[#This Row],[Date]]</f>
        <v>41148</v>
      </c>
      <c r="K157" s="525"/>
      <c r="L157" s="525"/>
      <c r="AF157" s="498"/>
      <c r="AG157" s="498"/>
      <c r="AH157" s="498"/>
      <c r="AI157" s="498"/>
    </row>
    <row r="158" spans="1:35" s="573" customFormat="1" ht="28.5" hidden="1">
      <c r="A158" s="568">
        <v>1</v>
      </c>
      <c r="B158" s="36">
        <v>156</v>
      </c>
      <c r="C158" s="569">
        <v>41148</v>
      </c>
      <c r="D158" s="578" t="s">
        <v>346</v>
      </c>
      <c r="E158" s="578" t="s">
        <v>385</v>
      </c>
      <c r="F158" s="498" t="s">
        <v>490</v>
      </c>
      <c r="G158" s="570" t="s">
        <v>504</v>
      </c>
      <c r="H158" s="570" t="s">
        <v>486</v>
      </c>
      <c r="I158" s="570" t="str">
        <f>Table1[[#This Row],[Staff]]</f>
        <v>Nicole</v>
      </c>
      <c r="J158" s="569">
        <f>Table1[[#This Row],[Date]]</f>
        <v>41148</v>
      </c>
      <c r="K158" s="525"/>
      <c r="L158" s="525"/>
      <c r="AF158" s="498"/>
      <c r="AG158" s="498"/>
      <c r="AH158" s="498"/>
      <c r="AI158" s="498"/>
    </row>
    <row r="159" spans="1:35" s="573" customFormat="1" ht="28.5" hidden="1">
      <c r="A159" s="568">
        <v>1</v>
      </c>
      <c r="B159" s="36">
        <v>157</v>
      </c>
      <c r="C159" s="569">
        <v>41148</v>
      </c>
      <c r="D159" s="578" t="s">
        <v>346</v>
      </c>
      <c r="E159" s="578" t="s">
        <v>379</v>
      </c>
      <c r="F159" s="498" t="s">
        <v>484</v>
      </c>
      <c r="G159" s="570" t="s">
        <v>504</v>
      </c>
      <c r="H159" s="570" t="s">
        <v>486</v>
      </c>
      <c r="I159" s="570" t="str">
        <f>Table1[[#This Row],[Staff]]</f>
        <v>Nicole</v>
      </c>
      <c r="J159" s="569">
        <f>Table1[[#This Row],[Date]]</f>
        <v>41148</v>
      </c>
      <c r="K159" s="525"/>
      <c r="L159" s="525"/>
      <c r="AF159" s="498"/>
      <c r="AG159" s="498"/>
      <c r="AH159" s="498"/>
      <c r="AI159" s="498"/>
    </row>
    <row r="160" spans="1:35" s="573" customFormat="1" ht="28.5" hidden="1">
      <c r="A160" s="568">
        <v>1</v>
      </c>
      <c r="B160" s="36">
        <v>158</v>
      </c>
      <c r="C160" s="569">
        <v>41148</v>
      </c>
      <c r="D160" s="578" t="s">
        <v>346</v>
      </c>
      <c r="E160" s="578" t="s">
        <v>379</v>
      </c>
      <c r="F160" s="498" t="s">
        <v>490</v>
      </c>
      <c r="G160" s="570" t="s">
        <v>491</v>
      </c>
      <c r="H160" s="570" t="s">
        <v>514</v>
      </c>
      <c r="I160" s="570" t="str">
        <f>Table1[[#This Row],[Staff]]</f>
        <v>Nicole</v>
      </c>
      <c r="J160" s="569">
        <f>Table1[[#This Row],[Date]]</f>
        <v>41148</v>
      </c>
      <c r="K160" s="525"/>
      <c r="L160" s="525"/>
      <c r="AF160" s="498"/>
      <c r="AG160" s="498"/>
      <c r="AH160" s="498"/>
      <c r="AI160" s="498"/>
    </row>
    <row r="161" spans="1:12" ht="28.5" hidden="1">
      <c r="A161" s="568">
        <v>1</v>
      </c>
      <c r="B161" s="36">
        <v>159</v>
      </c>
      <c r="C161" s="569">
        <v>41148</v>
      </c>
      <c r="D161" s="578" t="s">
        <v>346</v>
      </c>
      <c r="E161" s="578" t="s">
        <v>379</v>
      </c>
      <c r="F161" s="498" t="s">
        <v>490</v>
      </c>
      <c r="G161" s="570" t="s">
        <v>504</v>
      </c>
      <c r="H161" s="570" t="s">
        <v>486</v>
      </c>
      <c r="I161" s="570" t="s">
        <v>0</v>
      </c>
      <c r="J161" s="569">
        <f>Table1[[#This Row],[Date]]</f>
        <v>41148</v>
      </c>
      <c r="K161" s="525"/>
      <c r="L161" s="525"/>
    </row>
    <row r="162" spans="1:12" ht="28.5" hidden="1">
      <c r="A162" s="568">
        <v>1</v>
      </c>
      <c r="B162" s="36">
        <v>160</v>
      </c>
      <c r="C162" s="569">
        <v>41148</v>
      </c>
      <c r="D162" s="578" t="s">
        <v>346</v>
      </c>
      <c r="E162" s="578" t="s">
        <v>379</v>
      </c>
      <c r="F162" s="498" t="s">
        <v>481</v>
      </c>
      <c r="G162" s="570" t="s">
        <v>483</v>
      </c>
      <c r="H162" s="570" t="s">
        <v>482</v>
      </c>
      <c r="I162" s="570" t="s">
        <v>0</v>
      </c>
      <c r="J162" s="569">
        <f>Table1[[#This Row],[Date]]</f>
        <v>41148</v>
      </c>
      <c r="K162" s="525"/>
      <c r="L162" s="525"/>
    </row>
    <row r="163" spans="1:12" ht="28.5" hidden="1">
      <c r="A163" s="568">
        <v>1</v>
      </c>
      <c r="B163" s="36">
        <v>161</v>
      </c>
      <c r="C163" s="569">
        <v>41148</v>
      </c>
      <c r="D163" s="578" t="s">
        <v>346</v>
      </c>
      <c r="E163" s="578" t="s">
        <v>377</v>
      </c>
      <c r="F163" s="498" t="s">
        <v>484</v>
      </c>
      <c r="G163" s="570" t="s">
        <v>504</v>
      </c>
      <c r="H163" s="570" t="s">
        <v>486</v>
      </c>
      <c r="I163" s="570" t="s">
        <v>0</v>
      </c>
      <c r="J163" s="569">
        <f>Table1[[#This Row],[Date]]</f>
        <v>41148</v>
      </c>
      <c r="K163" s="525"/>
      <c r="L163" s="525"/>
    </row>
    <row r="164" spans="1:12" ht="28.5" hidden="1">
      <c r="A164" s="568">
        <v>1</v>
      </c>
      <c r="B164" s="36">
        <v>162</v>
      </c>
      <c r="C164" s="569">
        <v>41148</v>
      </c>
      <c r="D164" s="578" t="s">
        <v>346</v>
      </c>
      <c r="E164" s="578" t="s">
        <v>377</v>
      </c>
      <c r="F164" s="498" t="s">
        <v>490</v>
      </c>
      <c r="G164" s="570" t="s">
        <v>504</v>
      </c>
      <c r="H164" s="570" t="s">
        <v>486</v>
      </c>
      <c r="I164" s="570" t="s">
        <v>0</v>
      </c>
      <c r="J164" s="569">
        <f>Table1[[#This Row],[Date]]</f>
        <v>41148</v>
      </c>
      <c r="K164" s="525"/>
      <c r="L164" s="525"/>
    </row>
    <row r="165" spans="1:12" ht="28.5" hidden="1">
      <c r="A165" s="568">
        <v>1</v>
      </c>
      <c r="B165" s="36">
        <v>163</v>
      </c>
      <c r="C165" s="569">
        <v>41148</v>
      </c>
      <c r="D165" s="578" t="s">
        <v>346</v>
      </c>
      <c r="E165" s="578" t="s">
        <v>377</v>
      </c>
      <c r="F165" s="498" t="s">
        <v>481</v>
      </c>
      <c r="G165" s="570" t="s">
        <v>483</v>
      </c>
      <c r="H165" s="570" t="s">
        <v>482</v>
      </c>
      <c r="I165" s="570" t="s">
        <v>0</v>
      </c>
      <c r="J165" s="569">
        <f>Table1[[#This Row],[Date]]</f>
        <v>41148</v>
      </c>
      <c r="K165" s="525"/>
      <c r="L165" s="525"/>
    </row>
    <row r="166" spans="1:12" ht="28.5" hidden="1">
      <c r="A166" s="568">
        <v>1</v>
      </c>
      <c r="B166" s="36">
        <v>164</v>
      </c>
      <c r="C166" s="569">
        <v>41148</v>
      </c>
      <c r="D166" s="578" t="s">
        <v>346</v>
      </c>
      <c r="E166" s="578" t="s">
        <v>58</v>
      </c>
      <c r="F166" s="498" t="s">
        <v>484</v>
      </c>
      <c r="G166" s="570" t="s">
        <v>504</v>
      </c>
      <c r="H166" s="570" t="s">
        <v>486</v>
      </c>
      <c r="I166" s="570" t="s">
        <v>0</v>
      </c>
      <c r="J166" s="569">
        <f>Table1[[#This Row],[Date]]</f>
        <v>41148</v>
      </c>
      <c r="K166" s="525"/>
      <c r="L166" s="525"/>
    </row>
    <row r="167" spans="1:12" ht="28.5" hidden="1">
      <c r="A167" s="568">
        <v>1</v>
      </c>
      <c r="B167" s="36">
        <v>165</v>
      </c>
      <c r="C167" s="569">
        <v>41148</v>
      </c>
      <c r="D167" s="578" t="s">
        <v>346</v>
      </c>
      <c r="E167" s="578" t="s">
        <v>372</v>
      </c>
      <c r="F167" s="498" t="s">
        <v>484</v>
      </c>
      <c r="G167" s="570" t="s">
        <v>504</v>
      </c>
      <c r="H167" s="570" t="s">
        <v>486</v>
      </c>
      <c r="I167" s="570" t="s">
        <v>0</v>
      </c>
      <c r="J167" s="569">
        <f>Table1[[#This Row],[Date]]</f>
        <v>41148</v>
      </c>
      <c r="K167" s="525"/>
      <c r="L167" s="525"/>
    </row>
    <row r="168" spans="1:12" ht="28.5" hidden="1">
      <c r="A168" s="568">
        <v>1</v>
      </c>
      <c r="B168" s="36">
        <v>166</v>
      </c>
      <c r="C168" s="569">
        <v>41148</v>
      </c>
      <c r="D168" s="578" t="s">
        <v>346</v>
      </c>
      <c r="E168" s="578" t="s">
        <v>369</v>
      </c>
      <c r="F168" s="498" t="s">
        <v>507</v>
      </c>
      <c r="G168" s="570" t="s">
        <v>515</v>
      </c>
      <c r="H168" s="570" t="s">
        <v>516</v>
      </c>
      <c r="I168" s="570" t="s">
        <v>0</v>
      </c>
      <c r="J168" s="569">
        <f>Table1[[#This Row],[Date]]</f>
        <v>41148</v>
      </c>
      <c r="K168" s="525"/>
      <c r="L168" s="525"/>
    </row>
    <row r="169" spans="1:12" ht="28.5" hidden="1">
      <c r="A169" s="568">
        <v>1</v>
      </c>
      <c r="B169" s="36">
        <v>167</v>
      </c>
      <c r="C169" s="569">
        <v>41148</v>
      </c>
      <c r="D169" s="578" t="s">
        <v>346</v>
      </c>
      <c r="E169" s="578" t="s">
        <v>369</v>
      </c>
      <c r="F169" s="498" t="s">
        <v>517</v>
      </c>
      <c r="G169" s="570" t="s">
        <v>515</v>
      </c>
      <c r="H169" s="570" t="s">
        <v>516</v>
      </c>
      <c r="I169" s="570" t="s">
        <v>0</v>
      </c>
      <c r="J169" s="569">
        <f>Table1[[#This Row],[Date]]</f>
        <v>41148</v>
      </c>
      <c r="K169" s="525"/>
      <c r="L169" s="525"/>
    </row>
    <row r="170" spans="1:12" ht="28.5" hidden="1">
      <c r="A170" s="568">
        <v>1</v>
      </c>
      <c r="B170" s="36">
        <v>168</v>
      </c>
      <c r="C170" s="569">
        <v>41148</v>
      </c>
      <c r="D170" s="578" t="s">
        <v>346</v>
      </c>
      <c r="E170" s="578" t="s">
        <v>369</v>
      </c>
      <c r="F170" s="498" t="s">
        <v>518</v>
      </c>
      <c r="G170" s="570" t="s">
        <v>515</v>
      </c>
      <c r="H170" s="570" t="s">
        <v>516</v>
      </c>
      <c r="I170" s="570" t="s">
        <v>0</v>
      </c>
      <c r="J170" s="569">
        <f>Table1[[#This Row],[Date]]</f>
        <v>41148</v>
      </c>
      <c r="K170" s="525"/>
      <c r="L170" s="525"/>
    </row>
    <row r="171" spans="1:12" ht="28.5" hidden="1">
      <c r="A171" s="568">
        <v>1</v>
      </c>
      <c r="B171" s="36">
        <v>169</v>
      </c>
      <c r="C171" s="569">
        <v>41148</v>
      </c>
      <c r="D171" s="578" t="s">
        <v>346</v>
      </c>
      <c r="E171" s="578" t="s">
        <v>369</v>
      </c>
      <c r="F171" s="498" t="s">
        <v>519</v>
      </c>
      <c r="G171" s="570" t="s">
        <v>515</v>
      </c>
      <c r="H171" s="570" t="s">
        <v>516</v>
      </c>
      <c r="I171" s="570" t="s">
        <v>0</v>
      </c>
      <c r="J171" s="569">
        <f>Table1[[#This Row],[Date]]</f>
        <v>41148</v>
      </c>
      <c r="K171" s="525"/>
      <c r="L171" s="525"/>
    </row>
    <row r="172" spans="1:12" ht="28.5" hidden="1">
      <c r="A172" s="568">
        <v>1</v>
      </c>
      <c r="B172" s="36">
        <v>170</v>
      </c>
      <c r="C172" s="569">
        <v>41148</v>
      </c>
      <c r="D172" s="578" t="s">
        <v>346</v>
      </c>
      <c r="E172" s="578" t="s">
        <v>369</v>
      </c>
      <c r="F172" s="498" t="s">
        <v>520</v>
      </c>
      <c r="G172" s="570" t="s">
        <v>515</v>
      </c>
      <c r="H172" s="570" t="s">
        <v>516</v>
      </c>
      <c r="I172" s="570" t="s">
        <v>0</v>
      </c>
      <c r="J172" s="569">
        <f>Table1[[#This Row],[Date]]</f>
        <v>41148</v>
      </c>
      <c r="K172" s="525"/>
      <c r="L172" s="525"/>
    </row>
    <row r="173" spans="1:12" ht="28.5" hidden="1">
      <c r="A173" s="568">
        <v>1</v>
      </c>
      <c r="B173" s="36">
        <v>171</v>
      </c>
      <c r="C173" s="569">
        <v>41148</v>
      </c>
      <c r="D173" s="578" t="s">
        <v>346</v>
      </c>
      <c r="E173" s="578" t="s">
        <v>369</v>
      </c>
      <c r="F173" s="498" t="s">
        <v>521</v>
      </c>
      <c r="G173" s="570" t="s">
        <v>515</v>
      </c>
      <c r="H173" s="570" t="s">
        <v>516</v>
      </c>
      <c r="I173" s="570" t="s">
        <v>0</v>
      </c>
      <c r="J173" s="569">
        <f>Table1[[#This Row],[Date]]</f>
        <v>41148</v>
      </c>
      <c r="K173" s="525"/>
      <c r="L173" s="525"/>
    </row>
    <row r="174" spans="1:12" ht="28.5" hidden="1">
      <c r="A174" s="568">
        <v>1</v>
      </c>
      <c r="B174" s="36">
        <v>172</v>
      </c>
      <c r="C174" s="569">
        <v>41148</v>
      </c>
      <c r="D174" s="578" t="s">
        <v>346</v>
      </c>
      <c r="E174" s="578" t="s">
        <v>369</v>
      </c>
      <c r="F174" s="498" t="s">
        <v>522</v>
      </c>
      <c r="G174" s="570" t="s">
        <v>523</v>
      </c>
      <c r="H174" s="570" t="s">
        <v>524</v>
      </c>
      <c r="I174" s="580" t="str">
        <f>Table1[[#This Row],[Staff]]</f>
        <v>Nicole</v>
      </c>
      <c r="J174" s="569">
        <f>Table1[[#This Row],[Date]]</f>
        <v>41148</v>
      </c>
      <c r="K174" s="525"/>
      <c r="L174" s="525"/>
    </row>
    <row r="175" spans="1:12" ht="28.5" hidden="1">
      <c r="A175" s="568">
        <v>1</v>
      </c>
      <c r="B175" s="36">
        <v>173</v>
      </c>
      <c r="C175" s="569">
        <v>41148</v>
      </c>
      <c r="D175" s="578" t="s">
        <v>346</v>
      </c>
      <c r="E175" s="578" t="s">
        <v>369</v>
      </c>
      <c r="F175" s="498" t="s">
        <v>525</v>
      </c>
      <c r="G175" s="570" t="s">
        <v>523</v>
      </c>
      <c r="H175" s="570" t="s">
        <v>524</v>
      </c>
      <c r="I175" s="580" t="str">
        <f>Table1[[#This Row],[Staff]]</f>
        <v>Nicole</v>
      </c>
      <c r="J175" s="569">
        <f>Table1[[#This Row],[Date]]</f>
        <v>41148</v>
      </c>
      <c r="K175" s="525"/>
      <c r="L175" s="525"/>
    </row>
    <row r="176" spans="1:12" ht="28.5" hidden="1">
      <c r="A176" s="568">
        <v>1</v>
      </c>
      <c r="B176" s="36">
        <v>174</v>
      </c>
      <c r="C176" s="569">
        <v>41148</v>
      </c>
      <c r="D176" s="578" t="s">
        <v>346</v>
      </c>
      <c r="E176" s="578" t="s">
        <v>369</v>
      </c>
      <c r="F176" s="498" t="s">
        <v>526</v>
      </c>
      <c r="G176" s="570" t="s">
        <v>523</v>
      </c>
      <c r="H176" s="570" t="s">
        <v>524</v>
      </c>
      <c r="I176" s="580" t="str">
        <f>Table1[[#This Row],[Staff]]</f>
        <v>Nicole</v>
      </c>
      <c r="J176" s="569">
        <f>Table1[[#This Row],[Date]]</f>
        <v>41148</v>
      </c>
      <c r="K176" s="525"/>
      <c r="L176" s="525"/>
    </row>
    <row r="177" spans="1:12" ht="28.5" hidden="1">
      <c r="A177" s="568">
        <v>1</v>
      </c>
      <c r="B177" s="36">
        <v>175</v>
      </c>
      <c r="C177" s="569">
        <v>41148</v>
      </c>
      <c r="D177" s="578" t="s">
        <v>346</v>
      </c>
      <c r="E177" s="578" t="s">
        <v>369</v>
      </c>
      <c r="F177" s="498" t="s">
        <v>527</v>
      </c>
      <c r="G177" s="570" t="s">
        <v>523</v>
      </c>
      <c r="H177" s="570" t="s">
        <v>524</v>
      </c>
      <c r="I177" s="580" t="str">
        <f>Table1[[#This Row],[Staff]]</f>
        <v>Nicole</v>
      </c>
      <c r="J177" s="569">
        <f>Table1[[#This Row],[Date]]</f>
        <v>41148</v>
      </c>
      <c r="K177" s="525"/>
      <c r="L177" s="525"/>
    </row>
    <row r="178" spans="1:12" ht="28.5" hidden="1">
      <c r="A178" s="568">
        <v>1</v>
      </c>
      <c r="B178" s="36">
        <v>176</v>
      </c>
      <c r="C178" s="569">
        <v>41148</v>
      </c>
      <c r="D178" s="578" t="s">
        <v>346</v>
      </c>
      <c r="E178" s="578" t="s">
        <v>362</v>
      </c>
      <c r="F178" s="498" t="s">
        <v>528</v>
      </c>
      <c r="G178" s="570" t="s">
        <v>529</v>
      </c>
      <c r="H178" s="570" t="s">
        <v>486</v>
      </c>
      <c r="I178" s="580" t="str">
        <f>Table1[[#This Row],[Staff]]</f>
        <v>Nicole</v>
      </c>
      <c r="J178" s="569">
        <f>Table1[[#This Row],[Date]]</f>
        <v>41148</v>
      </c>
      <c r="K178" s="525"/>
      <c r="L178" s="525"/>
    </row>
    <row r="179" spans="1:12" ht="28.5" hidden="1">
      <c r="A179" s="568">
        <v>1</v>
      </c>
      <c r="B179" s="36">
        <v>177</v>
      </c>
      <c r="C179" s="569">
        <v>41148</v>
      </c>
      <c r="D179" s="578" t="s">
        <v>346</v>
      </c>
      <c r="E179" s="578" t="s">
        <v>362</v>
      </c>
      <c r="F179" s="498" t="s">
        <v>530</v>
      </c>
      <c r="G179" s="570" t="s">
        <v>531</v>
      </c>
      <c r="H179" s="570" t="s">
        <v>532</v>
      </c>
      <c r="I179" s="580" t="str">
        <f>Table1[[#This Row],[Staff]]</f>
        <v>Nicole</v>
      </c>
      <c r="J179" s="569">
        <f>Table1[[#This Row],[Date]]</f>
        <v>41148</v>
      </c>
      <c r="K179" s="525"/>
      <c r="L179" s="525"/>
    </row>
    <row r="180" spans="1:12" ht="28.5" hidden="1">
      <c r="A180" s="568">
        <v>1</v>
      </c>
      <c r="B180" s="36">
        <v>178</v>
      </c>
      <c r="C180" s="569">
        <v>41148</v>
      </c>
      <c r="D180" s="578" t="s">
        <v>346</v>
      </c>
      <c r="E180" s="578" t="s">
        <v>362</v>
      </c>
      <c r="F180" s="498" t="s">
        <v>533</v>
      </c>
      <c r="G180" s="570" t="s">
        <v>534</v>
      </c>
      <c r="H180" s="570" t="s">
        <v>535</v>
      </c>
      <c r="I180" s="580" t="str">
        <f>Table1[[#This Row],[Staff]]</f>
        <v>Nicole</v>
      </c>
      <c r="J180" s="569">
        <f>Table1[[#This Row],[Date]]</f>
        <v>41148</v>
      </c>
      <c r="K180" s="525"/>
      <c r="L180" s="525"/>
    </row>
    <row r="181" spans="1:12" ht="28.5" hidden="1">
      <c r="A181" s="568">
        <v>1</v>
      </c>
      <c r="B181" s="36">
        <v>179</v>
      </c>
      <c r="C181" s="569">
        <v>41148</v>
      </c>
      <c r="D181" s="579" t="s">
        <v>346</v>
      </c>
      <c r="E181" s="579" t="s">
        <v>153</v>
      </c>
      <c r="F181" s="498" t="s">
        <v>490</v>
      </c>
      <c r="G181" s="570" t="s">
        <v>536</v>
      </c>
      <c r="H181" s="570" t="s">
        <v>537</v>
      </c>
      <c r="I181" s="580" t="str">
        <f>Table1[[#This Row],[Staff]]</f>
        <v>Nicole</v>
      </c>
      <c r="J181" s="569">
        <f>Table1[[#This Row],[Date]]</f>
        <v>41148</v>
      </c>
      <c r="K181" s="525"/>
      <c r="L181" s="525"/>
    </row>
    <row r="182" spans="1:12" ht="28.5" hidden="1">
      <c r="A182" s="568">
        <v>1</v>
      </c>
      <c r="B182" s="36">
        <v>180</v>
      </c>
      <c r="C182" s="569">
        <v>41148</v>
      </c>
      <c r="D182" s="579" t="s">
        <v>346</v>
      </c>
      <c r="E182" s="579" t="s">
        <v>153</v>
      </c>
      <c r="F182" s="498" t="s">
        <v>507</v>
      </c>
      <c r="G182" s="570" t="s">
        <v>536</v>
      </c>
      <c r="H182" s="570" t="s">
        <v>537</v>
      </c>
      <c r="I182" s="580" t="str">
        <f>Table1[[#This Row],[Staff]]</f>
        <v>Nicole</v>
      </c>
      <c r="J182" s="569">
        <f>Table1[[#This Row],[Date]]</f>
        <v>41148</v>
      </c>
      <c r="K182" s="525"/>
      <c r="L182" s="525"/>
    </row>
    <row r="183" spans="1:12" ht="28.5" hidden="1">
      <c r="A183" s="568">
        <v>1</v>
      </c>
      <c r="B183" s="36">
        <v>181</v>
      </c>
      <c r="C183" s="569">
        <v>41148</v>
      </c>
      <c r="D183" s="579" t="s">
        <v>346</v>
      </c>
      <c r="E183" s="579" t="s">
        <v>153</v>
      </c>
      <c r="F183" s="498" t="s">
        <v>521</v>
      </c>
      <c r="G183" s="570" t="s">
        <v>536</v>
      </c>
      <c r="H183" s="570" t="s">
        <v>537</v>
      </c>
      <c r="I183" s="580" t="str">
        <f>Table1[[#This Row],[Staff]]</f>
        <v>Nicole</v>
      </c>
      <c r="J183" s="569">
        <f>Table1[[#This Row],[Date]]</f>
        <v>41148</v>
      </c>
      <c r="K183" s="525"/>
      <c r="L183" s="525"/>
    </row>
    <row r="184" spans="1:12" ht="28.5" hidden="1">
      <c r="A184" s="568">
        <v>1</v>
      </c>
      <c r="B184" s="36">
        <v>182</v>
      </c>
      <c r="C184" s="569">
        <v>41148</v>
      </c>
      <c r="D184" s="579" t="s">
        <v>346</v>
      </c>
      <c r="E184" s="579" t="s">
        <v>362</v>
      </c>
      <c r="F184" s="498" t="s">
        <v>499</v>
      </c>
      <c r="G184" s="570" t="s">
        <v>539</v>
      </c>
      <c r="H184" s="570" t="s">
        <v>456</v>
      </c>
      <c r="I184" s="580" t="str">
        <f>Table1[[#This Row],[Staff]]</f>
        <v>Nicole</v>
      </c>
      <c r="J184" s="569">
        <f>Table1[[#This Row],[Date]]</f>
        <v>41148</v>
      </c>
      <c r="K184" s="525"/>
      <c r="L184" s="525"/>
    </row>
    <row r="185" spans="1:12" hidden="1">
      <c r="A185" s="568">
        <v>1</v>
      </c>
      <c r="B185" s="36">
        <v>183</v>
      </c>
      <c r="C185" s="569">
        <v>41148</v>
      </c>
      <c r="D185" s="579" t="s">
        <v>346</v>
      </c>
      <c r="E185" s="579" t="s">
        <v>153</v>
      </c>
      <c r="F185" s="498" t="s">
        <v>543</v>
      </c>
      <c r="G185" s="570" t="s">
        <v>544</v>
      </c>
      <c r="H185" s="570" t="s">
        <v>545</v>
      </c>
      <c r="I185" s="580" t="str">
        <f>Table1[[#This Row],[Staff]]</f>
        <v>Nicole</v>
      </c>
      <c r="J185" s="569">
        <f>Table1[[#This Row],[Date]]</f>
        <v>41148</v>
      </c>
      <c r="K185" s="525"/>
      <c r="L185" s="525"/>
    </row>
    <row r="186" spans="1:12" hidden="1">
      <c r="A186" s="568">
        <v>1</v>
      </c>
      <c r="B186" s="36">
        <v>184</v>
      </c>
      <c r="C186" s="569">
        <v>41148</v>
      </c>
      <c r="D186" s="579" t="s">
        <v>346</v>
      </c>
      <c r="E186" s="579" t="s">
        <v>362</v>
      </c>
      <c r="F186" s="498" t="s">
        <v>546</v>
      </c>
      <c r="G186" s="570" t="s">
        <v>544</v>
      </c>
      <c r="H186" s="570" t="s">
        <v>545</v>
      </c>
      <c r="I186" s="580" t="str">
        <f>Table1[[#This Row],[Staff]]</f>
        <v>Nicole</v>
      </c>
      <c r="J186" s="569">
        <f>Table1[[#This Row],[Date]]</f>
        <v>41148</v>
      </c>
      <c r="K186" s="525"/>
      <c r="L186" s="525"/>
    </row>
    <row r="187" spans="1:12" hidden="1">
      <c r="A187" s="568">
        <v>1</v>
      </c>
      <c r="B187" s="36">
        <v>185</v>
      </c>
      <c r="C187" s="569">
        <v>41148</v>
      </c>
      <c r="D187" s="579" t="s">
        <v>346</v>
      </c>
      <c r="E187" s="579" t="s">
        <v>6</v>
      </c>
      <c r="F187" s="498" t="s">
        <v>546</v>
      </c>
      <c r="G187" s="570" t="s">
        <v>544</v>
      </c>
      <c r="H187" s="570" t="s">
        <v>545</v>
      </c>
      <c r="I187" s="580" t="str">
        <f>Table1[[#This Row],[Staff]]</f>
        <v>Nicole</v>
      </c>
      <c r="J187" s="569">
        <f>Table1[[#This Row],[Date]]</f>
        <v>41148</v>
      </c>
      <c r="K187" s="525"/>
      <c r="L187" s="525"/>
    </row>
    <row r="188" spans="1:12" hidden="1">
      <c r="A188" s="568">
        <v>1</v>
      </c>
      <c r="B188" s="36">
        <v>186</v>
      </c>
      <c r="C188" s="569">
        <v>41148</v>
      </c>
      <c r="D188" s="579" t="s">
        <v>346</v>
      </c>
      <c r="E188" s="579" t="s">
        <v>369</v>
      </c>
      <c r="F188" s="498" t="s">
        <v>546</v>
      </c>
      <c r="G188" s="570" t="s">
        <v>544</v>
      </c>
      <c r="H188" s="570" t="s">
        <v>545</v>
      </c>
      <c r="I188" s="580" t="str">
        <f>Table1[[#This Row],[Staff]]</f>
        <v>Nicole</v>
      </c>
      <c r="J188" s="569">
        <f>Table1[[#This Row],[Date]]</f>
        <v>41148</v>
      </c>
      <c r="K188" s="525"/>
      <c r="L188" s="525"/>
    </row>
    <row r="189" spans="1:12" hidden="1">
      <c r="A189" s="568">
        <v>1</v>
      </c>
      <c r="B189" s="36">
        <v>187</v>
      </c>
      <c r="C189" s="569">
        <v>41148</v>
      </c>
      <c r="D189" s="579" t="s">
        <v>346</v>
      </c>
      <c r="E189" s="579" t="s">
        <v>372</v>
      </c>
      <c r="F189" s="498" t="s">
        <v>546</v>
      </c>
      <c r="G189" s="570" t="s">
        <v>544</v>
      </c>
      <c r="H189" s="570" t="s">
        <v>545</v>
      </c>
      <c r="I189" s="580" t="str">
        <f>Table1[[#This Row],[Staff]]</f>
        <v>Nicole</v>
      </c>
      <c r="J189" s="569">
        <f>Table1[[#This Row],[Date]]</f>
        <v>41148</v>
      </c>
      <c r="K189" s="525"/>
      <c r="L189" s="525"/>
    </row>
    <row r="190" spans="1:12" hidden="1">
      <c r="A190" s="568">
        <v>1</v>
      </c>
      <c r="B190" s="36">
        <v>188</v>
      </c>
      <c r="C190" s="569">
        <v>41148</v>
      </c>
      <c r="D190" s="579" t="s">
        <v>346</v>
      </c>
      <c r="E190" s="579" t="s">
        <v>58</v>
      </c>
      <c r="F190" s="498" t="s">
        <v>546</v>
      </c>
      <c r="G190" s="570" t="s">
        <v>544</v>
      </c>
      <c r="H190" s="570" t="s">
        <v>545</v>
      </c>
      <c r="I190" s="580" t="str">
        <f>Table1[[#This Row],[Staff]]</f>
        <v>Nicole</v>
      </c>
      <c r="J190" s="569">
        <f>Table1[[#This Row],[Date]]</f>
        <v>41148</v>
      </c>
      <c r="K190" s="525"/>
      <c r="L190" s="525"/>
    </row>
    <row r="191" spans="1:12" hidden="1">
      <c r="A191" s="568">
        <v>1</v>
      </c>
      <c r="B191" s="36">
        <v>189</v>
      </c>
      <c r="C191" s="569">
        <v>41148</v>
      </c>
      <c r="D191" s="579" t="s">
        <v>346</v>
      </c>
      <c r="E191" s="579" t="s">
        <v>377</v>
      </c>
      <c r="F191" s="498" t="s">
        <v>546</v>
      </c>
      <c r="G191" s="570" t="s">
        <v>544</v>
      </c>
      <c r="H191" s="570" t="s">
        <v>545</v>
      </c>
      <c r="I191" s="580" t="str">
        <f>Table1[[#This Row],[Staff]]</f>
        <v>Nicole</v>
      </c>
      <c r="J191" s="569">
        <f>Table1[[#This Row],[Date]]</f>
        <v>41148</v>
      </c>
      <c r="K191" s="525"/>
      <c r="L191" s="525"/>
    </row>
    <row r="192" spans="1:12" hidden="1">
      <c r="A192" s="568">
        <v>1</v>
      </c>
      <c r="B192" s="36">
        <v>190</v>
      </c>
      <c r="C192" s="569">
        <v>41148</v>
      </c>
      <c r="D192" s="579" t="s">
        <v>346</v>
      </c>
      <c r="E192" s="579" t="s">
        <v>379</v>
      </c>
      <c r="F192" s="498" t="s">
        <v>546</v>
      </c>
      <c r="G192" s="570" t="s">
        <v>544</v>
      </c>
      <c r="H192" s="570" t="s">
        <v>545</v>
      </c>
      <c r="I192" s="580" t="str">
        <f>Table1[[#This Row],[Staff]]</f>
        <v>Nicole</v>
      </c>
      <c r="J192" s="569">
        <f>Table1[[#This Row],[Date]]</f>
        <v>41148</v>
      </c>
      <c r="K192" s="525"/>
      <c r="L192" s="525"/>
    </row>
    <row r="193" spans="1:12" hidden="1">
      <c r="A193" s="568">
        <v>1</v>
      </c>
      <c r="B193" s="36">
        <v>191</v>
      </c>
      <c r="C193" s="569">
        <v>41148</v>
      </c>
      <c r="D193" s="579" t="s">
        <v>346</v>
      </c>
      <c r="E193" s="579" t="s">
        <v>385</v>
      </c>
      <c r="F193" s="498" t="s">
        <v>546</v>
      </c>
      <c r="G193" s="570" t="s">
        <v>544</v>
      </c>
      <c r="H193" s="570" t="s">
        <v>545</v>
      </c>
      <c r="I193" s="580" t="str">
        <f>Table1[[#This Row],[Staff]]</f>
        <v>Nicole</v>
      </c>
      <c r="J193" s="569">
        <f>Table1[[#This Row],[Date]]</f>
        <v>41148</v>
      </c>
      <c r="K193" s="525"/>
      <c r="L193" s="525"/>
    </row>
    <row r="194" spans="1:12" hidden="1">
      <c r="A194" s="568">
        <v>1</v>
      </c>
      <c r="B194" s="36">
        <v>192</v>
      </c>
      <c r="C194" s="569">
        <v>41148</v>
      </c>
      <c r="D194" s="579" t="s">
        <v>346</v>
      </c>
      <c r="E194" s="579" t="s">
        <v>390</v>
      </c>
      <c r="F194" s="498" t="s">
        <v>546</v>
      </c>
      <c r="G194" s="570" t="s">
        <v>544</v>
      </c>
      <c r="H194" s="570" t="s">
        <v>545</v>
      </c>
      <c r="I194" s="580" t="str">
        <f>Table1[[#This Row],[Staff]]</f>
        <v>Nicole</v>
      </c>
      <c r="J194" s="569">
        <f>Table1[[#This Row],[Date]]</f>
        <v>41148</v>
      </c>
      <c r="K194" s="525"/>
      <c r="L194" s="525"/>
    </row>
    <row r="195" spans="1:12" hidden="1">
      <c r="A195" s="568">
        <v>1</v>
      </c>
      <c r="B195" s="36">
        <v>193</v>
      </c>
      <c r="C195" s="569">
        <v>41148</v>
      </c>
      <c r="D195" s="579" t="s">
        <v>346</v>
      </c>
      <c r="E195" s="579" t="s">
        <v>393</v>
      </c>
      <c r="F195" s="498" t="s">
        <v>546</v>
      </c>
      <c r="G195" s="570" t="s">
        <v>544</v>
      </c>
      <c r="H195" s="570" t="s">
        <v>545</v>
      </c>
      <c r="I195" s="580" t="str">
        <f>Table1[[#This Row],[Staff]]</f>
        <v>Nicole</v>
      </c>
      <c r="J195" s="569">
        <f>Table1[[#This Row],[Date]]</f>
        <v>41148</v>
      </c>
      <c r="K195" s="525"/>
      <c r="L195" s="525"/>
    </row>
    <row r="196" spans="1:12" hidden="1">
      <c r="A196" s="568">
        <v>1</v>
      </c>
      <c r="B196" s="36">
        <v>194</v>
      </c>
      <c r="C196" s="569">
        <v>41148</v>
      </c>
      <c r="D196" s="579" t="s">
        <v>346</v>
      </c>
      <c r="E196" s="579" t="s">
        <v>73</v>
      </c>
      <c r="F196" s="498" t="s">
        <v>546</v>
      </c>
      <c r="G196" s="570" t="s">
        <v>544</v>
      </c>
      <c r="H196" s="570" t="s">
        <v>545</v>
      </c>
      <c r="I196" s="580" t="str">
        <f>Table1[[#This Row],[Staff]]</f>
        <v>Nicole</v>
      </c>
      <c r="J196" s="569">
        <f>Table1[[#This Row],[Date]]</f>
        <v>41148</v>
      </c>
      <c r="K196" s="525"/>
      <c r="L196" s="525"/>
    </row>
    <row r="197" spans="1:12" hidden="1">
      <c r="A197" s="568">
        <v>1</v>
      </c>
      <c r="B197" s="36">
        <v>195</v>
      </c>
      <c r="C197" s="569">
        <v>41148</v>
      </c>
      <c r="D197" s="579" t="s">
        <v>346</v>
      </c>
      <c r="E197" s="579" t="s">
        <v>82</v>
      </c>
      <c r="F197" s="498" t="s">
        <v>546</v>
      </c>
      <c r="G197" s="570" t="s">
        <v>544</v>
      </c>
      <c r="H197" s="570" t="s">
        <v>545</v>
      </c>
      <c r="I197" s="580" t="str">
        <f>Table1[[#This Row],[Staff]]</f>
        <v>Nicole</v>
      </c>
      <c r="J197" s="569">
        <f>Table1[[#This Row],[Date]]</f>
        <v>41148</v>
      </c>
      <c r="K197" s="525"/>
      <c r="L197" s="525"/>
    </row>
    <row r="198" spans="1:12" hidden="1">
      <c r="A198" s="568">
        <v>1</v>
      </c>
      <c r="B198" s="36">
        <v>196</v>
      </c>
      <c r="C198" s="569">
        <v>41148</v>
      </c>
      <c r="D198" s="579" t="s">
        <v>346</v>
      </c>
      <c r="E198" s="579" t="s">
        <v>397</v>
      </c>
      <c r="F198" s="498" t="s">
        <v>546</v>
      </c>
      <c r="G198" s="570" t="s">
        <v>544</v>
      </c>
      <c r="H198" s="570" t="s">
        <v>545</v>
      </c>
      <c r="I198" s="580" t="str">
        <f>Table1[[#This Row],[Staff]]</f>
        <v>Nicole</v>
      </c>
      <c r="J198" s="569">
        <f>Table1[[#This Row],[Date]]</f>
        <v>41148</v>
      </c>
      <c r="K198" s="525"/>
      <c r="L198" s="525"/>
    </row>
    <row r="199" spans="1:12" ht="28.5" hidden="1">
      <c r="A199" s="568">
        <v>1</v>
      </c>
      <c r="B199" s="36">
        <v>197</v>
      </c>
      <c r="C199" s="569">
        <v>41148</v>
      </c>
      <c r="D199" s="579" t="s">
        <v>346</v>
      </c>
      <c r="E199" s="579" t="s">
        <v>353</v>
      </c>
      <c r="F199" s="498" t="s">
        <v>547</v>
      </c>
      <c r="G199" s="570" t="s">
        <v>548</v>
      </c>
      <c r="H199" s="570" t="s">
        <v>549</v>
      </c>
      <c r="I199" s="580" t="str">
        <f>Table1[[#This Row],[Staff]]</f>
        <v>Nicole</v>
      </c>
      <c r="J199" s="569">
        <f>Table1[[#This Row],[Date]]</f>
        <v>41148</v>
      </c>
      <c r="K199" s="525"/>
      <c r="L199" s="525"/>
    </row>
    <row r="200" spans="1:12" ht="28.5" hidden="1">
      <c r="A200" s="568">
        <v>1</v>
      </c>
      <c r="B200" s="36">
        <v>198</v>
      </c>
      <c r="C200" s="569">
        <v>41148</v>
      </c>
      <c r="D200" s="579" t="s">
        <v>346</v>
      </c>
      <c r="E200" s="579" t="s">
        <v>353</v>
      </c>
      <c r="F200" s="498" t="s">
        <v>550</v>
      </c>
      <c r="G200" s="570" t="s">
        <v>551</v>
      </c>
      <c r="H200" s="570" t="s">
        <v>486</v>
      </c>
      <c r="I200" s="580" t="str">
        <f>Table1[[#This Row],[Staff]]</f>
        <v>Nicole</v>
      </c>
      <c r="J200" s="569">
        <f>Table1[[#This Row],[Date]]</f>
        <v>41148</v>
      </c>
      <c r="K200" s="525"/>
      <c r="L200" s="525"/>
    </row>
    <row r="201" spans="1:12" hidden="1">
      <c r="A201" s="568">
        <v>1</v>
      </c>
      <c r="B201" s="36">
        <v>199</v>
      </c>
      <c r="C201" s="569">
        <v>41148</v>
      </c>
      <c r="D201" s="579" t="s">
        <v>346</v>
      </c>
      <c r="E201" s="579" t="s">
        <v>153</v>
      </c>
      <c r="F201" s="498" t="s">
        <v>552</v>
      </c>
      <c r="G201" s="570" t="s">
        <v>554</v>
      </c>
      <c r="H201" s="570" t="s">
        <v>555</v>
      </c>
      <c r="I201" s="580" t="str">
        <f>Table1[[#This Row],[Staff]]</f>
        <v>Nicole</v>
      </c>
      <c r="J201" s="569">
        <f>Table1[[#This Row],[Date]]</f>
        <v>41148</v>
      </c>
      <c r="K201" s="525"/>
      <c r="L201" s="525"/>
    </row>
    <row r="202" spans="1:12" hidden="1">
      <c r="A202" s="568">
        <v>1</v>
      </c>
      <c r="B202" s="36">
        <v>200</v>
      </c>
      <c r="C202" s="569">
        <v>41148</v>
      </c>
      <c r="D202" s="579" t="s">
        <v>346</v>
      </c>
      <c r="E202" s="579" t="s">
        <v>153</v>
      </c>
      <c r="F202" s="498" t="s">
        <v>553</v>
      </c>
      <c r="G202" s="570" t="s">
        <v>554</v>
      </c>
      <c r="H202" s="570" t="s">
        <v>555</v>
      </c>
      <c r="I202" s="580" t="str">
        <f>Table1[[#This Row],[Staff]]</f>
        <v>Nicole</v>
      </c>
      <c r="J202" s="569">
        <f>Table1[[#This Row],[Date]]</f>
        <v>41148</v>
      </c>
      <c r="K202" s="525"/>
      <c r="L202" s="525"/>
    </row>
    <row r="203" spans="1:12" ht="42.75" hidden="1">
      <c r="A203" s="568">
        <v>1</v>
      </c>
      <c r="B203" s="36">
        <v>201</v>
      </c>
      <c r="C203" s="569">
        <v>41148</v>
      </c>
      <c r="D203" s="579" t="s">
        <v>346</v>
      </c>
      <c r="E203" s="579" t="s">
        <v>58</v>
      </c>
      <c r="F203" s="498" t="s">
        <v>556</v>
      </c>
      <c r="G203" s="570" t="s">
        <v>557</v>
      </c>
      <c r="H203" s="570" t="s">
        <v>558</v>
      </c>
      <c r="I203" s="580" t="str">
        <f>Table1[[#This Row],[Staff]]</f>
        <v>Nicole</v>
      </c>
      <c r="J203" s="569">
        <f>Table1[[#This Row],[Date]]</f>
        <v>41148</v>
      </c>
      <c r="K203" s="525"/>
      <c r="L203" s="525"/>
    </row>
    <row r="204" spans="1:12" ht="28.5" hidden="1">
      <c r="A204" s="568">
        <v>1</v>
      </c>
      <c r="B204" s="36">
        <v>202</v>
      </c>
      <c r="C204" s="569">
        <v>41148</v>
      </c>
      <c r="D204" s="579" t="s">
        <v>346</v>
      </c>
      <c r="E204" s="579" t="s">
        <v>369</v>
      </c>
      <c r="F204" s="498" t="s">
        <v>556</v>
      </c>
      <c r="G204" s="570" t="s">
        <v>559</v>
      </c>
      <c r="H204" s="570" t="s">
        <v>560</v>
      </c>
      <c r="I204" s="580" t="str">
        <f>Table1[[#This Row],[Staff]]</f>
        <v>Nicole</v>
      </c>
      <c r="J204" s="569">
        <f>Table1[[#This Row],[Date]]</f>
        <v>41148</v>
      </c>
      <c r="K204" s="525"/>
      <c r="L204" s="525"/>
    </row>
    <row r="205" spans="1:12" ht="28.5" hidden="1">
      <c r="A205" s="568">
        <v>1</v>
      </c>
      <c r="B205" s="36">
        <v>203</v>
      </c>
      <c r="C205" s="569">
        <v>41148</v>
      </c>
      <c r="D205" s="579" t="s">
        <v>346</v>
      </c>
      <c r="E205" s="581" t="s">
        <v>369</v>
      </c>
      <c r="F205" s="498" t="s">
        <v>561</v>
      </c>
      <c r="G205" s="570" t="s">
        <v>559</v>
      </c>
      <c r="H205" s="570" t="s">
        <v>560</v>
      </c>
      <c r="I205" s="580" t="str">
        <f>Table1[[#This Row],[Staff]]</f>
        <v>Nicole</v>
      </c>
      <c r="J205" s="569">
        <f>Table1[[#This Row],[Date]]</f>
        <v>41148</v>
      </c>
      <c r="K205" s="525"/>
      <c r="L205" s="525"/>
    </row>
    <row r="206" spans="1:12" ht="28.5" hidden="1">
      <c r="A206" s="568">
        <v>1</v>
      </c>
      <c r="B206" s="36">
        <v>204</v>
      </c>
      <c r="C206" s="569">
        <v>41148</v>
      </c>
      <c r="D206" s="579" t="s">
        <v>346</v>
      </c>
      <c r="E206" s="581" t="s">
        <v>369</v>
      </c>
      <c r="F206" s="498" t="s">
        <v>562</v>
      </c>
      <c r="G206" s="570" t="s">
        <v>559</v>
      </c>
      <c r="H206" s="570" t="s">
        <v>560</v>
      </c>
      <c r="I206" s="580" t="str">
        <f>Table1[[#This Row],[Staff]]</f>
        <v>Nicole</v>
      </c>
      <c r="J206" s="569">
        <f>Table1[[#This Row],[Date]]</f>
        <v>41148</v>
      </c>
      <c r="K206" s="525"/>
      <c r="L206" s="525"/>
    </row>
    <row r="207" spans="1:12" ht="28.5" hidden="1">
      <c r="A207" s="568">
        <v>1</v>
      </c>
      <c r="B207" s="36">
        <v>205</v>
      </c>
      <c r="C207" s="569">
        <v>41148</v>
      </c>
      <c r="D207" s="579" t="s">
        <v>346</v>
      </c>
      <c r="E207" s="581" t="s">
        <v>369</v>
      </c>
      <c r="F207" s="498" t="s">
        <v>563</v>
      </c>
      <c r="G207" s="570" t="s">
        <v>559</v>
      </c>
      <c r="H207" s="570" t="s">
        <v>560</v>
      </c>
      <c r="I207" s="580" t="str">
        <f>Table1[[#This Row],[Staff]]</f>
        <v>Nicole</v>
      </c>
      <c r="J207" s="569">
        <f>Table1[[#This Row],[Date]]</f>
        <v>41148</v>
      </c>
      <c r="K207" s="525"/>
      <c r="L207" s="525"/>
    </row>
    <row r="208" spans="1:12" ht="28.5" hidden="1">
      <c r="A208" s="568">
        <v>1</v>
      </c>
      <c r="B208" s="36">
        <v>206</v>
      </c>
      <c r="C208" s="569">
        <v>41148</v>
      </c>
      <c r="D208" s="579" t="s">
        <v>346</v>
      </c>
      <c r="E208" s="581" t="s">
        <v>369</v>
      </c>
      <c r="F208" s="498" t="s">
        <v>564</v>
      </c>
      <c r="G208" s="570" t="s">
        <v>559</v>
      </c>
      <c r="H208" s="570" t="s">
        <v>560</v>
      </c>
      <c r="I208" s="580" t="str">
        <f>Table1[[#This Row],[Staff]]</f>
        <v>Nicole</v>
      </c>
      <c r="J208" s="569">
        <f>Table1[[#This Row],[Date]]</f>
        <v>41148</v>
      </c>
      <c r="K208" s="525"/>
      <c r="L208" s="525"/>
    </row>
    <row r="209" spans="1:35" ht="28.5" hidden="1">
      <c r="A209" s="568">
        <v>1</v>
      </c>
      <c r="B209" s="36">
        <v>207</v>
      </c>
      <c r="C209" s="569">
        <v>41148</v>
      </c>
      <c r="D209" s="579" t="s">
        <v>346</v>
      </c>
      <c r="E209" s="581" t="s">
        <v>369</v>
      </c>
      <c r="F209" s="498" t="s">
        <v>565</v>
      </c>
      <c r="G209" s="570" t="s">
        <v>559</v>
      </c>
      <c r="H209" s="570" t="s">
        <v>560</v>
      </c>
      <c r="I209" s="580" t="str">
        <f>Table1[[#This Row],[Staff]]</f>
        <v>Nicole</v>
      </c>
      <c r="J209" s="569">
        <f>Table1[[#This Row],[Date]]</f>
        <v>41148</v>
      </c>
      <c r="K209" s="525"/>
      <c r="L209" s="525"/>
    </row>
    <row r="210" spans="1:35" ht="28.5" hidden="1">
      <c r="A210" s="568">
        <v>1</v>
      </c>
      <c r="B210" s="36">
        <v>208</v>
      </c>
      <c r="C210" s="569">
        <v>41148</v>
      </c>
      <c r="D210" s="579" t="s">
        <v>346</v>
      </c>
      <c r="E210" s="581" t="s">
        <v>369</v>
      </c>
      <c r="F210" s="498" t="s">
        <v>566</v>
      </c>
      <c r="G210" s="570" t="s">
        <v>559</v>
      </c>
      <c r="H210" s="570" t="s">
        <v>560</v>
      </c>
      <c r="I210" s="580" t="str">
        <f>Table1[[#This Row],[Staff]]</f>
        <v>Nicole</v>
      </c>
      <c r="J210" s="569">
        <f>Table1[[#This Row],[Date]]</f>
        <v>41148</v>
      </c>
      <c r="K210" s="525"/>
      <c r="L210" s="525"/>
    </row>
    <row r="211" spans="1:35" ht="28.5" hidden="1">
      <c r="A211" s="568">
        <v>1</v>
      </c>
      <c r="B211" s="36">
        <v>209</v>
      </c>
      <c r="C211" s="569">
        <v>41148</v>
      </c>
      <c r="D211" s="579" t="s">
        <v>346</v>
      </c>
      <c r="E211" s="581" t="s">
        <v>369</v>
      </c>
      <c r="F211" s="498" t="s">
        <v>567</v>
      </c>
      <c r="G211" s="570" t="s">
        <v>559</v>
      </c>
      <c r="H211" s="570" t="s">
        <v>560</v>
      </c>
      <c r="I211" s="580" t="str">
        <f>Table1[[#This Row],[Staff]]</f>
        <v>Nicole</v>
      </c>
      <c r="J211" s="569">
        <f>Table1[[#This Row],[Date]]</f>
        <v>41148</v>
      </c>
      <c r="K211" s="525"/>
      <c r="L211" s="525"/>
    </row>
    <row r="212" spans="1:35" ht="28.5" hidden="1">
      <c r="A212" s="568">
        <v>1</v>
      </c>
      <c r="B212" s="36">
        <v>210</v>
      </c>
      <c r="C212" s="569">
        <v>41148</v>
      </c>
      <c r="D212" s="579" t="s">
        <v>346</v>
      </c>
      <c r="E212" s="581" t="s">
        <v>369</v>
      </c>
      <c r="F212" s="498" t="s">
        <v>568</v>
      </c>
      <c r="G212" s="570" t="s">
        <v>559</v>
      </c>
      <c r="H212" s="570" t="s">
        <v>560</v>
      </c>
      <c r="I212" s="580" t="str">
        <f>Table1[[#This Row],[Staff]]</f>
        <v>Nicole</v>
      </c>
      <c r="J212" s="569">
        <f>Table1[[#This Row],[Date]]</f>
        <v>41148</v>
      </c>
      <c r="K212" s="525"/>
      <c r="L212" s="525"/>
    </row>
    <row r="213" spans="1:35" ht="28.5" hidden="1">
      <c r="A213" s="568">
        <v>1</v>
      </c>
      <c r="B213" s="36">
        <v>211</v>
      </c>
      <c r="C213" s="569">
        <v>41148</v>
      </c>
      <c r="D213" s="579" t="s">
        <v>346</v>
      </c>
      <c r="E213" s="581" t="s">
        <v>369</v>
      </c>
      <c r="F213" s="498" t="s">
        <v>569</v>
      </c>
      <c r="G213" s="570" t="s">
        <v>559</v>
      </c>
      <c r="H213" s="570" t="s">
        <v>560</v>
      </c>
      <c r="I213" s="580" t="str">
        <f>Table1[[#This Row],[Staff]]</f>
        <v>Nicole</v>
      </c>
      <c r="J213" s="569">
        <f>Table1[[#This Row],[Date]]</f>
        <v>41148</v>
      </c>
      <c r="K213" s="525"/>
      <c r="L213" s="525"/>
    </row>
    <row r="214" spans="1:35" ht="42.75" hidden="1">
      <c r="A214" s="568">
        <v>1</v>
      </c>
      <c r="B214" s="36">
        <v>212</v>
      </c>
      <c r="C214" s="569">
        <v>41148</v>
      </c>
      <c r="D214" s="582" t="s">
        <v>346</v>
      </c>
      <c r="E214" s="582" t="s">
        <v>352</v>
      </c>
      <c r="F214" s="498" t="s">
        <v>570</v>
      </c>
      <c r="G214" s="570" t="s">
        <v>571</v>
      </c>
      <c r="H214" s="570" t="s">
        <v>572</v>
      </c>
      <c r="I214" s="580" t="s">
        <v>455</v>
      </c>
      <c r="J214" s="569">
        <f>Table1[[#This Row],[Date]]</f>
        <v>41148</v>
      </c>
      <c r="K214" s="525"/>
      <c r="L214" s="525"/>
    </row>
    <row r="215" spans="1:35" ht="28.5" hidden="1">
      <c r="A215" s="568">
        <v>1</v>
      </c>
      <c r="B215" s="36">
        <v>213</v>
      </c>
      <c r="C215" s="569">
        <v>41148</v>
      </c>
      <c r="D215" s="584" t="s">
        <v>455</v>
      </c>
      <c r="E215" s="584" t="s">
        <v>353</v>
      </c>
      <c r="G215" s="570" t="s">
        <v>573</v>
      </c>
      <c r="H215" s="570" t="s">
        <v>574</v>
      </c>
      <c r="I215" s="580" t="str">
        <f>IF(Table1[[#This Row],[Staff]]="","",Table1[[#This Row],[Staff]])</f>
        <v>Maggie</v>
      </c>
      <c r="J215" s="569">
        <f>Table1[[#This Row],[Date]]</f>
        <v>41148</v>
      </c>
      <c r="K215" s="525"/>
      <c r="L215" s="525"/>
    </row>
    <row r="216" spans="1:35" s="583" customFormat="1" hidden="1">
      <c r="A216" s="595">
        <v>1</v>
      </c>
      <c r="B216" s="596">
        <v>214</v>
      </c>
      <c r="C216" s="597">
        <v>41149</v>
      </c>
      <c r="D216" s="28" t="s">
        <v>346</v>
      </c>
      <c r="E216" s="28" t="s">
        <v>6</v>
      </c>
      <c r="F216" s="598" t="s">
        <v>409</v>
      </c>
      <c r="G216" s="599" t="s">
        <v>576</v>
      </c>
      <c r="H216" s="599" t="s">
        <v>578</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6">
        <v>215</v>
      </c>
      <c r="C217" s="569">
        <v>41149</v>
      </c>
      <c r="D217" s="587" t="s">
        <v>346</v>
      </c>
      <c r="E217" s="587" t="s">
        <v>6</v>
      </c>
      <c r="F217" s="498" t="s">
        <v>417</v>
      </c>
      <c r="G217" s="570" t="s">
        <v>576</v>
      </c>
      <c r="H217" s="570" t="s">
        <v>577</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6">
        <v>216</v>
      </c>
      <c r="C218" s="569">
        <v>41149</v>
      </c>
      <c r="D218" s="587" t="s">
        <v>346</v>
      </c>
      <c r="E218" s="587" t="s">
        <v>6</v>
      </c>
      <c r="F218" s="498" t="s">
        <v>410</v>
      </c>
      <c r="G218" s="570" t="s">
        <v>576</v>
      </c>
      <c r="H218" s="570" t="s">
        <v>577</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6">
        <v>217</v>
      </c>
      <c r="C219" s="569">
        <v>41149</v>
      </c>
      <c r="D219" s="587" t="s">
        <v>346</v>
      </c>
      <c r="E219" s="587" t="s">
        <v>6</v>
      </c>
      <c r="F219" s="498" t="s">
        <v>411</v>
      </c>
      <c r="G219" s="570" t="s">
        <v>576</v>
      </c>
      <c r="H219" s="570" t="s">
        <v>577</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6">
        <v>218</v>
      </c>
      <c r="C220" s="569">
        <v>41149</v>
      </c>
      <c r="D220" s="587" t="s">
        <v>346</v>
      </c>
      <c r="E220" s="587" t="s">
        <v>6</v>
      </c>
      <c r="F220" s="498" t="s">
        <v>412</v>
      </c>
      <c r="G220" s="570" t="s">
        <v>576</v>
      </c>
      <c r="H220" s="570" t="s">
        <v>577</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6">
        <v>219</v>
      </c>
      <c r="C221" s="569">
        <v>41149</v>
      </c>
      <c r="D221" s="587" t="s">
        <v>346</v>
      </c>
      <c r="E221" s="587" t="s">
        <v>369</v>
      </c>
      <c r="F221" s="498" t="s">
        <v>424</v>
      </c>
      <c r="G221" s="570" t="s">
        <v>576</v>
      </c>
      <c r="H221" s="570" t="s">
        <v>577</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6">
        <v>220</v>
      </c>
      <c r="C222" s="569">
        <v>41149</v>
      </c>
      <c r="D222" s="587" t="s">
        <v>346</v>
      </c>
      <c r="E222" s="587" t="s">
        <v>369</v>
      </c>
      <c r="F222" s="498" t="s">
        <v>425</v>
      </c>
      <c r="G222" s="570" t="s">
        <v>576</v>
      </c>
      <c r="H222" s="570" t="s">
        <v>577</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6">
        <v>221</v>
      </c>
      <c r="C223" s="569">
        <v>41149</v>
      </c>
      <c r="D223" s="587" t="s">
        <v>346</v>
      </c>
      <c r="E223" s="587" t="s">
        <v>369</v>
      </c>
      <c r="F223" s="498" t="s">
        <v>426</v>
      </c>
      <c r="G223" s="570" t="s">
        <v>576</v>
      </c>
      <c r="H223" s="570" t="s">
        <v>577</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6">
        <v>222</v>
      </c>
      <c r="C224" s="569">
        <v>41149</v>
      </c>
      <c r="D224" s="587" t="s">
        <v>346</v>
      </c>
      <c r="E224" s="587" t="s">
        <v>369</v>
      </c>
      <c r="F224" s="498" t="s">
        <v>427</v>
      </c>
      <c r="G224" s="570" t="s">
        <v>576</v>
      </c>
      <c r="H224" s="570" t="s">
        <v>577</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6">
        <v>223</v>
      </c>
      <c r="C225" s="569">
        <v>41149</v>
      </c>
      <c r="D225" s="587" t="s">
        <v>346</v>
      </c>
      <c r="E225" s="587" t="s">
        <v>369</v>
      </c>
      <c r="F225" s="498" t="s">
        <v>428</v>
      </c>
      <c r="G225" s="570" t="s">
        <v>576</v>
      </c>
      <c r="H225" s="570" t="s">
        <v>577</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6">
        <v>224</v>
      </c>
      <c r="C226" s="569">
        <v>41149</v>
      </c>
      <c r="D226" s="587" t="s">
        <v>346</v>
      </c>
      <c r="E226" s="587" t="s">
        <v>369</v>
      </c>
      <c r="F226" s="498" t="s">
        <v>429</v>
      </c>
      <c r="G226" s="570" t="s">
        <v>576</v>
      </c>
      <c r="H226" s="570" t="s">
        <v>577</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6">
        <v>225</v>
      </c>
      <c r="C227" s="569">
        <v>41149</v>
      </c>
      <c r="D227" s="587" t="s">
        <v>346</v>
      </c>
      <c r="E227" s="587" t="s">
        <v>369</v>
      </c>
      <c r="F227" s="498" t="s">
        <v>430</v>
      </c>
      <c r="G227" s="570" t="s">
        <v>576</v>
      </c>
      <c r="H227" s="570" t="s">
        <v>577</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6">
        <v>226</v>
      </c>
      <c r="C228" s="569">
        <v>41149</v>
      </c>
      <c r="D228" s="587" t="s">
        <v>346</v>
      </c>
      <c r="E228" s="587" t="s">
        <v>369</v>
      </c>
      <c r="F228" s="498" t="s">
        <v>431</v>
      </c>
      <c r="G228" s="570" t="s">
        <v>576</v>
      </c>
      <c r="H228" s="570" t="s">
        <v>577</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6">
        <v>227</v>
      </c>
      <c r="C229" s="569">
        <v>41149</v>
      </c>
      <c r="D229" s="587" t="s">
        <v>346</v>
      </c>
      <c r="E229" s="587" t="s">
        <v>369</v>
      </c>
      <c r="F229" s="498" t="s">
        <v>432</v>
      </c>
      <c r="G229" s="570" t="s">
        <v>576</v>
      </c>
      <c r="H229" s="570" t="s">
        <v>577</v>
      </c>
      <c r="I229" s="580" t="str">
        <f>IF(Table1[[#This Row],[Staff]]="","",Table1[[#This Row],[Staff]])</f>
        <v>Nicole</v>
      </c>
      <c r="J229" s="569">
        <f>Table1[[#This Row],[Date]]</f>
        <v>41149</v>
      </c>
      <c r="K229" s="525"/>
      <c r="L229" s="525"/>
      <c r="AF229" s="498"/>
      <c r="AG229" s="498"/>
      <c r="AH229" s="498"/>
      <c r="AI229" s="498"/>
    </row>
    <row r="230" spans="1:35" s="591" customFormat="1" ht="42.75" hidden="1">
      <c r="A230" s="588">
        <v>1</v>
      </c>
      <c r="B230" s="589">
        <v>228</v>
      </c>
      <c r="C230" s="590">
        <v>41149</v>
      </c>
      <c r="D230" s="591" t="s">
        <v>346</v>
      </c>
      <c r="E230" s="591" t="s">
        <v>369</v>
      </c>
      <c r="F230" s="592" t="s">
        <v>433</v>
      </c>
      <c r="G230" s="593" t="s">
        <v>576</v>
      </c>
      <c r="H230" s="593" t="s">
        <v>579</v>
      </c>
      <c r="I230" s="594" t="str">
        <f>IF(Table1[[#This Row],[Staff]]="","",Table1[[#This Row],[Staff]])</f>
        <v>Nicole</v>
      </c>
      <c r="J230" s="590">
        <f>Table1[[#This Row],[Date]]</f>
        <v>41149</v>
      </c>
      <c r="K230" s="601"/>
      <c r="L230" s="601"/>
      <c r="AF230" s="592"/>
      <c r="AG230" s="592"/>
      <c r="AH230" s="592"/>
      <c r="AI230" s="592"/>
    </row>
    <row r="231" spans="1:35" s="583" customFormat="1">
      <c r="A231" s="568">
        <v>1</v>
      </c>
      <c r="B231" s="36">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6">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6">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6">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6">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6">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6">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6">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6">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6">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6">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6">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6">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6">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6">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6">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6">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6">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6">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6">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6">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6">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6">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6">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6">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6">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6">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6">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6">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6">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6">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6">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6">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6">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6">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6">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6">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6">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6">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6">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6">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6">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6">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6">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6">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6">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6">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6">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6">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6">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6">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6">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6">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6">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6">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6">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6">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6">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6">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6">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6">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6">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6">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6">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6">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6">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6">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6">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6">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6">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6">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6">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6">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6">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6">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6">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6">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6">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6">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6">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6">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6">
        <v>310</v>
      </c>
      <c r="C312" s="569" t="s">
        <v>0</v>
      </c>
      <c r="I312" s="580" t="str">
        <f>IF(Table1[[#This Row],[Staff]]="","",Table1[[#This Row],[Staff]])</f>
        <v/>
      </c>
      <c r="J312" s="569" t="str">
        <f>Table1[[#This Row],[Date]]</f>
        <v xml:space="preserve"> </v>
      </c>
      <c r="K312" s="525"/>
      <c r="L312" s="525"/>
    </row>
    <row r="313" spans="1:35">
      <c r="B313" s="36">
        <v>311</v>
      </c>
      <c r="C313" s="569" t="s">
        <v>0</v>
      </c>
      <c r="I313" s="580" t="str">
        <f>IF(Table1[[#This Row],[Staff]]="","",Table1[[#This Row],[Staff]])</f>
        <v/>
      </c>
      <c r="J313" s="569" t="str">
        <f>Table1[[#This Row],[Date]]</f>
        <v xml:space="preserve"> </v>
      </c>
      <c r="K313" s="525"/>
      <c r="L313" s="525"/>
    </row>
    <row r="314" spans="1:35">
      <c r="B314" s="36">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C5" sqref="C5:R27"/>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28" t="s">
        <v>7</v>
      </c>
      <c r="E2" s="628"/>
      <c r="F2" s="628"/>
      <c r="G2" s="628"/>
      <c r="H2" s="634">
        <f ca="1">TODAY()</f>
        <v>41739</v>
      </c>
      <c r="I2" s="634"/>
      <c r="J2" s="634"/>
      <c r="K2" s="634"/>
      <c r="L2" s="634"/>
      <c r="M2" s="634"/>
      <c r="N2" s="634"/>
      <c r="O2" s="634"/>
      <c r="P2" s="634"/>
      <c r="Q2" s="634"/>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30" t="str">
        <f>R.1ProjectName</f>
        <v>Second Limited Maintenance Plans for Grants Pass CO and PM10</v>
      </c>
      <c r="E4" s="630"/>
      <c r="F4" s="630"/>
      <c r="G4" s="630"/>
      <c r="H4" s="630"/>
      <c r="I4" s="630"/>
      <c r="J4" s="630"/>
      <c r="K4" s="630"/>
      <c r="L4" s="630"/>
      <c r="M4" s="630"/>
      <c r="N4" s="630"/>
      <c r="O4" s="630"/>
      <c r="P4" s="630"/>
      <c r="Q4" s="630"/>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29" t="s">
        <v>169</v>
      </c>
      <c r="D5" s="629"/>
      <c r="E5" s="629"/>
      <c r="F5" s="629"/>
      <c r="G5" s="629"/>
      <c r="H5" s="629"/>
      <c r="I5" s="629"/>
      <c r="J5" s="629"/>
      <c r="K5" s="629"/>
      <c r="L5" s="629"/>
      <c r="M5" s="629"/>
      <c r="N5" s="629"/>
      <c r="O5" s="629"/>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562" t="str">
        <f>'1ProjectRecord'!D2</f>
        <v>Project record</v>
      </c>
      <c r="E7" s="632" t="s">
        <v>84</v>
      </c>
      <c r="F7" s="625"/>
      <c r="G7" s="625"/>
      <c r="H7" s="625"/>
      <c r="I7" s="625"/>
      <c r="J7" s="625"/>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571" t="s">
        <v>153</v>
      </c>
      <c r="E8" s="633" t="s">
        <v>154</v>
      </c>
      <c r="F8" s="613"/>
      <c r="G8" s="613"/>
      <c r="H8" s="613" t="s">
        <v>75</v>
      </c>
      <c r="I8" s="613"/>
      <c r="J8" s="613"/>
      <c r="K8" s="280"/>
      <c r="L8" s="280"/>
      <c r="M8" s="211"/>
      <c r="N8" s="211"/>
      <c r="O8" s="631" t="s">
        <v>46</v>
      </c>
      <c r="P8" s="631"/>
      <c r="Q8" s="631"/>
      <c r="R8" s="631"/>
      <c r="S8" s="333"/>
      <c r="T8" s="24"/>
      <c r="U8" s="24"/>
      <c r="V8" s="24"/>
      <c r="W8" s="24"/>
      <c r="X8" s="24"/>
      <c r="Y8" s="24"/>
      <c r="Z8" s="24"/>
      <c r="AA8" s="24"/>
      <c r="AB8" s="24"/>
      <c r="AC8" s="24"/>
      <c r="AD8" s="24"/>
      <c r="AE8" s="24"/>
      <c r="AF8" s="24"/>
      <c r="AG8" s="24"/>
    </row>
    <row r="9" spans="1:45" s="7" customFormat="1" ht="15.75" customHeight="1">
      <c r="A9" s="28"/>
      <c r="B9" s="333"/>
      <c r="C9" s="212">
        <v>3</v>
      </c>
      <c r="D9" s="572" t="str">
        <f>'3CoreTeam'!D2</f>
        <v>Core Team</v>
      </c>
      <c r="E9" s="619">
        <f>R.3LowHrs</f>
        <v>599</v>
      </c>
      <c r="F9" s="620"/>
      <c r="G9" s="621"/>
      <c r="H9" s="614">
        <f>R.3HighHrs</f>
        <v>1238</v>
      </c>
      <c r="I9" s="615"/>
      <c r="J9" s="616"/>
      <c r="K9" s="221"/>
      <c r="L9" s="624" t="s">
        <v>42</v>
      </c>
      <c r="M9" s="625"/>
      <c r="N9" s="625"/>
      <c r="O9" s="625"/>
      <c r="P9" s="626"/>
      <c r="Q9" s="281" t="str">
        <f>V9</f>
        <v>Low</v>
      </c>
      <c r="R9" s="371"/>
      <c r="S9" s="333"/>
      <c r="T9" s="48"/>
      <c r="U9" s="261">
        <f>R.2aOrgRisk</f>
        <v>1</v>
      </c>
      <c r="V9" s="262" t="str">
        <f>IF(U9=1,"Low",IF(U9=2,"Low/Medium",IF(U9=3,"Medium",IF(U9=4,"Medium/High","High"))))</f>
        <v>Low</v>
      </c>
      <c r="W9" s="24"/>
      <c r="X9" s="24"/>
      <c r="Y9" s="24"/>
      <c r="Z9" s="24"/>
      <c r="AA9" s="24"/>
      <c r="AB9" s="24"/>
      <c r="AC9" s="24"/>
      <c r="AD9" s="24"/>
      <c r="AE9" s="24"/>
      <c r="AF9" s="24"/>
      <c r="AG9" s="24"/>
    </row>
    <row r="10" spans="1:45" s="7" customFormat="1" ht="15.75" customHeight="1">
      <c r="A10" s="28"/>
      <c r="B10" s="333"/>
      <c r="C10" s="212">
        <v>4</v>
      </c>
      <c r="D10" s="562" t="str">
        <f>'4Advisors'!D2</f>
        <v>Advisors</v>
      </c>
      <c r="E10" s="619">
        <f>R.4LowHrs</f>
        <v>89</v>
      </c>
      <c r="F10" s="620"/>
      <c r="G10" s="621"/>
      <c r="H10" s="614">
        <f>R.4HighHrs</f>
        <v>218</v>
      </c>
      <c r="I10" s="615"/>
      <c r="J10" s="616"/>
      <c r="K10" s="221"/>
      <c r="L10" s="624" t="s">
        <v>43</v>
      </c>
      <c r="M10" s="625"/>
      <c r="N10" s="625"/>
      <c r="O10" s="625"/>
      <c r="P10" s="626"/>
      <c r="Q10" s="281" t="str">
        <f>V10</f>
        <v>Low</v>
      </c>
      <c r="R10" s="371"/>
      <c r="S10" s="333"/>
      <c r="T10" s="48"/>
      <c r="U10" s="261">
        <f>R.2bOrgRisk</f>
        <v>1</v>
      </c>
      <c r="V10" s="262" t="str">
        <f>IF(U10=1,"Low",IF(U10=2,"Low/Medium",IF(U10=3,"Medium",IF(U10=4,"Medium/High","High"))))</f>
        <v>Low</v>
      </c>
      <c r="W10" s="24"/>
      <c r="X10" s="24"/>
      <c r="Y10" s="24"/>
      <c r="Z10" s="24"/>
      <c r="AA10" s="24"/>
      <c r="AB10" s="24"/>
      <c r="AC10" s="24"/>
      <c r="AD10" s="24"/>
      <c r="AE10" s="24"/>
      <c r="AF10" s="24"/>
      <c r="AG10" s="24"/>
    </row>
    <row r="11" spans="1:45" s="7" customFormat="1" ht="15.75" customHeight="1">
      <c r="A11" s="28"/>
      <c r="B11" s="333"/>
      <c r="C11" s="212">
        <v>5</v>
      </c>
      <c r="D11" s="562" t="str">
        <f>'5InterestedStaff'!D2</f>
        <v>Interested Staff and EQC</v>
      </c>
      <c r="E11" s="619">
        <f>R.5LowHrs</f>
        <v>7</v>
      </c>
      <c r="F11" s="620"/>
      <c r="G11" s="621"/>
      <c r="H11" s="614">
        <f>R.5HighHrs</f>
        <v>56</v>
      </c>
      <c r="I11" s="615"/>
      <c r="J11" s="616"/>
      <c r="K11" s="221"/>
      <c r="L11" s="624" t="s">
        <v>44</v>
      </c>
      <c r="M11" s="625"/>
      <c r="N11" s="625"/>
      <c r="O11" s="625"/>
      <c r="P11" s="626"/>
      <c r="Q11" s="281" t="str">
        <f>V11</f>
        <v>Low</v>
      </c>
      <c r="R11" s="371"/>
      <c r="S11" s="333"/>
      <c r="T11" s="48"/>
      <c r="U11" s="261">
        <f>R.2cOrgRisk</f>
        <v>1</v>
      </c>
      <c r="V11" s="262" t="str">
        <f>IF(U11=1,"Low",IF(U11=2,"Low/Medium",IF(U11=3,"Medium",IF(U11=4,"Medium/High","High"))))</f>
        <v>Low</v>
      </c>
      <c r="W11" s="24"/>
      <c r="X11" s="24"/>
      <c r="Y11" s="24"/>
      <c r="Z11" s="24"/>
      <c r="AA11" s="24"/>
      <c r="AB11" s="24"/>
      <c r="AC11" s="24"/>
      <c r="AD11" s="24"/>
      <c r="AE11" s="24"/>
      <c r="AF11" s="24"/>
      <c r="AG11" s="24"/>
    </row>
    <row r="12" spans="1:45" s="7" customFormat="1" ht="15.75" customHeight="1">
      <c r="A12" s="28"/>
      <c r="B12" s="333"/>
      <c r="C12" s="212">
        <v>6</v>
      </c>
      <c r="D12" s="562" t="str">
        <f>'6OtherDivisions'!D2</f>
        <v>Other Divisions</v>
      </c>
      <c r="E12" s="619">
        <f>R.6LowHrs</f>
        <v>8</v>
      </c>
      <c r="F12" s="620"/>
      <c r="G12" s="621"/>
      <c r="H12" s="614">
        <f>R.6HighHrs</f>
        <v>40</v>
      </c>
      <c r="I12" s="615"/>
      <c r="J12" s="616"/>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562" t="str">
        <f>'7Regions'!D2</f>
        <v>Regions</v>
      </c>
      <c r="E13" s="622">
        <f>R.7LowHrs</f>
        <v>1</v>
      </c>
      <c r="F13" s="620"/>
      <c r="G13" s="621"/>
      <c r="H13" s="614">
        <f>R.7HighHrs</f>
        <v>8</v>
      </c>
      <c r="I13" s="615"/>
      <c r="J13" s="616"/>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562" t="str">
        <f>'8FinancialServices'!D2</f>
        <v>Financial Services</v>
      </c>
      <c r="E14" s="622">
        <f>R.8LowHrs</f>
        <v>0</v>
      </c>
      <c r="F14" s="620"/>
      <c r="G14" s="621"/>
      <c r="H14" s="614">
        <f>R.8HighHrs</f>
        <v>0</v>
      </c>
      <c r="I14" s="615"/>
      <c r="J14" s="616"/>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562" t="str">
        <f>'9OCO'!D2</f>
        <v>Communications and Outreach</v>
      </c>
      <c r="E15" s="619">
        <f>R.9LowHrs</f>
        <v>3</v>
      </c>
      <c r="F15" s="620"/>
      <c r="G15" s="621"/>
      <c r="H15" s="614">
        <f>R.9HighHrs</f>
        <v>24</v>
      </c>
      <c r="I15" s="615"/>
      <c r="J15" s="616"/>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562" t="str">
        <f>'10OrgServices'!D2</f>
        <v>Organizational Services</v>
      </c>
      <c r="E16" s="619">
        <f>R.10LowHrs</f>
        <v>0</v>
      </c>
      <c r="F16" s="620"/>
      <c r="G16" s="621"/>
      <c r="H16" s="614">
        <f>R.10HighHrs</f>
        <v>0</v>
      </c>
      <c r="I16" s="615"/>
      <c r="J16" s="616"/>
      <c r="K16" s="221"/>
      <c r="L16" s="627" t="s">
        <v>94</v>
      </c>
      <c r="M16" s="625"/>
      <c r="N16" s="625"/>
      <c r="O16" s="625"/>
      <c r="P16" s="626"/>
      <c r="Q16" s="288">
        <f>U16</f>
        <v>20</v>
      </c>
      <c r="R16" s="283"/>
      <c r="S16" s="333"/>
      <c r="T16" s="24"/>
      <c r="U16" s="585">
        <f>SUM(R.3StaffCount,R.4StaffCount,R.5StaffCount,R.6StaffCount,R.7StaffCount,R.8StaffCount,R.9StaffCount,R.10StaffCount,R.11StaffCount,R.12StaffCount,R.13StaffCount,R.15StaffCount)</f>
        <v>20</v>
      </c>
      <c r="V16" s="24"/>
      <c r="W16" s="24"/>
      <c r="X16" s="24"/>
      <c r="Y16" s="24"/>
      <c r="Z16" s="24"/>
      <c r="AA16" s="24"/>
      <c r="AB16" s="24"/>
      <c r="AC16" s="24"/>
      <c r="AD16" s="24"/>
      <c r="AE16" s="24"/>
      <c r="AF16" s="24"/>
      <c r="AG16" s="24"/>
    </row>
    <row r="17" spans="1:45" s="7" customFormat="1" ht="15.75" customHeight="1">
      <c r="A17" s="28"/>
      <c r="B17" s="333"/>
      <c r="C17" s="212">
        <v>11</v>
      </c>
      <c r="D17" s="562" t="str">
        <f>'11TechServices'!D2</f>
        <v>Technical Services</v>
      </c>
      <c r="E17" s="619">
        <f>R.11LowHrs</f>
        <v>0</v>
      </c>
      <c r="F17" s="620"/>
      <c r="G17" s="621"/>
      <c r="H17" s="614">
        <f>R.11HighHrs</f>
        <v>0</v>
      </c>
      <c r="I17" s="615"/>
      <c r="J17" s="616"/>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562" t="s">
        <v>148</v>
      </c>
      <c r="E18" s="619">
        <f>R.12LowHrs</f>
        <v>0</v>
      </c>
      <c r="F18" s="620"/>
      <c r="G18" s="621"/>
      <c r="H18" s="614">
        <f>R.12HighHrs</f>
        <v>0</v>
      </c>
      <c r="I18" s="615"/>
      <c r="J18" s="616"/>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562" t="str">
        <f>'13LEAD'!D2</f>
        <v>LEAD</v>
      </c>
      <c r="E19" s="619">
        <f>R.13LowHrs</f>
        <v>0</v>
      </c>
      <c r="F19" s="620"/>
      <c r="G19" s="621"/>
      <c r="H19" s="614">
        <f>R.13HighHrs</f>
        <v>0</v>
      </c>
      <c r="I19" s="615"/>
      <c r="J19" s="616"/>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562" t="str">
        <f>'14Intergovernmental'!D2</f>
        <v>Intergovernmental</v>
      </c>
      <c r="E20" s="619">
        <f>R.14LowHrs</f>
        <v>160</v>
      </c>
      <c r="F20" s="620"/>
      <c r="G20" s="621"/>
      <c r="H20" s="614">
        <f>R.14HighHrs</f>
        <v>340</v>
      </c>
      <c r="I20" s="615"/>
      <c r="J20" s="616"/>
      <c r="K20" s="606" t="s">
        <v>0</v>
      </c>
      <c r="L20" s="607"/>
      <c r="M20" s="607"/>
      <c r="N20" s="607"/>
      <c r="O20" s="607"/>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562" t="str">
        <f>'15CustomParticipants'!D2</f>
        <v>Custom Participants</v>
      </c>
      <c r="E21" s="619">
        <f>R.15LowHrs</f>
        <v>0</v>
      </c>
      <c r="F21" s="620"/>
      <c r="G21" s="621"/>
      <c r="H21" s="614">
        <f>R.15HighHrs</f>
        <v>0</v>
      </c>
      <c r="I21" s="615"/>
      <c r="J21" s="616"/>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6" t="s">
        <v>586</v>
      </c>
      <c r="E22" s="619">
        <f>14*1</f>
        <v>14</v>
      </c>
      <c r="F22" s="620"/>
      <c r="G22" s="621"/>
      <c r="H22" s="614">
        <f>14*4</f>
        <v>56</v>
      </c>
      <c r="I22" s="615"/>
      <c r="J22" s="616"/>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85</v>
      </c>
      <c r="E23" s="617">
        <f>SUM(E9:E22)</f>
        <v>881</v>
      </c>
      <c r="F23" s="617"/>
      <c r="G23" s="617"/>
      <c r="H23" s="617">
        <f>SUM(H9:H22)</f>
        <v>1980</v>
      </c>
      <c r="I23" s="617"/>
      <c r="J23" s="617"/>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82</v>
      </c>
      <c r="E24" s="608">
        <f>-R.14LowHrs</f>
        <v>-160</v>
      </c>
      <c r="F24" s="609"/>
      <c r="G24" s="609"/>
      <c r="H24" s="608">
        <f>-R.14HighHrs</f>
        <v>-340</v>
      </c>
      <c r="I24" s="609"/>
      <c r="J24" s="609"/>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10">
        <f>SUM(E23:E24)</f>
        <v>721</v>
      </c>
      <c r="F25" s="610"/>
      <c r="G25" s="610"/>
      <c r="H25" s="611">
        <f>SUM(H23:H24)</f>
        <v>1640</v>
      </c>
      <c r="I25" s="611"/>
      <c r="J25" s="611"/>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23" t="s">
        <v>88</v>
      </c>
      <c r="D26" s="623"/>
      <c r="E26" s="618" t="str">
        <f>"X    $"&amp;R.AvgHrDEQCost</f>
        <v>X    $58</v>
      </c>
      <c r="F26" s="618"/>
      <c r="G26" s="618"/>
      <c r="H26" s="618" t="str">
        <f>"X    $"&amp;R.AvgHrDEQCost</f>
        <v>X    $58</v>
      </c>
      <c r="I26" s="618"/>
      <c r="J26" s="618"/>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87</v>
      </c>
      <c r="E27" s="612">
        <f>E25*R.AvgHrDEQCost</f>
        <v>41818</v>
      </c>
      <c r="F27" s="612"/>
      <c r="G27" s="612"/>
      <c r="H27" s="612">
        <f>H25*R.AvgHrDEQCost</f>
        <v>95120</v>
      </c>
      <c r="I27" s="612"/>
      <c r="J27" s="612"/>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R38" s="433"/>
      <c r="S38" s="44"/>
      <c r="T38" s="40"/>
      <c r="U38" s="44"/>
      <c r="V38" s="44"/>
      <c r="W38" s="44"/>
      <c r="X38" s="44"/>
      <c r="Y38" s="44"/>
      <c r="Z38" s="44"/>
      <c r="AA38" s="44"/>
    </row>
    <row r="39" spans="3:27">
      <c r="C39" s="42"/>
      <c r="D39" s="433"/>
      <c r="E39" s="433"/>
      <c r="F39" s="433"/>
      <c r="G39" s="433"/>
      <c r="R39" s="433"/>
      <c r="S39" s="44"/>
      <c r="T39" s="40"/>
      <c r="U39" s="44"/>
      <c r="V39" s="44"/>
      <c r="W39" s="44"/>
      <c r="X39" s="44"/>
      <c r="Y39" s="44"/>
      <c r="Z39" s="44"/>
      <c r="AA39" s="44"/>
    </row>
    <row r="40" spans="3:27">
      <c r="C40" s="42"/>
      <c r="D40" s="433"/>
      <c r="E40" s="433"/>
      <c r="F40" s="433"/>
      <c r="G40" s="433"/>
      <c r="R40" s="433"/>
      <c r="S40" s="44"/>
      <c r="T40" s="40"/>
      <c r="U40" s="44"/>
      <c r="V40" s="44"/>
      <c r="W40" s="44"/>
      <c r="X40" s="44"/>
      <c r="Y40" s="44"/>
      <c r="Z40" s="44"/>
      <c r="AA40" s="44"/>
    </row>
    <row r="41" spans="3:27">
      <c r="C41" s="42"/>
      <c r="D41" s="433"/>
      <c r="E41" s="433"/>
      <c r="F41" s="433"/>
      <c r="G41" s="433"/>
      <c r="R41" s="433"/>
      <c r="S41" s="44"/>
      <c r="T41" s="40"/>
      <c r="U41" s="44"/>
      <c r="V41" s="44"/>
      <c r="W41" s="44"/>
      <c r="X41" s="44"/>
      <c r="Y41" s="44"/>
      <c r="Z41" s="44"/>
      <c r="AA41" s="44"/>
    </row>
    <row r="42" spans="3:27">
      <c r="D42" s="433"/>
      <c r="E42" s="433"/>
      <c r="F42" s="433"/>
      <c r="G42" s="433"/>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09"/>
  <sheetViews>
    <sheetView showGridLines="0" topLeftCell="A4" zoomScaleNormal="100" workbookViewId="0">
      <selection activeCell="G18" sqref="G18"/>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100</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62" t="s">
        <v>38</v>
      </c>
      <c r="E2" s="662"/>
      <c r="F2" s="662"/>
      <c r="G2" s="642" t="str">
        <f>R.1MediaAndLongName</f>
        <v>AQ LMP Grants Pass</v>
      </c>
      <c r="H2" s="642"/>
      <c r="I2" s="642"/>
      <c r="J2" s="642"/>
      <c r="K2" s="642"/>
      <c r="L2" s="642"/>
      <c r="M2" s="642"/>
      <c r="N2" s="642"/>
      <c r="O2" s="642"/>
      <c r="P2" s="642"/>
      <c r="Q2" s="642"/>
      <c r="R2" s="642"/>
      <c r="S2" s="263"/>
      <c r="T2" s="333"/>
      <c r="U2" s="26"/>
      <c r="V2" s="197" t="s">
        <v>78</v>
      </c>
      <c r="W2" s="198">
        <v>58</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59" t="s">
        <v>81</v>
      </c>
      <c r="E4" s="659"/>
      <c r="F4" s="659"/>
      <c r="G4" s="663" t="s">
        <v>588</v>
      </c>
      <c r="H4" s="664"/>
      <c r="I4" s="664"/>
      <c r="J4" s="664"/>
      <c r="K4" s="664"/>
      <c r="L4" s="664"/>
      <c r="M4" s="664"/>
      <c r="N4" s="664"/>
      <c r="O4" s="664"/>
      <c r="P4" s="664"/>
      <c r="Q4" s="664"/>
      <c r="R4" s="665"/>
      <c r="S4" s="313"/>
      <c r="T4" s="333"/>
      <c r="U4" s="26"/>
      <c r="V4" s="197" t="str">
        <f>P6&amp;" "&amp;H5</f>
        <v>AQ LMP Grants Pass</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66" t="s">
        <v>156</v>
      </c>
      <c r="E5" s="666"/>
      <c r="F5" s="667"/>
      <c r="G5" s="401" t="s">
        <v>589</v>
      </c>
      <c r="H5" s="652" t="s">
        <v>591</v>
      </c>
      <c r="I5" s="653"/>
      <c r="J5" s="653"/>
      <c r="K5" s="653"/>
      <c r="L5" s="653"/>
      <c r="M5" s="653"/>
      <c r="N5" s="653"/>
      <c r="O5" s="653"/>
      <c r="P5" s="653"/>
      <c r="Q5" s="653"/>
      <c r="R5" s="654"/>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602" t="s">
        <v>582</v>
      </c>
      <c r="E6" s="393"/>
      <c r="F6" s="393"/>
      <c r="G6" s="402">
        <v>2014</v>
      </c>
      <c r="H6" s="394"/>
      <c r="I6" s="655" t="s">
        <v>157</v>
      </c>
      <c r="J6" s="655"/>
      <c r="K6" s="655"/>
      <c r="L6" s="655"/>
      <c r="M6" s="655"/>
      <c r="N6" s="655"/>
      <c r="O6" s="656"/>
      <c r="P6" s="657" t="s">
        <v>590</v>
      </c>
      <c r="Q6" s="658"/>
      <c r="R6" s="394"/>
      <c r="S6" s="313"/>
      <c r="T6" s="333"/>
      <c r="U6" s="26"/>
      <c r="V6" t="str">
        <f>P6</f>
        <v>AQ</v>
      </c>
      <c r="W6" s="25"/>
      <c r="X6" s="25"/>
      <c r="Y6" s="574" t="s">
        <v>538</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105</v>
      </c>
      <c r="B7" s="333"/>
      <c r="C7" s="265"/>
      <c r="D7" s="273" t="s">
        <v>585</v>
      </c>
      <c r="E7" s="39"/>
      <c r="F7" s="274"/>
      <c r="G7" s="402" t="s">
        <v>155</v>
      </c>
      <c r="H7" s="644" t="str">
        <f>"Rulemaking: "&amp;$P$6&amp;" "&amp;$H$5</f>
        <v>Rulemaking: AQ LMP Grants Pass</v>
      </c>
      <c r="I7" s="644"/>
      <c r="J7" s="644"/>
      <c r="K7" s="644"/>
      <c r="L7" s="644"/>
      <c r="M7" s="644"/>
      <c r="N7" s="644"/>
      <c r="O7" s="644"/>
      <c r="P7" s="644"/>
      <c r="Q7" s="644"/>
      <c r="R7" s="645"/>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68</v>
      </c>
      <c r="E8" s="39"/>
      <c r="F8" s="274"/>
      <c r="G8" s="395" t="s">
        <v>155</v>
      </c>
      <c r="H8" s="644" t="str">
        <f>P.1PlanYear&amp; " Rules "&amp;$P$6&amp;" "&amp;$G$5</f>
        <v>2014 Rules AQ LMPGP</v>
      </c>
      <c r="I8" s="644"/>
      <c r="J8" s="644"/>
      <c r="K8" s="644"/>
      <c r="L8" s="644"/>
      <c r="M8" s="644"/>
      <c r="N8" s="644"/>
      <c r="O8" s="644"/>
      <c r="P8" s="644"/>
      <c r="Q8" s="644"/>
      <c r="R8" s="645"/>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68</v>
      </c>
      <c r="E9" s="39"/>
      <c r="F9" s="274"/>
      <c r="G9" s="395" t="s">
        <v>155</v>
      </c>
      <c r="H9" s="644" t="str">
        <f>P.1PlanYear&amp; " Rules "&amp;$P$6&amp;" "&amp;$G$5</f>
        <v>2014 Rules AQ LMPGP</v>
      </c>
      <c r="I9" s="644"/>
      <c r="J9" s="644"/>
      <c r="K9" s="644"/>
      <c r="L9" s="644"/>
      <c r="M9" s="644"/>
      <c r="N9" s="644"/>
      <c r="O9" s="644"/>
      <c r="P9" s="644"/>
      <c r="Q9" s="644"/>
      <c r="R9" s="645"/>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68</v>
      </c>
      <c r="E10" s="39"/>
      <c r="F10" s="274"/>
      <c r="G10" s="395" t="s">
        <v>155</v>
      </c>
      <c r="H10" s="644" t="str">
        <f>P.1PlanYear&amp; " Rules "&amp;$P$6&amp;" "&amp;$G$5</f>
        <v>2014 Rules AQ LMPGP</v>
      </c>
      <c r="I10" s="644"/>
      <c r="J10" s="644"/>
      <c r="K10" s="644"/>
      <c r="L10" s="644"/>
      <c r="M10" s="644"/>
      <c r="N10" s="644"/>
      <c r="O10" s="644"/>
      <c r="P10" s="644"/>
      <c r="Q10" s="644"/>
      <c r="R10" s="645"/>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c r="B11" s="333"/>
      <c r="C11" s="265"/>
      <c r="D11" s="397" t="s">
        <v>45</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40</v>
      </c>
      <c r="E12" s="39"/>
      <c r="F12" s="274"/>
      <c r="G12" s="643" t="str">
        <f>"RM-"&amp;G5</f>
        <v>RM-LMPGP</v>
      </c>
      <c r="H12" s="644"/>
      <c r="I12" s="644"/>
      <c r="J12" s="644"/>
      <c r="K12" s="644"/>
      <c r="L12" s="644"/>
      <c r="M12" s="644"/>
      <c r="N12" s="644"/>
      <c r="O12" s="644"/>
      <c r="P12" s="644"/>
      <c r="Q12" s="644"/>
      <c r="R12" s="645"/>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5</v>
      </c>
      <c r="E13" s="39"/>
      <c r="F13" s="276"/>
      <c r="G13" s="643" t="str">
        <f>"RM-"&amp;G5&amp;" "&amp;P.1PlanYear</f>
        <v>RM-LMPGP 2014</v>
      </c>
      <c r="H13" s="644"/>
      <c r="I13" s="644"/>
      <c r="J13" s="644"/>
      <c r="K13" s="644"/>
      <c r="L13" s="644"/>
      <c r="M13" s="644"/>
      <c r="N13" s="644"/>
      <c r="O13" s="644"/>
      <c r="P13" s="644"/>
      <c r="Q13" s="644"/>
      <c r="R13" s="645"/>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93</v>
      </c>
      <c r="E14" s="39"/>
      <c r="F14" s="277"/>
      <c r="G14" s="646" t="s">
        <v>583</v>
      </c>
      <c r="H14" s="647"/>
      <c r="I14" s="647"/>
      <c r="J14" s="647"/>
      <c r="K14" s="647"/>
      <c r="L14" s="647"/>
      <c r="M14" s="647"/>
      <c r="N14" s="647"/>
      <c r="O14" s="647"/>
      <c r="P14" s="647"/>
      <c r="Q14" s="647"/>
      <c r="R14" s="648"/>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c r="A15" s="341"/>
      <c r="B15" s="333"/>
      <c r="C15" s="265"/>
      <c r="D15" s="275" t="s">
        <v>92</v>
      </c>
      <c r="E15" s="273"/>
      <c r="F15" s="4"/>
      <c r="G15" s="646" t="s">
        <v>583</v>
      </c>
      <c r="H15" s="647"/>
      <c r="I15" s="647"/>
      <c r="J15" s="647"/>
      <c r="K15" s="647"/>
      <c r="L15" s="647"/>
      <c r="M15" s="647"/>
      <c r="N15" s="647"/>
      <c r="O15" s="647"/>
      <c r="P15" s="647"/>
      <c r="Q15" s="647"/>
      <c r="R15" s="648"/>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8</v>
      </c>
      <c r="E16" s="238"/>
      <c r="F16" s="278" t="s">
        <v>48</v>
      </c>
      <c r="G16" s="646" t="s">
        <v>592</v>
      </c>
      <c r="H16" s="647"/>
      <c r="I16" s="647"/>
      <c r="J16" s="647"/>
      <c r="K16" s="647"/>
      <c r="L16" s="647"/>
      <c r="M16" s="647"/>
      <c r="N16" s="647"/>
      <c r="O16" s="647"/>
      <c r="P16" s="647"/>
      <c r="Q16" s="647"/>
      <c r="R16" s="648"/>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49" t="s">
        <v>158</v>
      </c>
      <c r="H17" s="650"/>
      <c r="I17" s="650"/>
      <c r="J17" s="650"/>
      <c r="K17" s="650"/>
      <c r="L17" s="650"/>
      <c r="M17" s="650"/>
      <c r="N17" s="650"/>
      <c r="O17" s="650"/>
      <c r="P17" s="650"/>
      <c r="Q17" s="650"/>
      <c r="R17" s="651"/>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159</v>
      </c>
      <c r="E18" s="39"/>
      <c r="F18" s="67"/>
      <c r="G18" s="395" t="s">
        <v>160</v>
      </c>
      <c r="H18" s="660" t="s">
        <v>584</v>
      </c>
      <c r="I18" s="660"/>
      <c r="J18" s="660"/>
      <c r="K18" s="660"/>
      <c r="L18" s="660"/>
      <c r="M18" s="660"/>
      <c r="N18" s="660"/>
      <c r="O18" s="660"/>
      <c r="P18" s="660"/>
      <c r="Q18" s="660"/>
      <c r="R18" s="661"/>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c r="A19" s="341"/>
      <c r="B19" s="333"/>
      <c r="C19" s="265"/>
      <c r="D19" s="8" t="s">
        <v>4</v>
      </c>
      <c r="E19" s="238"/>
      <c r="F19" s="8"/>
      <c r="G19" s="635" t="str">
        <f>"Comment-"&amp;SUBSTITUTE(H5," ","")&amp;"@deq.state.or.us"</f>
        <v>Comment-LMPGrantsPass@deq.state.or.us</v>
      </c>
      <c r="H19" s="636"/>
      <c r="I19" s="636"/>
      <c r="J19" s="636"/>
      <c r="K19" s="636"/>
      <c r="L19" s="636"/>
      <c r="M19" s="636"/>
      <c r="N19" s="636"/>
      <c r="O19" s="636"/>
      <c r="P19" s="636"/>
      <c r="Q19" s="636"/>
      <c r="R19" s="637"/>
      <c r="S19" s="266"/>
      <c r="T19" s="333"/>
      <c r="U19" s="26"/>
      <c r="V19" s="197"/>
      <c r="W19" s="24"/>
      <c r="X19" s="24"/>
      <c r="Y19" s="44" t="s">
        <v>0</v>
      </c>
      <c r="Z19" s="24"/>
      <c r="AA19" s="24"/>
      <c r="AB19" s="24"/>
      <c r="AC19" s="64"/>
      <c r="AD19" s="63"/>
      <c r="AE19" s="63"/>
      <c r="AF19" s="64"/>
      <c r="AG19" s="64"/>
      <c r="AH19" s="64"/>
      <c r="AI19" s="64"/>
      <c r="AJ19" s="64"/>
      <c r="AK19" s="64"/>
      <c r="AL19" s="64"/>
      <c r="AM19" s="64"/>
      <c r="AN19" s="64"/>
      <c r="AO19" s="64"/>
      <c r="AP19" s="64"/>
      <c r="AQ19" s="64"/>
      <c r="AR19" s="64"/>
      <c r="AS19" s="64"/>
      <c r="AT19" s="64"/>
    </row>
    <row r="20" spans="1:46" s="28" customFormat="1" ht="30" customHeight="1">
      <c r="A20" s="341"/>
      <c r="B20" s="333"/>
      <c r="C20" s="232"/>
      <c r="D20" s="641" t="str">
        <f>"Please suggest process improvements to the "&amp;D2&amp;" worksheet."</f>
        <v>Please suggest process improvements to the Project record worksheet.</v>
      </c>
      <c r="E20" s="641"/>
      <c r="F20" s="641"/>
      <c r="G20" s="641"/>
      <c r="H20" s="641"/>
      <c r="I20" s="641"/>
      <c r="J20" s="641"/>
      <c r="K20" s="641"/>
      <c r="L20" s="641"/>
      <c r="M20" s="641"/>
      <c r="N20" s="267"/>
      <c r="O20" s="268"/>
      <c r="P20" s="269"/>
      <c r="Q20" s="270"/>
      <c r="R20" s="238"/>
      <c r="S20" s="146"/>
      <c r="T20" s="333"/>
      <c r="U20" s="271"/>
      <c r="V20" s="24"/>
      <c r="W20" s="24"/>
      <c r="X20" s="24"/>
      <c r="Y20" s="272"/>
      <c r="Z20" s="272"/>
      <c r="AA20" s="272"/>
      <c r="AB20" s="272"/>
      <c r="AC20" s="235"/>
      <c r="AD20" s="235"/>
      <c r="AE20" s="235"/>
      <c r="AF20" s="235"/>
      <c r="AG20" s="64"/>
      <c r="AH20" s="64"/>
      <c r="AI20" s="64"/>
      <c r="AJ20" s="64"/>
      <c r="AK20" s="64"/>
      <c r="AL20" s="64"/>
      <c r="AM20" s="64"/>
      <c r="AN20" s="64"/>
      <c r="AO20" s="64"/>
      <c r="AP20" s="64"/>
      <c r="AQ20" s="64"/>
      <c r="AR20" s="64"/>
      <c r="AS20" s="64"/>
      <c r="AT20" s="64"/>
    </row>
    <row r="21" spans="1:46" s="6" customFormat="1" ht="30.75" customHeight="1">
      <c r="A21" s="341"/>
      <c r="B21" s="333"/>
      <c r="C21" s="135"/>
      <c r="D21" s="638" t="s">
        <v>0</v>
      </c>
      <c r="E21" s="639"/>
      <c r="F21" s="639"/>
      <c r="G21" s="639"/>
      <c r="H21" s="639"/>
      <c r="I21" s="639"/>
      <c r="J21" s="639"/>
      <c r="K21" s="639"/>
      <c r="L21" s="639"/>
      <c r="M21" s="639"/>
      <c r="N21" s="639"/>
      <c r="O21" s="639"/>
      <c r="P21" s="639"/>
      <c r="Q21" s="639"/>
      <c r="R21" s="640"/>
      <c r="S21" s="147"/>
      <c r="T21" s="333"/>
      <c r="U21" s="66"/>
      <c r="V21" s="24"/>
      <c r="W21" s="24"/>
      <c r="X21" s="24"/>
      <c r="Y21" s="44"/>
      <c r="Z21" s="44"/>
      <c r="AA21" s="44"/>
      <c r="AB21" s="44"/>
      <c r="AC21" s="63"/>
      <c r="AD21" s="63"/>
      <c r="AE21" s="63"/>
      <c r="AF21" s="63"/>
      <c r="AG21" s="65"/>
      <c r="AH21" s="65"/>
      <c r="AI21" s="65"/>
      <c r="AJ21" s="65"/>
      <c r="AK21" s="65"/>
      <c r="AL21" s="65"/>
      <c r="AM21" s="65"/>
      <c r="AN21" s="65"/>
      <c r="AO21" s="65"/>
      <c r="AP21" s="65"/>
      <c r="AQ21" s="65"/>
      <c r="AR21" s="65"/>
      <c r="AS21" s="65"/>
      <c r="AT21" s="65"/>
    </row>
    <row r="22" spans="1:46" ht="18" customHeight="1">
      <c r="B22" s="333"/>
      <c r="C22" s="148"/>
      <c r="D22" s="11"/>
      <c r="E22" s="11"/>
      <c r="F22" s="149"/>
      <c r="G22" s="11"/>
      <c r="H22" s="11"/>
      <c r="I22" s="11"/>
      <c r="J22" s="11"/>
      <c r="K22" s="11"/>
      <c r="L22" s="11"/>
      <c r="M22" s="11"/>
      <c r="N22" s="11"/>
      <c r="O22" s="11"/>
      <c r="P22" s="11"/>
      <c r="Q22" s="11"/>
      <c r="R22" s="11"/>
      <c r="S22" s="150"/>
      <c r="T22" s="333"/>
      <c r="U22" s="44"/>
      <c r="V22" s="44"/>
      <c r="W22" s="44"/>
      <c r="X22" s="44"/>
      <c r="Y22" s="44"/>
      <c r="Z22" s="44"/>
      <c r="AA22" s="44"/>
      <c r="AB22" s="44"/>
      <c r="AC22" s="63"/>
      <c r="AD22" s="63"/>
      <c r="AE22" s="63"/>
      <c r="AF22" s="63"/>
      <c r="AG22" s="63"/>
      <c r="AH22" s="63"/>
      <c r="AI22" s="63"/>
      <c r="AJ22" s="63"/>
      <c r="AK22" s="63"/>
      <c r="AL22" s="63"/>
      <c r="AM22" s="63"/>
      <c r="AN22" s="63"/>
      <c r="AO22" s="63"/>
      <c r="AP22" s="63"/>
      <c r="AQ22" s="63"/>
      <c r="AR22" s="63"/>
      <c r="AS22" s="63"/>
      <c r="AT22" s="63"/>
    </row>
    <row r="23" spans="1:46" ht="14.25">
      <c r="B23" s="333"/>
      <c r="C23" s="333"/>
      <c r="D23" s="333"/>
      <c r="E23" s="333"/>
      <c r="F23" s="333"/>
      <c r="G23" s="333"/>
      <c r="H23" s="333"/>
      <c r="I23" s="333"/>
      <c r="J23" s="333"/>
      <c r="K23" s="333"/>
      <c r="L23" s="333"/>
      <c r="M23" s="333"/>
      <c r="N23" s="333"/>
      <c r="O23" s="333"/>
      <c r="P23" s="333"/>
      <c r="Q23" s="333"/>
      <c r="R23" s="333"/>
      <c r="S23" s="333"/>
      <c r="T23" s="333"/>
      <c r="U23" s="40"/>
      <c r="V23" s="44"/>
      <c r="W23" s="44"/>
      <c r="X23" s="44"/>
      <c r="Y23" s="44"/>
      <c r="Z23" s="44"/>
      <c r="AA23" s="44"/>
      <c r="AB23" s="44"/>
      <c r="AC23" s="63"/>
      <c r="AD23" s="63"/>
      <c r="AE23" s="63"/>
      <c r="AF23" s="63"/>
      <c r="AG23" s="63"/>
      <c r="AH23" s="63"/>
      <c r="AI23" s="63"/>
      <c r="AJ23" s="63"/>
      <c r="AK23" s="63"/>
      <c r="AL23" s="63"/>
      <c r="AM23" s="63"/>
      <c r="AN23" s="63"/>
      <c r="AO23" s="63"/>
      <c r="AP23" s="63"/>
      <c r="AQ23" s="63"/>
      <c r="AR23" s="63"/>
      <c r="AS23" s="63"/>
      <c r="AT23" s="63"/>
    </row>
    <row r="24" spans="1:46">
      <c r="C24" s="42"/>
      <c r="D24" s="44"/>
      <c r="E24" s="44"/>
      <c r="F24" s="24"/>
      <c r="G24" s="44"/>
      <c r="H24" s="44"/>
      <c r="I24" s="44"/>
      <c r="J24" s="44"/>
      <c r="K24" s="44"/>
      <c r="L24" s="44"/>
      <c r="M24" s="44"/>
      <c r="N24" s="44"/>
      <c r="O24" s="44"/>
      <c r="P24" s="44"/>
      <c r="Q24" s="44"/>
      <c r="R24" s="44"/>
      <c r="S24" s="44"/>
      <c r="T24" s="44"/>
      <c r="U24" s="40"/>
      <c r="V24" s="44"/>
      <c r="W24" s="44"/>
      <c r="X24" s="44"/>
      <c r="Y24" s="44"/>
      <c r="Z24" s="44"/>
      <c r="AA24" s="44"/>
      <c r="AB24" s="44"/>
    </row>
    <row r="25" spans="1:46">
      <c r="C25" s="42"/>
      <c r="D25" s="44"/>
      <c r="E25" s="44"/>
      <c r="F25" s="24"/>
      <c r="G25" s="44"/>
      <c r="H25" s="44"/>
      <c r="I25" s="44"/>
      <c r="J25" s="44"/>
      <c r="K25" s="44"/>
      <c r="L25" s="44"/>
      <c r="M25" s="44"/>
      <c r="N25" s="44"/>
      <c r="O25" s="44"/>
      <c r="P25" s="44"/>
      <c r="Q25" s="44"/>
      <c r="R25" s="44"/>
      <c r="S25" s="44"/>
      <c r="T25" s="44"/>
      <c r="U25" s="40"/>
      <c r="V25" s="44"/>
      <c r="W25" s="44"/>
      <c r="X25" s="44"/>
      <c r="Y25" s="44"/>
      <c r="Z25" s="44"/>
      <c r="AA25" s="44"/>
      <c r="AB25" s="44"/>
    </row>
    <row r="26" spans="1:46">
      <c r="C26" s="42"/>
      <c r="D26" s="44"/>
      <c r="E26" s="44"/>
      <c r="F26" s="24"/>
      <c r="G26" s="44"/>
      <c r="H26" s="44"/>
      <c r="I26" s="44"/>
      <c r="J26" s="44"/>
      <c r="K26" s="44"/>
      <c r="L26" s="44"/>
      <c r="M26" s="44"/>
      <c r="N26" s="44"/>
      <c r="O26" s="44"/>
      <c r="P26" s="44"/>
      <c r="Q26" s="44"/>
      <c r="R26" s="44"/>
      <c r="S26" s="44"/>
      <c r="T26" s="44"/>
      <c r="U26" s="40"/>
      <c r="V26" s="44"/>
      <c r="W26" s="44"/>
      <c r="X26" s="44"/>
      <c r="Y26" s="44"/>
      <c r="Z26" s="44"/>
      <c r="AA26" s="44"/>
      <c r="AB26" s="44"/>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T54" s="44"/>
      <c r="U54" s="40"/>
      <c r="V54" s="44"/>
      <c r="W54" s="44"/>
      <c r="X54" s="44"/>
      <c r="Y54" s="44"/>
      <c r="Z54" s="44"/>
      <c r="AA54" s="44"/>
      <c r="AB54" s="44"/>
    </row>
    <row r="55" spans="3:28">
      <c r="T55" s="44"/>
      <c r="U55" s="40"/>
      <c r="V55" s="44"/>
      <c r="W55" s="44"/>
      <c r="X55" s="44"/>
      <c r="Y55" s="44"/>
      <c r="Z55" s="44"/>
      <c r="AA55" s="44"/>
      <c r="AB55" s="44"/>
    </row>
    <row r="56" spans="3:28">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sheetData>
  <sheetProtection formatCells="0" formatRows="0" insertHyperlinks="0"/>
  <mergeCells count="22">
    <mergeCell ref="H10:R10"/>
    <mergeCell ref="D2:F2"/>
    <mergeCell ref="G4:R4"/>
    <mergeCell ref="D5:F5"/>
    <mergeCell ref="H8:R8"/>
    <mergeCell ref="H9:R9"/>
    <mergeCell ref="G19:R19"/>
    <mergeCell ref="D21:R21"/>
    <mergeCell ref="D20:M20"/>
    <mergeCell ref="G2:R2"/>
    <mergeCell ref="G12:R12"/>
    <mergeCell ref="G13:R13"/>
    <mergeCell ref="G14:R14"/>
    <mergeCell ref="G15:R15"/>
    <mergeCell ref="G16:R16"/>
    <mergeCell ref="G17:R17"/>
    <mergeCell ref="H5:R5"/>
    <mergeCell ref="I6:O6"/>
    <mergeCell ref="P6:Q6"/>
    <mergeCell ref="D4:F4"/>
    <mergeCell ref="H18:R18"/>
    <mergeCell ref="H7:R7"/>
  </mergeCells>
  <conditionalFormatting sqref="H21:M21 N20:R21 H24:Q58">
    <cfRule type="colorScale" priority="1">
      <colorScale>
        <cfvo type="num" val="0"/>
        <cfvo type="num" val="5"/>
        <cfvo type="num" val="10"/>
        <color rgb="FF00B050"/>
        <color rgb="FFFFFF00"/>
        <color rgb="FFFF0000"/>
      </colorScale>
    </cfRule>
  </conditionalFormatting>
  <conditionalFormatting sqref="Q20:Q21 Q24:Q58">
    <cfRule type="expression" dxfId="2650" priority="2" stopIfTrue="1">
      <formula>IF($U20&lt;10,TRUE,)</formula>
    </cfRule>
  </conditionalFormatting>
  <conditionalFormatting sqref="P20:P21 P24:P58">
    <cfRule type="expression" dxfId="2649" priority="82" stopIfTrue="1">
      <formula>IF($U20&lt;9,TRUE,)</formula>
    </cfRule>
  </conditionalFormatting>
  <conditionalFormatting sqref="O20:O21 O24:O58">
    <cfRule type="expression" dxfId="2648" priority="81" stopIfTrue="1">
      <formula>IF($U20&lt;8,TRUE,)</formula>
    </cfRule>
  </conditionalFormatting>
  <conditionalFormatting sqref="N20:N21 N24:N58">
    <cfRule type="expression" dxfId="2647" priority="80" stopIfTrue="1">
      <formula>IF($U20&lt;7,TRUE,)</formula>
    </cfRule>
  </conditionalFormatting>
  <conditionalFormatting sqref="M21 M24:M58">
    <cfRule type="expression" dxfId="2646" priority="79" stopIfTrue="1">
      <formula>IF($U21&lt;6,TRUE,)</formula>
    </cfRule>
  </conditionalFormatting>
  <conditionalFormatting sqref="L21 L24:L58">
    <cfRule type="expression" dxfId="2645" priority="78" stopIfTrue="1">
      <formula>IF($U21&lt;5,TRUE,)</formula>
    </cfRule>
  </conditionalFormatting>
  <conditionalFormatting sqref="K21 K24:K58">
    <cfRule type="expression" dxfId="2644" priority="77" stopIfTrue="1">
      <formula>IF($U21&lt;4,TRUE,)</formula>
    </cfRule>
  </conditionalFormatting>
  <conditionalFormatting sqref="J21 J24:J58">
    <cfRule type="expression" dxfId="2643" priority="76" stopIfTrue="1">
      <formula>IF($U21&lt;3,TRUE,)</formula>
    </cfRule>
  </conditionalFormatting>
  <conditionalFormatting sqref="I21 I24:I58">
    <cfRule type="expression" dxfId="2642" priority="75" stopIfTrue="1">
      <formula>IF($U21&lt;2,TRUE,)</formula>
    </cfRule>
  </conditionalFormatting>
  <conditionalFormatting sqref="R20:R21">
    <cfRule type="expression" dxfId="2641" priority="28" stopIfTrue="1">
      <formula>IF(AND($X20="H",$Y20&lt;10),TRUE,)</formula>
    </cfRule>
  </conditionalFormatting>
  <conditionalFormatting sqref="L21">
    <cfRule type="expression" dxfId="2640" priority="27" stopIfTrue="1">
      <formula>IF(AND($X21="H",$Y21&lt;1),TRUE,)</formula>
    </cfRule>
  </conditionalFormatting>
  <conditionalFormatting sqref="M21">
    <cfRule type="expression" dxfId="2639" priority="26" stopIfTrue="1">
      <formula>IF(AND($X21="H",$Y21&lt;2),TRUE,)</formula>
    </cfRule>
  </conditionalFormatting>
  <conditionalFormatting sqref="O20:O21">
    <cfRule type="expression" dxfId="2638" priority="25" stopIfTrue="1">
      <formula>IF(AND($X20="H",$Y20&lt;4),TRUE,)</formula>
    </cfRule>
  </conditionalFormatting>
  <conditionalFormatting sqref="P20:P21">
    <cfRule type="expression" dxfId="2637" priority="24" stopIfTrue="1">
      <formula>IF(AND($X20="H",$Y20&lt;5),TRUE,)</formula>
    </cfRule>
  </conditionalFormatting>
  <conditionalFormatting sqref="Q20:Q21">
    <cfRule type="expression" dxfId="2636" priority="23" stopIfTrue="1">
      <formula>IF(AND($X20="H",$Y20&lt;8),TRUE,)</formula>
    </cfRule>
  </conditionalFormatting>
  <conditionalFormatting sqref="N20:N21">
    <cfRule type="expression" dxfId="2635" priority="22" stopIfTrue="1">
      <formula>IF(AND($X20="H",$Y20&lt;3),TRUE,)</formula>
    </cfRule>
  </conditionalFormatting>
  <conditionalFormatting sqref="H21">
    <cfRule type="expression" dxfId="2634" priority="83" stopIfTrue="1">
      <formula>IF($U21&lt;1,TRUE,)</formula>
    </cfRule>
  </conditionalFormatting>
  <dataValidations xWindow="746" yWindow="406" count="12">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19:R19"/>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1:R21"/>
    <dataValidation allowBlank="1" showInputMessage="1" showErrorMessage="1" promptTitle="FORMAT" sqref="H18:R18 H8:R10"/>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9" r:id="rId1" display="Comment-AaaaAaaa@dep.state.or.us"/>
    <hyperlink ref="A1" location="R.0Header" display="⧀ Go to Content"/>
    <hyperlink ref="A7" r:id="rId2" display="⧀ Go to Q-Time"/>
    <hyperlink ref="G19:R19" r:id="rId3" display="mailto:Comment-AaaaAaaa@deq.state.or.us"/>
  </hyperlinks>
  <pageMargins left="0.56999999999999995" right="0.55000000000000004" top="0.75" bottom="0.75" header="0.3" footer="0.3"/>
  <pageSetup scale="94" orientation="portrait" r:id="rId4"/>
  <drawing r:id="rId5"/>
  <legacyDrawing r:id="rId6"/>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2" zoomScaleNormal="100" workbookViewId="0">
      <selection activeCell="D2" sqref="D2"/>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100</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76</v>
      </c>
      <c r="B2" s="333"/>
      <c r="C2" s="247">
        <v>2</v>
      </c>
      <c r="D2" s="248" t="s">
        <v>39</v>
      </c>
      <c r="E2" s="248"/>
      <c r="F2" s="678" t="str">
        <f>R.1MediaAndLongName</f>
        <v>AQ LMP Grants Pass</v>
      </c>
      <c r="G2" s="678"/>
      <c r="H2" s="678"/>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103</v>
      </c>
      <c r="B4" s="333"/>
      <c r="C4" s="251"/>
      <c r="D4" s="303" t="s">
        <v>36</v>
      </c>
      <c r="E4" s="106"/>
      <c r="F4" s="45"/>
      <c r="G4" s="45"/>
      <c r="H4" s="46"/>
      <c r="I4" s="252"/>
      <c r="J4" s="333"/>
      <c r="K4" s="167"/>
      <c r="L4" s="167" t="s">
        <v>0</v>
      </c>
      <c r="M4" s="168"/>
      <c r="N4" s="167"/>
      <c r="O4" s="190"/>
      <c r="P4" s="170"/>
      <c r="Q4" s="170"/>
      <c r="R4" s="170"/>
      <c r="S4" s="170"/>
      <c r="T4" s="171"/>
      <c r="U4" s="167"/>
      <c r="V4" s="172"/>
      <c r="W4" s="173" t="s">
        <v>9</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28</v>
      </c>
      <c r="E5" s="192"/>
      <c r="F5" s="193" t="s">
        <v>34</v>
      </c>
      <c r="G5" s="193"/>
      <c r="H5" s="194" t="s">
        <v>35</v>
      </c>
      <c r="I5" s="254"/>
      <c r="J5" s="333"/>
      <c r="K5" s="175"/>
      <c r="L5" s="260" t="s">
        <v>89</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71" t="s">
        <v>27</v>
      </c>
      <c r="E6" s="672"/>
      <c r="F6" s="673"/>
      <c r="G6" s="673"/>
      <c r="H6" s="195"/>
      <c r="I6" s="255"/>
      <c r="J6" s="333"/>
      <c r="K6" s="175"/>
      <c r="L6" s="289">
        <v>1</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98</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80"/>
      <c r="E8" s="681"/>
      <c r="F8" s="681"/>
      <c r="G8" s="681"/>
      <c r="H8" s="682"/>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9"/>
      <c r="B9" s="333"/>
      <c r="C9" s="135"/>
      <c r="D9" s="303" t="s">
        <v>29</v>
      </c>
      <c r="E9" s="106"/>
      <c r="F9" s="161"/>
      <c r="G9" s="161"/>
      <c r="H9" s="159"/>
      <c r="I9" s="256"/>
      <c r="J9" s="333"/>
      <c r="K9" s="181"/>
      <c r="L9" s="181" t="s">
        <v>0</v>
      </c>
      <c r="M9" s="182"/>
      <c r="N9" s="181"/>
      <c r="O9" s="190"/>
      <c r="P9" s="128"/>
      <c r="Q9" s="128"/>
      <c r="R9" s="128"/>
      <c r="S9" s="128"/>
      <c r="T9" s="184"/>
      <c r="U9" s="181"/>
      <c r="V9" s="185"/>
      <c r="W9" s="186" t="s">
        <v>9</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30</v>
      </c>
      <c r="E10" s="193"/>
      <c r="F10" s="193" t="s">
        <v>31</v>
      </c>
      <c r="G10" s="193"/>
      <c r="H10" s="293" t="s">
        <v>32</v>
      </c>
      <c r="I10" s="257"/>
      <c r="J10" s="333"/>
      <c r="K10" s="175"/>
      <c r="L10" s="260" t="s">
        <v>90</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79" t="s">
        <v>27</v>
      </c>
      <c r="E11" s="672"/>
      <c r="F11" s="673"/>
      <c r="G11" s="673"/>
      <c r="H11" s="195"/>
      <c r="I11" s="255"/>
      <c r="J11" s="333"/>
      <c r="K11" s="175"/>
      <c r="L11" s="289">
        <v>1</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98</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80"/>
      <c r="E13" s="681"/>
      <c r="F13" s="681"/>
      <c r="G13" s="681"/>
      <c r="H13" s="682"/>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9"/>
      <c r="B14" s="333"/>
      <c r="C14" s="135"/>
      <c r="D14" s="303" t="s">
        <v>37</v>
      </c>
      <c r="E14" s="106"/>
      <c r="F14" s="161"/>
      <c r="G14" s="161"/>
      <c r="H14" s="159"/>
      <c r="I14" s="256"/>
      <c r="J14" s="333"/>
      <c r="K14" s="181"/>
      <c r="L14" s="181" t="s">
        <v>0</v>
      </c>
      <c r="M14" s="182"/>
      <c r="N14" s="181"/>
      <c r="O14" s="63"/>
      <c r="P14" s="128"/>
      <c r="Q14" s="128"/>
      <c r="R14" s="128"/>
      <c r="S14" s="128"/>
      <c r="T14" s="184"/>
      <c r="U14" s="181"/>
      <c r="V14" s="185"/>
      <c r="W14" s="186" t="s">
        <v>9</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33</v>
      </c>
      <c r="E15" s="193"/>
      <c r="F15" s="193" t="s">
        <v>41</v>
      </c>
      <c r="G15" s="193"/>
      <c r="H15" s="293" t="s">
        <v>47</v>
      </c>
      <c r="I15" s="257"/>
      <c r="J15" s="333"/>
      <c r="K15" s="175"/>
      <c r="L15" s="260" t="s">
        <v>91</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79" t="s">
        <v>27</v>
      </c>
      <c r="E16" s="672"/>
      <c r="F16" s="673"/>
      <c r="G16" s="673"/>
      <c r="H16" s="195"/>
      <c r="I16" s="255"/>
      <c r="J16" s="333"/>
      <c r="K16" s="175"/>
      <c r="L16" s="289">
        <v>1</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98</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75"/>
      <c r="E18" s="676"/>
      <c r="F18" s="676"/>
      <c r="G18" s="676"/>
      <c r="H18" s="677"/>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74" t="str">
        <f>"Please suggest process improvements to the "&amp;D2&amp;" worksheet."</f>
        <v>Please suggest process improvements to the DEQ resource risks worksheet.</v>
      </c>
      <c r="E19" s="674"/>
      <c r="F19" s="674"/>
      <c r="G19" s="674"/>
      <c r="H19" s="674"/>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68"/>
      <c r="E20" s="669"/>
      <c r="F20" s="669"/>
      <c r="G20" s="669"/>
      <c r="H20" s="670"/>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104</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72" zoomScaleNormal="100" workbookViewId="0">
      <selection activeCell="D15" sqref="D15:P79"/>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60</v>
      </c>
      <c r="E2" s="700" t="str">
        <f>R.1MediaAndLongName</f>
        <v>AQ LMP Grants Pass</v>
      </c>
      <c r="F2" s="700"/>
      <c r="G2" s="700"/>
      <c r="H2" s="700"/>
      <c r="I2" s="700"/>
      <c r="J2" s="700"/>
      <c r="K2" s="700"/>
      <c r="L2" s="700"/>
      <c r="M2" s="700"/>
      <c r="N2" s="700"/>
      <c r="O2" s="700"/>
      <c r="P2" s="700"/>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01" t="s">
        <v>54</v>
      </c>
      <c r="N3" s="701"/>
      <c r="O3" s="701"/>
      <c r="P3" s="701"/>
      <c r="Q3" s="155"/>
      <c r="R3" s="333"/>
      <c r="S3" s="353">
        <f>COUNTIFS(S13:S49,"&gt;0")</f>
        <v>5</v>
      </c>
      <c r="T3" s="354">
        <f>SUM(T13:T49)</f>
        <v>599</v>
      </c>
      <c r="U3" s="354">
        <f>SUM(U13:U49)</f>
        <v>1238</v>
      </c>
      <c r="V3" s="119"/>
      <c r="W3" s="63"/>
      <c r="X3" s="63"/>
      <c r="Y3" s="63"/>
      <c r="Z3" s="63"/>
      <c r="AA3" s="63"/>
      <c r="AB3" s="63"/>
      <c r="AC3" s="63"/>
      <c r="AD3" s="65"/>
      <c r="AE3" s="65"/>
      <c r="AF3" s="65"/>
      <c r="AG3" s="65"/>
    </row>
    <row r="4" spans="1:33" s="6" customFormat="1">
      <c r="A4" s="343"/>
      <c r="B4" s="333"/>
      <c r="C4" s="154"/>
      <c r="D4" s="493" t="s">
        <v>52</v>
      </c>
      <c r="E4" s="80">
        <f>S3</f>
        <v>5</v>
      </c>
      <c r="F4" s="702" t="s">
        <v>51</v>
      </c>
      <c r="G4" s="702"/>
      <c r="H4" s="702"/>
      <c r="I4" s="702"/>
      <c r="J4" s="702"/>
      <c r="K4" s="702"/>
      <c r="L4" s="702"/>
      <c r="M4" s="703" t="str">
        <f>S4</f>
        <v>599-1,238</v>
      </c>
      <c r="N4" s="703"/>
      <c r="O4" s="703"/>
      <c r="P4" s="703"/>
      <c r="Q4" s="155"/>
      <c r="R4" s="333"/>
      <c r="S4" s="121" t="str">
        <f>IF(R.3StaffCount=0,"0",IF(R.3LowHrs=0,"0-"&amp;TEXT(R.3HighHrs,"#,###"),TEXT(R.3LowHrs,"#,###")&amp;"-"&amp;TEXT(R.3HighHrs,"#,###")))</f>
        <v>599-1,238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53</v>
      </c>
      <c r="E5" s="97">
        <f>R.AvgHrDEQCost</f>
        <v>58</v>
      </c>
      <c r="F5" s="702" t="s">
        <v>55</v>
      </c>
      <c r="G5" s="702"/>
      <c r="H5" s="702"/>
      <c r="I5" s="702"/>
      <c r="J5" s="702"/>
      <c r="K5" s="702"/>
      <c r="L5" s="702"/>
      <c r="M5" s="704" t="str">
        <f>S5</f>
        <v>$34,742-71,804</v>
      </c>
      <c r="N5" s="704"/>
      <c r="O5" s="704"/>
      <c r="P5" s="704"/>
      <c r="Q5" s="155"/>
      <c r="R5" s="333"/>
      <c r="S5" s="122" t="str">
        <f>IF(R.3StaffCount=0,"$0",IF(R.3LowDollars=0,"$0-"&amp;TEXT(R.3HighDollars,"#,###"),TEXT(R.3LowDollars,"$#,###")&amp;"-"&amp;TEXT(R.3HighDollars,"#,###")))</f>
        <v>$34,742-71,804</v>
      </c>
      <c r="T5" s="123">
        <f>T3*E5</f>
        <v>34742</v>
      </c>
      <c r="U5" s="123">
        <f>U3*E5</f>
        <v>71804</v>
      </c>
      <c r="V5" s="119"/>
      <c r="W5" s="63"/>
      <c r="X5" s="63"/>
      <c r="Y5" s="63"/>
      <c r="Z5" s="63"/>
      <c r="AA5" s="63"/>
      <c r="AB5" s="63"/>
      <c r="AC5" s="63"/>
      <c r="AD5" s="65"/>
      <c r="AE5" s="65"/>
      <c r="AF5" s="65"/>
      <c r="AG5" s="65"/>
    </row>
    <row r="6" spans="1:33" s="6" customFormat="1" ht="25.5" customHeight="1">
      <c r="A6" s="343"/>
      <c r="B6" s="333"/>
      <c r="C6" s="154"/>
      <c r="D6" s="446" t="s">
        <v>63</v>
      </c>
      <c r="E6" s="99"/>
      <c r="F6" s="98"/>
      <c r="G6" s="98"/>
      <c r="H6" s="98"/>
      <c r="I6" s="98"/>
      <c r="J6" s="98"/>
      <c r="K6" s="98"/>
      <c r="L6" s="98"/>
      <c r="M6" s="98"/>
      <c r="N6" s="98"/>
      <c r="O6" s="98"/>
      <c r="P6" s="98"/>
      <c r="Q6" s="155"/>
      <c r="R6" s="333"/>
      <c r="S6" s="449">
        <f>SUM(S13:S49)/R.3StaffCount</f>
        <v>3.6</v>
      </c>
      <c r="T6" s="65"/>
      <c r="U6" s="65"/>
      <c r="V6" s="119"/>
      <c r="W6" s="63"/>
      <c r="X6" s="63"/>
      <c r="Y6" s="63"/>
      <c r="Z6" s="63"/>
      <c r="AA6" s="63"/>
      <c r="AB6" s="63"/>
      <c r="AC6" s="63"/>
      <c r="AD6" s="65"/>
      <c r="AE6" s="65"/>
      <c r="AF6" s="65"/>
      <c r="AG6" s="65"/>
    </row>
    <row r="7" spans="1:33" s="68" customFormat="1" ht="15.75" customHeight="1">
      <c r="A7" s="343"/>
      <c r="B7" s="333"/>
      <c r="C7" s="156"/>
      <c r="D7" s="696"/>
      <c r="E7" s="697"/>
      <c r="F7" s="697"/>
      <c r="G7" s="697"/>
      <c r="H7" s="697"/>
      <c r="I7" s="697"/>
      <c r="J7" s="697"/>
      <c r="K7" s="697"/>
      <c r="L7" s="697"/>
      <c r="M7" s="697"/>
      <c r="N7" s="697"/>
      <c r="O7" s="697"/>
      <c r="P7" s="698"/>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114</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61</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131.25" customHeight="1">
      <c r="A11" s="343"/>
      <c r="B11" s="333"/>
      <c r="C11" s="369"/>
      <c r="D11" s="705" t="s">
        <v>95</v>
      </c>
      <c r="E11" s="706"/>
      <c r="F11" s="706"/>
      <c r="G11" s="706"/>
      <c r="H11" s="706"/>
      <c r="I11" s="706"/>
      <c r="J11" s="706"/>
      <c r="K11" s="706"/>
      <c r="L11" s="706"/>
      <c r="M11" s="706"/>
      <c r="N11" s="706"/>
      <c r="O11" s="706"/>
      <c r="P11" s="707"/>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57</v>
      </c>
      <c r="E12" s="364" t="s">
        <v>15</v>
      </c>
      <c r="F12" s="699" t="s">
        <v>16</v>
      </c>
      <c r="G12" s="699"/>
      <c r="H12" s="699"/>
      <c r="I12" s="699"/>
      <c r="J12" s="699"/>
      <c r="K12" s="699"/>
      <c r="L12" s="699"/>
      <c r="M12" s="699"/>
      <c r="N12" s="699"/>
      <c r="O12" s="699"/>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03" t="s">
        <v>593</v>
      </c>
      <c r="E13" s="29" t="s">
        <v>224</v>
      </c>
      <c r="F13" s="70">
        <v>1</v>
      </c>
      <c r="G13" s="71">
        <v>2</v>
      </c>
      <c r="H13" s="72">
        <v>3</v>
      </c>
      <c r="I13" s="73">
        <v>4</v>
      </c>
      <c r="J13" s="74">
        <v>5</v>
      </c>
      <c r="K13" s="75">
        <v>6</v>
      </c>
      <c r="L13" s="76">
        <v>7</v>
      </c>
      <c r="M13" s="77">
        <v>8</v>
      </c>
      <c r="N13" s="78">
        <v>9</v>
      </c>
      <c r="O13" s="79">
        <v>10</v>
      </c>
      <c r="P13" s="52"/>
      <c r="Q13" s="138"/>
      <c r="R13" s="333"/>
      <c r="S13" s="132">
        <f>VLOOKUP($E13,R.VL_DEQResourcesInvolved,2,FALSE)</f>
        <v>6</v>
      </c>
      <c r="T13" s="120">
        <f>VLOOKUP($E13,R.VL_DEQResourcesInvolved,3,FALSE)</f>
        <v>340</v>
      </c>
      <c r="U13" s="120">
        <f>IF(S13=10,T13,VLOOKUP($E13,R.VL_DEQResourcesInvolved,4,FALSE))</f>
        <v>680</v>
      </c>
      <c r="V13" s="574" t="s">
        <v>575</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206</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61</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154.9" customHeight="1">
      <c r="A17" s="343"/>
      <c r="B17" s="333"/>
      <c r="C17" s="137"/>
      <c r="D17" s="683" t="s">
        <v>587</v>
      </c>
      <c r="E17" s="684"/>
      <c r="F17" s="684"/>
      <c r="G17" s="684"/>
      <c r="H17" s="684"/>
      <c r="I17" s="684"/>
      <c r="J17" s="684"/>
      <c r="K17" s="684"/>
      <c r="L17" s="684"/>
      <c r="M17" s="684"/>
      <c r="N17" s="684"/>
      <c r="O17" s="684"/>
      <c r="P17" s="685"/>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57</v>
      </c>
      <c r="E18" s="290" t="s">
        <v>15</v>
      </c>
      <c r="F18" s="290" t="s">
        <v>16</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03" t="s">
        <v>594</v>
      </c>
      <c r="E19" s="29" t="s">
        <v>220</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574" t="s">
        <v>575</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103</v>
      </c>
      <c r="B21" s="333"/>
      <c r="C21" s="384"/>
      <c r="D21" s="512" t="s">
        <v>207</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61</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89.25" customHeight="1">
      <c r="A23" s="343"/>
      <c r="B23" s="333"/>
      <c r="C23" s="137"/>
      <c r="D23" s="683" t="s">
        <v>62</v>
      </c>
      <c r="E23" s="684"/>
      <c r="F23" s="684"/>
      <c r="G23" s="684"/>
      <c r="H23" s="684"/>
      <c r="I23" s="684"/>
      <c r="J23" s="684"/>
      <c r="K23" s="684"/>
      <c r="L23" s="684"/>
      <c r="M23" s="684"/>
      <c r="N23" s="684"/>
      <c r="O23" s="684"/>
      <c r="P23" s="685"/>
      <c r="Q23" s="138"/>
      <c r="R23" s="333"/>
      <c r="S23"/>
      <c r="T23" s="130"/>
      <c r="U23" s="130"/>
      <c r="V23" s="63"/>
      <c r="W23" s="63"/>
      <c r="X23" s="63"/>
      <c r="Y23" s="63"/>
      <c r="Z23" s="63"/>
      <c r="AA23" s="63"/>
      <c r="AB23" s="63"/>
      <c r="AC23" s="63"/>
      <c r="AD23" s="129"/>
      <c r="AE23" s="129"/>
      <c r="AF23" s="129"/>
      <c r="AG23" s="129"/>
    </row>
    <row r="24" spans="1:33" s="32" customFormat="1" ht="14.25" customHeight="1">
      <c r="A24" s="343"/>
      <c r="B24" s="333"/>
      <c r="C24" s="231"/>
      <c r="D24" s="441" t="s">
        <v>57</v>
      </c>
      <c r="E24" s="291" t="s">
        <v>15</v>
      </c>
      <c r="F24" s="291" t="s">
        <v>16</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03" t="s">
        <v>595</v>
      </c>
      <c r="E25" s="29" t="s">
        <v>219</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574" t="s">
        <v>575</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103</v>
      </c>
      <c r="B27" s="333"/>
      <c r="C27" s="242"/>
      <c r="D27" s="303" t="s">
        <v>208</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61</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49.25" customHeight="1">
      <c r="A29" s="343"/>
      <c r="B29" s="333"/>
      <c r="C29" s="137"/>
      <c r="D29" s="683" t="s">
        <v>96</v>
      </c>
      <c r="E29" s="684"/>
      <c r="F29" s="684"/>
      <c r="G29" s="684"/>
      <c r="H29" s="684"/>
      <c r="I29" s="684"/>
      <c r="J29" s="684"/>
      <c r="K29" s="684"/>
      <c r="L29" s="684"/>
      <c r="M29" s="684"/>
      <c r="N29" s="684"/>
      <c r="O29" s="684"/>
      <c r="P29" s="685"/>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57</v>
      </c>
      <c r="E30" s="291" t="s">
        <v>15</v>
      </c>
      <c r="F30" s="291" t="s">
        <v>16</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03" t="s">
        <v>596</v>
      </c>
      <c r="E31" s="29" t="s">
        <v>222</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574" t="s">
        <v>575</v>
      </c>
      <c r="W31" s="63"/>
      <c r="X31" s="63"/>
      <c r="Y31" s="63"/>
      <c r="Z31" s="63"/>
      <c r="AA31" s="63"/>
      <c r="AB31" s="63"/>
      <c r="AC31" s="63"/>
      <c r="AD31" s="129"/>
      <c r="AE31" s="129"/>
      <c r="AF31" s="129"/>
      <c r="AG31" s="129"/>
    </row>
    <row r="32" spans="1:33" s="27" customFormat="1" ht="14.25" customHeight="1">
      <c r="A32" s="343"/>
      <c r="B32" s="333"/>
      <c r="C32" s="137"/>
      <c r="D32" s="295"/>
      <c r="E32" s="689"/>
      <c r="F32" s="689"/>
      <c r="G32" s="689"/>
      <c r="H32" s="689"/>
      <c r="I32" s="689"/>
      <c r="J32" s="689"/>
      <c r="K32" s="689"/>
      <c r="L32" s="689"/>
      <c r="M32" s="689"/>
      <c r="N32" s="689"/>
      <c r="O32" s="689"/>
      <c r="P32" s="689"/>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209</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61</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686" t="s">
        <v>97</v>
      </c>
      <c r="E35" s="687"/>
      <c r="F35" s="687"/>
      <c r="G35" s="687"/>
      <c r="H35" s="687"/>
      <c r="I35" s="687"/>
      <c r="J35" s="687"/>
      <c r="K35" s="687"/>
      <c r="L35" s="687"/>
      <c r="M35" s="687"/>
      <c r="N35" s="687"/>
      <c r="O35" s="687"/>
      <c r="P35" s="688"/>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57</v>
      </c>
      <c r="E36" s="291" t="s">
        <v>15</v>
      </c>
      <c r="F36" s="291" t="s">
        <v>16</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t="s">
        <v>211</v>
      </c>
      <c r="E37" s="29" t="s">
        <v>217</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197</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61</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690" t="s">
        <v>598</v>
      </c>
      <c r="E41" s="691"/>
      <c r="F41" s="691"/>
      <c r="G41" s="691"/>
      <c r="H41" s="691"/>
      <c r="I41" s="691"/>
      <c r="J41" s="691"/>
      <c r="K41" s="691"/>
      <c r="L41" s="691"/>
      <c r="M41" s="691"/>
      <c r="N41" s="691"/>
      <c r="O41" s="691"/>
      <c r="P41" s="692"/>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57</v>
      </c>
      <c r="E42" s="291" t="s">
        <v>15</v>
      </c>
      <c r="F42" s="291" t="s">
        <v>16</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03" t="s">
        <v>597</v>
      </c>
      <c r="E43" s="29" t="s">
        <v>223</v>
      </c>
      <c r="F43" s="70">
        <v>1</v>
      </c>
      <c r="G43" s="71">
        <v>2</v>
      </c>
      <c r="H43" s="72">
        <v>3</v>
      </c>
      <c r="I43" s="73">
        <v>4</v>
      </c>
      <c r="J43" s="74">
        <v>5</v>
      </c>
      <c r="K43" s="75">
        <v>6</v>
      </c>
      <c r="L43" s="76">
        <v>7</v>
      </c>
      <c r="M43" s="77">
        <v>8</v>
      </c>
      <c r="N43" s="78">
        <v>9</v>
      </c>
      <c r="O43" s="79">
        <v>10</v>
      </c>
      <c r="P43" s="52"/>
      <c r="Q43" s="138"/>
      <c r="R43" s="333"/>
      <c r="S43" s="132">
        <f>VLOOKUP($E43,R.VL_DEQResourcesInvolved,2,FALSE)</f>
        <v>5</v>
      </c>
      <c r="T43" s="120">
        <f>VLOOKUP($E43,R.VL_DEQResourcesInvolved,3,FALSE)</f>
        <v>170</v>
      </c>
      <c r="U43" s="120">
        <f>IF(S43=10,T43,VLOOKUP($E43,R.VL_DEQResourcesInvolved,4,FALSE))</f>
        <v>340</v>
      </c>
      <c r="V43" s="574" t="s">
        <v>575</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198</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61</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693"/>
      <c r="E47" s="694"/>
      <c r="F47" s="694"/>
      <c r="G47" s="694"/>
      <c r="H47" s="694"/>
      <c r="I47" s="694"/>
      <c r="J47" s="694"/>
      <c r="K47" s="694"/>
      <c r="L47" s="694"/>
      <c r="M47" s="694"/>
      <c r="N47" s="694"/>
      <c r="O47" s="694"/>
      <c r="P47" s="695"/>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57</v>
      </c>
      <c r="E48" s="291" t="s">
        <v>15</v>
      </c>
      <c r="F48" s="291" t="s">
        <v>16</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213</v>
      </c>
      <c r="E49" s="29" t="s">
        <v>217</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574" t="s">
        <v>575</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41" t="str">
        <f>"Please suggest process improvements to the "&amp;D2&amp;" worksheet."</f>
        <v>Please suggest process improvements to the Core Team worksheet.</v>
      </c>
      <c r="E51" s="641"/>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38"/>
      <c r="E52" s="639"/>
      <c r="F52" s="639"/>
      <c r="G52" s="639"/>
      <c r="H52" s="639"/>
      <c r="I52" s="639"/>
      <c r="J52" s="639"/>
      <c r="K52" s="639"/>
      <c r="L52" s="639"/>
      <c r="M52" s="639"/>
      <c r="N52" s="639"/>
      <c r="O52" s="639"/>
      <c r="P52" s="640"/>
      <c r="Q52" s="147"/>
      <c r="R52" s="333"/>
      <c r="S52"/>
      <c r="T52" s="130"/>
      <c r="U52" s="130"/>
      <c r="V52" s="63"/>
      <c r="W52" s="63"/>
      <c r="X52" s="63"/>
      <c r="Y52" s="63"/>
      <c r="Z52" s="63"/>
      <c r="AA52" s="63"/>
      <c r="AB52" s="63"/>
      <c r="AC52" s="63"/>
      <c r="AD52" s="65"/>
      <c r="AE52" s="65"/>
      <c r="AF52" s="65"/>
      <c r="AG52" s="65"/>
    </row>
    <row r="53" spans="1:33" ht="18" customHeight="1">
      <c r="A53" s="349" t="s">
        <v>104</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22" zoomScaleNormal="100" workbookViewId="0">
      <selection activeCell="P27" sqref="P27"/>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106</v>
      </c>
      <c r="B2" s="333"/>
      <c r="C2" s="331">
        <v>4</v>
      </c>
      <c r="D2" s="330" t="s">
        <v>6</v>
      </c>
      <c r="E2" s="715" t="str">
        <f>R.1MediaAndLongName</f>
        <v>AQ LMP Grants Pass</v>
      </c>
      <c r="F2" s="715"/>
      <c r="G2" s="715"/>
      <c r="H2" s="715"/>
      <c r="I2" s="715"/>
      <c r="J2" s="715"/>
      <c r="K2" s="715"/>
      <c r="L2" s="715"/>
      <c r="M2" s="715"/>
      <c r="N2" s="715"/>
      <c r="O2" s="715"/>
      <c r="P2" s="715"/>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01" t="s">
        <v>54</v>
      </c>
      <c r="N3" s="701"/>
      <c r="O3" s="701"/>
      <c r="P3" s="701"/>
      <c r="Q3" s="155"/>
      <c r="R3" s="333"/>
      <c r="S3" s="353">
        <f>COUNTIFS(S9:S37,"&gt;0")</f>
        <v>3</v>
      </c>
      <c r="T3" s="354">
        <f>SUM(T9:T37)</f>
        <v>89</v>
      </c>
      <c r="U3" s="354">
        <f>SUM(U9:U37)</f>
        <v>218</v>
      </c>
      <c r="V3" s="119"/>
      <c r="W3" s="63"/>
      <c r="X3" s="63"/>
      <c r="Y3" s="63"/>
      <c r="Z3" s="63"/>
      <c r="AA3" s="63"/>
      <c r="AB3" s="63"/>
      <c r="AC3" s="63"/>
      <c r="AD3" s="65"/>
      <c r="AE3" s="65"/>
      <c r="AF3" s="65"/>
      <c r="AG3" s="65"/>
    </row>
    <row r="4" spans="1:33" s="6" customFormat="1" ht="20.25" customHeight="1">
      <c r="A4" s="343"/>
      <c r="B4" s="333"/>
      <c r="C4" s="154"/>
      <c r="D4" s="493" t="s">
        <v>52</v>
      </c>
      <c r="E4" s="80">
        <f>S3</f>
        <v>3</v>
      </c>
      <c r="F4" s="702" t="s">
        <v>51</v>
      </c>
      <c r="G4" s="702"/>
      <c r="H4" s="702"/>
      <c r="I4" s="702"/>
      <c r="J4" s="702"/>
      <c r="K4" s="702"/>
      <c r="L4" s="702"/>
      <c r="M4" s="703" t="str">
        <f>S4</f>
        <v>89-218</v>
      </c>
      <c r="N4" s="703"/>
      <c r="O4" s="703"/>
      <c r="P4" s="703"/>
      <c r="Q4" s="155"/>
      <c r="R4" s="333"/>
      <c r="S4" s="121" t="str">
        <f>IF(R.4StaffCount=0,"0",IF(R.4LowHrs=0,"0-"&amp;TEXT(R.4HighHrs,"#,###"),TEXT(R.4LowHrs,"#,###")&amp;"-"&amp;TEXT(R.4HighHrs,"#,###")))</f>
        <v>89-218</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53</v>
      </c>
      <c r="E5" s="97">
        <f>R.AvgHrDEQCost</f>
        <v>58</v>
      </c>
      <c r="F5" s="702" t="s">
        <v>55</v>
      </c>
      <c r="G5" s="702"/>
      <c r="H5" s="702"/>
      <c r="I5" s="702"/>
      <c r="J5" s="702"/>
      <c r="K5" s="702"/>
      <c r="L5" s="702"/>
      <c r="M5" s="704" t="str">
        <f>S5</f>
        <v>$5,162-12,644</v>
      </c>
      <c r="N5" s="704"/>
      <c r="O5" s="704"/>
      <c r="P5" s="704"/>
      <c r="Q5" s="155"/>
      <c r="R5" s="333"/>
      <c r="S5" s="122" t="str">
        <f>IF(R.4StaffCount=0,"$0",IF(R.4LowDollars=0,"$0-"&amp;TEXT(R.4HighDollars,"#,###"),TEXT(R.4LowDollars,"$#,###")&amp;"-"&amp;TEXT(R.4HighDollars,"#,###")))</f>
        <v>$5,162-12,644</v>
      </c>
      <c r="T5" s="123">
        <f>T3*E5</f>
        <v>5162</v>
      </c>
      <c r="U5" s="123">
        <f>U3*E5</f>
        <v>12644</v>
      </c>
      <c r="V5" s="119"/>
      <c r="W5" s="63"/>
      <c r="X5" s="63"/>
      <c r="Y5" s="63"/>
      <c r="Z5" s="63"/>
      <c r="AA5" s="63"/>
      <c r="AB5" s="63"/>
      <c r="AC5" s="63"/>
      <c r="AD5" s="65"/>
      <c r="AE5" s="65"/>
      <c r="AF5" s="65"/>
      <c r="AG5" s="65"/>
    </row>
    <row r="6" spans="1:33" s="6" customFormat="1" ht="30" customHeight="1">
      <c r="A6" s="343"/>
      <c r="B6" s="333"/>
      <c r="C6" s="154"/>
      <c r="D6" s="500" t="s">
        <v>63</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96"/>
      <c r="E7" s="697"/>
      <c r="F7" s="697"/>
      <c r="G7" s="697"/>
      <c r="H7" s="697"/>
      <c r="I7" s="697"/>
      <c r="J7" s="697"/>
      <c r="K7" s="697"/>
      <c r="L7" s="697"/>
      <c r="M7" s="697"/>
      <c r="N7" s="697"/>
      <c r="O7" s="697"/>
      <c r="P7" s="698"/>
      <c r="Q7" s="157"/>
      <c r="R7" s="333"/>
      <c r="S7" s="714" t="s">
        <v>0</v>
      </c>
      <c r="T7" s="714"/>
      <c r="U7" s="714"/>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107</v>
      </c>
      <c r="B9" s="333"/>
      <c r="C9" s="406"/>
      <c r="D9" s="407" t="s">
        <v>199</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61</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08" t="s">
        <v>66</v>
      </c>
      <c r="E11" s="709"/>
      <c r="F11" s="709"/>
      <c r="G11" s="709"/>
      <c r="H11" s="709"/>
      <c r="I11" s="709"/>
      <c r="J11" s="709"/>
      <c r="K11" s="709"/>
      <c r="L11" s="709"/>
      <c r="M11" s="709"/>
      <c r="N11" s="709"/>
      <c r="O11" s="709"/>
      <c r="P11" s="710"/>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57</v>
      </c>
      <c r="E12" s="411" t="s">
        <v>15</v>
      </c>
      <c r="F12" s="411" t="s">
        <v>16</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599</v>
      </c>
      <c r="E13" s="414" t="s">
        <v>219</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4" t="s">
        <v>575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147</v>
      </c>
      <c r="B15" s="333"/>
      <c r="C15" s="406"/>
      <c r="D15" s="407" t="s">
        <v>118</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61</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11" t="s">
        <v>170</v>
      </c>
      <c r="E17" s="712"/>
      <c r="F17" s="712"/>
      <c r="G17" s="712"/>
      <c r="H17" s="712"/>
      <c r="I17" s="712"/>
      <c r="J17" s="712"/>
      <c r="K17" s="712"/>
      <c r="L17" s="712"/>
      <c r="M17" s="712"/>
      <c r="N17" s="712"/>
      <c r="O17" s="712"/>
      <c r="P17" s="713"/>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57</v>
      </c>
      <c r="E18" s="411" t="s">
        <v>15</v>
      </c>
      <c r="F18" s="411" t="s">
        <v>16</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222</v>
      </c>
      <c r="F19" s="415">
        <v>1</v>
      </c>
      <c r="G19" s="416">
        <v>2</v>
      </c>
      <c r="H19" s="417">
        <v>3</v>
      </c>
      <c r="I19" s="73">
        <v>4</v>
      </c>
      <c r="J19" s="74">
        <v>5</v>
      </c>
      <c r="K19" s="75">
        <v>6</v>
      </c>
      <c r="L19" s="418">
        <v>7</v>
      </c>
      <c r="M19" s="419">
        <v>8</v>
      </c>
      <c r="N19" s="420">
        <v>9</v>
      </c>
      <c r="O19" s="421">
        <v>10</v>
      </c>
      <c r="P19" s="110"/>
      <c r="Q19" s="427"/>
      <c r="R19" s="333"/>
      <c r="S19" s="132">
        <f>VLOOKUP($E19,R.VL_DEQResourcesInvolved,2,FALSE)</f>
        <v>4</v>
      </c>
      <c r="T19" s="120">
        <f>VLOOKUP($E19,R.VL_DEQResourcesInvolved,3,FALSE)</f>
        <v>80</v>
      </c>
      <c r="U19" s="120">
        <f>IF(S19=10,T19,VLOOKUP($E19,R.VL_DEQResourcesInvolved,4,FALSE))</f>
        <v>170</v>
      </c>
      <c r="V19" s="574" t="s">
        <v>575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103</v>
      </c>
      <c r="B21" s="333"/>
      <c r="C21" s="406"/>
      <c r="D21" s="407" t="s">
        <v>119</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61</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08" t="s">
        <v>188</v>
      </c>
      <c r="E23" s="709"/>
      <c r="F23" s="709"/>
      <c r="G23" s="709"/>
      <c r="H23" s="709"/>
      <c r="I23" s="709"/>
      <c r="J23" s="709"/>
      <c r="K23" s="709"/>
      <c r="L23" s="709"/>
      <c r="M23" s="709"/>
      <c r="N23" s="709"/>
      <c r="O23" s="709"/>
      <c r="P23" s="710"/>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57</v>
      </c>
      <c r="E24" s="411" t="s">
        <v>15</v>
      </c>
      <c r="F24" s="411" t="s">
        <v>16</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596</v>
      </c>
      <c r="E25" s="414" t="s">
        <v>220</v>
      </c>
      <c r="F25" s="415">
        <v>1</v>
      </c>
      <c r="G25" s="416">
        <v>2</v>
      </c>
      <c r="H25" s="417">
        <v>3</v>
      </c>
      <c r="I25" s="73">
        <v>4</v>
      </c>
      <c r="J25" s="74">
        <v>5</v>
      </c>
      <c r="K25" s="75">
        <v>6</v>
      </c>
      <c r="L25" s="418">
        <v>7</v>
      </c>
      <c r="M25" s="419">
        <v>8</v>
      </c>
      <c r="N25" s="420">
        <v>9</v>
      </c>
      <c r="O25" s="421">
        <v>10</v>
      </c>
      <c r="P25" s="110"/>
      <c r="Q25" s="427"/>
      <c r="R25" s="333"/>
      <c r="S25" s="134">
        <f>VLOOKUP($E25,R.VL_DEQResourcesInvolved,2,FALSE)</f>
        <v>2</v>
      </c>
      <c r="T25" s="120">
        <f>VLOOKUP($E25,R.VL_DEQResourcesInvolved,3,FALSE)</f>
        <v>8</v>
      </c>
      <c r="U25" s="120">
        <f>IF(S25=10,T25,VLOOKUP($E25,R.VL_DEQResourcesInvolved,4,FALSE))</f>
        <v>40</v>
      </c>
      <c r="V25" s="574" t="s">
        <v>575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197</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61</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08" t="s">
        <v>0</v>
      </c>
      <c r="E29" s="709"/>
      <c r="F29" s="709"/>
      <c r="G29" s="709"/>
      <c r="H29" s="709"/>
      <c r="I29" s="709"/>
      <c r="J29" s="709"/>
      <c r="K29" s="709"/>
      <c r="L29" s="709"/>
      <c r="M29" s="709"/>
      <c r="N29" s="709"/>
      <c r="O29" s="709"/>
      <c r="P29" s="710"/>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57</v>
      </c>
      <c r="E30" s="411" t="s">
        <v>15</v>
      </c>
      <c r="F30" s="411" t="s">
        <v>16</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212</v>
      </c>
      <c r="E31" s="414" t="s">
        <v>217</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4" t="s">
        <v>575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198</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61</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08" t="s">
        <v>0</v>
      </c>
      <c r="E35" s="709"/>
      <c r="F35" s="709"/>
      <c r="G35" s="709"/>
      <c r="H35" s="709"/>
      <c r="I35" s="709"/>
      <c r="J35" s="709"/>
      <c r="K35" s="709"/>
      <c r="L35" s="709"/>
      <c r="M35" s="709"/>
      <c r="N35" s="709"/>
      <c r="O35" s="709"/>
      <c r="P35" s="710"/>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57</v>
      </c>
      <c r="E36" s="411" t="s">
        <v>15</v>
      </c>
      <c r="F36" s="411" t="s">
        <v>16</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418</v>
      </c>
      <c r="E37" s="414" t="s">
        <v>217</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41" t="str">
        <f>"Please suggest process improvements to the "&amp;D2&amp;" worksheet."</f>
        <v>Please suggest process improvements to the Advisors worksheet.</v>
      </c>
      <c r="E39" s="641"/>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38"/>
      <c r="E40" s="639"/>
      <c r="F40" s="639"/>
      <c r="G40" s="639"/>
      <c r="H40" s="639"/>
      <c r="I40" s="639"/>
      <c r="J40" s="639"/>
      <c r="K40" s="639"/>
      <c r="L40" s="639"/>
      <c r="M40" s="639"/>
      <c r="N40" s="639"/>
      <c r="O40" s="639"/>
      <c r="P40" s="640"/>
      <c r="Q40" s="147"/>
      <c r="R40" s="333"/>
      <c r="S40" s="131"/>
      <c r="T40" s="130"/>
      <c r="U40" s="130"/>
      <c r="V40" s="63"/>
      <c r="W40" s="63"/>
      <c r="X40" s="63"/>
      <c r="Y40" s="63"/>
      <c r="Z40" s="63"/>
      <c r="AA40" s="63"/>
      <c r="AB40" s="63"/>
      <c r="AC40" s="63"/>
      <c r="AD40" s="65"/>
      <c r="AE40" s="65"/>
      <c r="AF40" s="65"/>
      <c r="AG40" s="65"/>
    </row>
    <row r="41" spans="1:33" ht="18" customHeight="1">
      <c r="A41" s="349" t="s">
        <v>104</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9" zoomScaleNormal="100" workbookViewId="0">
      <selection activeCell="X33" sqref="X33"/>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228</v>
      </c>
      <c r="E2" s="715" t="str">
        <f>R.1MediaAndLongName</f>
        <v>AQ LMP Grants Pass</v>
      </c>
      <c r="F2" s="715"/>
      <c r="G2" s="715"/>
      <c r="H2" s="715"/>
      <c r="I2" s="715"/>
      <c r="J2" s="715"/>
      <c r="K2" s="715"/>
      <c r="L2" s="715"/>
      <c r="M2" s="715"/>
      <c r="N2" s="715"/>
      <c r="O2" s="715"/>
      <c r="P2" s="715"/>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01" t="s">
        <v>54</v>
      </c>
      <c r="N3" s="701"/>
      <c r="O3" s="701"/>
      <c r="P3" s="701"/>
      <c r="Q3" s="239"/>
      <c r="R3" s="333"/>
      <c r="S3" s="353">
        <f>COUNTIFS(S9:S27,"&gt;0")</f>
        <v>7</v>
      </c>
      <c r="T3" s="354">
        <f>SUM(T9:T27)</f>
        <v>7</v>
      </c>
      <c r="U3" s="354">
        <f>SUM(U9:U27)</f>
        <v>56</v>
      </c>
      <c r="V3" s="497"/>
      <c r="W3" s="497"/>
      <c r="X3" s="240"/>
      <c r="Y3" s="235"/>
      <c r="Z3" s="235"/>
      <c r="AA3" s="235"/>
      <c r="AB3" s="235"/>
      <c r="AC3" s="235"/>
      <c r="AD3" s="235"/>
      <c r="AE3" s="235"/>
      <c r="AF3" s="64"/>
      <c r="AG3" s="64"/>
      <c r="AH3" s="64"/>
      <c r="AI3" s="64"/>
    </row>
    <row r="4" spans="1:35" s="28" customFormat="1" ht="20.25" customHeight="1">
      <c r="A4" s="343"/>
      <c r="B4" s="333"/>
      <c r="C4" s="236"/>
      <c r="D4" s="493" t="s">
        <v>52</v>
      </c>
      <c r="E4" s="80">
        <f>S3</f>
        <v>7</v>
      </c>
      <c r="F4" s="702" t="s">
        <v>51</v>
      </c>
      <c r="G4" s="702"/>
      <c r="H4" s="702"/>
      <c r="I4" s="702"/>
      <c r="J4" s="702"/>
      <c r="K4" s="702"/>
      <c r="L4" s="702"/>
      <c r="M4" s="703" t="str">
        <f>S4</f>
        <v>7-56</v>
      </c>
      <c r="N4" s="703"/>
      <c r="O4" s="703"/>
      <c r="P4" s="703"/>
      <c r="Q4" s="239"/>
      <c r="R4" s="333"/>
      <c r="S4" s="121" t="str">
        <f>IF(R.5StaffCount=0,"0",IF(R.5LowHrs=0,"0-"&amp;TEXT(R.5HighHrs,"#,###"),TEXT(R.5LowHrs,"#,###")&amp;"-"&amp;TEXT(R.5HighHrs,"#,###")))</f>
        <v>7-56</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53</v>
      </c>
      <c r="E5" s="97">
        <v>58</v>
      </c>
      <c r="F5" s="702" t="s">
        <v>55</v>
      </c>
      <c r="G5" s="702"/>
      <c r="H5" s="702"/>
      <c r="I5" s="702"/>
      <c r="J5" s="702"/>
      <c r="K5" s="702"/>
      <c r="L5" s="702"/>
      <c r="M5" s="704" t="str">
        <f>S5</f>
        <v>$406-3,248</v>
      </c>
      <c r="N5" s="704"/>
      <c r="O5" s="704"/>
      <c r="P5" s="704"/>
      <c r="Q5" s="239"/>
      <c r="R5" s="333"/>
      <c r="S5" s="352" t="str">
        <f>IF(R.5StaffCount=0,"$0",IF(R.5LowDollars=0,"$0-"&amp;TEXT(R.5HighDollars,"#,###"),TEXT(R.5LowDollars,"$#,###")&amp;"-"&amp;TEXT(R.5HighDollars,"#,###")))</f>
        <v>$406-3,248</v>
      </c>
      <c r="T5" s="351">
        <f>T3*E5</f>
        <v>406</v>
      </c>
      <c r="U5" s="351">
        <f>U3*E5</f>
        <v>3248</v>
      </c>
      <c r="V5" s="509"/>
      <c r="W5" s="509"/>
      <c r="X5" s="240"/>
      <c r="Y5" s="235"/>
      <c r="Z5" s="235"/>
      <c r="AA5" s="235"/>
      <c r="AB5" s="235"/>
      <c r="AC5" s="235"/>
      <c r="AD5" s="235"/>
      <c r="AE5" s="235"/>
      <c r="AF5" s="64"/>
      <c r="AG5" s="64"/>
      <c r="AH5" s="64"/>
      <c r="AI5" s="64"/>
    </row>
    <row r="6" spans="1:35" s="6" customFormat="1" ht="30" customHeight="1">
      <c r="A6" s="343"/>
      <c r="B6" s="333"/>
      <c r="C6" s="154"/>
      <c r="D6" s="446" t="s">
        <v>63</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96"/>
      <c r="E7" s="697"/>
      <c r="F7" s="697"/>
      <c r="G7" s="697"/>
      <c r="H7" s="697"/>
      <c r="I7" s="697"/>
      <c r="J7" s="697"/>
      <c r="K7" s="697"/>
      <c r="L7" s="697"/>
      <c r="M7" s="697"/>
      <c r="N7" s="697"/>
      <c r="O7" s="697"/>
      <c r="P7" s="698"/>
      <c r="Q7" s="157"/>
      <c r="R7" s="333"/>
      <c r="S7" s="714" t="s">
        <v>0</v>
      </c>
      <c r="T7" s="714"/>
      <c r="U7" s="714"/>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103</v>
      </c>
      <c r="B9" s="333"/>
      <c r="C9" s="135"/>
      <c r="D9" s="303" t="s">
        <v>120</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173</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16"/>
      <c r="E11" s="717"/>
      <c r="F11" s="717"/>
      <c r="G11" s="717"/>
      <c r="H11" s="717"/>
      <c r="I11" s="717"/>
      <c r="J11" s="717"/>
      <c r="K11" s="717"/>
      <c r="L11" s="717"/>
      <c r="M11" s="717"/>
      <c r="N11" s="717"/>
      <c r="O11" s="717"/>
      <c r="P11" s="718"/>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57</v>
      </c>
      <c r="E12" s="291" t="s">
        <v>15</v>
      </c>
      <c r="F12" s="291" t="s">
        <v>16</v>
      </c>
      <c r="G12" s="291"/>
      <c r="H12" s="291"/>
      <c r="I12" s="291"/>
      <c r="J12" s="291"/>
      <c r="K12" s="291"/>
      <c r="L12" s="291"/>
      <c r="M12" s="291"/>
      <c r="N12" s="291"/>
      <c r="O12" s="291"/>
      <c r="P12" s="508" t="s">
        <v>67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176</v>
      </c>
      <c r="E13" s="29" t="s">
        <v>219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1</v>
      </c>
      <c r="T13" s="120">
        <f t="shared" ref="T13:T18" si="1">VLOOKUP($E13,R.VL_DEQResourcesInvolved,3,FALSE)</f>
        <v>1</v>
      </c>
      <c r="U13" s="120">
        <f t="shared" ref="U13:U18" si="2">IF(S13=10,T13,VLOOKUP($E13,R.VL_DEQResourcesInvolved,4,FALSE))</f>
        <v>8</v>
      </c>
      <c r="V13" s="120" t="str">
        <f t="shared" ref="V13:V18" si="3">T13&amp;"-"&amp;U13</f>
        <v>1-8</v>
      </c>
      <c r="W13" s="127"/>
      <c r="X13" s="574" t="s">
        <v>575</v>
      </c>
      <c r="Y13" s="63"/>
      <c r="Z13" s="63"/>
      <c r="AA13" s="63"/>
      <c r="AB13" s="63"/>
      <c r="AC13" s="63"/>
      <c r="AD13" s="63"/>
      <c r="AE13" s="63"/>
      <c r="AF13" s="129"/>
      <c r="AG13" s="129"/>
      <c r="AH13" s="129"/>
      <c r="AI13" s="129"/>
    </row>
    <row r="14" spans="1:35" s="27" customFormat="1" ht="15.75" customHeight="1">
      <c r="A14" s="344"/>
      <c r="B14" s="333"/>
      <c r="C14" s="137"/>
      <c r="D14" s="523" t="s">
        <v>182</v>
      </c>
      <c r="E14" s="29" t="s">
        <v>219</v>
      </c>
      <c r="F14" s="70">
        <v>1</v>
      </c>
      <c r="G14" s="71">
        <v>2</v>
      </c>
      <c r="H14" s="72">
        <v>3</v>
      </c>
      <c r="I14" s="73">
        <v>4</v>
      </c>
      <c r="J14" s="74">
        <v>5</v>
      </c>
      <c r="K14" s="75">
        <v>6</v>
      </c>
      <c r="L14" s="76">
        <v>7</v>
      </c>
      <c r="M14" s="77">
        <v>8</v>
      </c>
      <c r="N14" s="78">
        <v>9</v>
      </c>
      <c r="O14" s="79">
        <v>10</v>
      </c>
      <c r="P14" s="506"/>
      <c r="Q14" s="138"/>
      <c r="R14" s="333"/>
      <c r="S14" s="132">
        <f t="shared" si="0"/>
        <v>1</v>
      </c>
      <c r="T14" s="120">
        <f t="shared" si="1"/>
        <v>1</v>
      </c>
      <c r="U14" s="120">
        <f t="shared" si="2"/>
        <v>8</v>
      </c>
      <c r="V14" s="120" t="str">
        <f t="shared" si="3"/>
        <v>1-8</v>
      </c>
      <c r="W14" s="127"/>
      <c r="X14" s="574" t="s">
        <v>575</v>
      </c>
      <c r="Y14" s="435"/>
      <c r="Z14" s="435"/>
      <c r="AA14" s="435"/>
      <c r="AB14" s="435"/>
      <c r="AC14" s="435"/>
      <c r="AD14" s="435"/>
      <c r="AE14" s="435"/>
      <c r="AF14" s="129"/>
      <c r="AG14" s="129"/>
      <c r="AH14" s="129"/>
      <c r="AI14" s="129"/>
    </row>
    <row r="15" spans="1:35" s="27" customFormat="1" ht="15.75" customHeight="1" outlineLevel="1">
      <c r="A15" s="344"/>
      <c r="B15" s="333"/>
      <c r="C15" s="137"/>
      <c r="D15" s="523" t="s">
        <v>178</v>
      </c>
      <c r="E15" s="29" t="s">
        <v>219</v>
      </c>
      <c r="F15" s="70">
        <v>1</v>
      </c>
      <c r="G15" s="71">
        <v>2</v>
      </c>
      <c r="H15" s="72">
        <v>3</v>
      </c>
      <c r="I15" s="73">
        <v>4</v>
      </c>
      <c r="J15" s="74">
        <v>5</v>
      </c>
      <c r="K15" s="75">
        <v>6</v>
      </c>
      <c r="L15" s="76">
        <v>7</v>
      </c>
      <c r="M15" s="77">
        <v>8</v>
      </c>
      <c r="N15" s="78">
        <v>9</v>
      </c>
      <c r="O15" s="79">
        <v>10</v>
      </c>
      <c r="P15" s="507"/>
      <c r="Q15" s="138"/>
      <c r="R15" s="333"/>
      <c r="S15" s="132">
        <f t="shared" si="0"/>
        <v>1</v>
      </c>
      <c r="T15" s="120">
        <f t="shared" si="1"/>
        <v>1</v>
      </c>
      <c r="U15" s="120">
        <f t="shared" si="2"/>
        <v>8</v>
      </c>
      <c r="V15" s="120" t="str">
        <f t="shared" si="3"/>
        <v>1-8</v>
      </c>
      <c r="W15" s="127"/>
      <c r="X15" s="574" t="s">
        <v>575</v>
      </c>
      <c r="Y15" s="435"/>
      <c r="Z15" s="435"/>
      <c r="AA15" s="435"/>
      <c r="AB15" s="435"/>
      <c r="AC15" s="435"/>
      <c r="AD15" s="435"/>
      <c r="AE15" s="435"/>
      <c r="AF15" s="129"/>
      <c r="AG15" s="129"/>
      <c r="AH15" s="129"/>
      <c r="AI15" s="129"/>
    </row>
    <row r="16" spans="1:35" s="27" customFormat="1" ht="15.75" customHeight="1" outlineLevel="1">
      <c r="A16" s="344"/>
      <c r="B16" s="333"/>
      <c r="C16" s="137"/>
      <c r="D16" s="523" t="s">
        <v>179</v>
      </c>
      <c r="E16" s="29" t="s">
        <v>219</v>
      </c>
      <c r="F16" s="70">
        <v>1</v>
      </c>
      <c r="G16" s="71">
        <v>2</v>
      </c>
      <c r="H16" s="72">
        <v>3</v>
      </c>
      <c r="I16" s="73">
        <v>4</v>
      </c>
      <c r="J16" s="74">
        <v>5</v>
      </c>
      <c r="K16" s="75">
        <v>6</v>
      </c>
      <c r="L16" s="76">
        <v>7</v>
      </c>
      <c r="M16" s="77">
        <v>8</v>
      </c>
      <c r="N16" s="78">
        <v>9</v>
      </c>
      <c r="O16" s="79">
        <v>10</v>
      </c>
      <c r="P16" s="507"/>
      <c r="Q16" s="138"/>
      <c r="R16" s="333"/>
      <c r="S16" s="132">
        <f t="shared" si="0"/>
        <v>1</v>
      </c>
      <c r="T16" s="120">
        <f t="shared" si="1"/>
        <v>1</v>
      </c>
      <c r="U16" s="120">
        <f t="shared" si="2"/>
        <v>8</v>
      </c>
      <c r="V16" s="120" t="str">
        <f t="shared" si="3"/>
        <v>1-8</v>
      </c>
      <c r="W16" s="127"/>
      <c r="X16" s="574" t="s">
        <v>575</v>
      </c>
      <c r="Y16" s="435"/>
      <c r="Z16" s="435"/>
      <c r="AA16" s="435"/>
      <c r="AB16" s="435"/>
      <c r="AC16" s="435"/>
      <c r="AD16" s="435"/>
      <c r="AE16" s="435"/>
      <c r="AF16" s="129"/>
      <c r="AG16" s="129"/>
      <c r="AH16" s="129"/>
      <c r="AI16" s="129"/>
    </row>
    <row r="17" spans="1:35" s="27" customFormat="1" ht="15.75" customHeight="1" outlineLevel="1">
      <c r="A17" s="344"/>
      <c r="B17" s="333"/>
      <c r="C17" s="137"/>
      <c r="D17" s="523" t="s">
        <v>180</v>
      </c>
      <c r="E17" s="29" t="s">
        <v>219</v>
      </c>
      <c r="F17" s="70">
        <v>1</v>
      </c>
      <c r="G17" s="71">
        <v>2</v>
      </c>
      <c r="H17" s="72">
        <v>3</v>
      </c>
      <c r="I17" s="73">
        <v>4</v>
      </c>
      <c r="J17" s="74">
        <v>5</v>
      </c>
      <c r="K17" s="75">
        <v>6</v>
      </c>
      <c r="L17" s="76">
        <v>7</v>
      </c>
      <c r="M17" s="77">
        <v>8</v>
      </c>
      <c r="N17" s="78">
        <v>9</v>
      </c>
      <c r="O17" s="79">
        <v>10</v>
      </c>
      <c r="P17" s="507"/>
      <c r="Q17" s="138"/>
      <c r="R17" s="333"/>
      <c r="S17" s="132">
        <f t="shared" si="0"/>
        <v>1</v>
      </c>
      <c r="T17" s="120">
        <f t="shared" si="1"/>
        <v>1</v>
      </c>
      <c r="U17" s="120">
        <f t="shared" si="2"/>
        <v>8</v>
      </c>
      <c r="V17" s="120" t="str">
        <f t="shared" si="3"/>
        <v>1-8</v>
      </c>
      <c r="W17" s="127"/>
      <c r="X17" s="574" t="s">
        <v>575</v>
      </c>
      <c r="Y17" s="435"/>
      <c r="Z17" s="435"/>
      <c r="AA17" s="435"/>
      <c r="AB17" s="435"/>
      <c r="AC17" s="435"/>
      <c r="AD17" s="435"/>
      <c r="AE17" s="435"/>
      <c r="AF17" s="129"/>
      <c r="AG17" s="129"/>
      <c r="AH17" s="129"/>
      <c r="AI17" s="129"/>
    </row>
    <row r="18" spans="1:35" s="27" customFormat="1" ht="15.75" customHeight="1" outlineLevel="1">
      <c r="A18" s="344"/>
      <c r="B18" s="333"/>
      <c r="C18" s="137"/>
      <c r="D18" s="523" t="s">
        <v>183</v>
      </c>
      <c r="E18" s="29" t="s">
        <v>217</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s="574" t="s">
        <v>575</v>
      </c>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5-40</v>
      </c>
      <c r="W19"/>
      <c r="X19" s="63"/>
      <c r="Y19" s="63"/>
      <c r="Z19" s="63"/>
      <c r="AA19" s="63"/>
      <c r="AB19" s="63"/>
      <c r="AC19" s="63"/>
      <c r="AD19" s="63"/>
      <c r="AE19" s="63"/>
      <c r="AF19" s="129"/>
      <c r="AG19" s="129"/>
      <c r="AH19" s="129"/>
      <c r="AI19" s="129"/>
    </row>
    <row r="20" spans="1:35" s="32" customFormat="1" ht="30" customHeight="1">
      <c r="A20" s="335"/>
      <c r="B20" s="333"/>
      <c r="C20" s="135"/>
      <c r="D20" s="444" t="s">
        <v>189</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173</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16"/>
      <c r="E22" s="717"/>
      <c r="F22" s="717"/>
      <c r="G22" s="717"/>
      <c r="H22" s="717"/>
      <c r="I22" s="717"/>
      <c r="J22" s="717"/>
      <c r="K22" s="717"/>
      <c r="L22" s="717"/>
      <c r="M22" s="717"/>
      <c r="N22" s="717"/>
      <c r="O22" s="717"/>
      <c r="P22" s="718"/>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57</v>
      </c>
      <c r="E23" s="158" t="s">
        <v>15</v>
      </c>
      <c r="F23" s="158" t="s">
        <v>16</v>
      </c>
      <c r="G23" s="158"/>
      <c r="H23" s="158"/>
      <c r="I23" s="158"/>
      <c r="J23" s="158"/>
      <c r="K23" s="158"/>
      <c r="L23" s="158"/>
      <c r="M23" s="158"/>
      <c r="N23" s="158"/>
      <c r="O23" s="158"/>
      <c r="P23" s="508" t="s">
        <v>67</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187</v>
      </c>
      <c r="D24" s="35" t="s">
        <v>600</v>
      </c>
      <c r="E24" s="29" t="s">
        <v>219</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s="574" t="s">
        <v>575</v>
      </c>
      <c r="Y24" s="63"/>
      <c r="Z24" s="63"/>
      <c r="AA24" s="63"/>
      <c r="AB24" s="63"/>
      <c r="AC24" s="63"/>
      <c r="AD24" s="63"/>
      <c r="AE24" s="63"/>
      <c r="AF24" s="129"/>
      <c r="AG24" s="129"/>
      <c r="AH24" s="129"/>
      <c r="AI24" s="129"/>
    </row>
    <row r="25" spans="1:35" s="27" customFormat="1" ht="15.75" customHeight="1">
      <c r="A25" s="344"/>
      <c r="B25" s="333"/>
      <c r="C25" s="517" t="s">
        <v>190</v>
      </c>
      <c r="D25" s="35" t="s">
        <v>601</v>
      </c>
      <c r="E25" s="29" t="s">
        <v>219</v>
      </c>
      <c r="F25" s="70">
        <v>1</v>
      </c>
      <c r="G25" s="71">
        <v>2</v>
      </c>
      <c r="H25" s="72">
        <v>3</v>
      </c>
      <c r="I25" s="73">
        <v>4</v>
      </c>
      <c r="J25" s="74">
        <v>5</v>
      </c>
      <c r="K25" s="75">
        <v>6</v>
      </c>
      <c r="L25" s="76">
        <v>7</v>
      </c>
      <c r="M25" s="77">
        <v>8</v>
      </c>
      <c r="N25" s="78">
        <v>9</v>
      </c>
      <c r="O25" s="79">
        <v>10</v>
      </c>
      <c r="P25" s="507"/>
      <c r="Q25" s="138"/>
      <c r="R25" s="333"/>
      <c r="S25" s="134">
        <f>VLOOKUP($E25,R.VL_DEQResourcesInvolved,2,FALSE)</f>
        <v>1</v>
      </c>
      <c r="T25" s="120">
        <f>VLOOKUP($E25,R.VL_DEQResourcesInvolved,3,FALSE)</f>
        <v>1</v>
      </c>
      <c r="U25" s="120">
        <f>IF(S25=10,T25,VLOOKUP($E25,R.VL_DEQResourcesInvolved,4,FALSE))</f>
        <v>8</v>
      </c>
      <c r="V25" s="120" t="str">
        <f>T25&amp;"-"&amp;U25</f>
        <v>1-8</v>
      </c>
      <c r="W25" s="127"/>
      <c r="X25" s="574" t="s">
        <v>575</v>
      </c>
      <c r="Y25" s="63"/>
      <c r="Z25" s="63"/>
      <c r="AA25" s="63"/>
      <c r="AB25" s="63"/>
      <c r="AC25" s="63"/>
      <c r="AD25" s="63"/>
      <c r="AE25" s="63"/>
      <c r="AF25" s="129"/>
      <c r="AG25" s="129"/>
      <c r="AH25" s="129"/>
      <c r="AI25" s="129"/>
    </row>
    <row r="26" spans="1:35" s="27" customFormat="1" ht="15" customHeight="1">
      <c r="A26" s="344"/>
      <c r="B26" s="333"/>
      <c r="C26" s="517" t="s">
        <v>191</v>
      </c>
      <c r="D26" s="35" t="s">
        <v>0</v>
      </c>
      <c r="E26" s="29" t="s">
        <v>217</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s="574" t="s">
        <v>575</v>
      </c>
      <c r="Y26" s="63"/>
      <c r="Z26" s="63"/>
      <c r="AA26" s="63"/>
      <c r="AB26" s="63"/>
      <c r="AC26" s="63"/>
      <c r="AD26" s="63"/>
      <c r="AE26" s="63"/>
      <c r="AF26" s="129"/>
      <c r="AG26" s="129"/>
      <c r="AH26" s="129"/>
      <c r="AI26" s="129"/>
    </row>
    <row r="27" spans="1:35" s="27" customFormat="1" ht="15.75" customHeight="1">
      <c r="A27" s="344"/>
      <c r="B27" s="333"/>
      <c r="C27" s="517" t="s">
        <v>171</v>
      </c>
      <c r="D27" s="35" t="s">
        <v>0</v>
      </c>
      <c r="E27" s="29" t="s">
        <v>217</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s="574" t="s">
        <v>575</v>
      </c>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2-16</v>
      </c>
      <c r="W28" s="130"/>
      <c r="X28" s="63"/>
      <c r="Y28" s="63"/>
      <c r="Z28" s="63"/>
      <c r="AA28" s="63"/>
      <c r="AB28" s="63"/>
      <c r="AC28" s="63"/>
      <c r="AD28" s="63"/>
      <c r="AE28" s="63"/>
      <c r="AF28" s="129"/>
      <c r="AG28" s="129"/>
      <c r="AH28" s="129"/>
      <c r="AI28" s="129"/>
    </row>
    <row r="29" spans="1:35" s="28" customFormat="1" ht="30" customHeight="1">
      <c r="A29" s="343"/>
      <c r="B29" s="333"/>
      <c r="C29" s="145"/>
      <c r="D29" s="641" t="str">
        <f>"Please suggest process improvements to the "&amp;D2&amp;" worksheet."</f>
        <v>Please suggest process improvements to the Interested Staff and EQC worksheet.</v>
      </c>
      <c r="E29" s="641"/>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38"/>
      <c r="E30" s="639"/>
      <c r="F30" s="639"/>
      <c r="G30" s="639"/>
      <c r="H30" s="639"/>
      <c r="I30" s="639"/>
      <c r="J30" s="639"/>
      <c r="K30" s="639"/>
      <c r="L30" s="639"/>
      <c r="M30" s="639"/>
      <c r="N30" s="639"/>
      <c r="O30" s="639"/>
      <c r="P30" s="640"/>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104</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A41" zoomScaleNormal="100" workbookViewId="0">
      <selection activeCell="D53" sqref="D53"/>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103</v>
      </c>
      <c r="B2" s="333"/>
      <c r="C2" s="323">
        <v>6</v>
      </c>
      <c r="D2" s="345" t="s">
        <v>59</v>
      </c>
      <c r="E2" s="730" t="str">
        <f>R.1MediaAndLongName</f>
        <v>AQ LMP Grants Pass</v>
      </c>
      <c r="F2" s="730"/>
      <c r="G2" s="730"/>
      <c r="H2" s="730"/>
      <c r="I2" s="730"/>
      <c r="J2" s="730"/>
      <c r="K2" s="730"/>
      <c r="L2" s="730"/>
      <c r="M2" s="730"/>
      <c r="N2" s="730"/>
      <c r="O2" s="730"/>
      <c r="P2" s="730"/>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31" t="s">
        <v>54</v>
      </c>
      <c r="N3" s="731"/>
      <c r="O3" s="731"/>
      <c r="P3" s="731"/>
      <c r="Q3" s="155"/>
      <c r="R3" s="333"/>
      <c r="S3" s="353">
        <f>COUNTIFS(S13:S75,"&gt;0")</f>
        <v>1</v>
      </c>
      <c r="T3" s="354">
        <f>SUM(T13:T75)</f>
        <v>8</v>
      </c>
      <c r="U3" s="354">
        <f>SUM(U13:U75)</f>
        <v>40</v>
      </c>
      <c r="V3" s="497"/>
      <c r="W3" s="497"/>
      <c r="X3" s="119"/>
      <c r="Y3" s="435"/>
      <c r="Z3" s="435"/>
      <c r="AA3" s="435"/>
      <c r="AB3" s="63"/>
      <c r="AC3" s="63"/>
      <c r="AD3" s="63"/>
      <c r="AE3" s="63"/>
      <c r="AF3" s="65"/>
      <c r="AG3" s="65"/>
      <c r="AH3" s="65"/>
      <c r="AI3" s="65"/>
    </row>
    <row r="4" spans="1:35" s="6" customFormat="1" ht="20.25" customHeight="1">
      <c r="A4" s="343"/>
      <c r="B4" s="333"/>
      <c r="C4" s="154"/>
      <c r="D4" s="493" t="s">
        <v>52</v>
      </c>
      <c r="E4" s="80">
        <f>S3</f>
        <v>1</v>
      </c>
      <c r="F4" s="702" t="s">
        <v>51</v>
      </c>
      <c r="G4" s="702"/>
      <c r="H4" s="702"/>
      <c r="I4" s="702"/>
      <c r="J4" s="702"/>
      <c r="K4" s="702"/>
      <c r="L4" s="702"/>
      <c r="M4" s="703" t="str">
        <f>S4</f>
        <v>8-40</v>
      </c>
      <c r="N4" s="703"/>
      <c r="O4" s="703"/>
      <c r="P4" s="703"/>
      <c r="Q4" s="155"/>
      <c r="R4" s="333"/>
      <c r="S4" s="361" t="str">
        <f>IF(R.6StaffCount=0,"0",IF(R.6LowHrs=0,"0-"&amp;TEXT(R.6HighHrs,"#,###"),TEXT(R.6LowHrs,"#,###")&amp;"-"&amp;TEXT(R.6HighHrs,"#,###")))</f>
        <v>8-40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64</v>
      </c>
      <c r="E5" s="97">
        <f>R.AvgHrDEQCost</f>
        <v>58</v>
      </c>
      <c r="F5" s="702" t="s">
        <v>55</v>
      </c>
      <c r="G5" s="702"/>
      <c r="H5" s="702"/>
      <c r="I5" s="702"/>
      <c r="J5" s="702"/>
      <c r="K5" s="702"/>
      <c r="L5" s="702"/>
      <c r="M5" s="704" t="str">
        <f>S5</f>
        <v>$464-2,320</v>
      </c>
      <c r="N5" s="704"/>
      <c r="O5" s="704"/>
      <c r="P5" s="704"/>
      <c r="Q5" s="155"/>
      <c r="R5" s="333"/>
      <c r="S5" s="121" t="str">
        <f>IF(R.6StaffCount=0,"$0",IF(R.6LowDollars=0,"$0-"&amp;TEXT(R.6HighDollars,"#,###"),TEXT(R.6LowDollars,"$#,###")&amp;"-"&amp;TEXT(R.6HighDollars,"#,###")))</f>
        <v>$464-2,320</v>
      </c>
      <c r="T5" s="123">
        <f>T3*E5</f>
        <v>464</v>
      </c>
      <c r="U5" s="123">
        <f>U3*E5</f>
        <v>2320</v>
      </c>
      <c r="V5" s="492"/>
      <c r="W5" s="492"/>
      <c r="X5" s="119"/>
      <c r="Y5" s="435"/>
      <c r="Z5" s="435" t="s">
        <v>186</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32" t="s">
        <v>240</v>
      </c>
      <c r="E7" s="733"/>
      <c r="F7" s="733"/>
      <c r="G7" s="733"/>
      <c r="H7" s="733"/>
      <c r="I7" s="733"/>
      <c r="J7" s="733"/>
      <c r="K7" s="733"/>
      <c r="L7" s="733"/>
      <c r="M7" s="733"/>
      <c r="N7" s="733"/>
      <c r="O7" s="733"/>
      <c r="P7" s="734"/>
      <c r="Q7" s="155"/>
      <c r="R7" s="333"/>
      <c r="S7" s="495">
        <f>AVERAGEIF(S14:S56,"&gt;0")</f>
        <v>2</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103</v>
      </c>
      <c r="B9" s="333"/>
      <c r="C9" s="516" t="s">
        <v>0</v>
      </c>
      <c r="D9" s="303" t="s">
        <v>121</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50</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21"/>
      <c r="E11" s="722"/>
      <c r="F11" s="722"/>
      <c r="G11" s="722"/>
      <c r="H11" s="722"/>
      <c r="I11" s="722"/>
      <c r="J11" s="722"/>
      <c r="K11" s="722"/>
      <c r="L11" s="722"/>
      <c r="M11" s="722"/>
      <c r="N11" s="722"/>
      <c r="O11" s="722"/>
      <c r="P11" s="723"/>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57</v>
      </c>
      <c r="E12" s="466" t="s">
        <v>15</v>
      </c>
      <c r="F12" s="735" t="s">
        <v>16</v>
      </c>
      <c r="G12" s="735"/>
      <c r="H12" s="735"/>
      <c r="I12" s="735"/>
      <c r="J12" s="735"/>
      <c r="K12" s="735"/>
      <c r="L12" s="735"/>
      <c r="M12" s="735"/>
      <c r="N12" s="735"/>
      <c r="O12" s="735"/>
      <c r="P12" s="466" t="s">
        <v>17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217</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4" t="s">
        <v>542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217</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49</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36"/>
      <c r="E18" s="737"/>
      <c r="F18" s="737"/>
      <c r="G18" s="737"/>
      <c r="H18" s="737"/>
      <c r="I18" s="737"/>
      <c r="J18" s="737"/>
      <c r="K18" s="737"/>
      <c r="L18" s="737"/>
      <c r="M18" s="737"/>
      <c r="N18" s="737"/>
      <c r="O18" s="737"/>
      <c r="P18" s="738"/>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57</v>
      </c>
      <c r="E19" s="291" t="s">
        <v>15</v>
      </c>
      <c r="F19" s="291" t="s">
        <v>16</v>
      </c>
      <c r="G19" s="291"/>
      <c r="H19" s="291"/>
      <c r="I19" s="291"/>
      <c r="J19" s="291"/>
      <c r="K19" s="291"/>
      <c r="L19" s="291"/>
      <c r="M19" s="291"/>
      <c r="N19" s="291"/>
      <c r="O19" s="291"/>
      <c r="P19" s="291" t="s">
        <v>17</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217</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4" t="s">
        <v>542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25"/>
      <c r="F24" s="725"/>
      <c r="G24" s="725"/>
      <c r="H24" s="725"/>
      <c r="I24" s="725"/>
      <c r="J24" s="725"/>
      <c r="K24" s="725"/>
      <c r="L24" s="725"/>
      <c r="M24" s="725"/>
      <c r="N24" s="725"/>
      <c r="O24" s="725"/>
      <c r="P24" s="725"/>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103</v>
      </c>
      <c r="B26" s="333"/>
      <c r="C26" s="135"/>
      <c r="D26" s="303" t="s">
        <v>122</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50</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21"/>
      <c r="E28" s="722"/>
      <c r="F28" s="722"/>
      <c r="G28" s="722"/>
      <c r="H28" s="722"/>
      <c r="I28" s="722"/>
      <c r="J28" s="722"/>
      <c r="K28" s="722"/>
      <c r="L28" s="722"/>
      <c r="M28" s="722"/>
      <c r="N28" s="722"/>
      <c r="O28" s="722"/>
      <c r="P28" s="723"/>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57</v>
      </c>
      <c r="E29" s="291" t="s">
        <v>15</v>
      </c>
      <c r="F29" s="291" t="s">
        <v>16</v>
      </c>
      <c r="G29" s="291"/>
      <c r="H29" s="291"/>
      <c r="I29" s="291"/>
      <c r="J29" s="291"/>
      <c r="K29" s="291"/>
      <c r="L29" s="291"/>
      <c r="M29" s="291"/>
      <c r="N29" s="291"/>
      <c r="O29" s="291"/>
      <c r="P29" s="291" t="s">
        <v>17</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217</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4" t="s">
        <v>542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49</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26"/>
      <c r="E35" s="727"/>
      <c r="F35" s="727"/>
      <c r="G35" s="727"/>
      <c r="H35" s="727"/>
      <c r="I35" s="727"/>
      <c r="J35" s="727"/>
      <c r="K35" s="727"/>
      <c r="L35" s="727"/>
      <c r="M35" s="727"/>
      <c r="N35" s="727"/>
      <c r="O35" s="727"/>
      <c r="P35" s="728"/>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57</v>
      </c>
      <c r="E36" s="291" t="s">
        <v>15</v>
      </c>
      <c r="F36" s="291" t="s">
        <v>16</v>
      </c>
      <c r="G36" s="291"/>
      <c r="H36" s="291"/>
      <c r="I36" s="291"/>
      <c r="J36" s="291"/>
      <c r="K36" s="291"/>
      <c r="L36" s="291"/>
      <c r="M36" s="291"/>
      <c r="N36" s="291"/>
      <c r="O36" s="291"/>
      <c r="P36" s="291" t="s">
        <v>17</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4" t="s">
        <v>542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25"/>
      <c r="F41" s="725"/>
      <c r="G41" s="725"/>
      <c r="H41" s="725"/>
      <c r="I41" s="725"/>
      <c r="J41" s="725"/>
      <c r="K41" s="725"/>
      <c r="L41" s="725"/>
      <c r="M41" s="725"/>
      <c r="N41" s="725"/>
      <c r="O41" s="725"/>
      <c r="P41" s="725"/>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20"/>
      <c r="F42" s="720"/>
      <c r="G42" s="720"/>
      <c r="H42" s="720"/>
      <c r="I42" s="720"/>
      <c r="J42" s="720"/>
      <c r="K42" s="720"/>
      <c r="L42" s="720"/>
      <c r="M42" s="720"/>
      <c r="N42" s="720"/>
      <c r="O42" s="720"/>
      <c r="P42" s="720"/>
      <c r="Q42" s="378"/>
      <c r="R42" s="333"/>
      <c r="S42" s="131"/>
      <c r="T42" s="130"/>
      <c r="U42" s="130"/>
      <c r="V42" s="130"/>
      <c r="W42" s="130"/>
      <c r="X42" s="435"/>
      <c r="Y42" s="435"/>
      <c r="Z42" s="435"/>
      <c r="AA42" s="435"/>
      <c r="AB42" s="63"/>
      <c r="AC42" s="63"/>
      <c r="AD42" s="63"/>
      <c r="AE42" s="63"/>
      <c r="AF42" s="129"/>
      <c r="AG42" s="129"/>
      <c r="AH42" s="129"/>
      <c r="AI42" s="129"/>
    </row>
    <row r="43" spans="1:35" s="32" customFormat="1" ht="30" customHeight="1">
      <c r="A43" s="349" t="s">
        <v>103</v>
      </c>
      <c r="B43" s="333"/>
      <c r="C43" s="479" t="s">
        <v>0</v>
      </c>
      <c r="D43" s="303" t="s">
        <v>123</v>
      </c>
      <c r="E43" s="93"/>
      <c r="F43" s="93"/>
      <c r="G43" s="93"/>
      <c r="H43" s="93"/>
      <c r="I43" s="93"/>
      <c r="J43" s="93"/>
      <c r="K43" s="93"/>
      <c r="L43" s="93"/>
      <c r="M43" s="93"/>
      <c r="N43" s="93"/>
      <c r="O43" s="93"/>
      <c r="P43" s="93"/>
      <c r="Q43" s="136"/>
      <c r="R43" s="333"/>
      <c r="S43" s="133"/>
      <c r="T43" s="130" t="s">
        <v>0</v>
      </c>
      <c r="U43" s="130"/>
      <c r="V43" s="130"/>
      <c r="W43" s="130"/>
      <c r="X43" s="128"/>
      <c r="Y43" s="128"/>
      <c r="Z43" s="128"/>
      <c r="AA43" s="128"/>
      <c r="AB43" s="128"/>
      <c r="AC43" s="128"/>
      <c r="AD43" s="128"/>
      <c r="AE43" s="128"/>
      <c r="AF43" s="126"/>
      <c r="AG43" s="126"/>
      <c r="AH43" s="126"/>
      <c r="AI43" s="126"/>
    </row>
    <row r="44" spans="1:35" s="32" customFormat="1" ht="14.25" customHeight="1">
      <c r="A44" s="343"/>
      <c r="B44" s="333"/>
      <c r="C44" s="231"/>
      <c r="D44" s="442" t="s">
        <v>50</v>
      </c>
      <c r="E44" s="93"/>
      <c r="F44" s="93"/>
      <c r="G44" s="93"/>
      <c r="H44" s="93"/>
      <c r="I44" s="93"/>
      <c r="J44" s="93"/>
      <c r="K44" s="93"/>
      <c r="L44" s="93"/>
      <c r="M44" s="93"/>
      <c r="N44" s="93"/>
      <c r="O44" s="93"/>
      <c r="P44" s="93"/>
      <c r="Q44" s="136"/>
      <c r="R44" s="333"/>
      <c r="S44" s="234"/>
      <c r="T44" s="228"/>
      <c r="U44" s="228"/>
      <c r="V44" s="228"/>
      <c r="W44" s="228"/>
      <c r="X44" s="229"/>
      <c r="Y44" s="229"/>
      <c r="Z44" s="229"/>
      <c r="AA44" s="229"/>
      <c r="AB44" s="229"/>
      <c r="AC44" s="229"/>
      <c r="AD44" s="229"/>
      <c r="AE44" s="229"/>
      <c r="AF44" s="126"/>
      <c r="AG44" s="126"/>
      <c r="AH44" s="126"/>
      <c r="AI44" s="126"/>
    </row>
    <row r="45" spans="1:35" s="27" customFormat="1" ht="15.75" customHeight="1">
      <c r="A45" s="344"/>
      <c r="B45" s="333"/>
      <c r="C45" s="137"/>
      <c r="D45" s="721" t="s">
        <v>603</v>
      </c>
      <c r="E45" s="722"/>
      <c r="F45" s="722"/>
      <c r="G45" s="722"/>
      <c r="H45" s="722"/>
      <c r="I45" s="722"/>
      <c r="J45" s="722"/>
      <c r="K45" s="722"/>
      <c r="L45" s="722"/>
      <c r="M45" s="722"/>
      <c r="N45" s="722"/>
      <c r="O45" s="722"/>
      <c r="P45" s="723"/>
      <c r="Q45" s="138"/>
      <c r="R45" s="333"/>
      <c r="S45" s="131" t="s">
        <v>0</v>
      </c>
      <c r="T45" s="130"/>
      <c r="U45" s="130"/>
      <c r="V45" s="130"/>
      <c r="W45" s="130"/>
      <c r="X45" s="435"/>
      <c r="Y45" s="435"/>
      <c r="Z45" s="435"/>
      <c r="AA45" s="435"/>
      <c r="AB45" s="63"/>
      <c r="AC45" s="63"/>
      <c r="AD45" s="63"/>
      <c r="AE45" s="63"/>
      <c r="AF45" s="129"/>
      <c r="AG45" s="129"/>
      <c r="AH45" s="129"/>
      <c r="AI45" s="129"/>
    </row>
    <row r="46" spans="1:35" s="32" customFormat="1" ht="15.75" customHeight="1">
      <c r="A46" s="343"/>
      <c r="B46" s="333"/>
      <c r="C46" s="231"/>
      <c r="D46" s="441" t="s">
        <v>57</v>
      </c>
      <c r="E46" s="291" t="s">
        <v>15</v>
      </c>
      <c r="F46" s="724" t="s">
        <v>16</v>
      </c>
      <c r="G46" s="724"/>
      <c r="H46" s="724"/>
      <c r="I46" s="724"/>
      <c r="J46" s="724"/>
      <c r="K46" s="724"/>
      <c r="L46" s="724"/>
      <c r="M46" s="724"/>
      <c r="N46" s="724"/>
      <c r="O46" s="724"/>
      <c r="P46" s="291" t="s">
        <v>17</v>
      </c>
      <c r="Q46" s="136"/>
      <c r="R46" s="333"/>
      <c r="S46" s="227"/>
      <c r="T46" s="228"/>
      <c r="U46" s="228"/>
      <c r="V46" s="228"/>
      <c r="W46" s="228"/>
      <c r="X46" s="229"/>
      <c r="Y46" s="229"/>
      <c r="Z46" s="229"/>
      <c r="AA46" s="229"/>
      <c r="AB46" s="229"/>
      <c r="AC46" s="229"/>
      <c r="AD46" s="229"/>
      <c r="AE46" s="229"/>
      <c r="AF46" s="126"/>
      <c r="AG46" s="126"/>
      <c r="AH46" s="126"/>
      <c r="AI46" s="126"/>
    </row>
    <row r="47" spans="1:35" s="27" customFormat="1" ht="15.75" customHeight="1">
      <c r="A47" s="344"/>
      <c r="B47" s="333"/>
      <c r="C47" s="137"/>
      <c r="D47" s="35" t="s">
        <v>602</v>
      </c>
      <c r="E47" s="29" t="s">
        <v>220</v>
      </c>
      <c r="F47" s="70">
        <v>1</v>
      </c>
      <c r="G47" s="71">
        <v>2</v>
      </c>
      <c r="H47" s="72">
        <v>3</v>
      </c>
      <c r="I47" s="73">
        <v>4</v>
      </c>
      <c r="J47" s="74">
        <v>5</v>
      </c>
      <c r="K47" s="75">
        <v>6</v>
      </c>
      <c r="L47" s="76">
        <v>7</v>
      </c>
      <c r="M47" s="77">
        <v>8</v>
      </c>
      <c r="N47" s="78">
        <v>9</v>
      </c>
      <c r="O47" s="79">
        <v>10</v>
      </c>
      <c r="P47" s="31" t="s">
        <v>0</v>
      </c>
      <c r="Q47" s="138"/>
      <c r="R47" s="333"/>
      <c r="S47" s="132">
        <f>VLOOKUP($E47,R.VL_DEQResourcesInvolved,2,FALSE)</f>
        <v>2</v>
      </c>
      <c r="T47" s="120">
        <f>VLOOKUP($E47,R.VL_DEQResourcesInvolved,3,FALSE)</f>
        <v>8</v>
      </c>
      <c r="U47" s="120">
        <f>IF(S47=10,T47,VLOOKUP($E47,R.VL_DEQResourcesInvolved,4,FALSE))</f>
        <v>40</v>
      </c>
      <c r="V47" s="127"/>
      <c r="W47" s="127"/>
      <c r="X47" s="574" t="s">
        <v>542</v>
      </c>
      <c r="Y47" s="435"/>
      <c r="Z47" s="435"/>
      <c r="AA47" s="435"/>
      <c r="AB47" s="63"/>
      <c r="AC47" s="63"/>
      <c r="AD47" s="63"/>
      <c r="AE47" s="63"/>
      <c r="AF47" s="129"/>
      <c r="AG47" s="129"/>
      <c r="AH47" s="129"/>
      <c r="AI47" s="129"/>
    </row>
    <row r="48" spans="1:35" s="27" customFormat="1" ht="15.75" hidden="1" customHeight="1" outlineLevel="1">
      <c r="A48" s="344"/>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127"/>
      <c r="W48" s="127"/>
      <c r="X48" s="435"/>
      <c r="Y48" s="435"/>
      <c r="Z48" s="435"/>
      <c r="AA48" s="435"/>
      <c r="AB48" s="63"/>
      <c r="AC48" s="63"/>
      <c r="AD48" s="63"/>
      <c r="AE48" s="63"/>
      <c r="AF48" s="129"/>
      <c r="AG48" s="129"/>
      <c r="AH48" s="129"/>
      <c r="AI48" s="129"/>
    </row>
    <row r="49" spans="1:35" s="27" customFormat="1" ht="15.75" hidden="1" customHeight="1" outlineLevel="1">
      <c r="A49" s="344"/>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127"/>
      <c r="W49" s="127"/>
      <c r="X49" s="435"/>
      <c r="Y49" s="435"/>
      <c r="Z49" s="435"/>
      <c r="AA49" s="435"/>
      <c r="AB49" s="63"/>
      <c r="AC49" s="63"/>
      <c r="AD49" s="63"/>
      <c r="AE49" s="63"/>
      <c r="AF49" s="129"/>
      <c r="AG49" s="129"/>
      <c r="AH49" s="129"/>
      <c r="AI49" s="129"/>
    </row>
    <row r="50" spans="1:35" s="27" customFormat="1" ht="15.75" hidden="1" customHeight="1" outlineLevel="1">
      <c r="A50" s="344"/>
      <c r="B50" s="333"/>
      <c r="C50" s="137"/>
      <c r="D50" s="35"/>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510" t="str">
        <f>SUM(T47:T50)&amp;"-"&amp;SUM(U47:U50)</f>
        <v>8-40</v>
      </c>
      <c r="W50" s="127"/>
      <c r="X50" s="435"/>
      <c r="Y50" s="435"/>
      <c r="Z50" s="435"/>
      <c r="AA50" s="435"/>
      <c r="AB50" s="63"/>
      <c r="AC50" s="63"/>
      <c r="AD50" s="63"/>
      <c r="AE50" s="63"/>
      <c r="AF50" s="129"/>
      <c r="AG50" s="129"/>
      <c r="AH50" s="129"/>
      <c r="AI50" s="129"/>
    </row>
    <row r="51" spans="1:35" s="27" customFormat="1" ht="15.75" customHeight="1" collapsed="1">
      <c r="A51" s="344"/>
      <c r="B51" s="333"/>
      <c r="C51" s="244"/>
      <c r="D51" s="441" t="s">
        <v>49</v>
      </c>
      <c r="E51" s="30"/>
      <c r="F51" s="30"/>
      <c r="G51" s="30"/>
      <c r="H51" s="30"/>
      <c r="I51" s="30"/>
      <c r="J51" s="30"/>
      <c r="K51" s="30"/>
      <c r="L51" s="30"/>
      <c r="M51" s="30"/>
      <c r="N51" s="30"/>
      <c r="O51" s="30"/>
      <c r="P51" s="30"/>
      <c r="Q51" s="142"/>
      <c r="R51" s="333"/>
      <c r="S51" s="227"/>
      <c r="T51" s="228"/>
      <c r="U51" s="228"/>
      <c r="V51" s="228"/>
      <c r="W51" s="228"/>
      <c r="X51" s="235"/>
      <c r="Y51" s="235"/>
      <c r="Z51" s="235"/>
      <c r="AA51" s="235"/>
      <c r="AB51" s="235"/>
      <c r="AC51" s="235"/>
      <c r="AD51" s="235"/>
      <c r="AE51" s="235"/>
      <c r="AF51" s="129"/>
      <c r="AG51" s="129"/>
      <c r="AH51" s="129"/>
      <c r="AI51" s="129"/>
    </row>
    <row r="52" spans="1:35" s="27" customFormat="1" ht="15.75" customHeight="1">
      <c r="A52" s="344"/>
      <c r="B52" s="333"/>
      <c r="C52" s="137"/>
      <c r="D52" s="721"/>
      <c r="E52" s="722"/>
      <c r="F52" s="722"/>
      <c r="G52" s="722"/>
      <c r="H52" s="722"/>
      <c r="I52" s="722"/>
      <c r="J52" s="722"/>
      <c r="K52" s="722"/>
      <c r="L52" s="722"/>
      <c r="M52" s="722"/>
      <c r="N52" s="722"/>
      <c r="O52" s="722"/>
      <c r="P52" s="723"/>
      <c r="Q52" s="138"/>
      <c r="R52" s="333"/>
      <c r="S52" s="131" t="s">
        <v>0</v>
      </c>
      <c r="T52" s="130"/>
      <c r="U52" s="130"/>
      <c r="V52" s="130"/>
      <c r="W52" s="130"/>
      <c r="X52" s="435"/>
      <c r="Y52" s="435"/>
      <c r="Z52" s="435"/>
      <c r="AA52" s="435"/>
      <c r="AB52" s="63"/>
      <c r="AC52" s="63"/>
      <c r="AD52" s="63"/>
      <c r="AE52" s="63"/>
      <c r="AF52" s="129"/>
      <c r="AG52" s="129"/>
      <c r="AH52" s="129"/>
      <c r="AI52" s="129"/>
    </row>
    <row r="53" spans="1:35" s="32" customFormat="1" ht="15.75" customHeight="1">
      <c r="A53" s="343"/>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8"/>
      <c r="W53" s="228"/>
      <c r="X53" s="229"/>
      <c r="Y53" s="229"/>
      <c r="Z53" s="229"/>
      <c r="AA53" s="229"/>
      <c r="AB53" s="229"/>
      <c r="AC53" s="229"/>
      <c r="AD53" s="229"/>
      <c r="AE53" s="229"/>
      <c r="AF53" s="126"/>
      <c r="AG53" s="126"/>
      <c r="AH53" s="126"/>
      <c r="AI53" s="126"/>
    </row>
    <row r="54" spans="1:35" s="27" customFormat="1" ht="15.75" customHeight="1">
      <c r="A54" s="344"/>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574" t="s">
        <v>542</v>
      </c>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127"/>
      <c r="W55" s="127"/>
      <c r="X55" s="435"/>
      <c r="Y55" s="435"/>
      <c r="Z55" s="435"/>
      <c r="AA55" s="435"/>
      <c r="AB55" s="63"/>
      <c r="AC55" s="63"/>
      <c r="AD55" s="63"/>
      <c r="AE55" s="63"/>
      <c r="AF55" s="129"/>
      <c r="AG55" s="129"/>
      <c r="AH55" s="129"/>
      <c r="AI55" s="129"/>
    </row>
    <row r="56" spans="1:35" s="27" customFormat="1" ht="15.75" hidden="1" customHeight="1" outlineLevel="1">
      <c r="A56" s="344"/>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127"/>
      <c r="W56" s="127"/>
      <c r="X56" s="435"/>
      <c r="Y56" s="435"/>
      <c r="Z56" s="435"/>
      <c r="AA56" s="435"/>
      <c r="AB56" s="63"/>
      <c r="AC56" s="63"/>
      <c r="AD56" s="63"/>
      <c r="AE56" s="63"/>
      <c r="AF56" s="129"/>
      <c r="AG56" s="129"/>
      <c r="AH56" s="129"/>
      <c r="AI56" s="129"/>
    </row>
    <row r="57" spans="1:35" s="27" customFormat="1" ht="15.75" hidden="1" customHeight="1" outlineLevel="1" thickBot="1">
      <c r="A57" s="344"/>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510" t="str">
        <f>SUM(T54:T57)&amp;"-"&amp;SUM(U54:U57)</f>
        <v>0-0</v>
      </c>
      <c r="W57" s="511" t="str">
        <f>SUM(T47:T57)&amp;"-"&amp;SUM(U47:U57)</f>
        <v>8-40</v>
      </c>
      <c r="X57" s="435"/>
      <c r="Y57" s="435"/>
      <c r="Z57" s="435"/>
      <c r="AA57" s="435"/>
      <c r="AB57" s="63"/>
      <c r="AC57" s="63"/>
      <c r="AD57" s="63"/>
      <c r="AE57" s="63"/>
      <c r="AF57" s="129"/>
      <c r="AG57" s="129"/>
      <c r="AH57" s="129"/>
      <c r="AI57" s="129"/>
    </row>
    <row r="58" spans="1:35" s="27" customFormat="1" ht="8.25" customHeight="1" collapsed="1">
      <c r="A58" s="344"/>
      <c r="B58" s="333"/>
      <c r="C58" s="137"/>
      <c r="D58" s="478"/>
      <c r="E58" s="725"/>
      <c r="F58" s="725"/>
      <c r="G58" s="725"/>
      <c r="H58" s="725"/>
      <c r="I58" s="725"/>
      <c r="J58" s="725"/>
      <c r="K58" s="725"/>
      <c r="L58" s="725"/>
      <c r="M58" s="725"/>
      <c r="N58" s="725"/>
      <c r="O58" s="725"/>
      <c r="P58" s="725"/>
      <c r="Q58" s="138"/>
      <c r="R58" s="333"/>
      <c r="S58" s="131"/>
      <c r="T58" s="130"/>
      <c r="U58" s="130"/>
      <c r="V58" s="130"/>
      <c r="W58" s="130"/>
      <c r="X58" s="435"/>
      <c r="Y58" s="435"/>
      <c r="Z58" s="435"/>
      <c r="AA58" s="435"/>
      <c r="AB58" s="63"/>
      <c r="AC58" s="63"/>
      <c r="AD58" s="63"/>
      <c r="AE58" s="63"/>
      <c r="AF58" s="129"/>
      <c r="AG58" s="129"/>
      <c r="AH58" s="129"/>
      <c r="AI58" s="129"/>
    </row>
    <row r="59" spans="1:35" s="27" customFormat="1" ht="14.25" customHeight="1">
      <c r="A59" s="344"/>
      <c r="B59" s="333"/>
      <c r="C59" s="375"/>
      <c r="D59" s="376"/>
      <c r="E59" s="481"/>
      <c r="F59" s="481"/>
      <c r="G59" s="481"/>
      <c r="H59" s="481"/>
      <c r="I59" s="481"/>
      <c r="J59" s="481"/>
      <c r="K59" s="481"/>
      <c r="L59" s="481"/>
      <c r="M59" s="481"/>
      <c r="N59" s="481"/>
      <c r="O59" s="481"/>
      <c r="P59" s="481"/>
      <c r="Q59" s="378"/>
      <c r="R59" s="333"/>
      <c r="S59" s="131"/>
      <c r="T59" s="133"/>
      <c r="U59" s="133"/>
      <c r="V59" s="133"/>
      <c r="W59" s="133"/>
      <c r="X59" s="435"/>
      <c r="Y59" s="435"/>
      <c r="Z59" s="435"/>
      <c r="AA59" s="435"/>
      <c r="AB59" s="435"/>
      <c r="AC59" s="435"/>
      <c r="AD59" s="435"/>
      <c r="AE59" s="435"/>
      <c r="AF59" s="129"/>
      <c r="AG59" s="129"/>
      <c r="AH59" s="129"/>
      <c r="AI59" s="129"/>
    </row>
    <row r="60" spans="1:35" s="32" customFormat="1" ht="30" customHeight="1">
      <c r="A60" s="349" t="s">
        <v>103</v>
      </c>
      <c r="B60" s="333"/>
      <c r="C60" s="135"/>
      <c r="D60" s="380" t="s">
        <v>184</v>
      </c>
      <c r="E60" s="719" t="s">
        <v>185</v>
      </c>
      <c r="F60" s="719"/>
      <c r="G60" s="719"/>
      <c r="H60" s="719"/>
      <c r="I60" s="719"/>
      <c r="J60" s="719"/>
      <c r="K60" s="719"/>
      <c r="L60" s="719"/>
      <c r="M60" s="719"/>
      <c r="N60" s="719"/>
      <c r="O60" s="719"/>
      <c r="P60" s="719"/>
      <c r="Q60" s="136"/>
      <c r="R60" s="333"/>
      <c r="S60" s="133"/>
      <c r="T60" s="130"/>
      <c r="U60" s="130"/>
      <c r="V60" s="130"/>
      <c r="W60" s="130"/>
      <c r="X60" s="128"/>
      <c r="Y60" s="128"/>
      <c r="Z60" s="128"/>
      <c r="AA60" s="128"/>
      <c r="AB60" s="128"/>
      <c r="AC60" s="128"/>
      <c r="AD60" s="128"/>
      <c r="AE60" s="128"/>
      <c r="AF60" s="126"/>
      <c r="AG60" s="126"/>
      <c r="AH60" s="126"/>
      <c r="AI60" s="126"/>
    </row>
    <row r="61" spans="1:35" s="32" customFormat="1" ht="14.25" customHeight="1">
      <c r="A61" s="343"/>
      <c r="B61" s="333"/>
      <c r="C61" s="135"/>
      <c r="D61" s="442" t="s">
        <v>50</v>
      </c>
      <c r="E61" s="93"/>
      <c r="F61" s="93"/>
      <c r="G61" s="93"/>
      <c r="H61" s="93"/>
      <c r="I61" s="93"/>
      <c r="J61" s="93"/>
      <c r="K61" s="93"/>
      <c r="L61" s="93"/>
      <c r="M61" s="93"/>
      <c r="N61" s="93"/>
      <c r="O61" s="93"/>
      <c r="P61" s="93"/>
      <c r="Q61" s="136"/>
      <c r="R61" s="333"/>
      <c r="S61" s="133"/>
      <c r="T61" s="130"/>
      <c r="U61" s="130"/>
      <c r="V61" s="130"/>
      <c r="W61" s="130"/>
      <c r="X61" s="128"/>
      <c r="Y61" s="128"/>
      <c r="Z61" s="128"/>
      <c r="AA61" s="128"/>
      <c r="AB61" s="128"/>
      <c r="AC61" s="128"/>
      <c r="AD61" s="128"/>
      <c r="AE61" s="128"/>
      <c r="AF61" s="126"/>
      <c r="AG61" s="126"/>
      <c r="AH61" s="126"/>
      <c r="AI61" s="126"/>
    </row>
    <row r="62" spans="1:35" s="27" customFormat="1" ht="15.75" customHeight="1">
      <c r="A62" s="344"/>
      <c r="B62" s="333"/>
      <c r="C62" s="137"/>
      <c r="D62" s="721" t="s">
        <v>0</v>
      </c>
      <c r="E62" s="722"/>
      <c r="F62" s="722"/>
      <c r="G62" s="722"/>
      <c r="H62" s="722"/>
      <c r="I62" s="722"/>
      <c r="J62" s="722"/>
      <c r="K62" s="722"/>
      <c r="L62" s="722"/>
      <c r="M62" s="722"/>
      <c r="N62" s="722"/>
      <c r="O62" s="722"/>
      <c r="P62" s="723"/>
      <c r="Q62" s="138"/>
      <c r="R62" s="333"/>
      <c r="S62" s="131" t="s">
        <v>0</v>
      </c>
      <c r="T62" s="130"/>
      <c r="U62" s="130"/>
      <c r="V62" s="130"/>
      <c r="W62" s="130"/>
      <c r="X62" s="435"/>
      <c r="Y62" s="435"/>
      <c r="Z62" s="435"/>
      <c r="AA62" s="435"/>
      <c r="AB62" s="63"/>
      <c r="AC62" s="63"/>
      <c r="AD62" s="63"/>
      <c r="AE62" s="63"/>
      <c r="AF62" s="129"/>
      <c r="AG62" s="129"/>
      <c r="AH62" s="129"/>
      <c r="AI62" s="129"/>
    </row>
    <row r="63" spans="1:35" s="32" customFormat="1" ht="15.75" customHeight="1">
      <c r="A63" s="343"/>
      <c r="B63" s="333"/>
      <c r="C63" s="231"/>
      <c r="D63" s="441" t="s">
        <v>57</v>
      </c>
      <c r="E63" s="291" t="s">
        <v>15</v>
      </c>
      <c r="F63" s="291" t="s">
        <v>16</v>
      </c>
      <c r="G63" s="291"/>
      <c r="H63" s="291"/>
      <c r="I63" s="291"/>
      <c r="J63" s="291"/>
      <c r="K63" s="291"/>
      <c r="L63" s="291"/>
      <c r="M63" s="291"/>
      <c r="N63" s="291"/>
      <c r="O63" s="291"/>
      <c r="P63" s="291" t="s">
        <v>17</v>
      </c>
      <c r="Q63" s="136"/>
      <c r="R63" s="333"/>
      <c r="S63" s="227"/>
      <c r="T63" s="228"/>
      <c r="U63" s="228"/>
      <c r="V63" s="228"/>
      <c r="W63" s="228"/>
      <c r="X63" s="229"/>
      <c r="Y63" s="229"/>
      <c r="Z63" s="229"/>
      <c r="AA63" s="229"/>
      <c r="AB63" s="229"/>
      <c r="AC63" s="229"/>
      <c r="AD63" s="229"/>
      <c r="AE63" s="229"/>
      <c r="AF63" s="126"/>
      <c r="AG63" s="126"/>
      <c r="AH63" s="126"/>
      <c r="AI63" s="126"/>
    </row>
    <row r="64" spans="1:35" s="27" customFormat="1" ht="15.75" customHeight="1">
      <c r="A64" s="344"/>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127"/>
      <c r="W64" s="127"/>
      <c r="X64" s="574" t="s">
        <v>542</v>
      </c>
      <c r="Y64" s="435"/>
      <c r="Z64" s="435"/>
      <c r="AA64" s="435"/>
      <c r="AB64" s="63"/>
      <c r="AC64" s="63"/>
      <c r="AD64" s="63"/>
      <c r="AE64" s="63"/>
      <c r="AF64" s="129"/>
      <c r="AG64" s="129"/>
      <c r="AH64" s="129"/>
      <c r="AI64" s="129"/>
    </row>
    <row r="65" spans="1:35" s="27" customFormat="1" ht="15.75" hidden="1" customHeight="1" outlineLevel="1">
      <c r="A65" s="344"/>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127"/>
      <c r="W65" s="127"/>
      <c r="X65" s="435"/>
      <c r="Y65" s="435"/>
      <c r="Z65" s="435"/>
      <c r="AA65" s="435"/>
      <c r="AB65" s="63"/>
      <c r="AC65" s="63"/>
      <c r="AD65" s="63"/>
      <c r="AE65" s="63"/>
      <c r="AF65" s="129"/>
      <c r="AG65" s="129"/>
      <c r="AH65" s="129"/>
      <c r="AI65" s="129"/>
    </row>
    <row r="66" spans="1:35" s="27" customFormat="1" ht="15.75" hidden="1" customHeight="1" outlineLevel="1">
      <c r="A66" s="344"/>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127"/>
      <c r="W66" s="127"/>
      <c r="X66" s="435"/>
      <c r="Y66" s="435"/>
      <c r="Z66" s="435"/>
      <c r="AA66" s="435"/>
      <c r="AB66" s="63"/>
      <c r="AC66" s="63"/>
      <c r="AD66" s="63"/>
      <c r="AE66" s="63"/>
      <c r="AF66" s="129"/>
      <c r="AG66" s="129"/>
      <c r="AH66" s="129"/>
      <c r="AI66" s="129"/>
    </row>
    <row r="67" spans="1:35" s="27" customFormat="1" ht="15.75" hidden="1" customHeight="1" outlineLevel="1">
      <c r="A67" s="344"/>
      <c r="B67" s="333"/>
      <c r="C67" s="137"/>
      <c r="D67" s="35" t="s">
        <v>0</v>
      </c>
      <c r="E67" s="29" t="s">
        <v>217</v>
      </c>
      <c r="F67" s="70">
        <v>1</v>
      </c>
      <c r="G67" s="71">
        <v>2</v>
      </c>
      <c r="H67" s="72">
        <v>3</v>
      </c>
      <c r="I67" s="73">
        <v>4</v>
      </c>
      <c r="J67" s="74">
        <v>5</v>
      </c>
      <c r="K67" s="75">
        <v>6</v>
      </c>
      <c r="L67" s="76">
        <v>7</v>
      </c>
      <c r="M67" s="77">
        <v>8</v>
      </c>
      <c r="N67" s="78">
        <v>9</v>
      </c>
      <c r="O67" s="79">
        <v>10</v>
      </c>
      <c r="P67" s="31" t="s">
        <v>0</v>
      </c>
      <c r="Q67" s="138"/>
      <c r="R67" s="333"/>
      <c r="S67" s="132">
        <f>VLOOKUP($E67,R.VL_DEQResourcesInvolved,2,FALSE)</f>
        <v>0</v>
      </c>
      <c r="T67" s="120">
        <f>VLOOKUP($E67,R.VL_DEQResourcesInvolved,3,FALSE)</f>
        <v>0</v>
      </c>
      <c r="U67" s="120">
        <f>IF(S67=10,T67,VLOOKUP($E67,R.VL_DEQResourcesInvolved,4,FALSE))</f>
        <v>0</v>
      </c>
      <c r="V67" s="510" t="str">
        <f>SUM(T64:T67)&amp;"-"&amp;SUM(U64:U67)</f>
        <v>0-0</v>
      </c>
      <c r="W67" s="127"/>
      <c r="X67" s="435"/>
      <c r="Y67" s="435"/>
      <c r="Z67" s="435"/>
      <c r="AA67" s="435"/>
      <c r="AB67" s="63"/>
      <c r="AC67" s="63"/>
      <c r="AD67" s="63"/>
      <c r="AE67" s="63"/>
      <c r="AF67" s="129"/>
      <c r="AG67" s="129"/>
      <c r="AH67" s="129"/>
      <c r="AI67" s="129"/>
    </row>
    <row r="68" spans="1:35" s="27" customFormat="1" ht="15.75" customHeight="1" collapsed="1">
      <c r="A68" s="344"/>
      <c r="B68" s="333"/>
      <c r="C68" s="467"/>
      <c r="D68" s="434"/>
      <c r="E68" s="434"/>
      <c r="F68" s="434"/>
      <c r="G68" s="434"/>
      <c r="H68" s="434"/>
      <c r="I68" s="434"/>
      <c r="J68" s="434"/>
      <c r="K68" s="434"/>
      <c r="L68" s="434"/>
      <c r="M68" s="434"/>
      <c r="N68" s="434"/>
      <c r="O68" s="434"/>
      <c r="P68" s="434"/>
      <c r="Q68" s="468"/>
      <c r="R68" s="333"/>
      <c r="S68" s="131"/>
      <c r="T68" s="133"/>
      <c r="U68" s="133"/>
      <c r="V68" s="133"/>
      <c r="W68" s="133"/>
      <c r="X68" s="435"/>
      <c r="Y68" s="435"/>
      <c r="Z68" s="435"/>
      <c r="AA68" s="435"/>
      <c r="AB68" s="63"/>
      <c r="AC68" s="63"/>
      <c r="AD68" s="63"/>
      <c r="AE68" s="63"/>
      <c r="AF68" s="129"/>
      <c r="AG68" s="129"/>
      <c r="AH68" s="129"/>
      <c r="AI68" s="129"/>
    </row>
    <row r="69" spans="1:35" s="27" customFormat="1" ht="15.75" customHeight="1">
      <c r="A69" s="344"/>
      <c r="B69" s="333"/>
      <c r="C69" s="141"/>
      <c r="D69" s="442" t="s">
        <v>49</v>
      </c>
      <c r="E69" s="30"/>
      <c r="F69" s="30"/>
      <c r="G69" s="30"/>
      <c r="H69" s="30"/>
      <c r="I69" s="30"/>
      <c r="J69" s="30"/>
      <c r="K69" s="30"/>
      <c r="L69" s="30"/>
      <c r="M69" s="30"/>
      <c r="N69" s="30"/>
      <c r="O69" s="30"/>
      <c r="P69" s="30"/>
      <c r="Q69" s="142"/>
      <c r="R69" s="333"/>
      <c r="S69" s="131"/>
      <c r="T69" s="130"/>
      <c r="U69" s="130"/>
      <c r="V69" s="130"/>
      <c r="W69" s="130"/>
      <c r="X69" s="435"/>
      <c r="Y69" s="435"/>
      <c r="Z69" s="435"/>
      <c r="AA69" s="435"/>
      <c r="AB69" s="63"/>
      <c r="AC69" s="63"/>
      <c r="AD69" s="63"/>
      <c r="AE69" s="63"/>
      <c r="AF69" s="129"/>
      <c r="AG69" s="129"/>
      <c r="AH69" s="129"/>
      <c r="AI69" s="129"/>
    </row>
    <row r="70" spans="1:35" s="27" customFormat="1" ht="15.75" customHeight="1">
      <c r="A70" s="344"/>
      <c r="B70" s="333"/>
      <c r="C70" s="137"/>
      <c r="D70" s="726"/>
      <c r="E70" s="727"/>
      <c r="F70" s="727"/>
      <c r="G70" s="727"/>
      <c r="H70" s="727"/>
      <c r="I70" s="727"/>
      <c r="J70" s="727"/>
      <c r="K70" s="727"/>
      <c r="L70" s="727"/>
      <c r="M70" s="727"/>
      <c r="N70" s="727"/>
      <c r="O70" s="727"/>
      <c r="P70" s="728"/>
      <c r="Q70" s="138"/>
      <c r="R70" s="333"/>
      <c r="S70" s="131" t="s">
        <v>0</v>
      </c>
      <c r="T70" s="130"/>
      <c r="U70" s="130"/>
      <c r="V70" s="130"/>
      <c r="W70" s="130"/>
      <c r="X70" s="435"/>
      <c r="Y70" s="435"/>
      <c r="Z70" s="435"/>
      <c r="AA70" s="435"/>
      <c r="AB70" s="63"/>
      <c r="AC70" s="63"/>
      <c r="AD70" s="63"/>
      <c r="AE70" s="63"/>
      <c r="AF70" s="129"/>
      <c r="AG70" s="129"/>
      <c r="AH70" s="129"/>
      <c r="AI70" s="129"/>
    </row>
    <row r="71" spans="1:35" s="32" customFormat="1" ht="15.75" customHeight="1">
      <c r="A71" s="343"/>
      <c r="B71" s="333"/>
      <c r="C71" s="231"/>
      <c r="D71" s="441" t="s">
        <v>57</v>
      </c>
      <c r="E71" s="291" t="s">
        <v>15</v>
      </c>
      <c r="F71" s="291" t="s">
        <v>16</v>
      </c>
      <c r="G71" s="291"/>
      <c r="H71" s="291"/>
      <c r="I71" s="291"/>
      <c r="J71" s="291"/>
      <c r="K71" s="291"/>
      <c r="L71" s="291"/>
      <c r="M71" s="291"/>
      <c r="N71" s="291"/>
      <c r="O71" s="291"/>
      <c r="P71" s="291" t="s">
        <v>17</v>
      </c>
      <c r="Q71" s="136"/>
      <c r="R71" s="333"/>
      <c r="S71" s="227"/>
      <c r="T71" s="228"/>
      <c r="U71" s="228"/>
      <c r="V71" s="228"/>
      <c r="W71" s="228"/>
      <c r="X71" s="229"/>
      <c r="Y71" s="229"/>
      <c r="Z71" s="229"/>
      <c r="AA71" s="229"/>
      <c r="AB71" s="229"/>
      <c r="AC71" s="229"/>
      <c r="AD71" s="229"/>
      <c r="AE71" s="229"/>
      <c r="AF71" s="126"/>
      <c r="AG71" s="126"/>
      <c r="AH71" s="126"/>
      <c r="AI71" s="126"/>
    </row>
    <row r="72" spans="1:35" s="27" customFormat="1" ht="15.75" customHeight="1">
      <c r="A72" s="344"/>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120">
        <f>COUNTIF(S64:S75,"&gt;0")</f>
        <v>0</v>
      </c>
      <c r="W72" s="127"/>
      <c r="X72" s="574" t="s">
        <v>542</v>
      </c>
      <c r="Y72" s="435"/>
      <c r="Z72" s="435"/>
      <c r="AA72" s="435"/>
      <c r="AB72" s="63"/>
      <c r="AC72" s="63"/>
      <c r="AD72" s="63"/>
      <c r="AE72" s="63"/>
      <c r="AF72" s="129"/>
      <c r="AG72" s="129"/>
      <c r="AH72" s="129"/>
      <c r="AI72" s="129"/>
    </row>
    <row r="73" spans="1:35" s="27" customFormat="1" ht="15.75" hidden="1" customHeight="1" outlineLevel="1">
      <c r="A73" s="344"/>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127"/>
      <c r="W73" s="127"/>
      <c r="X73" s="435"/>
      <c r="Y73" s="435"/>
      <c r="Z73" s="435"/>
      <c r="AA73" s="435"/>
      <c r="AB73" s="63"/>
      <c r="AC73" s="63"/>
      <c r="AD73" s="63"/>
      <c r="AE73" s="63"/>
      <c r="AF73" s="129"/>
      <c r="AG73" s="129"/>
      <c r="AH73" s="129"/>
      <c r="AI73" s="129"/>
    </row>
    <row r="74" spans="1:35" s="27" customFormat="1" ht="15.75" hidden="1" customHeight="1" outlineLevel="1">
      <c r="A74" s="344"/>
      <c r="B74" s="333"/>
      <c r="C74" s="137"/>
      <c r="D74" s="35" t="s">
        <v>0</v>
      </c>
      <c r="E74" s="29" t="s">
        <v>217</v>
      </c>
      <c r="F74" s="70">
        <v>1</v>
      </c>
      <c r="G74" s="71">
        <v>2</v>
      </c>
      <c r="H74" s="72">
        <v>3</v>
      </c>
      <c r="I74" s="73">
        <v>4</v>
      </c>
      <c r="J74" s="74">
        <v>5</v>
      </c>
      <c r="K74" s="75">
        <v>6</v>
      </c>
      <c r="L74" s="76">
        <v>7</v>
      </c>
      <c r="M74" s="77">
        <v>8</v>
      </c>
      <c r="N74" s="78">
        <v>9</v>
      </c>
      <c r="O74" s="79">
        <v>10</v>
      </c>
      <c r="P74" s="31" t="s">
        <v>0</v>
      </c>
      <c r="Q74" s="138"/>
      <c r="R74" s="333"/>
      <c r="S74" s="132">
        <f>VLOOKUP($E74,R.VL_DEQResourcesInvolved,2,FALSE)</f>
        <v>0</v>
      </c>
      <c r="T74" s="120">
        <f>VLOOKUP($E74,R.VL_DEQResourcesInvolved,3,FALSE)</f>
        <v>0</v>
      </c>
      <c r="U74" s="120">
        <f>IF(S74=10,T74,VLOOKUP($E74,R.VL_DEQResourcesInvolved,4,FALSE))</f>
        <v>0</v>
      </c>
      <c r="V74" s="127"/>
      <c r="W74" s="127"/>
      <c r="X74" s="435"/>
      <c r="Y74" s="435"/>
      <c r="Z74" s="435"/>
      <c r="AA74" s="435"/>
      <c r="AB74" s="63"/>
      <c r="AC74" s="63"/>
      <c r="AD74" s="63"/>
      <c r="AE74" s="63"/>
      <c r="AF74" s="129"/>
      <c r="AG74" s="129"/>
      <c r="AH74" s="129"/>
      <c r="AI74" s="129"/>
    </row>
    <row r="75" spans="1:35" s="27" customFormat="1" ht="15.75" hidden="1" customHeight="1" outlineLevel="1" thickBot="1">
      <c r="A75" s="344"/>
      <c r="B75" s="333"/>
      <c r="C75" s="137"/>
      <c r="D75" s="35" t="s">
        <v>0</v>
      </c>
      <c r="E75" s="29" t="s">
        <v>217</v>
      </c>
      <c r="F75" s="70">
        <v>1</v>
      </c>
      <c r="G75" s="71">
        <v>2</v>
      </c>
      <c r="H75" s="72">
        <v>3</v>
      </c>
      <c r="I75" s="73">
        <v>4</v>
      </c>
      <c r="J75" s="74">
        <v>5</v>
      </c>
      <c r="K75" s="75">
        <v>6</v>
      </c>
      <c r="L75" s="76">
        <v>7</v>
      </c>
      <c r="M75" s="77">
        <v>8</v>
      </c>
      <c r="N75" s="78">
        <v>9</v>
      </c>
      <c r="O75" s="79">
        <v>10</v>
      </c>
      <c r="P75" s="31" t="s">
        <v>0</v>
      </c>
      <c r="Q75" s="138"/>
      <c r="R75" s="333"/>
      <c r="S75" s="132">
        <f>VLOOKUP($E75,R.VL_DEQResourcesInvolved,2,FALSE)</f>
        <v>0</v>
      </c>
      <c r="T75" s="120">
        <f>VLOOKUP($E75,R.VL_DEQResourcesInvolved,3,FALSE)</f>
        <v>0</v>
      </c>
      <c r="U75" s="120">
        <f>IF(S75=10,T75,VLOOKUP($E75,R.VL_DEQResourcesInvolved,4,FALSE))</f>
        <v>0</v>
      </c>
      <c r="V75" s="510" t="str">
        <f>SUM(T72:T75)&amp;"-"&amp;SUM(U72:U75)</f>
        <v>0-0</v>
      </c>
      <c r="W75" s="511" t="str">
        <f>SUM(T64:T75)&amp;"-"&amp;SUM(U64:U75)</f>
        <v>0-0</v>
      </c>
      <c r="X75" s="435"/>
      <c r="Y75" s="435"/>
      <c r="Z75" s="435"/>
      <c r="AA75" s="435"/>
      <c r="AB75" s="63"/>
      <c r="AC75" s="63"/>
      <c r="AD75" s="63"/>
      <c r="AE75" s="63"/>
      <c r="AF75" s="129"/>
      <c r="AG75" s="129"/>
      <c r="AH75" s="129"/>
      <c r="AI75" s="129"/>
    </row>
    <row r="76" spans="1:35" s="27" customFormat="1" ht="8.25" customHeight="1" collapsed="1">
      <c r="A76" s="344"/>
      <c r="B76" s="333"/>
      <c r="C76" s="137"/>
      <c r="D76" s="478"/>
      <c r="E76" s="725"/>
      <c r="F76" s="725"/>
      <c r="G76" s="725"/>
      <c r="H76" s="725"/>
      <c r="I76" s="725"/>
      <c r="J76" s="725"/>
      <c r="K76" s="725"/>
      <c r="L76" s="725"/>
      <c r="M76" s="725"/>
      <c r="N76" s="725"/>
      <c r="O76" s="725"/>
      <c r="P76" s="725"/>
      <c r="Q76" s="138"/>
      <c r="R76" s="333"/>
      <c r="S76" s="131"/>
      <c r="T76" s="127"/>
      <c r="U76" s="127"/>
      <c r="V76" s="127"/>
      <c r="W76" s="127"/>
      <c r="X76" s="435"/>
      <c r="Y76" s="435"/>
      <c r="Z76" s="435"/>
      <c r="AA76" s="435"/>
      <c r="AB76" s="63"/>
      <c r="AC76" s="63"/>
      <c r="AD76" s="63"/>
      <c r="AE76" s="63"/>
      <c r="AF76" s="129"/>
      <c r="AG76" s="129"/>
      <c r="AH76" s="129"/>
      <c r="AI76" s="129"/>
    </row>
    <row r="77" spans="1:35" s="27" customFormat="1" ht="8.25" customHeight="1">
      <c r="A77" s="344"/>
      <c r="B77" s="333"/>
      <c r="C77" s="375"/>
      <c r="D77" s="376"/>
      <c r="E77" s="481"/>
      <c r="F77" s="481"/>
      <c r="G77" s="481"/>
      <c r="H77" s="481"/>
      <c r="I77" s="481"/>
      <c r="J77" s="481"/>
      <c r="K77" s="481"/>
      <c r="L77" s="481"/>
      <c r="M77" s="481"/>
      <c r="N77" s="481"/>
      <c r="O77" s="481"/>
      <c r="P77" s="481"/>
      <c r="Q77" s="378"/>
      <c r="R77" s="333"/>
      <c r="S77" s="131"/>
      <c r="T77" s="127"/>
      <c r="U77" s="127"/>
      <c r="V77" s="127"/>
      <c r="W77" s="127"/>
      <c r="X77" s="435"/>
      <c r="Y77" s="435"/>
      <c r="Z77" s="435"/>
      <c r="AA77" s="435"/>
      <c r="AB77" s="435"/>
      <c r="AC77" s="435"/>
      <c r="AD77" s="435"/>
      <c r="AE77" s="435"/>
      <c r="AF77" s="129"/>
      <c r="AG77" s="129"/>
      <c r="AH77" s="129"/>
      <c r="AI77" s="129"/>
    </row>
    <row r="78" spans="1:35" s="28" customFormat="1" ht="30" customHeight="1">
      <c r="A78" s="343"/>
      <c r="B78" s="333"/>
      <c r="C78" s="145"/>
      <c r="D78" s="729" t="str">
        <f>"Please suggest process improvements to the "&amp;D2&amp;" worksheet."</f>
        <v>Please suggest process improvements to the Other Divisions worksheet.</v>
      </c>
      <c r="E78" s="729"/>
      <c r="F78" s="729"/>
      <c r="G78" s="469"/>
      <c r="H78" s="470"/>
      <c r="I78" s="471"/>
      <c r="J78" s="472"/>
      <c r="K78" s="473"/>
      <c r="L78" s="474"/>
      <c r="M78" s="475"/>
      <c r="N78" s="476"/>
      <c r="O78" s="477"/>
      <c r="P78" s="38"/>
      <c r="Q78" s="146"/>
      <c r="R78" s="333"/>
      <c r="S78" s="133"/>
      <c r="T78" s="130"/>
      <c r="U78" s="130"/>
      <c r="V78" s="130"/>
      <c r="W78" s="130"/>
      <c r="X78" s="435"/>
      <c r="Y78" s="435"/>
      <c r="Z78" s="435"/>
      <c r="AA78" s="435"/>
      <c r="AB78" s="63"/>
      <c r="AC78" s="63"/>
      <c r="AD78" s="63"/>
      <c r="AE78" s="63"/>
      <c r="AF78" s="64"/>
      <c r="AG78" s="64"/>
      <c r="AH78" s="64"/>
      <c r="AI78" s="64"/>
    </row>
    <row r="79" spans="1:35" s="6" customFormat="1" ht="30.75" customHeight="1">
      <c r="A79" s="349"/>
      <c r="B79" s="333"/>
      <c r="C79" s="135"/>
      <c r="D79" s="638"/>
      <c r="E79" s="639"/>
      <c r="F79" s="639"/>
      <c r="G79" s="639"/>
      <c r="H79" s="639"/>
      <c r="I79" s="639"/>
      <c r="J79" s="639"/>
      <c r="K79" s="639"/>
      <c r="L79" s="639"/>
      <c r="M79" s="639"/>
      <c r="N79" s="639"/>
      <c r="O79" s="639"/>
      <c r="P79" s="640"/>
      <c r="Q79" s="147"/>
      <c r="R79" s="333"/>
      <c r="S79" s="131"/>
      <c r="T79" s="130"/>
      <c r="U79" s="130"/>
      <c r="V79" s="130"/>
      <c r="W79" s="130"/>
      <c r="X79" s="435"/>
      <c r="Y79" s="435"/>
      <c r="Z79" s="435"/>
      <c r="AA79" s="435"/>
      <c r="AB79" s="63"/>
      <c r="AC79" s="63"/>
      <c r="AD79" s="63"/>
      <c r="AE79" s="63"/>
      <c r="AF79" s="65"/>
      <c r="AG79" s="65"/>
      <c r="AH79" s="65"/>
      <c r="AI79" s="65"/>
    </row>
    <row r="80" spans="1:35" ht="18" customHeight="1">
      <c r="A80" s="349" t="s">
        <v>104</v>
      </c>
      <c r="B80" s="333"/>
      <c r="C80" s="148"/>
      <c r="D80" s="149"/>
      <c r="E80" s="149"/>
      <c r="F80" s="149"/>
      <c r="G80" s="149"/>
      <c r="H80" s="149"/>
      <c r="I80" s="149"/>
      <c r="J80" s="149"/>
      <c r="K80" s="149"/>
      <c r="L80" s="149"/>
      <c r="M80" s="149"/>
      <c r="N80" s="149"/>
      <c r="O80" s="149"/>
      <c r="P80" s="149"/>
      <c r="Q80" s="150"/>
      <c r="R80" s="333"/>
      <c r="AB80" s="110"/>
      <c r="AC80" s="110"/>
    </row>
    <row r="81" spans="1:29" s="63" customFormat="1" ht="14.25">
      <c r="A81" s="336"/>
      <c r="B81" s="333"/>
      <c r="C81" s="333"/>
      <c r="D81" s="333"/>
      <c r="E81" s="333"/>
      <c r="F81" s="333"/>
      <c r="G81" s="333"/>
      <c r="H81" s="333"/>
      <c r="I81" s="333"/>
      <c r="J81" s="333"/>
      <c r="K81" s="333"/>
      <c r="L81" s="333"/>
      <c r="M81" s="333"/>
      <c r="N81" s="333"/>
      <c r="O81" s="333"/>
      <c r="P81" s="333"/>
      <c r="Q81" s="333"/>
      <c r="R81" s="333"/>
      <c r="S81" s="112"/>
      <c r="T81" s="435"/>
      <c r="U81" s="435"/>
      <c r="V81" s="435"/>
      <c r="W81" s="435"/>
      <c r="X81" s="435"/>
      <c r="Y81" s="435"/>
      <c r="Z81" s="435"/>
      <c r="AA81" s="435"/>
      <c r="AB81" s="110"/>
      <c r="AC81" s="110"/>
    </row>
    <row r="82" spans="1:29" s="63" customFormat="1" ht="14.25" customHeight="1">
      <c r="A82" s="336"/>
      <c r="C82" s="111"/>
      <c r="D82" s="435"/>
      <c r="E82" s="435"/>
      <c r="F82" s="435"/>
      <c r="G82" s="435"/>
      <c r="H82" s="435"/>
      <c r="I82" s="434"/>
      <c r="J82" s="434"/>
      <c r="K82" s="434"/>
      <c r="L82" s="294"/>
      <c r="M82" s="295"/>
      <c r="N82" s="689"/>
      <c r="O82" s="689"/>
      <c r="P82" s="689"/>
      <c r="Q82" s="689"/>
      <c r="R82" s="689"/>
      <c r="S82" s="689"/>
      <c r="T82" s="689"/>
      <c r="U82" s="689"/>
      <c r="V82" s="689"/>
      <c r="W82" s="689"/>
      <c r="X82" s="689"/>
      <c r="Y82" s="689"/>
      <c r="Z82" s="689"/>
      <c r="AA82" s="689"/>
      <c r="AB82" s="94"/>
      <c r="AC82" s="110"/>
    </row>
    <row r="83" spans="1:29" s="63" customFormat="1">
      <c r="A83" s="336"/>
      <c r="C83" s="111"/>
      <c r="D83" s="435"/>
      <c r="E83" s="435"/>
      <c r="F83" s="435"/>
      <c r="G83" s="435"/>
      <c r="H83" s="435"/>
      <c r="I83" s="435"/>
      <c r="J83" s="435"/>
      <c r="K83" s="435"/>
      <c r="L83" s="435"/>
      <c r="M83" s="435"/>
      <c r="N83" s="435"/>
      <c r="O83" s="435"/>
      <c r="P83" s="435"/>
      <c r="Q83" s="435"/>
      <c r="R83" s="435"/>
      <c r="S83" s="112"/>
      <c r="T83" s="435"/>
      <c r="U83" s="435"/>
      <c r="V83" s="435"/>
      <c r="W83" s="435"/>
      <c r="X83" s="435"/>
      <c r="Y83" s="435"/>
      <c r="Z83" s="435"/>
      <c r="AA83" s="435"/>
    </row>
    <row r="84" spans="1:29" s="63" customFormat="1">
      <c r="A84" s="336"/>
      <c r="C84" s="111"/>
      <c r="D84" s="435"/>
      <c r="E84" s="435"/>
      <c r="F84" s="435"/>
      <c r="G84" s="435"/>
      <c r="H84" s="435"/>
      <c r="I84" s="435"/>
      <c r="J84" s="435"/>
      <c r="K84" s="435"/>
      <c r="L84" s="435"/>
      <c r="M84" s="435"/>
      <c r="N84" s="435"/>
      <c r="O84" s="435"/>
      <c r="P84" s="435"/>
      <c r="Q84" s="435"/>
      <c r="R84" s="435"/>
      <c r="S84" s="112"/>
      <c r="T84" s="435"/>
      <c r="U84" s="435"/>
      <c r="V84" s="435"/>
      <c r="W84" s="435"/>
      <c r="X84" s="435"/>
      <c r="Y84" s="435"/>
      <c r="Z84" s="435"/>
      <c r="AA84" s="435"/>
    </row>
    <row r="85" spans="1:29" s="63" customFormat="1">
      <c r="A85" s="336"/>
      <c r="C85" s="111"/>
      <c r="D85" s="435"/>
      <c r="E85" s="435"/>
      <c r="F85" s="435"/>
      <c r="G85" s="435"/>
      <c r="H85" s="435"/>
      <c r="I85" s="435"/>
      <c r="J85" s="435"/>
      <c r="K85" s="435"/>
      <c r="L85" s="435"/>
      <c r="M85" s="435"/>
      <c r="N85" s="435"/>
      <c r="O85" s="435"/>
      <c r="P85" s="435"/>
      <c r="Q85" s="435"/>
      <c r="R85" s="435"/>
      <c r="S85" s="112"/>
      <c r="T85" s="435"/>
      <c r="U85" s="435"/>
      <c r="V85" s="435"/>
      <c r="W85" s="435"/>
      <c r="X85" s="435"/>
      <c r="Y85" s="435"/>
      <c r="Z85" s="435"/>
      <c r="AA85" s="435"/>
    </row>
    <row r="86" spans="1:29" s="63" customFormat="1">
      <c r="A86" s="336"/>
      <c r="C86" s="111"/>
      <c r="D86" s="435"/>
      <c r="E86" s="435"/>
      <c r="F86" s="435"/>
      <c r="G86" s="435"/>
      <c r="H86" s="435"/>
      <c r="I86" s="435"/>
      <c r="J86" s="435"/>
      <c r="K86" s="435"/>
      <c r="L86" s="435"/>
      <c r="M86" s="435"/>
      <c r="N86" s="435"/>
      <c r="O86" s="435"/>
      <c r="P86" s="435"/>
      <c r="Q86" s="435"/>
      <c r="R86" s="435"/>
      <c r="S86" s="112"/>
      <c r="T86" s="435"/>
      <c r="U86" s="435"/>
      <c r="V86" s="435"/>
      <c r="W86" s="435"/>
      <c r="X86" s="435"/>
      <c r="Y86" s="435"/>
      <c r="Z86" s="435"/>
      <c r="AA86" s="435"/>
    </row>
    <row r="87" spans="1:29" s="63" customFormat="1">
      <c r="A87" s="336"/>
      <c r="C87" s="111"/>
      <c r="D87" s="435"/>
      <c r="E87" s="435"/>
      <c r="F87" s="435"/>
      <c r="G87" s="435"/>
      <c r="H87" s="435"/>
      <c r="I87" s="435"/>
      <c r="J87" s="435"/>
      <c r="K87" s="435"/>
      <c r="L87" s="435"/>
      <c r="M87" s="435"/>
      <c r="N87" s="435"/>
      <c r="O87" s="435"/>
      <c r="P87" s="435"/>
      <c r="Q87" s="435"/>
      <c r="R87" s="435"/>
      <c r="S87" s="112"/>
      <c r="T87" s="435"/>
      <c r="U87" s="435"/>
      <c r="V87" s="435"/>
      <c r="W87" s="435"/>
      <c r="X87" s="435"/>
      <c r="Y87" s="435"/>
      <c r="Z87" s="435"/>
      <c r="AA87" s="435"/>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50F150-B4EB-4981-9B0B-A0A3B731AEE4}"/>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Aida Biberic</cp:lastModifiedBy>
  <cp:lastPrinted>2012-08-20T17:54:52Z</cp:lastPrinted>
  <dcterms:created xsi:type="dcterms:W3CDTF">2012-04-11T21:44:01Z</dcterms:created>
  <dcterms:modified xsi:type="dcterms:W3CDTF">2014-04-11T21:50:26Z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